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2.xml" ContentType="application/inkml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decision-optimization\mbac617\00021S\week6\3-workbook\"/>
    </mc:Choice>
  </mc:AlternateContent>
  <xr:revisionPtr revIDLastSave="0" documentId="13_ncr:1_{9D4649EB-1C38-478A-AF9B-90A940BD8230}" xr6:coauthVersionLast="45" xr6:coauthVersionMax="45" xr10:uidLastSave="{00000000-0000-0000-0000-000000000000}"/>
  <bookViews>
    <workbookView xWindow="-108" yWindow="-108" windowWidth="23256" windowHeight="12576" firstSheet="5" activeTab="8" xr2:uid="{BCCBB29B-B14D-48BA-9A38-51DBAAF735F5}"/>
  </bookViews>
  <sheets>
    <sheet name="data" sheetId="1" r:id="rId1"/>
    <sheet name="mean-excess-over-threshold" sheetId="6" r:id="rId2"/>
    <sheet name="eda" sheetId="2" r:id="rId3"/>
    <sheet name="grid-setup" sheetId="3" r:id="rId4"/>
    <sheet name="grid-approx" sheetId="5" r:id="rId5"/>
    <sheet name="xi-sigma-grid" sheetId="4" r:id="rId6"/>
    <sheet name="xi-sigma-sim" sheetId="8" r:id="rId7"/>
    <sheet name="fund-claims" sheetId="7" r:id="rId8"/>
    <sheet name="fund-allocation" sheetId="10" r:id="rId9"/>
    <sheet name="x" sheetId="9" r:id="rId10"/>
  </sheets>
  <externalReferences>
    <externalReference r:id="rId11"/>
    <externalReference r:id="rId12"/>
  </externalReferences>
  <definedNames>
    <definedName name="_xlnm._FilterDatabase" localSheetId="0" hidden="1">data!$B$2:$C$2</definedName>
    <definedName name="_xlnm._FilterDatabase" localSheetId="1" hidden="1">'mean-excess-over-threshold'!$E$2:$F$2</definedName>
    <definedName name="_Key1" hidden="1">#REF!</definedName>
    <definedName name="_Order1" hidden="1">255</definedName>
    <definedName name="claims">data!$F$3:$F$14</definedName>
    <definedName name="coin_cuttype" localSheetId="8" hidden="1">1</definedName>
    <definedName name="coin_dualtol" localSheetId="8" hidden="1">0.0000001</definedName>
    <definedName name="coin_heurs" localSheetId="8" hidden="1">1</definedName>
    <definedName name="coin_integerpresolve" localSheetId="8" hidden="1">1</definedName>
    <definedName name="coin_presolve1" localSheetId="8" hidden="1">1</definedName>
    <definedName name="coin_primaltol" localSheetId="8" hidden="1">0.0000001</definedName>
    <definedName name="cov_xi__sigma">'xi-sigma-sim'!$Q$7</definedName>
    <definedName name="DATA">#REF!</definedName>
    <definedName name="gpa">data!$E$3:$E$7</definedName>
    <definedName name="grb_bariter" localSheetId="8" hidden="1">1E+100</definedName>
    <definedName name="grb_bartol" localSheetId="8" hidden="1">0.00000001</definedName>
    <definedName name="grb_crossover" localSheetId="8" hidden="1">-1</definedName>
    <definedName name="grb_cutoff" localSheetId="8" hidden="1">1E+100</definedName>
    <definedName name="grb_cuts" localSheetId="8" hidden="1">-1</definedName>
    <definedName name="grb_focus" localSheetId="8" hidden="1">0</definedName>
    <definedName name="grb_heur" localSheetId="8" hidden="1">0.05</definedName>
    <definedName name="grb_infeas" localSheetId="8" hidden="1">0.000001</definedName>
    <definedName name="grb_inttol" localSheetId="8" hidden="1">0.00001</definedName>
    <definedName name="grb_method" localSheetId="8" hidden="1">1</definedName>
    <definedName name="grb_nodefilestart" localSheetId="8" hidden="1">1E+100</definedName>
    <definedName name="grb_optimal" localSheetId="8" hidden="1">0.000001</definedName>
    <definedName name="grb_order" localSheetId="8" hidden="1">-1</definedName>
    <definedName name="grb_presolve" localSheetId="8" hidden="1">-1</definedName>
    <definedName name="grb_pricing" localSheetId="8" hidden="1">-1</definedName>
    <definedName name="grb_relmip" localSheetId="8" hidden="1">0.0001</definedName>
    <definedName name="grb_rootmethod" localSheetId="8" hidden="1">1</definedName>
    <definedName name="grb_submip" localSheetId="8" hidden="1">500</definedName>
    <definedName name="grb_symmetry" localSheetId="8" hidden="1">-1</definedName>
    <definedName name="grb_threads" localSheetId="8" hidden="1">0</definedName>
    <definedName name="grb_var" localSheetId="8" hidden="1">-1</definedName>
    <definedName name="interval_mu_h">'grid-setup'!$C$5</definedName>
    <definedName name="interval_sigma_h">'grid-setup'!$C$12</definedName>
    <definedName name="key">'grid-approx'!$W$5:$W$29</definedName>
    <definedName name="max_mu_h">'grid-setup'!$C$3</definedName>
    <definedName name="max_sigma_h">'grid-setup'!$C$10</definedName>
    <definedName name="min_mu_h">'grid-setup'!$C$4</definedName>
    <definedName name="min_sigma_h">'grid-setup'!$C$11</definedName>
    <definedName name="mu_h" localSheetId="4">'grid-setup'!$E$3:$E$7</definedName>
    <definedName name="mu_h" localSheetId="3">'grid-setup'!$E$3:$E$7</definedName>
    <definedName name="mu_sigma">'xi-sigma-sim'!$Q$4</definedName>
    <definedName name="mu_thres">'grid-setup'!$C$15</definedName>
    <definedName name="mu_xi">'xi-sigma-sim'!$Q$3</definedName>
    <definedName name="param_cuthi" localSheetId="8" hidden="1">2E+30</definedName>
    <definedName name="param_cutlo" localSheetId="8" hidden="1">-2E+30</definedName>
    <definedName name="param_epstep" localSheetId="8" hidden="1">0.000001</definedName>
    <definedName name="param_iisbnd" localSheetId="8" hidden="1">0</definedName>
    <definedName name="Pr_h___d">'grid-approx'!$U$5:$U$29</definedName>
    <definedName name="rho">'xi-sigma-sim'!$Q$8</definedName>
    <definedName name="sig_sigma">'xi-sigma-sim'!$Q$6</definedName>
    <definedName name="sig_xi">'xi-sigma-sim'!$Q$5</definedName>
    <definedName name="sigma_h" localSheetId="4">'grid-setup'!$E$10:$E$14</definedName>
    <definedName name="sigma_h" localSheetId="3">'grid-setup'!$E$10:$E$14</definedName>
    <definedName name="solver_acc" localSheetId="8" hidden="1">0.001</definedName>
    <definedName name="solver_adj" localSheetId="8" hidden="1">'fund-allocation'!$E$7:$E$18</definedName>
    <definedName name="solver_adj_ob" localSheetId="8" hidden="1">1</definedName>
    <definedName name="solver_adj_ob1" localSheetId="8" hidden="1">1</definedName>
    <definedName name="solver_ars" localSheetId="8" hidden="1">1</definedName>
    <definedName name="solver_bigm" localSheetId="8" hidden="1">1000000</definedName>
    <definedName name="solver_bnd" localSheetId="8" hidden="1">1</definedName>
    <definedName name="solver_cha" localSheetId="8" hidden="1">0</definedName>
    <definedName name="solver_chc1" localSheetId="8" hidden="1">0</definedName>
    <definedName name="solver_chc2" localSheetId="8" hidden="1">0</definedName>
    <definedName name="solver_chc5" localSheetId="8" hidden="1">0</definedName>
    <definedName name="solver_chc6" localSheetId="8" hidden="1">0</definedName>
    <definedName name="solver_chn" localSheetId="8" hidden="1">4</definedName>
    <definedName name="solver_chp1" localSheetId="8" hidden="1">0</definedName>
    <definedName name="solver_chp2" localSheetId="8" hidden="1">0</definedName>
    <definedName name="solver_chp5" localSheetId="8" hidden="1">0</definedName>
    <definedName name="solver_chp6" localSheetId="8" hidden="1">0</definedName>
    <definedName name="solver_cht" localSheetId="8" hidden="1">0</definedName>
    <definedName name="solver_cir1" localSheetId="8" hidden="1">1</definedName>
    <definedName name="solver_cir2" localSheetId="8" hidden="1">1</definedName>
    <definedName name="solver_cir5" localSheetId="8" hidden="1">1</definedName>
    <definedName name="solver_cir6" localSheetId="8" hidden="1">1</definedName>
    <definedName name="solver_con1" localSheetId="8" hidden="1">" "</definedName>
    <definedName name="solver_con2" localSheetId="8" hidden="1">" "</definedName>
    <definedName name="solver_con5" localSheetId="8" hidden="1">" "</definedName>
    <definedName name="solver_con6" localSheetId="8" hidden="1">" "</definedName>
    <definedName name="solver_corr" hidden="1">1</definedName>
    <definedName name="solver_ctp1" hidden="1">0</definedName>
    <definedName name="solver_ctp2" hidden="1">0</definedName>
    <definedName name="solver_cvg" localSheetId="8" hidden="1">0.0001</definedName>
    <definedName name="solver_dia" localSheetId="8" hidden="1">5</definedName>
    <definedName name="solver_disp" hidden="1">0</definedName>
    <definedName name="solver_drv" localSheetId="8" hidden="1">1</definedName>
    <definedName name="solver_eng" localSheetId="8" hidden="1">2</definedName>
    <definedName name="solver_est" localSheetId="8" hidden="1">1</definedName>
    <definedName name="solver_eval" hidden="1">0</definedName>
    <definedName name="solver_fea" localSheetId="8" hidden="1">0.000001</definedName>
    <definedName name="solver_fns" localSheetId="8" hidden="1">0</definedName>
    <definedName name="solver_gap" localSheetId="8" hidden="1">0.0000001</definedName>
    <definedName name="solver_glb" localSheetId="8" hidden="1">-1E+30</definedName>
    <definedName name="solver_gub" localSheetId="8" hidden="1">1E+30</definedName>
    <definedName name="solver_iao" localSheetId="8" hidden="1">0</definedName>
    <definedName name="solver_ibd" localSheetId="8" hidden="1">2</definedName>
    <definedName name="solver_inc" localSheetId="8" hidden="1">0</definedName>
    <definedName name="solver_int" localSheetId="8" hidden="1">0</definedName>
    <definedName name="solver_ipd" localSheetId="8" hidden="1">3</definedName>
    <definedName name="solver_ipi" localSheetId="8" hidden="1">1</definedName>
    <definedName name="solver_ips" localSheetId="8" hidden="1">0.99</definedName>
    <definedName name="solver_irs" localSheetId="8" hidden="1">0</definedName>
    <definedName name="solver_ism" localSheetId="8" hidden="1">0</definedName>
    <definedName name="solver_itr" localSheetId="8" hidden="1">2147483647</definedName>
    <definedName name="solver_lcens" hidden="1">-1E+30</definedName>
    <definedName name="solver_lcut" hidden="1">-1E+30</definedName>
    <definedName name="solver_lhs_ob1" localSheetId="8" hidden="1">0</definedName>
    <definedName name="solver_lhs_ob2" localSheetId="8" hidden="1">0</definedName>
    <definedName name="solver_lhs_ob5" localSheetId="8" hidden="1">0</definedName>
    <definedName name="solver_lhs_ob6" localSheetId="8" hidden="1">0</definedName>
    <definedName name="solver_lhs1" localSheetId="8" hidden="1">'fund-allocation'!$H$19:$M$19</definedName>
    <definedName name="solver_lhs2" localSheetId="8" hidden="1">'fund-allocation'!$H$19:$M$19</definedName>
    <definedName name="solver_lhs5" localSheetId="8" hidden="1">'fund-allocation'!$E$7:$E$18</definedName>
    <definedName name="solver_lhs6" localSheetId="8" hidden="1">'fund-allocation'!$H$19:$M$19</definedName>
    <definedName name="solver_lin" localSheetId="8" hidden="1">2</definedName>
    <definedName name="solver_loc" localSheetId="8" hidden="1">4</definedName>
    <definedName name="solver_log" localSheetId="8" hidden="1">1</definedName>
    <definedName name="solver_lpp" localSheetId="8" hidden="1">0</definedName>
    <definedName name="solver_lpt" localSheetId="8" hidden="1">0</definedName>
    <definedName name="solver_lva" localSheetId="8" hidden="1">0</definedName>
    <definedName name="solver_mda" localSheetId="8" hidden="1">4</definedName>
    <definedName name="solver_met" localSheetId="8" hidden="1">1</definedName>
    <definedName name="solver_mip" localSheetId="8" hidden="1">2147483647</definedName>
    <definedName name="solver_mni" localSheetId="8" hidden="1">30</definedName>
    <definedName name="solver_mod" localSheetId="8" hidden="1">1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opt" localSheetId="8" hidden="1">1</definedName>
    <definedName name="solver_nsim" hidden="1">1</definedName>
    <definedName name="solver_ntr" localSheetId="8" hidden="1">0</definedName>
    <definedName name="solver_ntri" hidden="1">1000</definedName>
    <definedName name="solver_num" localSheetId="8" hidden="1">1</definedName>
    <definedName name="solver_nwt" localSheetId="8" hidden="1">1</definedName>
    <definedName name="solver_ofx" localSheetId="8" hidden="1">2</definedName>
    <definedName name="solver_opt" localSheetId="8" hidden="1">'fund-allocation'!$E$19</definedName>
    <definedName name="solver_piv" localSheetId="8" hidden="1">0.000001</definedName>
    <definedName name="solver_pre" localSheetId="8" hidden="1">0.000001</definedName>
    <definedName name="solver_pro" localSheetId="8" hidden="1">2</definedName>
    <definedName name="solver_psi" localSheetId="8" hidden="1">0</definedName>
    <definedName name="solver_rbv" localSheetId="8" hidden="1">1</definedName>
    <definedName name="solver_rdp" localSheetId="8" hidden="1">1</definedName>
    <definedName name="solver_red" localSheetId="8" hidden="1">0.000001</definedName>
    <definedName name="solver_rel1" localSheetId="8" hidden="1">2</definedName>
    <definedName name="solver_rel2" localSheetId="8" hidden="1">2</definedName>
    <definedName name="solver_rel5" localSheetId="8" hidden="1">3</definedName>
    <definedName name="solver_rel6" localSheetId="8" hidden="1">2</definedName>
    <definedName name="solver_reo" localSheetId="8" hidden="1">2</definedName>
    <definedName name="solver_rep" localSheetId="8" hidden="1">0</definedName>
    <definedName name="solver_res" localSheetId="8" hidden="1">0.05</definedName>
    <definedName name="solver_rhs1" localSheetId="8" hidden="1">'fund-allocation'!$H$20:$M$20</definedName>
    <definedName name="solver_rhs2" localSheetId="8" hidden="1">'fund-allocation'!$H$20:$M$20</definedName>
    <definedName name="solver_rhs5" localSheetId="8" hidden="1">0</definedName>
    <definedName name="solver_rhs6" localSheetId="8" hidden="1">'fund-allocation'!$H$20:$M$20</definedName>
    <definedName name="solver_rlx" localSheetId="8" hidden="1">2</definedName>
    <definedName name="solver_rsd" localSheetId="8" hidden="1">0</definedName>
    <definedName name="solver_rsmp" hidden="1">2</definedName>
    <definedName name="solver_rtr" localSheetId="8" hidden="1">0</definedName>
    <definedName name="solver_rxc1" localSheetId="8" hidden="1">1</definedName>
    <definedName name="solver_rxc2" localSheetId="8" hidden="1">1</definedName>
    <definedName name="solver_rxc5" localSheetId="8" hidden="1">1</definedName>
    <definedName name="solver_rxc6" localSheetId="8" hidden="1">1</definedName>
    <definedName name="solver_scl" localSheetId="8" hidden="1">1</definedName>
    <definedName name="solver_seed" hidden="1">0</definedName>
    <definedName name="solver_sel" localSheetId="8" hidden="1">1</definedName>
    <definedName name="solver_sho" localSheetId="8" hidden="1">2</definedName>
    <definedName name="solver_slv" localSheetId="8" hidden="1">0</definedName>
    <definedName name="solver_slvu" localSheetId="8" hidden="1">0</definedName>
    <definedName name="solver_soc" localSheetId="8" hidden="1">0</definedName>
    <definedName name="solver_ssz" localSheetId="8" hidden="1">100</definedName>
    <definedName name="solver_sta" localSheetId="8" hidden="1">0</definedName>
    <definedName name="solver_std" localSheetId="8" hidden="1">0</definedName>
    <definedName name="solver_sthr" hidden="1">0</definedName>
    <definedName name="solver_thr" localSheetId="8" hidden="1">0</definedName>
    <definedName name="solver_tim" localSheetId="8" hidden="1">2147483647</definedName>
    <definedName name="solver_tms" localSheetId="8" hidden="1">0</definedName>
    <definedName name="solver_tol" localSheetId="8" hidden="1">0.01</definedName>
    <definedName name="solver_tree_a" localSheetId="8" hidden="1">1</definedName>
    <definedName name="solver_tree_b" localSheetId="8" hidden="1">1</definedName>
    <definedName name="solver_tree_ce" localSheetId="8" hidden="1">1</definedName>
    <definedName name="solver_tree_dn" localSheetId="8" hidden="1">1</definedName>
    <definedName name="solver_tree_rt" localSheetId="8" hidden="1">999999999999</definedName>
    <definedName name="solver_typ" localSheetId="8" hidden="1">2</definedName>
    <definedName name="solver_ubigm" localSheetId="8" hidden="1">1000000</definedName>
    <definedName name="solver_ucens" hidden="1">1E+30</definedName>
    <definedName name="solver_ucut" hidden="1">1E+30</definedName>
    <definedName name="solver_umod" localSheetId="8" hidden="1">1</definedName>
    <definedName name="solver_urs" localSheetId="8" hidden="1">0</definedName>
    <definedName name="solver_val" localSheetId="8" hidden="1">0</definedName>
    <definedName name="solver_ver" localSheetId="8" hidden="1">3</definedName>
    <definedName name="solver_vol" localSheetId="8" hidden="1">0</definedName>
    <definedName name="sum">'grid-approx'!$T$3</definedName>
    <definedName name="sum_pr_xi_sigma">'xi-sigma-sim'!$L$9</definedName>
    <definedName name="Toggle">[2]!Toggle</definedName>
    <definedName name="u">'mean-excess-over-threshold'!$V$3:$V$14</definedName>
    <definedName name="wages">data!$F$3:$F$14</definedName>
    <definedName name="width_mu_h">'grid-setup'!$C$6</definedName>
    <definedName name="width_sigma_h">'grid-setup'!$C$13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0" l="1"/>
  <c r="F9" i="10"/>
  <c r="D18" i="10" l="1"/>
  <c r="C18" i="10"/>
  <c r="B18" i="10"/>
  <c r="D17" i="10"/>
  <c r="C17" i="10"/>
  <c r="G17" i="10" s="1"/>
  <c r="B17" i="10"/>
  <c r="D16" i="10"/>
  <c r="C16" i="10"/>
  <c r="I16" i="10" s="1"/>
  <c r="B16" i="10"/>
  <c r="D15" i="10"/>
  <c r="C15" i="10"/>
  <c r="B15" i="10"/>
  <c r="D14" i="10"/>
  <c r="I14" i="10" s="1"/>
  <c r="C14" i="10"/>
  <c r="B14" i="10"/>
  <c r="D13" i="10"/>
  <c r="G13" i="10" s="1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I9" i="10" s="1"/>
  <c r="B9" i="10"/>
  <c r="D8" i="10"/>
  <c r="C8" i="10"/>
  <c r="I8" i="10" s="1"/>
  <c r="B8" i="10"/>
  <c r="D7" i="10"/>
  <c r="C7" i="10"/>
  <c r="B7" i="10"/>
  <c r="F18" i="10"/>
  <c r="F17" i="10"/>
  <c r="F16" i="10"/>
  <c r="F15" i="10"/>
  <c r="F14" i="10"/>
  <c r="F13" i="10"/>
  <c r="F12" i="10"/>
  <c r="F11" i="10"/>
  <c r="I11" i="10" s="1"/>
  <c r="F8" i="10"/>
  <c r="F7" i="10"/>
  <c r="I6" i="10"/>
  <c r="E19" i="10"/>
  <c r="G18" i="10"/>
  <c r="I15" i="10"/>
  <c r="G15" i="10"/>
  <c r="I13" i="10"/>
  <c r="I12" i="10"/>
  <c r="G12" i="10"/>
  <c r="G11" i="10"/>
  <c r="I10" i="10"/>
  <c r="G10" i="10"/>
  <c r="I7" i="10"/>
  <c r="H7" i="10"/>
  <c r="G7" i="10"/>
  <c r="H6" i="10"/>
  <c r="Y12" i="8"/>
  <c r="O20" i="10"/>
  <c r="O19" i="10"/>
  <c r="O10" i="10"/>
  <c r="O7" i="10"/>
  <c r="O6" i="10"/>
  <c r="S3" i="8"/>
  <c r="S8" i="8"/>
  <c r="S5" i="8"/>
  <c r="S7" i="8"/>
  <c r="S4" i="8"/>
  <c r="S6" i="8"/>
  <c r="W12" i="8"/>
  <c r="V12" i="8"/>
  <c r="G16" i="10" l="1"/>
  <c r="G8" i="10"/>
  <c r="G9" i="10"/>
  <c r="G14" i="10"/>
  <c r="H14" i="10"/>
  <c r="I17" i="10"/>
  <c r="J6" i="10"/>
  <c r="I18" i="10"/>
  <c r="I19" i="10" s="1"/>
  <c r="H12" i="10"/>
  <c r="H13" i="10"/>
  <c r="H11" i="10"/>
  <c r="H10" i="10"/>
  <c r="H18" i="10"/>
  <c r="H9" i="10"/>
  <c r="H17" i="10"/>
  <c r="H8" i="10"/>
  <c r="H16" i="10"/>
  <c r="H15" i="10"/>
  <c r="U5" i="8"/>
  <c r="U6" i="8" s="1"/>
  <c r="U7" i="8" s="1"/>
  <c r="U8" i="8" s="1"/>
  <c r="U9" i="8" s="1"/>
  <c r="L12" i="8"/>
  <c r="J12" i="8"/>
  <c r="I12" i="8"/>
  <c r="N12" i="8"/>
  <c r="M12" i="8"/>
  <c r="H12" i="8"/>
  <c r="G12" i="8"/>
  <c r="D12" i="8"/>
  <c r="C12" i="8"/>
  <c r="E12" i="8"/>
  <c r="B12" i="8"/>
  <c r="H19" i="10" l="1"/>
  <c r="J16" i="10"/>
  <c r="J18" i="10"/>
  <c r="J14" i="10"/>
  <c r="J10" i="10"/>
  <c r="J12" i="10"/>
  <c r="K6" i="10"/>
  <c r="J15" i="10"/>
  <c r="J11" i="10"/>
  <c r="J7" i="10"/>
  <c r="J8" i="10"/>
  <c r="J17" i="10"/>
  <c r="J13" i="10"/>
  <c r="J9" i="10"/>
  <c r="B3" i="8"/>
  <c r="J19" i="10" l="1"/>
  <c r="K18" i="10"/>
  <c r="K14" i="10"/>
  <c r="K10" i="10"/>
  <c r="K17" i="10"/>
  <c r="L6" i="10"/>
  <c r="K11" i="10"/>
  <c r="K7" i="10"/>
  <c r="K15" i="10"/>
  <c r="K12" i="10"/>
  <c r="K8" i="10"/>
  <c r="K16" i="10"/>
  <c r="K13" i="10"/>
  <c r="K9" i="10"/>
  <c r="K19" i="10" l="1"/>
  <c r="M6" i="10"/>
  <c r="L15" i="10"/>
  <c r="L11" i="10"/>
  <c r="L7" i="10"/>
  <c r="L9" i="10"/>
  <c r="L16" i="10"/>
  <c r="L12" i="10"/>
  <c r="L8" i="10"/>
  <c r="L17" i="10"/>
  <c r="L18" i="10"/>
  <c r="L14" i="10"/>
  <c r="L10" i="10"/>
  <c r="L13" i="10"/>
  <c r="L19" i="10" l="1"/>
  <c r="M15" i="10"/>
  <c r="M11" i="10"/>
  <c r="M7" i="10"/>
  <c r="M10" i="10"/>
  <c r="M12" i="10"/>
  <c r="M18" i="10"/>
  <c r="M16" i="10"/>
  <c r="M8" i="10"/>
  <c r="M13" i="10"/>
  <c r="M9" i="10"/>
  <c r="M17" i="10"/>
  <c r="M14" i="10"/>
  <c r="M19" i="10" l="1"/>
  <c r="L33" i="4" l="1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C18" i="6"/>
  <c r="E14" i="6"/>
  <c r="E13" i="6"/>
  <c r="E12" i="6"/>
  <c r="E11" i="6"/>
  <c r="E10" i="6"/>
  <c r="E9" i="6"/>
  <c r="E8" i="6"/>
  <c r="E7" i="6"/>
  <c r="E6" i="6"/>
  <c r="E5" i="6"/>
  <c r="E4" i="6"/>
  <c r="E3" i="6"/>
  <c r="V3" i="6"/>
  <c r="V4" i="6" s="1"/>
  <c r="V5" i="6" s="1"/>
  <c r="T6" i="6"/>
  <c r="E2" i="6"/>
  <c r="B4" i="4"/>
  <c r="I3" i="4"/>
  <c r="C19" i="2"/>
  <c r="C18" i="2"/>
  <c r="C17" i="2"/>
  <c r="D34" i="5"/>
  <c r="C34" i="5"/>
  <c r="V19" i="6"/>
  <c r="G21" i="6"/>
  <c r="G23" i="6"/>
  <c r="G19" i="6"/>
  <c r="F19" i="6"/>
  <c r="V6" i="6" l="1"/>
  <c r="V7" i="6" s="1"/>
  <c r="V8" i="6" s="1"/>
  <c r="V9" i="6" s="1"/>
  <c r="V10" i="6" s="1"/>
  <c r="V11" i="6" s="1"/>
  <c r="V12" i="6" s="1"/>
  <c r="V13" i="6" s="1"/>
  <c r="V14" i="6" s="1"/>
  <c r="F15" i="6" a="1"/>
  <c r="H15" i="6" s="1"/>
  <c r="H3" i="6" s="1"/>
  <c r="G4" i="5" a="1"/>
  <c r="H4" i="5" s="1"/>
  <c r="T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C3" i="2"/>
  <c r="C13" i="3"/>
  <c r="C6" i="3"/>
  <c r="E10" i="3"/>
  <c r="D5" i="5" s="1"/>
  <c r="E9" i="3"/>
  <c r="E3" i="3"/>
  <c r="C5" i="5" s="1"/>
  <c r="E2" i="3"/>
  <c r="B6" i="3"/>
  <c r="B5" i="3"/>
  <c r="B4" i="3"/>
  <c r="B3" i="3"/>
  <c r="B13" i="3"/>
  <c r="B12" i="3"/>
  <c r="B11" i="3"/>
  <c r="B10" i="3"/>
  <c r="W34" i="5"/>
  <c r="E31" i="5"/>
  <c r="F16" i="4"/>
  <c r="C7" i="2"/>
  <c r="D31" i="5"/>
  <c r="D14" i="4"/>
  <c r="C6" i="2"/>
  <c r="U31" i="5"/>
  <c r="C4" i="2"/>
  <c r="S31" i="5"/>
  <c r="T31" i="5"/>
  <c r="C10" i="2"/>
  <c r="C12" i="4"/>
  <c r="C8" i="2"/>
  <c r="C5" i="2"/>
  <c r="C31" i="5"/>
  <c r="D12" i="4"/>
  <c r="M31" i="5"/>
  <c r="C11" i="2"/>
  <c r="T33" i="5"/>
  <c r="G31" i="5"/>
  <c r="I16" i="4"/>
  <c r="F31" i="5"/>
  <c r="J15" i="6" l="1"/>
  <c r="J8" i="6" s="1"/>
  <c r="M15" i="6"/>
  <c r="M7" i="6" s="1"/>
  <c r="F15" i="6"/>
  <c r="G15" i="6"/>
  <c r="G13" i="6" s="1"/>
  <c r="I15" i="6"/>
  <c r="I10" i="6" s="1"/>
  <c r="O15" i="6"/>
  <c r="O13" i="6" s="1"/>
  <c r="K15" i="6"/>
  <c r="K12" i="6" s="1"/>
  <c r="N15" i="6"/>
  <c r="N3" i="6" s="1"/>
  <c r="P15" i="6"/>
  <c r="P12" i="6" s="1"/>
  <c r="Q15" i="6"/>
  <c r="Q6" i="6" s="1"/>
  <c r="L15" i="6"/>
  <c r="L7" i="6" s="1"/>
  <c r="H4" i="6"/>
  <c r="I7" i="6"/>
  <c r="H13" i="6"/>
  <c r="H6" i="6"/>
  <c r="H9" i="6"/>
  <c r="H2" i="6"/>
  <c r="H8" i="6"/>
  <c r="H10" i="6"/>
  <c r="H7" i="6"/>
  <c r="I14" i="6"/>
  <c r="H11" i="6"/>
  <c r="H14" i="6"/>
  <c r="G12" i="6"/>
  <c r="O6" i="6"/>
  <c r="H5" i="6"/>
  <c r="H12" i="6"/>
  <c r="I9" i="6"/>
  <c r="H5" i="5"/>
  <c r="W5" i="5"/>
  <c r="O4" i="5"/>
  <c r="O5" i="5" s="1"/>
  <c r="N4" i="5"/>
  <c r="N5" i="5" s="1"/>
  <c r="M4" i="5"/>
  <c r="M5" i="5" s="1"/>
  <c r="L4" i="5"/>
  <c r="L5" i="5" s="1"/>
  <c r="K4" i="5"/>
  <c r="K5" i="5" s="1"/>
  <c r="G4" i="5"/>
  <c r="G5" i="5" s="1"/>
  <c r="R4" i="5"/>
  <c r="R5" i="5" s="1"/>
  <c r="J4" i="5"/>
  <c r="J5" i="5" s="1"/>
  <c r="Q4" i="5"/>
  <c r="Q5" i="5" s="1"/>
  <c r="I4" i="5"/>
  <c r="I5" i="5" s="1"/>
  <c r="P4" i="5"/>
  <c r="P5" i="5" s="1"/>
  <c r="I14" i="3"/>
  <c r="I7" i="3"/>
  <c r="B18" i="3"/>
  <c r="B20" i="3"/>
  <c r="I5" i="6" l="1"/>
  <c r="I13" i="6"/>
  <c r="I12" i="6"/>
  <c r="L2" i="6"/>
  <c r="J12" i="6"/>
  <c r="L6" i="6"/>
  <c r="L10" i="6"/>
  <c r="Q5" i="6"/>
  <c r="M13" i="6"/>
  <c r="M12" i="6"/>
  <c r="L3" i="6"/>
  <c r="G5" i="6"/>
  <c r="G7" i="6"/>
  <c r="G3" i="6"/>
  <c r="J9" i="6"/>
  <c r="P8" i="6"/>
  <c r="G6" i="6"/>
  <c r="G11" i="6"/>
  <c r="G2" i="6"/>
  <c r="G9" i="6"/>
  <c r="L9" i="6"/>
  <c r="L14" i="6"/>
  <c r="L5" i="6"/>
  <c r="L12" i="6"/>
  <c r="M11" i="6"/>
  <c r="I11" i="6"/>
  <c r="M6" i="6"/>
  <c r="L13" i="6"/>
  <c r="L11" i="6"/>
  <c r="K7" i="6"/>
  <c r="I3" i="6"/>
  <c r="P11" i="6"/>
  <c r="L4" i="6"/>
  <c r="L8" i="6"/>
  <c r="O9" i="6"/>
  <c r="K9" i="6"/>
  <c r="J7" i="6"/>
  <c r="J10" i="6"/>
  <c r="J3" i="6"/>
  <c r="J4" i="6"/>
  <c r="J11" i="6"/>
  <c r="G10" i="6"/>
  <c r="G4" i="6"/>
  <c r="G14" i="6"/>
  <c r="G8" i="6"/>
  <c r="J2" i="6"/>
  <c r="P5" i="6"/>
  <c r="P13" i="6"/>
  <c r="J14" i="6"/>
  <c r="K4" i="6"/>
  <c r="K3" i="6"/>
  <c r="K13" i="6"/>
  <c r="N7" i="6"/>
  <c r="K2" i="6"/>
  <c r="O14" i="6"/>
  <c r="N5" i="6"/>
  <c r="N8" i="6"/>
  <c r="K5" i="6"/>
  <c r="O7" i="6"/>
  <c r="K8" i="6"/>
  <c r="K14" i="6"/>
  <c r="O4" i="6"/>
  <c r="K6" i="6"/>
  <c r="K11" i="6"/>
  <c r="N6" i="6"/>
  <c r="N10" i="6"/>
  <c r="N14" i="6"/>
  <c r="K10" i="6"/>
  <c r="M2" i="6"/>
  <c r="Q13" i="6"/>
  <c r="M4" i="6"/>
  <c r="O5" i="6"/>
  <c r="O12" i="6"/>
  <c r="M5" i="6"/>
  <c r="O3" i="6"/>
  <c r="I4" i="6"/>
  <c r="N12" i="6"/>
  <c r="N13" i="6"/>
  <c r="Q7" i="6"/>
  <c r="J6" i="6"/>
  <c r="P9" i="6"/>
  <c r="Q12" i="6"/>
  <c r="Q11" i="6"/>
  <c r="O8" i="6"/>
  <c r="Q3" i="6"/>
  <c r="P14" i="6"/>
  <c r="M9" i="6"/>
  <c r="P3" i="6"/>
  <c r="P7" i="6"/>
  <c r="I8" i="6"/>
  <c r="N11" i="6"/>
  <c r="Q14" i="6"/>
  <c r="Q4" i="6"/>
  <c r="M8" i="6"/>
  <c r="O11" i="6"/>
  <c r="P6" i="6"/>
  <c r="J13" i="6"/>
  <c r="I2" i="6"/>
  <c r="P4" i="6"/>
  <c r="P10" i="6"/>
  <c r="M10" i="6"/>
  <c r="O10" i="6"/>
  <c r="Q9" i="6"/>
  <c r="N2" i="6"/>
  <c r="Q8" i="6"/>
  <c r="J5" i="6"/>
  <c r="P2" i="6"/>
  <c r="M14" i="6"/>
  <c r="O2" i="6"/>
  <c r="Q2" i="6"/>
  <c r="N9" i="6"/>
  <c r="I6" i="6"/>
  <c r="N4" i="6"/>
  <c r="Q10" i="6"/>
  <c r="F2" i="6"/>
  <c r="F7" i="6"/>
  <c r="F13" i="6"/>
  <c r="F4" i="6"/>
  <c r="F9" i="6"/>
  <c r="F11" i="6"/>
  <c r="F6" i="6"/>
  <c r="F8" i="6"/>
  <c r="F12" i="6"/>
  <c r="F10" i="6"/>
  <c r="F14" i="6"/>
  <c r="F3" i="6"/>
  <c r="F5" i="6"/>
  <c r="M3" i="6"/>
  <c r="H16" i="6"/>
  <c r="S5" i="5"/>
  <c r="T5" i="5" s="1"/>
  <c r="F5" i="3"/>
  <c r="F4" i="3"/>
  <c r="F3" i="3"/>
  <c r="F12" i="3"/>
  <c r="F11" i="3"/>
  <c r="F13" i="3"/>
  <c r="F7" i="3"/>
  <c r="F6" i="3"/>
  <c r="F10" i="3"/>
  <c r="F14" i="3"/>
  <c r="G16" i="6" l="1"/>
  <c r="L16" i="6"/>
  <c r="K16" i="6"/>
  <c r="O16" i="6"/>
  <c r="N16" i="6"/>
  <c r="F16" i="6"/>
  <c r="J16" i="6"/>
  <c r="I16" i="6"/>
  <c r="M16" i="6"/>
  <c r="Q16" i="6"/>
  <c r="P16" i="6"/>
  <c r="C4" i="4"/>
  <c r="C4" i="8" s="1"/>
  <c r="E11" i="3"/>
  <c r="E4" i="3"/>
  <c r="E12" i="3" l="1"/>
  <c r="E13" i="3" s="1"/>
  <c r="E14" i="3" s="1"/>
  <c r="C6" i="5" s="1" a="1"/>
  <c r="C6" i="5" s="1"/>
  <c r="E5" i="3"/>
  <c r="C5" i="4"/>
  <c r="C5" i="8" s="1"/>
  <c r="D6" i="5" l="1" a="1"/>
  <c r="D6" i="5" s="1"/>
  <c r="W6" i="5" s="1"/>
  <c r="D3" i="4" a="1"/>
  <c r="E6" i="3"/>
  <c r="C6" i="4"/>
  <c r="C6" i="8" s="1"/>
  <c r="Q6" i="5" l="1"/>
  <c r="N6" i="5"/>
  <c r="L6" i="5"/>
  <c r="O6" i="5"/>
  <c r="G6" i="5"/>
  <c r="H6" i="5"/>
  <c r="I6" i="5"/>
  <c r="P6" i="5"/>
  <c r="K6" i="5"/>
  <c r="J6" i="5"/>
  <c r="M6" i="5"/>
  <c r="R6" i="5"/>
  <c r="D7" i="5" a="1"/>
  <c r="D7" i="5" s="1"/>
  <c r="C7" i="5" a="1"/>
  <c r="C7" i="5" s="1"/>
  <c r="E3" i="4"/>
  <c r="G3" i="4"/>
  <c r="F3" i="4"/>
  <c r="D3" i="4"/>
  <c r="H3" i="4"/>
  <c r="E7" i="3"/>
  <c r="C8" i="4" s="1"/>
  <c r="C8" i="8" s="1"/>
  <c r="C7" i="4"/>
  <c r="C7" i="8" s="1"/>
  <c r="H4" i="8" l="1" a="1"/>
  <c r="W7" i="5"/>
  <c r="R7" i="5"/>
  <c r="P7" i="5"/>
  <c r="H7" i="5"/>
  <c r="N7" i="5"/>
  <c r="K7" i="5"/>
  <c r="J7" i="5"/>
  <c r="M7" i="5"/>
  <c r="L7" i="5"/>
  <c r="I7" i="5"/>
  <c r="Q7" i="5"/>
  <c r="O7" i="5"/>
  <c r="G7" i="5"/>
  <c r="D8" i="5" a="1"/>
  <c r="D8" i="5" s="1"/>
  <c r="C8" i="5" a="1"/>
  <c r="C8" i="5" s="1"/>
  <c r="S6" i="5"/>
  <c r="T6" i="5" s="1"/>
  <c r="H7" i="8" l="1"/>
  <c r="H4" i="8"/>
  <c r="H6" i="8"/>
  <c r="H8" i="8"/>
  <c r="H5" i="8"/>
  <c r="L8" i="5"/>
  <c r="R8" i="5"/>
  <c r="J8" i="5"/>
  <c r="H8" i="5"/>
  <c r="O8" i="5"/>
  <c r="N8" i="5"/>
  <c r="Q8" i="5"/>
  <c r="I8" i="5"/>
  <c r="P8" i="5"/>
  <c r="G8" i="5"/>
  <c r="K8" i="5"/>
  <c r="M8" i="5"/>
  <c r="W8" i="5"/>
  <c r="C9" i="5" a="1"/>
  <c r="C9" i="5" s="1"/>
  <c r="D9" i="5" a="1"/>
  <c r="D9" i="5" s="1"/>
  <c r="S7" i="5"/>
  <c r="T7" i="5" s="1"/>
  <c r="K9" i="5" l="1"/>
  <c r="R9" i="5"/>
  <c r="P9" i="5"/>
  <c r="H9" i="5"/>
  <c r="N9" i="5"/>
  <c r="M9" i="5"/>
  <c r="L9" i="5"/>
  <c r="J9" i="5"/>
  <c r="I9" i="5"/>
  <c r="G9" i="5"/>
  <c r="O9" i="5"/>
  <c r="Q9" i="5"/>
  <c r="W9" i="5"/>
  <c r="D10" i="5" a="1"/>
  <c r="D10" i="5" s="1"/>
  <c r="C10" i="5" a="1"/>
  <c r="C10" i="5" s="1"/>
  <c r="S8" i="5"/>
  <c r="T8" i="5" s="1"/>
  <c r="W10" i="5" l="1"/>
  <c r="N10" i="5"/>
  <c r="L10" i="5"/>
  <c r="R10" i="5"/>
  <c r="J10" i="5"/>
  <c r="H10" i="5"/>
  <c r="O10" i="5"/>
  <c r="Q10" i="5"/>
  <c r="I10" i="5"/>
  <c r="P10" i="5"/>
  <c r="G10" i="5"/>
  <c r="M10" i="5"/>
  <c r="K10" i="5"/>
  <c r="C11" i="5" a="1"/>
  <c r="C11" i="5" s="1"/>
  <c r="D11" i="5" a="1"/>
  <c r="D11" i="5" s="1"/>
  <c r="S9" i="5"/>
  <c r="T9" i="5" s="1"/>
  <c r="W11" i="5" l="1"/>
  <c r="K11" i="5"/>
  <c r="P11" i="5"/>
  <c r="H11" i="5"/>
  <c r="N11" i="5"/>
  <c r="L11" i="5"/>
  <c r="J11" i="5"/>
  <c r="M11" i="5"/>
  <c r="R11" i="5"/>
  <c r="Q11" i="5"/>
  <c r="O11" i="5"/>
  <c r="I11" i="5"/>
  <c r="G11" i="5"/>
  <c r="S10" i="5"/>
  <c r="T10" i="5" s="1"/>
  <c r="C12" i="5" a="1"/>
  <c r="C12" i="5" s="1"/>
  <c r="D12" i="5" a="1"/>
  <c r="D12" i="5" s="1"/>
  <c r="N12" i="5" l="1"/>
  <c r="L12" i="5"/>
  <c r="R12" i="5"/>
  <c r="J12" i="5"/>
  <c r="H12" i="5"/>
  <c r="O12" i="5"/>
  <c r="Q12" i="5"/>
  <c r="I12" i="5"/>
  <c r="P12" i="5"/>
  <c r="G12" i="5"/>
  <c r="K12" i="5"/>
  <c r="M12" i="5"/>
  <c r="W12" i="5"/>
  <c r="S11" i="5"/>
  <c r="T11" i="5" s="1"/>
  <c r="D13" i="5" a="1"/>
  <c r="D13" i="5" s="1"/>
  <c r="C13" i="5" a="1"/>
  <c r="C13" i="5" s="1"/>
  <c r="L13" i="5" l="1"/>
  <c r="P13" i="5"/>
  <c r="H13" i="5"/>
  <c r="N13" i="5"/>
  <c r="J13" i="5"/>
  <c r="M13" i="5"/>
  <c r="K13" i="5"/>
  <c r="R13" i="5"/>
  <c r="Q13" i="5"/>
  <c r="O13" i="5"/>
  <c r="I13" i="5"/>
  <c r="G13" i="5"/>
  <c r="W13" i="5"/>
  <c r="S12" i="5"/>
  <c r="T12" i="5" s="1"/>
  <c r="C14" i="5" a="1"/>
  <c r="C14" i="5" s="1"/>
  <c r="D14" i="5" a="1"/>
  <c r="D14" i="5" s="1"/>
  <c r="O14" i="5" l="1"/>
  <c r="N14" i="5"/>
  <c r="L14" i="5"/>
  <c r="R14" i="5"/>
  <c r="J14" i="5"/>
  <c r="P14" i="5"/>
  <c r="H14" i="5"/>
  <c r="G14" i="5"/>
  <c r="Q14" i="5"/>
  <c r="I14" i="5"/>
  <c r="M14" i="5"/>
  <c r="K14" i="5"/>
  <c r="W14" i="5"/>
  <c r="D15" i="5" a="1"/>
  <c r="D15" i="5" s="1"/>
  <c r="C15" i="5" a="1"/>
  <c r="C15" i="5" s="1"/>
  <c r="S13" i="5"/>
  <c r="T13" i="5" s="1"/>
  <c r="W15" i="5" l="1"/>
  <c r="P15" i="5"/>
  <c r="H15" i="5"/>
  <c r="N15" i="5"/>
  <c r="J15" i="5"/>
  <c r="M15" i="5"/>
  <c r="L15" i="5"/>
  <c r="K15" i="5"/>
  <c r="R15" i="5"/>
  <c r="I15" i="5"/>
  <c r="Q15" i="5"/>
  <c r="O15" i="5"/>
  <c r="G15" i="5"/>
  <c r="C16" i="5" a="1"/>
  <c r="C16" i="5" s="1"/>
  <c r="D16" i="5" a="1"/>
  <c r="D16" i="5" s="1"/>
  <c r="S14" i="5"/>
  <c r="T14" i="5" s="1"/>
  <c r="L16" i="5" l="1"/>
  <c r="R16" i="5"/>
  <c r="J16" i="5"/>
  <c r="H16" i="5"/>
  <c r="G16" i="5"/>
  <c r="N16" i="5"/>
  <c r="Q16" i="5"/>
  <c r="I16" i="5"/>
  <c r="P16" i="5"/>
  <c r="O16" i="5"/>
  <c r="M16" i="5"/>
  <c r="K16" i="5"/>
  <c r="S15" i="5"/>
  <c r="T15" i="5" s="1"/>
  <c r="W16" i="5"/>
  <c r="C17" i="5" a="1"/>
  <c r="C17" i="5" s="1"/>
  <c r="D17" i="5" a="1"/>
  <c r="D17" i="5" s="1"/>
  <c r="K17" i="5" l="1"/>
  <c r="R17" i="5"/>
  <c r="P17" i="5"/>
  <c r="H17" i="5"/>
  <c r="N17" i="5"/>
  <c r="L17" i="5"/>
  <c r="M17" i="5"/>
  <c r="J17" i="5"/>
  <c r="I17" i="5"/>
  <c r="G17" i="5"/>
  <c r="O17" i="5"/>
  <c r="Q17" i="5"/>
  <c r="W17" i="5"/>
  <c r="S16" i="5"/>
  <c r="T16" i="5" s="1"/>
  <c r="D18" i="5" a="1"/>
  <c r="D18" i="5" s="1"/>
  <c r="C18" i="5" a="1"/>
  <c r="C18" i="5" s="1"/>
  <c r="L18" i="5" l="1"/>
  <c r="R18" i="5"/>
  <c r="J18" i="5"/>
  <c r="P18" i="5"/>
  <c r="G18" i="5"/>
  <c r="N18" i="5"/>
  <c r="Q18" i="5"/>
  <c r="I18" i="5"/>
  <c r="H18" i="5"/>
  <c r="O18" i="5"/>
  <c r="M18" i="5"/>
  <c r="K18" i="5"/>
  <c r="W18" i="5"/>
  <c r="S17" i="5"/>
  <c r="T17" i="5" s="1"/>
  <c r="C19" i="5" a="1"/>
  <c r="C19" i="5" s="1"/>
  <c r="D19" i="5" a="1"/>
  <c r="D19" i="5" s="1"/>
  <c r="R19" i="5" l="1"/>
  <c r="P19" i="5"/>
  <c r="H19" i="5"/>
  <c r="N19" i="5"/>
  <c r="K19" i="5"/>
  <c r="M19" i="5"/>
  <c r="L19" i="5"/>
  <c r="J19" i="5"/>
  <c r="Q19" i="5"/>
  <c r="I19" i="5"/>
  <c r="G19" i="5"/>
  <c r="O19" i="5"/>
  <c r="S18" i="5"/>
  <c r="T18" i="5" s="1"/>
  <c r="W19" i="5"/>
  <c r="C20" i="5" a="1"/>
  <c r="C20" i="5" s="1"/>
  <c r="D20" i="5" a="1"/>
  <c r="D20" i="5" s="1"/>
  <c r="W20" i="5" l="1"/>
  <c r="L20" i="5"/>
  <c r="R20" i="5"/>
  <c r="J20" i="5"/>
  <c r="P20" i="5"/>
  <c r="H20" i="5"/>
  <c r="O20" i="5"/>
  <c r="Q20" i="5"/>
  <c r="I20" i="5"/>
  <c r="G20" i="5"/>
  <c r="N20" i="5"/>
  <c r="M20" i="5"/>
  <c r="K20" i="5"/>
  <c r="D21" i="5" a="1"/>
  <c r="D21" i="5" s="1"/>
  <c r="C21" i="5" a="1"/>
  <c r="C21" i="5" s="1"/>
  <c r="S19" i="5"/>
  <c r="T19" i="5" s="1"/>
  <c r="W21" i="5" l="1"/>
  <c r="K21" i="5"/>
  <c r="Q21" i="5"/>
  <c r="P21" i="5"/>
  <c r="H21" i="5"/>
  <c r="N21" i="5"/>
  <c r="J21" i="5"/>
  <c r="M21" i="5"/>
  <c r="L21" i="5"/>
  <c r="R21" i="5"/>
  <c r="O21" i="5"/>
  <c r="I21" i="5"/>
  <c r="G21" i="5"/>
  <c r="S20" i="5"/>
  <c r="T20" i="5" s="1"/>
  <c r="C22" i="5" a="1"/>
  <c r="C22" i="5" s="1"/>
  <c r="D22" i="5" a="1"/>
  <c r="D22" i="5" s="1"/>
  <c r="M22" i="5" l="1"/>
  <c r="L22" i="5"/>
  <c r="R22" i="5"/>
  <c r="J22" i="5"/>
  <c r="H22" i="5"/>
  <c r="O22" i="5"/>
  <c r="N22" i="5"/>
  <c r="Q22" i="5"/>
  <c r="I22" i="5"/>
  <c r="P22" i="5"/>
  <c r="G22" i="5"/>
  <c r="K22" i="5"/>
  <c r="W22" i="5"/>
  <c r="S21" i="5"/>
  <c r="T21" i="5" s="1"/>
  <c r="D23" i="5" a="1"/>
  <c r="D23" i="5" s="1"/>
  <c r="C23" i="5" a="1"/>
  <c r="C23" i="5" s="1"/>
  <c r="J23" i="5" l="1"/>
  <c r="P23" i="5"/>
  <c r="H23" i="5"/>
  <c r="N23" i="5"/>
  <c r="L23" i="5"/>
  <c r="M23" i="5"/>
  <c r="K23" i="5"/>
  <c r="R23" i="5"/>
  <c r="I23" i="5"/>
  <c r="G23" i="5"/>
  <c r="O23" i="5"/>
  <c r="Q23" i="5"/>
  <c r="W23" i="5"/>
  <c r="C24" i="5" a="1"/>
  <c r="C24" i="5" s="1"/>
  <c r="D24" i="5" a="1"/>
  <c r="D24" i="5" s="1"/>
  <c r="S22" i="5"/>
  <c r="T22" i="5" s="1"/>
  <c r="O24" i="5" l="1"/>
  <c r="M24" i="5"/>
  <c r="L24" i="5"/>
  <c r="R24" i="5"/>
  <c r="J24" i="5"/>
  <c r="P24" i="5"/>
  <c r="G24" i="5"/>
  <c r="N24" i="5"/>
  <c r="Q24" i="5"/>
  <c r="I24" i="5"/>
  <c r="H24" i="5"/>
  <c r="K24" i="5"/>
  <c r="W24" i="5"/>
  <c r="S23" i="5"/>
  <c r="T23" i="5" s="1"/>
  <c r="C25" i="5" a="1"/>
  <c r="C25" i="5" s="1"/>
  <c r="D25" i="5" a="1"/>
  <c r="D25" i="5" s="1"/>
  <c r="W25" i="5" l="1"/>
  <c r="R25" i="5"/>
  <c r="Q25" i="5"/>
  <c r="I25" i="5"/>
  <c r="P25" i="5"/>
  <c r="H25" i="5"/>
  <c r="N25" i="5"/>
  <c r="J25" i="5"/>
  <c r="M25" i="5"/>
  <c r="L25" i="5"/>
  <c r="K25" i="5"/>
  <c r="O25" i="5"/>
  <c r="G25" i="5"/>
  <c r="S24" i="5"/>
  <c r="T24" i="5" s="1"/>
  <c r="D26" i="5" a="1"/>
  <c r="D26" i="5" s="1"/>
  <c r="C26" i="5" a="1"/>
  <c r="C26" i="5" s="1"/>
  <c r="M26" i="5" l="1"/>
  <c r="L26" i="5"/>
  <c r="R26" i="5"/>
  <c r="J26" i="5"/>
  <c r="H26" i="5"/>
  <c r="G26" i="5"/>
  <c r="Q26" i="5"/>
  <c r="I26" i="5"/>
  <c r="P26" i="5"/>
  <c r="O26" i="5"/>
  <c r="N26" i="5"/>
  <c r="K26" i="5"/>
  <c r="W26" i="5"/>
  <c r="C27" i="5" a="1"/>
  <c r="C27" i="5" s="1"/>
  <c r="D27" i="5" a="1"/>
  <c r="D27" i="5" s="1"/>
  <c r="S25" i="5"/>
  <c r="T25" i="5" s="1"/>
  <c r="L27" i="5" l="1"/>
  <c r="Q27" i="5"/>
  <c r="I27" i="5"/>
  <c r="P27" i="5"/>
  <c r="H27" i="5"/>
  <c r="N27" i="5"/>
  <c r="K27" i="5"/>
  <c r="J27" i="5"/>
  <c r="M27" i="5"/>
  <c r="R27" i="5"/>
  <c r="O27" i="5"/>
  <c r="G27" i="5"/>
  <c r="W27" i="5"/>
  <c r="C28" i="5" a="1"/>
  <c r="C28" i="5" s="1"/>
  <c r="D28" i="5" a="1"/>
  <c r="D28" i="5" s="1"/>
  <c r="S26" i="5"/>
  <c r="T26" i="5" s="1"/>
  <c r="O28" i="5" l="1"/>
  <c r="N28" i="5"/>
  <c r="M28" i="5"/>
  <c r="L28" i="5"/>
  <c r="R28" i="5"/>
  <c r="J28" i="5"/>
  <c r="H28" i="5"/>
  <c r="Q28" i="5"/>
  <c r="I28" i="5"/>
  <c r="P28" i="5"/>
  <c r="G28" i="5"/>
  <c r="K28" i="5"/>
  <c r="W28" i="5"/>
  <c r="C29" i="5" a="1"/>
  <c r="C29" i="5" s="1"/>
  <c r="D29" i="5" a="1"/>
  <c r="D29" i="5" s="1"/>
  <c r="S27" i="5"/>
  <c r="T27" i="5" s="1"/>
  <c r="Q29" i="5" l="1"/>
  <c r="I29" i="5"/>
  <c r="P29" i="5"/>
  <c r="H29" i="5"/>
  <c r="O29" i="5"/>
  <c r="G29" i="5"/>
  <c r="N29" i="5"/>
  <c r="L29" i="5"/>
  <c r="K29" i="5"/>
  <c r="R29" i="5"/>
  <c r="M29" i="5"/>
  <c r="J29" i="5"/>
  <c r="W29" i="5"/>
  <c r="S28" i="5"/>
  <c r="T28" i="5" s="1"/>
  <c r="S29" i="5" l="1"/>
  <c r="T29" i="5" s="1"/>
  <c r="T3" i="5" l="1"/>
  <c r="U5" i="5" l="1"/>
  <c r="D4" i="4" s="1"/>
  <c r="L4" i="8" s="1"/>
  <c r="U6" i="5"/>
  <c r="E4" i="4" s="1"/>
  <c r="U7" i="5"/>
  <c r="F4" i="4" s="1"/>
  <c r="U8" i="5"/>
  <c r="G4" i="4" s="1"/>
  <c r="U9" i="5"/>
  <c r="H4" i="4" s="1"/>
  <c r="U10" i="5"/>
  <c r="D5" i="4" s="1"/>
  <c r="U11" i="5"/>
  <c r="E5" i="4" s="1"/>
  <c r="L5" i="8" s="1"/>
  <c r="U12" i="5"/>
  <c r="F5" i="4" s="1"/>
  <c r="U13" i="5"/>
  <c r="G5" i="4" s="1"/>
  <c r="U14" i="5"/>
  <c r="H5" i="4" s="1"/>
  <c r="U15" i="5"/>
  <c r="D6" i="4" s="1"/>
  <c r="U17" i="5"/>
  <c r="F6" i="4" s="1"/>
  <c r="L6" i="8" s="1"/>
  <c r="U16" i="5"/>
  <c r="E6" i="4" s="1"/>
  <c r="U18" i="5"/>
  <c r="G6" i="4" s="1"/>
  <c r="U19" i="5"/>
  <c r="H6" i="4" s="1"/>
  <c r="U21" i="5"/>
  <c r="E7" i="4" s="1"/>
  <c r="U20" i="5"/>
  <c r="U22" i="5"/>
  <c r="U23" i="5"/>
  <c r="U24" i="5"/>
  <c r="H7" i="4" s="1"/>
  <c r="U25" i="5"/>
  <c r="D8" i="4" s="1"/>
  <c r="U26" i="5"/>
  <c r="U27" i="5"/>
  <c r="U28" i="5"/>
  <c r="G8" i="4" s="1"/>
  <c r="U29" i="5"/>
  <c r="F8" i="4" l="1"/>
  <c r="E8" i="4"/>
  <c r="E9" i="4" s="1"/>
  <c r="G7" i="4"/>
  <c r="L7" i="8" s="1"/>
  <c r="F7" i="4"/>
  <c r="H8" i="4"/>
  <c r="L8" i="8" s="1"/>
  <c r="D7" i="4"/>
  <c r="I5" i="4"/>
  <c r="B5" i="8" s="1"/>
  <c r="I6" i="4"/>
  <c r="B6" i="8" s="1"/>
  <c r="I4" i="4"/>
  <c r="B4" i="8" s="1"/>
  <c r="L9" i="8" l="1"/>
  <c r="G9" i="4"/>
  <c r="H9" i="4"/>
  <c r="C12" i="2"/>
  <c r="F9" i="4"/>
  <c r="I7" i="4"/>
  <c r="B7" i="8" s="1"/>
  <c r="Q3" i="8" s="1"/>
  <c r="D9" i="4"/>
  <c r="I8" i="4"/>
  <c r="B8" i="8" s="1"/>
  <c r="C9" i="2"/>
  <c r="C15" i="2" s="1"/>
  <c r="D4" i="8" l="1" a="1"/>
  <c r="D4" i="8" s="1"/>
  <c r="E4" i="8" s="1"/>
  <c r="D5" i="8" a="1"/>
  <c r="D5" i="8" s="1"/>
  <c r="D6" i="8" a="1"/>
  <c r="D6" i="8" s="1"/>
  <c r="D7" i="8" a="1"/>
  <c r="D7" i="8" s="1"/>
  <c r="D8" i="8" a="1"/>
  <c r="D8" i="8" s="1"/>
  <c r="M8" i="8"/>
  <c r="M5" i="8"/>
  <c r="M6" i="8"/>
  <c r="M4" i="8"/>
  <c r="G4" i="8" a="1"/>
  <c r="M7" i="8"/>
  <c r="C13" i="2"/>
  <c r="C14" i="2"/>
  <c r="C16" i="2"/>
  <c r="E5" i="8" l="1"/>
  <c r="G7" i="8"/>
  <c r="G6" i="8"/>
  <c r="G5" i="8"/>
  <c r="G8" i="8"/>
  <c r="G4" i="8"/>
  <c r="E7" i="8"/>
  <c r="E8" i="8"/>
  <c r="E6" i="8"/>
  <c r="Q5" i="8" s="1"/>
  <c r="V7" i="8" l="1"/>
  <c r="V8" i="8"/>
  <c r="V6" i="8"/>
  <c r="V5" i="8"/>
  <c r="V4" i="8"/>
  <c r="V9" i="8"/>
  <c r="Q4" i="8"/>
  <c r="I8" i="8" l="1"/>
  <c r="I5" i="8"/>
  <c r="I7" i="8"/>
  <c r="I6" i="8"/>
  <c r="I4" i="8"/>
  <c r="J8" i="8" l="1"/>
  <c r="N8" i="8"/>
  <c r="J7" i="8"/>
  <c r="N7" i="8"/>
  <c r="J6" i="8"/>
  <c r="N6" i="8"/>
  <c r="J5" i="8"/>
  <c r="N5" i="8"/>
  <c r="J4" i="8" l="1"/>
  <c r="Q6" i="8" s="1"/>
  <c r="N4" i="8"/>
  <c r="Q7" i="8" s="1"/>
  <c r="Q8" i="8" l="1"/>
  <c r="W5" i="8" s="1"/>
  <c r="Y5" i="8" s="1"/>
  <c r="W4" i="8" l="1"/>
  <c r="Y4" i="8" s="1"/>
  <c r="W8" i="8"/>
  <c r="Y8" i="8" s="1"/>
  <c r="W6" i="8"/>
  <c r="Y6" i="8" s="1"/>
  <c r="W7" i="8"/>
  <c r="Y7" i="8" s="1"/>
  <c r="W9" i="8"/>
  <c r="Y9" i="8" s="1"/>
  <c r="H20" i="10" l="1" a="1"/>
  <c r="J20" i="10" s="1"/>
  <c r="H20" i="10" l="1"/>
  <c r="M20" i="10"/>
  <c r="I20" i="10"/>
  <c r="L20" i="10"/>
  <c r="K20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E7" authorId="0" shapeId="0" xr:uid="{990F0F5A-9416-4C88-A8F6-EAF1734637A6}">
      <text>
        <r>
          <rPr>
            <sz val="8"/>
            <color indexed="81"/>
            <rFont val="Tahoma"/>
            <family val="2"/>
          </rPr>
          <t>Variable cell</t>
        </r>
      </text>
    </comment>
    <comment ref="E8" authorId="0" shapeId="0" xr:uid="{12BEFBF6-FC29-4555-95EB-919131A609AB}">
      <text>
        <r>
          <rPr>
            <sz val="8"/>
            <color indexed="81"/>
            <rFont val="Tahoma"/>
            <family val="2"/>
          </rPr>
          <t>Variable cell</t>
        </r>
      </text>
    </comment>
    <comment ref="E9" authorId="0" shapeId="0" xr:uid="{7FA94A78-47DF-4001-A064-6CEB7CE3933B}">
      <text>
        <r>
          <rPr>
            <sz val="8"/>
            <color indexed="81"/>
            <rFont val="Tahoma"/>
            <family val="2"/>
          </rPr>
          <t>Variable cell</t>
        </r>
      </text>
    </comment>
    <comment ref="E10" authorId="0" shapeId="0" xr:uid="{242E08CC-D922-4D6B-8286-894B4546AFF9}">
      <text>
        <r>
          <rPr>
            <sz val="8"/>
            <color indexed="81"/>
            <rFont val="Tahoma"/>
            <family val="2"/>
          </rPr>
          <t>Variable cell</t>
        </r>
      </text>
    </comment>
    <comment ref="E11" authorId="0" shapeId="0" xr:uid="{E6289FA9-E177-41C8-B29D-2B572CBB5728}">
      <text>
        <r>
          <rPr>
            <sz val="8"/>
            <color indexed="81"/>
            <rFont val="Tahoma"/>
            <family val="2"/>
          </rPr>
          <t>Variable cell</t>
        </r>
      </text>
    </comment>
    <comment ref="E12" authorId="0" shapeId="0" xr:uid="{ABF25B86-1815-4B8E-8C06-84C366970819}">
      <text>
        <r>
          <rPr>
            <sz val="8"/>
            <color indexed="81"/>
            <rFont val="Tahoma"/>
            <family val="2"/>
          </rPr>
          <t>Variable cell</t>
        </r>
      </text>
    </comment>
    <comment ref="E13" authorId="0" shapeId="0" xr:uid="{2894BB42-035A-433C-8C47-37EF70A61DD3}">
      <text>
        <r>
          <rPr>
            <sz val="8"/>
            <color indexed="81"/>
            <rFont val="Tahoma"/>
            <family val="2"/>
          </rPr>
          <t>Variable cell</t>
        </r>
      </text>
    </comment>
    <comment ref="E14" authorId="0" shapeId="0" xr:uid="{35673701-BECB-43FD-BF4D-41D612C80FFC}">
      <text>
        <r>
          <rPr>
            <sz val="8"/>
            <color indexed="81"/>
            <rFont val="Tahoma"/>
            <family val="2"/>
          </rPr>
          <t>Variable cell</t>
        </r>
      </text>
    </comment>
    <comment ref="E15" authorId="0" shapeId="0" xr:uid="{1B3F8F7A-318D-420B-8BF9-F17A8C086732}">
      <text>
        <r>
          <rPr>
            <sz val="8"/>
            <color indexed="81"/>
            <rFont val="Tahoma"/>
            <family val="2"/>
          </rPr>
          <t>Variable cell</t>
        </r>
      </text>
    </comment>
    <comment ref="E16" authorId="0" shapeId="0" xr:uid="{5029DD5B-526A-43D1-A42B-ED8ACA791E4B}">
      <text>
        <r>
          <rPr>
            <sz val="8"/>
            <color indexed="81"/>
            <rFont val="Tahoma"/>
            <family val="2"/>
          </rPr>
          <t>Variable cell</t>
        </r>
      </text>
    </comment>
    <comment ref="E17" authorId="0" shapeId="0" xr:uid="{D0208E0D-2768-4E77-9932-2A17D8F977AE}">
      <text>
        <r>
          <rPr>
            <sz val="8"/>
            <color indexed="81"/>
            <rFont val="Tahoma"/>
            <family val="2"/>
          </rPr>
          <t>Variable cell</t>
        </r>
      </text>
    </comment>
    <comment ref="E18" authorId="0" shapeId="0" xr:uid="{623F7F4B-19C8-4D95-896F-895A8EABCCDD}">
      <text>
        <r>
          <rPr>
            <sz val="8"/>
            <color indexed="81"/>
            <rFont val="Tahoma"/>
            <family val="2"/>
          </rPr>
          <t>Variable cell</t>
        </r>
      </text>
    </comment>
    <comment ref="E19" authorId="0" shapeId="0" xr:uid="{B40487BC-E9C2-4A3D-931F-4A70A2187163}">
      <text>
        <r>
          <rPr>
            <sz val="8"/>
            <color indexed="81"/>
            <rFont val="Tahoma"/>
            <family val="2"/>
          </rPr>
          <t>Objective cell</t>
        </r>
      </text>
    </comment>
    <comment ref="H19" authorId="0" shapeId="0" xr:uid="{F09DB673-8B83-43B3-ACEE-D4E3D5FD5B8A}">
      <text>
        <r>
          <rPr>
            <sz val="8"/>
            <color indexed="81"/>
            <rFont val="Tahoma"/>
            <family val="2"/>
          </rPr>
          <t>Constraint cell</t>
        </r>
      </text>
    </comment>
    <comment ref="I19" authorId="0" shapeId="0" xr:uid="{F1CEB4A7-5B51-4913-A242-65BCA9FB307F}">
      <text>
        <r>
          <rPr>
            <sz val="8"/>
            <color indexed="81"/>
            <rFont val="Tahoma"/>
            <family val="2"/>
          </rPr>
          <t>Constraint cell</t>
        </r>
      </text>
    </comment>
    <comment ref="J19" authorId="0" shapeId="0" xr:uid="{C198B885-FC7C-47D8-B04E-F5A10AC140F2}">
      <text>
        <r>
          <rPr>
            <sz val="8"/>
            <color indexed="81"/>
            <rFont val="Tahoma"/>
            <family val="2"/>
          </rPr>
          <t>Constraint cell</t>
        </r>
      </text>
    </comment>
    <comment ref="K19" authorId="0" shapeId="0" xr:uid="{17BC1D64-B6F3-4787-BE86-6C0914BBE312}">
      <text>
        <r>
          <rPr>
            <sz val="8"/>
            <color indexed="81"/>
            <rFont val="Tahoma"/>
            <family val="2"/>
          </rPr>
          <t>Constraint cell</t>
        </r>
      </text>
    </comment>
    <comment ref="L19" authorId="0" shapeId="0" xr:uid="{FEC47BC9-EAE5-4B35-99D4-79538D97A9B2}">
      <text>
        <r>
          <rPr>
            <sz val="8"/>
            <color indexed="81"/>
            <rFont val="Tahoma"/>
            <family val="2"/>
          </rPr>
          <t>Constraint cell</t>
        </r>
      </text>
    </comment>
    <comment ref="M19" authorId="0" shapeId="0" xr:uid="{28B546E5-0E21-44C6-9808-A1428AB98AE2}">
      <text>
        <r>
          <rPr>
            <sz val="8"/>
            <color indexed="81"/>
            <rFont val="Tahoma"/>
            <family val="2"/>
          </rPr>
          <t>Constraint cell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<sst xmlns="http://schemas.openxmlformats.org/spreadsheetml/2006/main" count="149" uniqueCount="109">
  <si>
    <t>min</t>
  </si>
  <si>
    <t>max</t>
  </si>
  <si>
    <t>IQR</t>
  </si>
  <si>
    <t>mean</t>
  </si>
  <si>
    <t>sd</t>
  </si>
  <si>
    <t>sigma</t>
  </si>
  <si>
    <t>25-fence</t>
  </si>
  <si>
    <t>75-fence</t>
  </si>
  <si>
    <t>sigma_h</t>
  </si>
  <si>
    <t>c6:</t>
  </si>
  <si>
    <t>L5:</t>
  </si>
  <si>
    <t>M5:</t>
  </si>
  <si>
    <t>Pr(sigma)</t>
  </si>
  <si>
    <t>Pr(d | h)</t>
  </si>
  <si>
    <t>sum</t>
  </si>
  <si>
    <t>Pr(h | d)</t>
  </si>
  <si>
    <t>key</t>
  </si>
  <si>
    <t>AF4:</t>
  </si>
  <si>
    <t>D5:</t>
  </si>
  <si>
    <t>F9:</t>
  </si>
  <si>
    <t>I5:</t>
  </si>
  <si>
    <t>D3:</t>
  </si>
  <si>
    <t>C4:</t>
  </si>
  <si>
    <t>c13:</t>
  </si>
  <si>
    <t>C5:</t>
  </si>
  <si>
    <t>E5:</t>
  </si>
  <si>
    <t>F5:</t>
  </si>
  <si>
    <t>G4:</t>
  </si>
  <si>
    <t>S5:</t>
  </si>
  <si>
    <t>T5:</t>
  </si>
  <si>
    <t>U5:</t>
  </si>
  <si>
    <t>T3:</t>
  </si>
  <si>
    <t>h = hypotheses</t>
  </si>
  <si>
    <t>d = data = wages</t>
  </si>
  <si>
    <t>claims</t>
  </si>
  <si>
    <t>xi</t>
  </si>
  <si>
    <t>xi_h</t>
  </si>
  <si>
    <t>mu_thres</t>
  </si>
  <si>
    <t>u</t>
  </si>
  <si>
    <t>title</t>
  </si>
  <si>
    <t>x-axis</t>
  </si>
  <si>
    <t>y-axis</t>
  </si>
  <si>
    <t>Time Series of Workers Compensation Claims</t>
  </si>
  <si>
    <t>year</t>
  </si>
  <si>
    <t>Mean Excess Over Threshold</t>
  </si>
  <si>
    <t>thresholds</t>
  </si>
  <si>
    <t>mean excess over threshold</t>
  </si>
  <si>
    <t>threshold u grid</t>
  </si>
  <si>
    <t>intervals</t>
  </si>
  <si>
    <t>width</t>
  </si>
  <si>
    <t>max Pr(xi, sigma)</t>
  </si>
  <si>
    <t>xi_max</t>
  </si>
  <si>
    <t>sigma_max</t>
  </si>
  <si>
    <t>gross_claims</t>
  </si>
  <si>
    <t>lowest to highest</t>
  </si>
  <si>
    <t>F4:</t>
  </si>
  <si>
    <t>G16:</t>
  </si>
  <si>
    <t>G17:</t>
  </si>
  <si>
    <t>G18:</t>
  </si>
  <si>
    <t>V16:</t>
  </si>
  <si>
    <t>D6:</t>
  </si>
  <si>
    <t>C6:</t>
  </si>
  <si>
    <t>skew</t>
  </si>
  <si>
    <t>kurtosis</t>
  </si>
  <si>
    <t>count</t>
  </si>
  <si>
    <t>Pr(xi)</t>
  </si>
  <si>
    <t>cov(xi, sigma)</t>
  </si>
  <si>
    <t>mu_xi</t>
  </si>
  <si>
    <t>sig_sigma</t>
  </si>
  <si>
    <t>mu_sigma</t>
  </si>
  <si>
    <t>sig_xi</t>
  </si>
  <si>
    <t>rho</t>
  </si>
  <si>
    <t>dev</t>
  </si>
  <si>
    <t>dev^2</t>
  </si>
  <si>
    <t>Pr(xi_i,sigma_i)</t>
  </si>
  <si>
    <t>normalized</t>
  </si>
  <si>
    <t>dev_xi*dev_sigma</t>
  </si>
  <si>
    <t>Claims (000)</t>
  </si>
  <si>
    <t>fund</t>
  </si>
  <si>
    <t>inflow</t>
  </si>
  <si>
    <t>outflow</t>
  </si>
  <si>
    <t>return</t>
  </si>
  <si>
    <t>A</t>
  </si>
  <si>
    <t>B</t>
  </si>
  <si>
    <t>C</t>
  </si>
  <si>
    <t>D</t>
  </si>
  <si>
    <t>year of cash flow</t>
  </si>
  <si>
    <t>Y4:</t>
  </si>
  <si>
    <t>H4:</t>
  </si>
  <si>
    <t>I4:</t>
  </si>
  <si>
    <t>J4:</t>
  </si>
  <si>
    <t>L4:</t>
  </si>
  <si>
    <t>M4:</t>
  </si>
  <si>
    <t>N4:</t>
  </si>
  <si>
    <t>B4:</t>
  </si>
  <si>
    <t>D4:</t>
  </si>
  <si>
    <t>E4:</t>
  </si>
  <si>
    <t>sum_pr_xi_sigma</t>
  </si>
  <si>
    <t>T4:</t>
  </si>
  <si>
    <t>U4:</t>
  </si>
  <si>
    <t xml:space="preserve">Vegan Workers Insurance Fund </t>
  </si>
  <si>
    <t>year of casl flow</t>
  </si>
  <si>
    <t>cash flow per year</t>
  </si>
  <si>
    <t>capital</t>
  </si>
  <si>
    <t>capital invested in year 1</t>
  </si>
  <si>
    <t>surplus</t>
  </si>
  <si>
    <t xml:space="preserve">Total Invested by the end of month 1 </t>
  </si>
  <si>
    <t>M</t>
  </si>
  <si>
    <t>claims_sim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</si>
</sst>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164" formatCode="0.0000"/>
    <numFmt numFmtId="165" formatCode="0.000"/>
    <numFmt numFmtId="171" formatCode="0.000000"/>
    <numFmt numFmtId="175" formatCode="General_)"/>
    <numFmt numFmtId="176" formatCode="0.0%"/>
    <numFmt numFmtId="177" formatCode="&quot;$&quot;#,##0.000_);\(&quot;$&quot;#,##0.000\)"/>
    <numFmt numFmtId="178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75" fontId="5" fillId="0" borderId="0"/>
    <xf numFmtId="9" fontId="5" fillId="0" borderId="0" applyFont="0" applyFill="0" applyBorder="0" applyAlignment="0" applyProtection="0"/>
  </cellStyleXfs>
  <cellXfs count="1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9" fontId="0" fillId="2" borderId="2" xfId="0" applyNumberFormat="1" applyFill="1" applyBorder="1"/>
    <xf numFmtId="9" fontId="0" fillId="2" borderId="3" xfId="0" applyNumberFormat="1" applyFill="1" applyBorder="1"/>
    <xf numFmtId="9" fontId="0" fillId="2" borderId="4" xfId="0" applyNumberFormat="1" applyFill="1" applyBorder="1"/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165" fontId="0" fillId="0" borderId="7" xfId="0" applyNumberFormat="1" applyBorder="1"/>
    <xf numFmtId="165" fontId="0" fillId="0" borderId="5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8" xfId="0" applyNumberFormat="1" applyBorder="1"/>
    <xf numFmtId="165" fontId="0" fillId="0" borderId="6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1" fontId="0" fillId="0" borderId="7" xfId="0" applyNumberFormat="1" applyFill="1" applyBorder="1"/>
    <xf numFmtId="11" fontId="0" fillId="0" borderId="5" xfId="0" applyNumberFormat="1" applyBorder="1"/>
    <xf numFmtId="11" fontId="0" fillId="0" borderId="11" xfId="0" applyNumberFormat="1" applyFill="1" applyBorder="1"/>
    <xf numFmtId="11" fontId="0" fillId="0" borderId="12" xfId="0" applyNumberFormat="1" applyBorder="1"/>
    <xf numFmtId="11" fontId="0" fillId="0" borderId="8" xfId="0" applyNumberFormat="1" applyFill="1" applyBorder="1"/>
    <xf numFmtId="11" fontId="0" fillId="0" borderId="6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9" xfId="0" applyNumberFormat="1" applyBorder="1"/>
    <xf numFmtId="0" fontId="2" fillId="0" borderId="0" xfId="0" applyFont="1"/>
    <xf numFmtId="11" fontId="2" fillId="0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11" fontId="2" fillId="0" borderId="1" xfId="0" applyNumberFormat="1" applyFont="1" applyFill="1" applyBorder="1" applyAlignment="1"/>
    <xf numFmtId="11" fontId="2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3" fillId="0" borderId="1" xfId="0" applyFont="1" applyBorder="1" applyAlignment="1">
      <alignment horizontal="left"/>
    </xf>
    <xf numFmtId="165" fontId="0" fillId="0" borderId="1" xfId="0" applyNumberFormat="1" applyBorder="1"/>
    <xf numFmtId="164" fontId="0" fillId="0" borderId="1" xfId="0" applyNumberFormat="1" applyBorder="1"/>
    <xf numFmtId="171" fontId="0" fillId="0" borderId="7" xfId="0" applyNumberFormat="1" applyBorder="1"/>
    <xf numFmtId="171" fontId="0" fillId="0" borderId="15" xfId="0" applyNumberFormat="1" applyBorder="1"/>
    <xf numFmtId="171" fontId="0" fillId="0" borderId="5" xfId="0" applyNumberFormat="1" applyBorder="1"/>
    <xf numFmtId="171" fontId="0" fillId="0" borderId="11" xfId="0" applyNumberFormat="1" applyBorder="1"/>
    <xf numFmtId="171" fontId="0" fillId="0" borderId="0" xfId="0" applyNumberFormat="1" applyBorder="1"/>
    <xf numFmtId="171" fontId="0" fillId="0" borderId="12" xfId="0" applyNumberFormat="1" applyBorder="1"/>
    <xf numFmtId="171" fontId="0" fillId="0" borderId="8" xfId="0" applyNumberFormat="1" applyBorder="1"/>
    <xf numFmtId="171" fontId="0" fillId="0" borderId="14" xfId="0" applyNumberFormat="1" applyBorder="1"/>
    <xf numFmtId="171" fontId="0" fillId="0" borderId="6" xfId="0" applyNumberFormat="1" applyBorder="1"/>
    <xf numFmtId="171" fontId="0" fillId="0" borderId="10" xfId="0" applyNumberFormat="1" applyBorder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0" fontId="0" fillId="0" borderId="4" xfId="0" applyBorder="1"/>
    <xf numFmtId="2" fontId="0" fillId="3" borderId="2" xfId="0" applyNumberFormat="1" applyFill="1" applyBorder="1" applyAlignment="1">
      <alignment horizontal="right"/>
    </xf>
    <xf numFmtId="2" fontId="0" fillId="3" borderId="2" xfId="0" applyNumberFormat="1" applyFill="1" applyBorder="1"/>
    <xf numFmtId="2" fontId="0" fillId="3" borderId="4" xfId="0" applyNumberFormat="1" applyFill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right"/>
    </xf>
    <xf numFmtId="2" fontId="0" fillId="4" borderId="9" xfId="0" applyNumberFormat="1" applyFill="1" applyBorder="1"/>
    <xf numFmtId="171" fontId="0" fillId="4" borderId="11" xfId="0" applyNumberFormat="1" applyFill="1" applyBorder="1"/>
    <xf numFmtId="171" fontId="0" fillId="4" borderId="0" xfId="0" applyNumberFormat="1" applyFill="1" applyBorder="1"/>
    <xf numFmtId="171" fontId="0" fillId="4" borderId="12" xfId="0" applyNumberFormat="1" applyFill="1" applyBorder="1"/>
    <xf numFmtId="171" fontId="0" fillId="4" borderId="10" xfId="0" applyNumberFormat="1" applyFill="1" applyBorder="1"/>
    <xf numFmtId="0" fontId="0" fillId="4" borderId="2" xfId="0" applyFill="1" applyBorder="1"/>
    <xf numFmtId="171" fontId="0" fillId="4" borderId="15" xfId="0" applyNumberFormat="1" applyFill="1" applyBorder="1"/>
    <xf numFmtId="171" fontId="0" fillId="4" borderId="14" xfId="0" applyNumberFormat="1" applyFill="1" applyBorder="1"/>
    <xf numFmtId="164" fontId="0" fillId="4" borderId="4" xfId="0" applyNumberFormat="1" applyFill="1" applyBorder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/>
    <xf numFmtId="171" fontId="0" fillId="0" borderId="0" xfId="0" applyNumberFormat="1"/>
    <xf numFmtId="2" fontId="0" fillId="0" borderId="0" xfId="0" applyNumberFormat="1" applyBorder="1"/>
    <xf numFmtId="0" fontId="0" fillId="0" borderId="14" xfId="0" applyBorder="1"/>
    <xf numFmtId="0" fontId="0" fillId="0" borderId="1" xfId="0" applyBorder="1" applyAlignment="1">
      <alignment horizontal="center" vertical="center"/>
    </xf>
    <xf numFmtId="2" fontId="0" fillId="0" borderId="14" xfId="0" applyNumberFormat="1" applyBorder="1"/>
    <xf numFmtId="164" fontId="0" fillId="0" borderId="0" xfId="0" applyNumberFormat="1"/>
    <xf numFmtId="175" fontId="5" fillId="4" borderId="9" xfId="1" applyFill="1" applyBorder="1" applyAlignment="1">
      <alignment horizontal="right"/>
    </xf>
    <xf numFmtId="175" fontId="5" fillId="4" borderId="10" xfId="1" applyFill="1" applyBorder="1" applyAlignment="1">
      <alignment horizontal="right"/>
    </xf>
    <xf numFmtId="175" fontId="5" fillId="4" borderId="1" xfId="1" applyFill="1" applyBorder="1" applyAlignment="1">
      <alignment horizontal="center"/>
    </xf>
    <xf numFmtId="5" fontId="5" fillId="0" borderId="1" xfId="1" applyNumberFormat="1" applyBorder="1" applyAlignment="1">
      <alignment horizontal="center"/>
    </xf>
    <xf numFmtId="175" fontId="5" fillId="4" borderId="0" xfId="1" applyFill="1"/>
    <xf numFmtId="175" fontId="5" fillId="4" borderId="9" xfId="1" applyFill="1" applyBorder="1" applyAlignment="1">
      <alignment horizontal="center"/>
    </xf>
    <xf numFmtId="175" fontId="5" fillId="4" borderId="10" xfId="1" applyFill="1" applyBorder="1" applyAlignment="1">
      <alignment horizontal="center"/>
    </xf>
    <xf numFmtId="175" fontId="5" fillId="0" borderId="2" xfId="1" applyBorder="1" applyAlignment="1">
      <alignment horizontal="center"/>
    </xf>
    <xf numFmtId="175" fontId="5" fillId="0" borderId="7" xfId="1" applyBorder="1" applyAlignment="1">
      <alignment horizontal="center"/>
    </xf>
    <xf numFmtId="175" fontId="5" fillId="0" borderId="5" xfId="1" applyBorder="1" applyAlignment="1">
      <alignment horizontal="center"/>
    </xf>
    <xf numFmtId="176" fontId="5" fillId="0" borderId="2" xfId="2" applyNumberFormat="1" applyFont="1" applyBorder="1" applyAlignment="1" applyProtection="1">
      <alignment horizontal="center"/>
    </xf>
    <xf numFmtId="175" fontId="5" fillId="0" borderId="3" xfId="1" applyBorder="1" applyAlignment="1">
      <alignment horizontal="center"/>
    </xf>
    <xf numFmtId="175" fontId="5" fillId="0" borderId="11" xfId="1" applyBorder="1" applyAlignment="1">
      <alignment horizontal="center"/>
    </xf>
    <xf numFmtId="175" fontId="5" fillId="0" borderId="12" xfId="1" applyBorder="1" applyAlignment="1">
      <alignment horizontal="center"/>
    </xf>
    <xf numFmtId="176" fontId="5" fillId="0" borderId="3" xfId="2" applyNumberFormat="1" applyFont="1" applyBorder="1" applyAlignment="1" applyProtection="1">
      <alignment horizontal="center"/>
    </xf>
    <xf numFmtId="175" fontId="5" fillId="0" borderId="4" xfId="1" applyBorder="1" applyAlignment="1">
      <alignment horizontal="center"/>
    </xf>
    <xf numFmtId="175" fontId="5" fillId="0" borderId="8" xfId="1" applyBorder="1" applyAlignment="1">
      <alignment horizontal="center"/>
    </xf>
    <xf numFmtId="175" fontId="5" fillId="0" borderId="6" xfId="1" applyBorder="1" applyAlignment="1">
      <alignment horizontal="center"/>
    </xf>
    <xf numFmtId="176" fontId="5" fillId="0" borderId="4" xfId="2" applyNumberFormat="1" applyFont="1" applyBorder="1" applyAlignment="1" applyProtection="1">
      <alignment horizontal="center"/>
    </xf>
    <xf numFmtId="171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175" fontId="7" fillId="0" borderId="0" xfId="1" applyFont="1"/>
    <xf numFmtId="175" fontId="5" fillId="0" borderId="0" xfId="1"/>
    <xf numFmtId="177" fontId="5" fillId="0" borderId="0" xfId="1" applyNumberFormat="1"/>
    <xf numFmtId="175" fontId="5" fillId="0" borderId="9" xfId="1" applyBorder="1" applyAlignment="1">
      <alignment horizontal="center"/>
    </xf>
    <xf numFmtId="175" fontId="5" fillId="0" borderId="10" xfId="1" applyBorder="1" applyAlignment="1">
      <alignment horizontal="center"/>
    </xf>
    <xf numFmtId="175" fontId="5" fillId="0" borderId="13" xfId="1" applyBorder="1" applyAlignment="1">
      <alignment horizontal="center"/>
    </xf>
    <xf numFmtId="175" fontId="5" fillId="0" borderId="0" xfId="1" applyAlignment="1">
      <alignment horizontal="center"/>
    </xf>
    <xf numFmtId="175" fontId="5" fillId="0" borderId="1" xfId="1" applyBorder="1" applyAlignment="1">
      <alignment horizontal="center"/>
    </xf>
    <xf numFmtId="175" fontId="5" fillId="0" borderId="15" xfId="1" applyBorder="1" applyAlignment="1">
      <alignment horizontal="center"/>
    </xf>
    <xf numFmtId="175" fontId="5" fillId="0" borderId="14" xfId="1" applyBorder="1" applyAlignment="1">
      <alignment horizontal="center"/>
    </xf>
    <xf numFmtId="165" fontId="5" fillId="4" borderId="16" xfId="1" applyNumberFormat="1" applyFill="1" applyBorder="1" applyAlignment="1">
      <alignment horizontal="center"/>
    </xf>
    <xf numFmtId="175" fontId="5" fillId="0" borderId="4" xfId="1" applyBorder="1" applyAlignment="1">
      <alignment horizontal="right"/>
    </xf>
    <xf numFmtId="178" fontId="5" fillId="6" borderId="3" xfId="1" applyNumberFormat="1" applyFill="1" applyBorder="1" applyAlignment="1">
      <alignment horizontal="center"/>
    </xf>
    <xf numFmtId="178" fontId="5" fillId="7" borderId="0" xfId="1" applyNumberFormat="1" applyFill="1" applyAlignment="1">
      <alignment horizontal="center"/>
    </xf>
    <xf numFmtId="175" fontId="5" fillId="0" borderId="9" xfId="1" applyBorder="1" applyAlignment="1">
      <alignment horizontal="right"/>
    </xf>
    <xf numFmtId="175" fontId="5" fillId="0" borderId="10" xfId="1" applyBorder="1" applyAlignment="1">
      <alignment horizontal="right"/>
    </xf>
    <xf numFmtId="5" fontId="5" fillId="0" borderId="0" xfId="1" applyNumberFormat="1" applyAlignment="1">
      <alignment horizontal="center"/>
    </xf>
    <xf numFmtId="175" fontId="8" fillId="0" borderId="13" xfId="1" applyFont="1" applyBorder="1" applyAlignment="1">
      <alignment horizontal="right"/>
    </xf>
    <xf numFmtId="175" fontId="8" fillId="0" borderId="10" xfId="1" applyFont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175" fontId="8" fillId="0" borderId="8" xfId="1" applyFont="1" applyBorder="1" applyAlignment="1">
      <alignment horizontal="right"/>
    </xf>
    <xf numFmtId="175" fontId="8" fillId="0" borderId="14" xfId="1" applyFont="1" applyBorder="1" applyAlignment="1">
      <alignment horizontal="right"/>
    </xf>
    <xf numFmtId="175" fontId="8" fillId="0" borderId="6" xfId="1" applyFont="1" applyBorder="1" applyAlignment="1">
      <alignment horizontal="right"/>
    </xf>
    <xf numFmtId="175" fontId="5" fillId="0" borderId="0" xfId="1" applyBorder="1" applyAlignment="1">
      <alignment horizontal="center"/>
    </xf>
    <xf numFmtId="176" fontId="5" fillId="0" borderId="5" xfId="2" applyNumberFormat="1" applyFont="1" applyBorder="1" applyAlignment="1" applyProtection="1">
      <alignment horizontal="center"/>
    </xf>
    <xf numFmtId="176" fontId="5" fillId="0" borderId="12" xfId="2" applyNumberFormat="1" applyFont="1" applyBorder="1" applyAlignment="1" applyProtection="1">
      <alignment horizontal="center"/>
    </xf>
    <xf numFmtId="176" fontId="5" fillId="0" borderId="6" xfId="2" applyNumberFormat="1" applyFont="1" applyBorder="1" applyAlignment="1" applyProtection="1">
      <alignment horizontal="center"/>
    </xf>
    <xf numFmtId="175" fontId="5" fillId="0" borderId="13" xfId="1" applyBorder="1" applyAlignment="1">
      <alignment horizontal="center"/>
    </xf>
    <xf numFmtId="176" fontId="5" fillId="0" borderId="10" xfId="2" applyNumberFormat="1" applyFont="1" applyBorder="1" applyAlignment="1" applyProtection="1">
      <alignment horizontal="center"/>
    </xf>
    <xf numFmtId="165" fontId="5" fillId="5" borderId="2" xfId="1" applyNumberFormat="1" applyFill="1" applyBorder="1" applyAlignment="1">
      <alignment horizontal="center"/>
    </xf>
    <xf numFmtId="165" fontId="5" fillId="5" borderId="3" xfId="1" applyNumberFormat="1" applyFill="1" applyBorder="1" applyAlignment="1">
      <alignment horizontal="center"/>
    </xf>
    <xf numFmtId="165" fontId="5" fillId="5" borderId="4" xfId="1" applyNumberFormat="1" applyFill="1" applyBorder="1" applyAlignment="1">
      <alignment horizontal="center"/>
    </xf>
    <xf numFmtId="165" fontId="5" fillId="5" borderId="1" xfId="1" applyNumberFormat="1" applyFill="1" applyBorder="1" applyAlignment="1">
      <alignment horizontal="center"/>
    </xf>
    <xf numFmtId="175" fontId="10" fillId="0" borderId="1" xfId="1" applyFont="1" applyBorder="1"/>
    <xf numFmtId="175" fontId="10" fillId="0" borderId="0" xfId="1" applyFont="1"/>
    <xf numFmtId="175" fontId="10" fillId="0" borderId="9" xfId="1" applyFont="1" applyBorder="1" applyAlignment="1">
      <alignment horizontal="right"/>
    </xf>
  </cellXfs>
  <cellStyles count="3">
    <cellStyle name="Normal" xfId="0" builtinId="0"/>
    <cellStyle name="Normal 3" xfId="1" xr:uid="{2B1D89AA-3277-4F11-A41A-1B0A3AA830DA}"/>
    <cellStyle name="Percent 2" xfId="2" xr:uid="{F40E7387-2831-434B-8091-5909ED300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'mean-excess-over-threshold'!$AJ$2</c:f>
          <c:strCache>
            <c:ptCount val="1"/>
            <c:pt idx="0">
              <c:v>Mean Excess Over Threshold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'mean-excess-over-threshold'!$AI$4</c:f>
              <c:strCache>
                <c:ptCount val="1"/>
                <c:pt idx="0">
                  <c:v>y-axis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'mean-excess-over-threshold'!$F$15:$Q$15</c:f>
              <c:numCache>
                <c:formatCode>General</c:formatCode>
                <c:ptCount val="12"/>
                <c:pt idx="0">
                  <c:v>200</c:v>
                </c:pt>
                <c:pt idx="1">
                  <c:v>272.72727272727275</c:v>
                </c:pt>
                <c:pt idx="2">
                  <c:v>345.4545454545455</c:v>
                </c:pt>
                <c:pt idx="3">
                  <c:v>418.18181818181824</c:v>
                </c:pt>
                <c:pt idx="4">
                  <c:v>490.90909090909099</c:v>
                </c:pt>
                <c:pt idx="5">
                  <c:v>563.63636363636374</c:v>
                </c:pt>
                <c:pt idx="6">
                  <c:v>636.36363636363649</c:v>
                </c:pt>
                <c:pt idx="7">
                  <c:v>709.09090909090924</c:v>
                </c:pt>
                <c:pt idx="8">
                  <c:v>781.81818181818198</c:v>
                </c:pt>
                <c:pt idx="9">
                  <c:v>854.54545454545473</c:v>
                </c:pt>
                <c:pt idx="10">
                  <c:v>927.27272727272748</c:v>
                </c:pt>
                <c:pt idx="11">
                  <c:v>1000.0000000000002</c:v>
                </c:pt>
              </c:numCache>
            </c:numRef>
          </c:xVal>
          <c:yVal>
            <c:numRef>
              <c:f>'mean-excess-over-threshold'!$F$16:$Q$16</c:f>
              <c:numCache>
                <c:formatCode>0.000</c:formatCode>
                <c:ptCount val="12"/>
                <c:pt idx="0">
                  <c:v>717.66666666666663</c:v>
                </c:pt>
                <c:pt idx="1">
                  <c:v>644.93939393939388</c:v>
                </c:pt>
                <c:pt idx="2">
                  <c:v>572.21212121212113</c:v>
                </c:pt>
                <c:pt idx="3">
                  <c:v>499.48484848484844</c:v>
                </c:pt>
                <c:pt idx="4">
                  <c:v>426.75757575757569</c:v>
                </c:pt>
                <c:pt idx="5">
                  <c:v>354.03030303030295</c:v>
                </c:pt>
                <c:pt idx="6">
                  <c:v>281.3030303030302</c:v>
                </c:pt>
                <c:pt idx="7">
                  <c:v>329.90909090909076</c:v>
                </c:pt>
                <c:pt idx="8">
                  <c:v>257.18181818181802</c:v>
                </c:pt>
                <c:pt idx="9">
                  <c:v>184.45454545454527</c:v>
                </c:pt>
                <c:pt idx="10">
                  <c:v>275.72727272727252</c:v>
                </c:pt>
                <c:pt idx="11">
                  <c:v>202.99999999999977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7-4F47-ACFC-9BAE53AF5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25392"/>
        <c:axId val="64087152"/>
      </c:scatterChart>
      <c:valAx>
        <c:axId val="1297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'mean-excess-over-threshold'!$AJ$3</c:f>
              <c:strCache>
                <c:ptCount val="1"/>
                <c:pt idx="0">
                  <c:v>thresholds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7152"/>
        <c:crosses val="autoZero"/>
        <c:crossBetween val="midCat"/>
      </c:valAx>
      <c:valAx>
        <c:axId val="6408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'mean-excess-over-threshold'!$AJ$4</c:f>
              <c:strCache>
                <c:ptCount val="1"/>
                <c:pt idx="0">
                  <c:v>mean excess over threshold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eda!$F$18</c:f>
          <c:strCache>
            <c:ptCount val="1"/>
            <c:pt idx="0">
              <c:v>Time Series of Workers Compensation Claims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eda!$F$20</c:f>
              <c:strCache>
                <c:ptCount val="1"/>
                <c:pt idx="0">
                  <c:v>claims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data!$C$3:$C$14</c:f>
              <c:numCache>
                <c:formatCode>General</c:formatCode>
                <c:ptCount val="12"/>
                <c:pt idx="0">
                  <c:v>107</c:v>
                </c:pt>
                <c:pt idx="1">
                  <c:v>126</c:v>
                </c:pt>
                <c:pt idx="2">
                  <c:v>118</c:v>
                </c:pt>
                <c:pt idx="3">
                  <c:v>106</c:v>
                </c:pt>
                <c:pt idx="4">
                  <c:v>108</c:v>
                </c:pt>
                <c:pt idx="5">
                  <c:v>675</c:v>
                </c:pt>
                <c:pt idx="6">
                  <c:v>110</c:v>
                </c:pt>
                <c:pt idx="7">
                  <c:v>143</c:v>
                </c:pt>
                <c:pt idx="8">
                  <c:v>101</c:v>
                </c:pt>
                <c:pt idx="9">
                  <c:v>1203</c:v>
                </c:pt>
                <c:pt idx="10">
                  <c:v>875</c:v>
                </c:pt>
                <c:pt idx="11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D-4ACF-A36C-8FAE691B6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333136"/>
        <c:axId val="1947299504"/>
      </c:scatterChart>
      <c:valAx>
        <c:axId val="198933313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299504"/>
        <c:crosses val="autoZero"/>
        <c:crossBetween val="midCat"/>
      </c:valAx>
      <c:valAx>
        <c:axId val="194729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33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7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ustomXml" Target="../ink/ink2.xml"/><Relationship Id="rId1" Type="http://schemas.openxmlformats.org/officeDocument/2006/relationships/chart" Target="../charts/chart1.xml"/><Relationship Id="rId27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266280</xdr:colOff>
      <xdr:row>1</xdr:row>
      <xdr:rowOff>48566</xdr:rowOff>
    </xdr:from>
    <xdr:to>
      <xdr:col>4</xdr:col>
      <xdr:colOff>266640</xdr:colOff>
      <xdr:row>1</xdr:row>
      <xdr:rowOff>48926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0F222B1-C5D4-420F-80FD-61632AA77D0F}"/>
                </a:ext>
              </a:extLst>
            </xdr14:cNvPr>
            <xdr14:cNvContentPartPr/>
          </xdr14:nvContentPartPr>
          <xdr14:nvPr macro=""/>
          <xdr14:xfrm>
            <a:off x="875880" y="418680"/>
            <a:ext cx="360" cy="36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C34459D1-CD31-4DE8-AF4E-621E37C7A83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858240" y="4010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611320</xdr:colOff>
      <xdr:row>0</xdr:row>
      <xdr:rowOff>136300</xdr:rowOff>
    </xdr:from>
    <xdr:to>
      <xdr:col>33</xdr:col>
      <xdr:colOff>306520</xdr:colOff>
      <xdr:row>15</xdr:row>
      <xdr:rowOff>136300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85B19F-7540-4BF9-A896-341528940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266280</xdr:colOff>
      <xdr:row>1</xdr:row>
      <xdr:rowOff>48566</xdr:rowOff>
    </xdr:from>
    <xdr:to>
      <xdr:col>1</xdr:col>
      <xdr:colOff>266640</xdr:colOff>
      <xdr:row>1</xdr:row>
      <xdr:rowOff>48926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D34E0EB-07F8-4C89-9888-BA5D48EE9917}"/>
                </a:ext>
              </a:extLst>
            </xdr14:cNvPr>
            <xdr14:cNvContentPartPr/>
          </xdr14:nvContentPartPr>
          <xdr14:nvPr macro=""/>
          <xdr14:xfrm>
            <a:off x="875880" y="418680"/>
            <a:ext cx="360" cy="36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C34459D1-CD31-4DE8-AF4E-621E37C7A83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858240" y="4010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0</xdr:colOff>
      <xdr:row>16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92FAAE-A0B5-4660-8D56-C98133CEA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554355</xdr:colOff>
      <xdr:row>25</xdr:row>
      <xdr:rowOff>83820</xdr:rowOff>
    </xdr:from>
    <xdr:to>
      <xdr:col>5</xdr:col>
      <xdr:colOff>95250</xdr:colOff>
      <xdr:row>30</xdr:row>
      <xdr:rowOff>20955</xdr:rowOff>
    </xdr:to>
    <xdr:sp macro="" textlink="">
      <xdr:nvSpPr>
        <xdr:cNvPr id="2" name="Note">
          <a:extLst>
            <a:ext uri="{FF2B5EF4-FFF2-40B4-BE49-F238E27FC236}">
              <a16:creationId xmlns:a16="http://schemas.microsoft.com/office/drawing/2014/main" id="{043019DE-0ED4-4F45-BD00-EABDBE9C1CE4}"/>
            </a:ext>
          </a:extLst>
        </xdr:cNvPr>
        <xdr:cNvSpPr txBox="1">
          <a:spLocks noChangeArrowheads="1"/>
        </xdr:cNvSpPr>
      </xdr:nvSpPr>
      <xdr:spPr bwMode="auto">
        <a:xfrm>
          <a:off x="554355" y="4297680"/>
          <a:ext cx="3152775" cy="77533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Minimize:       D18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By changing:  D6:D17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Subject to:     G18:L18=G19:L19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                      D6:D17&gt;=0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</xdr:colOff>
          <xdr:row>21</xdr:row>
          <xdr:rowOff>129540</xdr:rowOff>
        </xdr:from>
        <xdr:to>
          <xdr:col>11</xdr:col>
          <xdr:colOff>91440</xdr:colOff>
          <xdr:row>24</xdr:row>
          <xdr:rowOff>83820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D478E480-DDF3-46AC-A55C-A6BE33202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Solver Model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gfoo/OneDrive/Documents/0-decision-optimization/mbac617/00021S/week4/3-workbook/DRAFT-muni-insurance-fun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MDA/Dropbox/SMDA/SMDA%207ed/SMDA%207ed%20Data%20Files/Chapter%2003/Taco-Viv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i-Insurance-Fund"/>
      <sheetName val="Funding Claims"/>
      <sheetName val="Funding Claims with Risk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co-Viva"/>
    </sheetNames>
    <definedNames>
      <definedName name="Toggle"/>
    </defined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7T21:28:38.702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24T16:55:15.333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E7D4-94B8-4186-879E-5199D7CC7F4C}">
  <sheetPr codeName="Sheet1"/>
  <dimension ref="B2:G14"/>
  <sheetViews>
    <sheetView workbookViewId="0">
      <selection activeCell="C14" sqref="C9:C14"/>
    </sheetView>
  </sheetViews>
  <sheetFormatPr defaultRowHeight="14.4" x14ac:dyDescent="0.3"/>
  <cols>
    <col min="3" max="3" width="10.44140625" customWidth="1"/>
  </cols>
  <sheetData>
    <row r="2" spans="2:7" x14ac:dyDescent="0.3">
      <c r="B2" t="s">
        <v>43</v>
      </c>
      <c r="C2" s="5" t="s">
        <v>53</v>
      </c>
      <c r="E2" s="30" t="s">
        <v>43</v>
      </c>
      <c r="F2" s="1" t="s">
        <v>34</v>
      </c>
      <c r="G2" s="30"/>
    </row>
    <row r="3" spans="2:7" x14ac:dyDescent="0.3">
      <c r="B3">
        <v>1</v>
      </c>
      <c r="C3">
        <v>107</v>
      </c>
      <c r="E3">
        <v>9</v>
      </c>
      <c r="F3">
        <v>101</v>
      </c>
    </row>
    <row r="4" spans="2:7" x14ac:dyDescent="0.3">
      <c r="B4">
        <v>2</v>
      </c>
      <c r="C4">
        <v>126</v>
      </c>
      <c r="E4">
        <v>12</v>
      </c>
      <c r="F4">
        <v>103</v>
      </c>
    </row>
    <row r="5" spans="2:7" x14ac:dyDescent="0.3">
      <c r="B5">
        <v>3</v>
      </c>
      <c r="C5">
        <v>118</v>
      </c>
      <c r="E5">
        <v>4</v>
      </c>
      <c r="F5">
        <v>106</v>
      </c>
    </row>
    <row r="6" spans="2:7" x14ac:dyDescent="0.3">
      <c r="B6">
        <v>4</v>
      </c>
      <c r="C6">
        <v>106</v>
      </c>
      <c r="E6">
        <v>1</v>
      </c>
      <c r="F6">
        <v>107</v>
      </c>
    </row>
    <row r="7" spans="2:7" x14ac:dyDescent="0.3">
      <c r="B7">
        <v>5</v>
      </c>
      <c r="C7">
        <v>108</v>
      </c>
      <c r="E7">
        <v>5</v>
      </c>
      <c r="F7">
        <v>108</v>
      </c>
    </row>
    <row r="8" spans="2:7" x14ac:dyDescent="0.3">
      <c r="B8">
        <v>6</v>
      </c>
      <c r="C8">
        <v>675</v>
      </c>
      <c r="E8">
        <v>7</v>
      </c>
      <c r="F8">
        <v>110</v>
      </c>
    </row>
    <row r="9" spans="2:7" x14ac:dyDescent="0.3">
      <c r="B9">
        <v>7</v>
      </c>
      <c r="C9">
        <v>110</v>
      </c>
      <c r="E9">
        <v>3</v>
      </c>
      <c r="F9">
        <v>118</v>
      </c>
    </row>
    <row r="10" spans="2:7" x14ac:dyDescent="0.3">
      <c r="B10">
        <v>8</v>
      </c>
      <c r="C10">
        <v>143</v>
      </c>
      <c r="E10">
        <v>2</v>
      </c>
      <c r="F10">
        <v>126</v>
      </c>
    </row>
    <row r="11" spans="2:7" x14ac:dyDescent="0.3">
      <c r="B11">
        <v>9</v>
      </c>
      <c r="C11">
        <v>101</v>
      </c>
      <c r="E11">
        <v>8</v>
      </c>
      <c r="F11">
        <v>143</v>
      </c>
    </row>
    <row r="12" spans="2:7" x14ac:dyDescent="0.3">
      <c r="B12">
        <v>10</v>
      </c>
      <c r="C12">
        <v>1203</v>
      </c>
      <c r="E12">
        <v>6</v>
      </c>
      <c r="F12">
        <v>675</v>
      </c>
    </row>
    <row r="13" spans="2:7" x14ac:dyDescent="0.3">
      <c r="B13">
        <v>11</v>
      </c>
      <c r="C13">
        <v>875</v>
      </c>
      <c r="E13">
        <v>11</v>
      </c>
      <c r="F13">
        <v>875</v>
      </c>
    </row>
    <row r="14" spans="2:7" x14ac:dyDescent="0.3">
      <c r="B14">
        <v>12</v>
      </c>
      <c r="C14">
        <v>103</v>
      </c>
      <c r="E14">
        <v>10</v>
      </c>
      <c r="F14">
        <v>1203</v>
      </c>
    </row>
  </sheetData>
  <autoFilter ref="B2:C2" xr:uid="{5566FACA-4FD9-4203-8F2D-F25F3C7F693F}">
    <sortState xmlns:xlrd2="http://schemas.microsoft.com/office/spreadsheetml/2017/richdata2" ref="B3:C14">
      <sortCondition ref="B2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1C21-FBE2-4663-B649-E7974E95891D}">
  <sheetPr codeName="Sheet2"/>
  <dimension ref="B2:AJ23"/>
  <sheetViews>
    <sheetView topLeftCell="Z1" zoomScale="62" workbookViewId="0">
      <selection activeCell="Z31" sqref="Z31"/>
    </sheetView>
  </sheetViews>
  <sheetFormatPr defaultRowHeight="14.4" x14ac:dyDescent="0.3"/>
  <cols>
    <col min="1" max="1" width="2.77734375" customWidth="1"/>
    <col min="4" max="4" width="3" customWidth="1"/>
    <col min="6" max="6" width="10.5546875" customWidth="1"/>
    <col min="18" max="18" width="3.109375" customWidth="1"/>
    <col min="21" max="21" width="3" customWidth="1"/>
    <col min="26" max="26" width="3.5546875" customWidth="1"/>
  </cols>
  <sheetData>
    <row r="2" spans="2:36" x14ac:dyDescent="0.3">
      <c r="B2" s="30" t="s">
        <v>43</v>
      </c>
      <c r="C2" s="1" t="s">
        <v>34</v>
      </c>
      <c r="D2" s="30"/>
      <c r="E2" s="82" t="str">
        <f>data!F2</f>
        <v>claims</v>
      </c>
      <c r="F2" s="30" t="str">
        <f>"x - "&amp;ROUND(F15, 0)</f>
        <v>x - 200</v>
      </c>
      <c r="G2" s="30" t="str">
        <f t="shared" ref="G2:Q2" si="0">"x - "&amp;ROUND(G15, 0)</f>
        <v>x - 273</v>
      </c>
      <c r="H2" s="30" t="str">
        <f t="shared" si="0"/>
        <v>x - 345</v>
      </c>
      <c r="I2" s="30" t="str">
        <f t="shared" si="0"/>
        <v>x - 418</v>
      </c>
      <c r="J2" s="30" t="str">
        <f t="shared" si="0"/>
        <v>x - 491</v>
      </c>
      <c r="K2" s="30" t="str">
        <f t="shared" si="0"/>
        <v>x - 564</v>
      </c>
      <c r="L2" s="30" t="str">
        <f t="shared" si="0"/>
        <v>x - 636</v>
      </c>
      <c r="M2" s="30" t="str">
        <f t="shared" si="0"/>
        <v>x - 709</v>
      </c>
      <c r="N2" s="30" t="str">
        <f t="shared" si="0"/>
        <v>x - 782</v>
      </c>
      <c r="O2" s="30" t="str">
        <f t="shared" si="0"/>
        <v>x - 855</v>
      </c>
      <c r="P2" s="30" t="str">
        <f t="shared" si="0"/>
        <v>x - 927</v>
      </c>
      <c r="Q2" s="30" t="str">
        <f t="shared" si="0"/>
        <v>x - 1000</v>
      </c>
      <c r="S2" t="s">
        <v>47</v>
      </c>
      <c r="V2" s="30" t="s">
        <v>38</v>
      </c>
      <c r="AI2" s="5" t="s">
        <v>39</v>
      </c>
      <c r="AJ2" t="s">
        <v>44</v>
      </c>
    </row>
    <row r="3" spans="2:36" x14ac:dyDescent="0.3">
      <c r="B3">
        <v>9</v>
      </c>
      <c r="C3">
        <v>101</v>
      </c>
      <c r="E3" s="81">
        <f>C3</f>
        <v>101</v>
      </c>
      <c r="F3" s="81">
        <f>MAX( 0, $E3 - F$15)</f>
        <v>0</v>
      </c>
      <c r="G3" s="81">
        <f t="shared" ref="G3:Q14" si="1">MAX( 0, $E3 - G$15)</f>
        <v>0</v>
      </c>
      <c r="H3" s="81">
        <f t="shared" si="1"/>
        <v>0</v>
      </c>
      <c r="I3" s="81">
        <f t="shared" si="1"/>
        <v>0</v>
      </c>
      <c r="J3" s="81">
        <f t="shared" si="1"/>
        <v>0</v>
      </c>
      <c r="K3" s="81">
        <f t="shared" si="1"/>
        <v>0</v>
      </c>
      <c r="L3" s="81">
        <f t="shared" si="1"/>
        <v>0</v>
      </c>
      <c r="M3" s="81">
        <f t="shared" si="1"/>
        <v>0</v>
      </c>
      <c r="N3" s="81">
        <f t="shared" si="1"/>
        <v>0</v>
      </c>
      <c r="O3" s="81">
        <f t="shared" si="1"/>
        <v>0</v>
      </c>
      <c r="P3" s="81">
        <f t="shared" si="1"/>
        <v>0</v>
      </c>
      <c r="Q3" s="81">
        <f t="shared" si="1"/>
        <v>0</v>
      </c>
      <c r="S3" s="91" t="s">
        <v>1</v>
      </c>
      <c r="T3" s="5">
        <v>1000</v>
      </c>
      <c r="V3" s="19">
        <f>T4</f>
        <v>200</v>
      </c>
      <c r="AI3" s="5" t="s">
        <v>40</v>
      </c>
      <c r="AJ3" t="s">
        <v>45</v>
      </c>
    </row>
    <row r="4" spans="2:36" x14ac:dyDescent="0.3">
      <c r="B4">
        <v>12</v>
      </c>
      <c r="C4">
        <v>103</v>
      </c>
      <c r="E4" s="81">
        <f t="shared" ref="E4:E14" si="2">C4</f>
        <v>103</v>
      </c>
      <c r="F4" s="81">
        <f t="shared" ref="F4:Q14" si="3">MAX( 0, $E4 - F$15)</f>
        <v>0</v>
      </c>
      <c r="G4" s="81">
        <f t="shared" si="1"/>
        <v>0</v>
      </c>
      <c r="H4" s="81">
        <f t="shared" si="1"/>
        <v>0</v>
      </c>
      <c r="I4" s="81">
        <f t="shared" si="1"/>
        <v>0</v>
      </c>
      <c r="J4" s="81">
        <f t="shared" si="1"/>
        <v>0</v>
      </c>
      <c r="K4" s="81">
        <f t="shared" si="1"/>
        <v>0</v>
      </c>
      <c r="L4" s="81">
        <f t="shared" si="1"/>
        <v>0</v>
      </c>
      <c r="M4" s="81">
        <f t="shared" si="1"/>
        <v>0</v>
      </c>
      <c r="N4" s="81">
        <f t="shared" si="1"/>
        <v>0</v>
      </c>
      <c r="O4" s="81">
        <f t="shared" si="1"/>
        <v>0</v>
      </c>
      <c r="P4" s="81">
        <f t="shared" si="1"/>
        <v>0</v>
      </c>
      <c r="Q4" s="81">
        <f t="shared" si="1"/>
        <v>0</v>
      </c>
      <c r="S4" s="91" t="s">
        <v>0</v>
      </c>
      <c r="T4" s="5">
        <v>200</v>
      </c>
      <c r="V4" s="19">
        <f>V3 + $T$6</f>
        <v>272.72727272727275</v>
      </c>
      <c r="AI4" s="5" t="s">
        <v>41</v>
      </c>
      <c r="AJ4" t="s">
        <v>46</v>
      </c>
    </row>
    <row r="5" spans="2:36" x14ac:dyDescent="0.3">
      <c r="B5">
        <v>4</v>
      </c>
      <c r="C5">
        <v>106</v>
      </c>
      <c r="E5" s="81">
        <f t="shared" si="2"/>
        <v>106</v>
      </c>
      <c r="F5" s="81">
        <f t="shared" si="3"/>
        <v>0</v>
      </c>
      <c r="G5" s="81">
        <f t="shared" si="1"/>
        <v>0</v>
      </c>
      <c r="H5" s="81">
        <f t="shared" si="1"/>
        <v>0</v>
      </c>
      <c r="I5" s="81">
        <f t="shared" si="1"/>
        <v>0</v>
      </c>
      <c r="J5" s="81">
        <f t="shared" si="1"/>
        <v>0</v>
      </c>
      <c r="K5" s="81">
        <f t="shared" si="1"/>
        <v>0</v>
      </c>
      <c r="L5" s="81">
        <f t="shared" si="1"/>
        <v>0</v>
      </c>
      <c r="M5" s="81">
        <f t="shared" si="1"/>
        <v>0</v>
      </c>
      <c r="N5" s="81">
        <f t="shared" si="1"/>
        <v>0</v>
      </c>
      <c r="O5" s="81">
        <f t="shared" si="1"/>
        <v>0</v>
      </c>
      <c r="P5" s="81">
        <f t="shared" si="1"/>
        <v>0</v>
      </c>
      <c r="Q5" s="81">
        <f t="shared" si="1"/>
        <v>0</v>
      </c>
      <c r="S5" s="91" t="s">
        <v>48</v>
      </c>
      <c r="T5" s="5">
        <v>11</v>
      </c>
      <c r="V5" s="19">
        <f t="shared" ref="V5:V14" si="4">V4 + $T$6</f>
        <v>345.4545454545455</v>
      </c>
    </row>
    <row r="6" spans="2:36" x14ac:dyDescent="0.3">
      <c r="B6">
        <v>1</v>
      </c>
      <c r="C6">
        <v>107</v>
      </c>
      <c r="E6" s="81">
        <f t="shared" si="2"/>
        <v>107</v>
      </c>
      <c r="F6" s="81">
        <f t="shared" si="3"/>
        <v>0</v>
      </c>
      <c r="G6" s="81">
        <f t="shared" si="1"/>
        <v>0</v>
      </c>
      <c r="H6" s="81">
        <f t="shared" si="1"/>
        <v>0</v>
      </c>
      <c r="I6" s="81">
        <f t="shared" si="1"/>
        <v>0</v>
      </c>
      <c r="J6" s="81">
        <f t="shared" si="1"/>
        <v>0</v>
      </c>
      <c r="K6" s="81">
        <f t="shared" si="1"/>
        <v>0</v>
      </c>
      <c r="L6" s="81">
        <f t="shared" si="1"/>
        <v>0</v>
      </c>
      <c r="M6" s="81">
        <f t="shared" si="1"/>
        <v>0</v>
      </c>
      <c r="N6" s="81">
        <f t="shared" si="1"/>
        <v>0</v>
      </c>
      <c r="O6" s="81">
        <f t="shared" si="1"/>
        <v>0</v>
      </c>
      <c r="P6" s="81">
        <f t="shared" si="1"/>
        <v>0</v>
      </c>
      <c r="Q6" s="81">
        <f t="shared" si="1"/>
        <v>0</v>
      </c>
      <c r="S6" s="91" t="s">
        <v>49</v>
      </c>
      <c r="T6" s="5">
        <f>( T3-T4 ) / T5</f>
        <v>72.727272727272734</v>
      </c>
      <c r="V6" s="19">
        <f t="shared" si="4"/>
        <v>418.18181818181824</v>
      </c>
    </row>
    <row r="7" spans="2:36" x14ac:dyDescent="0.3">
      <c r="B7">
        <v>5</v>
      </c>
      <c r="C7">
        <v>108</v>
      </c>
      <c r="E7" s="81">
        <f t="shared" si="2"/>
        <v>108</v>
      </c>
      <c r="F7" s="81">
        <f t="shared" si="3"/>
        <v>0</v>
      </c>
      <c r="G7" s="81">
        <f t="shared" si="1"/>
        <v>0</v>
      </c>
      <c r="H7" s="81">
        <f t="shared" si="1"/>
        <v>0</v>
      </c>
      <c r="I7" s="81">
        <f t="shared" si="1"/>
        <v>0</v>
      </c>
      <c r="J7" s="81">
        <f t="shared" si="1"/>
        <v>0</v>
      </c>
      <c r="K7" s="81">
        <f t="shared" si="1"/>
        <v>0</v>
      </c>
      <c r="L7" s="81">
        <f t="shared" si="1"/>
        <v>0</v>
      </c>
      <c r="M7" s="81">
        <f t="shared" si="1"/>
        <v>0</v>
      </c>
      <c r="N7" s="81">
        <f t="shared" si="1"/>
        <v>0</v>
      </c>
      <c r="O7" s="81">
        <f t="shared" si="1"/>
        <v>0</v>
      </c>
      <c r="P7" s="81">
        <f t="shared" si="1"/>
        <v>0</v>
      </c>
      <c r="Q7" s="81">
        <f t="shared" si="1"/>
        <v>0</v>
      </c>
      <c r="V7" s="19">
        <f t="shared" si="4"/>
        <v>490.90909090909099</v>
      </c>
    </row>
    <row r="8" spans="2:36" x14ac:dyDescent="0.3">
      <c r="B8">
        <v>7</v>
      </c>
      <c r="C8">
        <v>110</v>
      </c>
      <c r="E8" s="81">
        <f t="shared" si="2"/>
        <v>110</v>
      </c>
      <c r="F8" s="81">
        <f t="shared" si="3"/>
        <v>0</v>
      </c>
      <c r="G8" s="81">
        <f t="shared" si="1"/>
        <v>0</v>
      </c>
      <c r="H8" s="81">
        <f t="shared" si="1"/>
        <v>0</v>
      </c>
      <c r="I8" s="81">
        <f t="shared" si="1"/>
        <v>0</v>
      </c>
      <c r="J8" s="81">
        <f t="shared" si="1"/>
        <v>0</v>
      </c>
      <c r="K8" s="81">
        <f t="shared" si="1"/>
        <v>0</v>
      </c>
      <c r="L8" s="81">
        <f t="shared" si="1"/>
        <v>0</v>
      </c>
      <c r="M8" s="81">
        <f t="shared" si="1"/>
        <v>0</v>
      </c>
      <c r="N8" s="81">
        <f t="shared" si="1"/>
        <v>0</v>
      </c>
      <c r="O8" s="81">
        <f t="shared" si="1"/>
        <v>0</v>
      </c>
      <c r="P8" s="81">
        <f t="shared" si="1"/>
        <v>0</v>
      </c>
      <c r="Q8" s="81">
        <f t="shared" si="1"/>
        <v>0</v>
      </c>
      <c r="V8" s="19">
        <f t="shared" si="4"/>
        <v>563.63636363636374</v>
      </c>
    </row>
    <row r="9" spans="2:36" x14ac:dyDescent="0.3">
      <c r="B9">
        <v>3</v>
      </c>
      <c r="C9">
        <v>118</v>
      </c>
      <c r="E9" s="81">
        <f t="shared" si="2"/>
        <v>118</v>
      </c>
      <c r="F9" s="81">
        <f t="shared" si="3"/>
        <v>0</v>
      </c>
      <c r="G9" s="81">
        <f t="shared" si="1"/>
        <v>0</v>
      </c>
      <c r="H9" s="81">
        <f t="shared" si="1"/>
        <v>0</v>
      </c>
      <c r="I9" s="81">
        <f t="shared" si="1"/>
        <v>0</v>
      </c>
      <c r="J9" s="81">
        <f t="shared" si="1"/>
        <v>0</v>
      </c>
      <c r="K9" s="81">
        <f t="shared" si="1"/>
        <v>0</v>
      </c>
      <c r="L9" s="81">
        <f t="shared" si="1"/>
        <v>0</v>
      </c>
      <c r="M9" s="81">
        <f t="shared" si="1"/>
        <v>0</v>
      </c>
      <c r="N9" s="81">
        <f t="shared" si="1"/>
        <v>0</v>
      </c>
      <c r="O9" s="81">
        <f t="shared" si="1"/>
        <v>0</v>
      </c>
      <c r="P9" s="81">
        <f t="shared" si="1"/>
        <v>0</v>
      </c>
      <c r="Q9" s="81">
        <f t="shared" si="1"/>
        <v>0</v>
      </c>
      <c r="V9" s="19">
        <f t="shared" si="4"/>
        <v>636.36363636363649</v>
      </c>
    </row>
    <row r="10" spans="2:36" x14ac:dyDescent="0.3">
      <c r="B10">
        <v>2</v>
      </c>
      <c r="C10">
        <v>126</v>
      </c>
      <c r="E10" s="81">
        <f t="shared" si="2"/>
        <v>126</v>
      </c>
      <c r="F10" s="81">
        <f t="shared" si="3"/>
        <v>0</v>
      </c>
      <c r="G10" s="81">
        <f t="shared" si="1"/>
        <v>0</v>
      </c>
      <c r="H10" s="81">
        <f t="shared" si="1"/>
        <v>0</v>
      </c>
      <c r="I10" s="81">
        <f t="shared" si="1"/>
        <v>0</v>
      </c>
      <c r="J10" s="81">
        <f t="shared" si="1"/>
        <v>0</v>
      </c>
      <c r="K10" s="81">
        <f t="shared" si="1"/>
        <v>0</v>
      </c>
      <c r="L10" s="81">
        <f t="shared" si="1"/>
        <v>0</v>
      </c>
      <c r="M10" s="81">
        <f t="shared" si="1"/>
        <v>0</v>
      </c>
      <c r="N10" s="81">
        <f t="shared" si="1"/>
        <v>0</v>
      </c>
      <c r="O10" s="81">
        <f t="shared" si="1"/>
        <v>0</v>
      </c>
      <c r="P10" s="81">
        <f t="shared" si="1"/>
        <v>0</v>
      </c>
      <c r="Q10" s="81">
        <f t="shared" si="1"/>
        <v>0</v>
      </c>
      <c r="V10" s="19">
        <f t="shared" si="4"/>
        <v>709.09090909090924</v>
      </c>
    </row>
    <row r="11" spans="2:36" x14ac:dyDescent="0.3">
      <c r="B11">
        <v>8</v>
      </c>
      <c r="C11">
        <v>143</v>
      </c>
      <c r="E11" s="81">
        <f t="shared" si="2"/>
        <v>143</v>
      </c>
      <c r="F11" s="81">
        <f t="shared" si="3"/>
        <v>0</v>
      </c>
      <c r="G11" s="81">
        <f t="shared" si="1"/>
        <v>0</v>
      </c>
      <c r="H11" s="81">
        <f t="shared" si="1"/>
        <v>0</v>
      </c>
      <c r="I11" s="81">
        <f t="shared" si="1"/>
        <v>0</v>
      </c>
      <c r="J11" s="81">
        <f t="shared" si="1"/>
        <v>0</v>
      </c>
      <c r="K11" s="81">
        <f t="shared" si="1"/>
        <v>0</v>
      </c>
      <c r="L11" s="81">
        <f t="shared" si="1"/>
        <v>0</v>
      </c>
      <c r="M11" s="81">
        <f t="shared" si="1"/>
        <v>0</v>
      </c>
      <c r="N11" s="81">
        <f t="shared" si="1"/>
        <v>0</v>
      </c>
      <c r="O11" s="81">
        <f t="shared" si="1"/>
        <v>0</v>
      </c>
      <c r="P11" s="81">
        <f t="shared" si="1"/>
        <v>0</v>
      </c>
      <c r="Q11" s="81">
        <f t="shared" si="1"/>
        <v>0</v>
      </c>
      <c r="V11" s="19">
        <f t="shared" si="4"/>
        <v>781.81818181818198</v>
      </c>
    </row>
    <row r="12" spans="2:36" x14ac:dyDescent="0.3">
      <c r="B12">
        <v>6</v>
      </c>
      <c r="C12">
        <v>675</v>
      </c>
      <c r="E12" s="81">
        <f t="shared" si="2"/>
        <v>675</v>
      </c>
      <c r="F12" s="81">
        <f t="shared" si="3"/>
        <v>475</v>
      </c>
      <c r="G12" s="81">
        <f t="shared" si="1"/>
        <v>402.27272727272725</v>
      </c>
      <c r="H12" s="81">
        <f t="shared" si="1"/>
        <v>329.5454545454545</v>
      </c>
      <c r="I12" s="81">
        <f t="shared" si="1"/>
        <v>256.81818181818176</v>
      </c>
      <c r="J12" s="81">
        <f t="shared" si="1"/>
        <v>184.09090909090901</v>
      </c>
      <c r="K12" s="81">
        <f t="shared" si="1"/>
        <v>111.36363636363626</v>
      </c>
      <c r="L12" s="81">
        <f t="shared" si="1"/>
        <v>38.636363636363512</v>
      </c>
      <c r="M12" s="81">
        <f t="shared" si="1"/>
        <v>0</v>
      </c>
      <c r="N12" s="81">
        <f t="shared" si="1"/>
        <v>0</v>
      </c>
      <c r="O12" s="81">
        <f t="shared" si="1"/>
        <v>0</v>
      </c>
      <c r="P12" s="81">
        <f t="shared" si="1"/>
        <v>0</v>
      </c>
      <c r="Q12" s="81">
        <f t="shared" si="1"/>
        <v>0</v>
      </c>
      <c r="V12" s="19">
        <f t="shared" si="4"/>
        <v>854.54545454545473</v>
      </c>
    </row>
    <row r="13" spans="2:36" x14ac:dyDescent="0.3">
      <c r="B13">
        <v>11</v>
      </c>
      <c r="C13">
        <v>875</v>
      </c>
      <c r="E13" s="81">
        <f t="shared" si="2"/>
        <v>875</v>
      </c>
      <c r="F13" s="81">
        <f t="shared" si="3"/>
        <v>675</v>
      </c>
      <c r="G13" s="81">
        <f t="shared" si="1"/>
        <v>602.27272727272725</v>
      </c>
      <c r="H13" s="81">
        <f t="shared" si="1"/>
        <v>529.5454545454545</v>
      </c>
      <c r="I13" s="81">
        <f t="shared" si="1"/>
        <v>456.81818181818176</v>
      </c>
      <c r="J13" s="81">
        <f t="shared" si="1"/>
        <v>384.09090909090901</v>
      </c>
      <c r="K13" s="81">
        <f t="shared" si="1"/>
        <v>311.36363636363626</v>
      </c>
      <c r="L13" s="81">
        <f t="shared" si="1"/>
        <v>238.63636363636351</v>
      </c>
      <c r="M13" s="81">
        <f t="shared" si="1"/>
        <v>165.90909090909076</v>
      </c>
      <c r="N13" s="81">
        <f t="shared" si="1"/>
        <v>93.181818181818016</v>
      </c>
      <c r="O13" s="81">
        <f t="shared" si="1"/>
        <v>20.454545454545269</v>
      </c>
      <c r="P13" s="81">
        <f t="shared" si="1"/>
        <v>0</v>
      </c>
      <c r="Q13" s="81">
        <f t="shared" si="1"/>
        <v>0</v>
      </c>
      <c r="V13" s="19">
        <f t="shared" si="4"/>
        <v>927.27272727272748</v>
      </c>
    </row>
    <row r="14" spans="2:36" x14ac:dyDescent="0.3">
      <c r="B14">
        <v>10</v>
      </c>
      <c r="C14">
        <v>1203</v>
      </c>
      <c r="E14" s="81">
        <f t="shared" si="2"/>
        <v>1203</v>
      </c>
      <c r="F14" s="81">
        <f t="shared" si="3"/>
        <v>1003</v>
      </c>
      <c r="G14" s="81">
        <f t="shared" si="1"/>
        <v>930.27272727272725</v>
      </c>
      <c r="H14" s="81">
        <f t="shared" si="1"/>
        <v>857.5454545454545</v>
      </c>
      <c r="I14" s="81">
        <f t="shared" si="1"/>
        <v>784.81818181818176</v>
      </c>
      <c r="J14" s="81">
        <f t="shared" si="1"/>
        <v>712.09090909090901</v>
      </c>
      <c r="K14" s="81">
        <f t="shared" si="1"/>
        <v>639.36363636363626</v>
      </c>
      <c r="L14" s="81">
        <f t="shared" si="1"/>
        <v>566.63636363636351</v>
      </c>
      <c r="M14" s="81">
        <f t="shared" si="1"/>
        <v>493.90909090909076</v>
      </c>
      <c r="N14" s="81">
        <f t="shared" si="1"/>
        <v>421.18181818181802</v>
      </c>
      <c r="O14" s="81">
        <f t="shared" si="1"/>
        <v>348.45454545454527</v>
      </c>
      <c r="P14" s="81">
        <f t="shared" si="1"/>
        <v>275.72727272727252</v>
      </c>
      <c r="Q14" s="81">
        <f t="shared" si="1"/>
        <v>202.99999999999977</v>
      </c>
      <c r="V14" s="19">
        <f t="shared" si="4"/>
        <v>1000.0000000000002</v>
      </c>
    </row>
    <row r="15" spans="2:36" x14ac:dyDescent="0.3">
      <c r="E15" s="30" t="s">
        <v>38</v>
      </c>
      <c r="F15" s="5">
        <f t="array" ref="F15:Q15">TRANSPOSE( u )</f>
        <v>200</v>
      </c>
      <c r="G15" s="5">
        <v>272.72727272727275</v>
      </c>
      <c r="H15" s="5">
        <v>345.4545454545455</v>
      </c>
      <c r="I15" s="5">
        <v>418.18181818181824</v>
      </c>
      <c r="J15" s="5">
        <v>490.90909090909099</v>
      </c>
      <c r="K15" s="5">
        <v>563.63636363636374</v>
      </c>
      <c r="L15" s="5">
        <v>636.36363636363649</v>
      </c>
      <c r="M15" s="5">
        <v>709.09090909090924</v>
      </c>
      <c r="N15" s="5">
        <v>781.81818181818198</v>
      </c>
      <c r="O15" s="5">
        <v>854.54545454545473</v>
      </c>
      <c r="P15" s="5">
        <v>927.27272727272748</v>
      </c>
      <c r="Q15" s="5">
        <v>1000.0000000000002</v>
      </c>
    </row>
    <row r="16" spans="2:36" x14ac:dyDescent="0.3">
      <c r="E16" s="30" t="s">
        <v>3</v>
      </c>
      <c r="F16" s="69">
        <f>AVERAGEIF( F3:F14, "&gt;"&amp;0  )</f>
        <v>717.66666666666663</v>
      </c>
      <c r="G16" s="69">
        <f t="shared" ref="G16:O16" si="5">AVERAGEIF( G3:G14, "&gt;"&amp;0  )</f>
        <v>644.93939393939388</v>
      </c>
      <c r="H16" s="69">
        <f t="shared" si="5"/>
        <v>572.21212121212113</v>
      </c>
      <c r="I16" s="69">
        <f t="shared" si="5"/>
        <v>499.48484848484844</v>
      </c>
      <c r="J16" s="69">
        <f t="shared" si="5"/>
        <v>426.75757575757569</v>
      </c>
      <c r="K16" s="69">
        <f t="shared" si="5"/>
        <v>354.03030303030295</v>
      </c>
      <c r="L16" s="69">
        <f t="shared" si="5"/>
        <v>281.3030303030302</v>
      </c>
      <c r="M16" s="69">
        <f t="shared" si="5"/>
        <v>329.90909090909076</v>
      </c>
      <c r="N16" s="69">
        <f t="shared" si="5"/>
        <v>257.18181818181802</v>
      </c>
      <c r="O16" s="69">
        <f t="shared" si="5"/>
        <v>184.45454545454527</v>
      </c>
      <c r="P16" s="69">
        <f>AVERAGEIF( P3:P14, "&gt;"&amp;0  )</f>
        <v>275.72727272727252</v>
      </c>
      <c r="Q16" s="69">
        <f>AVERAGEIF( Q3:Q14, "&gt;"&amp;0  )</f>
        <v>202.99999999999977</v>
      </c>
    </row>
    <row r="18" spans="3:22" x14ac:dyDescent="0.3">
      <c r="C18" s="5" t="str">
        <f>C2</f>
        <v>claims</v>
      </c>
      <c r="F18" s="87" t="s">
        <v>55</v>
      </c>
      <c r="G18" s="87" t="s">
        <v>56</v>
      </c>
      <c r="V18" s="89" t="s">
        <v>59</v>
      </c>
    </row>
    <row r="19" spans="3:22" ht="36.6" x14ac:dyDescent="0.3">
      <c r="C19" s="88" t="s">
        <v>54</v>
      </c>
      <c r="F19" s="87" t="str">
        <f ca="1">_xlfn.FORMULATEXT(F2)</f>
        <v>="x - "&amp;ROUND(F15, 0)</v>
      </c>
      <c r="G19" s="87" t="str">
        <f ca="1">_xlfn.FORMULATEXT(G14)</f>
        <v>=MAX( 0, $E14 - G$15)</v>
      </c>
      <c r="V19" s="90" t="str">
        <f ca="1">_xlfn.FORMULATEXT(V14)</f>
        <v>=V13 + $T$6</v>
      </c>
    </row>
    <row r="20" spans="3:22" x14ac:dyDescent="0.3">
      <c r="G20" s="87" t="s">
        <v>57</v>
      </c>
    </row>
    <row r="21" spans="3:22" ht="24.6" x14ac:dyDescent="0.3">
      <c r="G21" s="87" t="str">
        <f ca="1">_xlfn.FORMULATEXT(G15)</f>
        <v>{=TRANSPOSE( u )}</v>
      </c>
    </row>
    <row r="22" spans="3:22" x14ac:dyDescent="0.3">
      <c r="G22" s="87" t="s">
        <v>58</v>
      </c>
    </row>
    <row r="23" spans="3:22" ht="36.6" x14ac:dyDescent="0.3">
      <c r="G23" s="87" t="str">
        <f ca="1">_xlfn.FORMULATEXT(G16)</f>
        <v>=AVERAGEIF( G3:G14, "&gt;"&amp;0  )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57AD-78A6-4B60-9FBF-8B2AE4A10B3F}">
  <sheetPr codeName="Sheet3"/>
  <dimension ref="B3:J20"/>
  <sheetViews>
    <sheetView workbookViewId="0">
      <selection activeCell="H26" sqref="H26"/>
    </sheetView>
  </sheetViews>
  <sheetFormatPr defaultRowHeight="14.4" x14ac:dyDescent="0.3"/>
  <cols>
    <col min="2" max="2" width="15.77734375" customWidth="1"/>
  </cols>
  <sheetData>
    <row r="3" spans="2:3" x14ac:dyDescent="0.3">
      <c r="C3" s="3" t="str">
        <f>data!F2</f>
        <v>claims</v>
      </c>
    </row>
    <row r="4" spans="2:3" x14ac:dyDescent="0.3">
      <c r="B4" s="4" t="s">
        <v>0</v>
      </c>
      <c r="C4" s="20">
        <f ca="1">MIN(INDIRECT(C$3))</f>
        <v>101</v>
      </c>
    </row>
    <row r="5" spans="2:3" x14ac:dyDescent="0.3">
      <c r="B5" s="7">
        <v>0.25</v>
      </c>
      <c r="C5" s="21">
        <f ca="1">PERCENTILE( INDIRECT(C$3), $B5)</f>
        <v>106.75</v>
      </c>
    </row>
    <row r="6" spans="2:3" x14ac:dyDescent="0.3">
      <c r="B6" s="8">
        <v>0.5</v>
      </c>
      <c r="C6" s="21">
        <f ca="1">PERCENTILE( INDIRECT(C$3), $B6)</f>
        <v>114</v>
      </c>
    </row>
    <row r="7" spans="2:3" x14ac:dyDescent="0.3">
      <c r="B7" s="9">
        <v>0.75</v>
      </c>
      <c r="C7" s="21">
        <f ca="1">PERCENTILE( INDIRECT(C$3), $B7)</f>
        <v>276</v>
      </c>
    </row>
    <row r="8" spans="2:3" x14ac:dyDescent="0.3">
      <c r="B8" s="4" t="s">
        <v>1</v>
      </c>
      <c r="C8" s="20">
        <f ca="1">MAX(INDIRECT(C$3))</f>
        <v>1203</v>
      </c>
    </row>
    <row r="9" spans="2:3" x14ac:dyDescent="0.3">
      <c r="B9" s="4" t="s">
        <v>2</v>
      </c>
      <c r="C9" s="20">
        <f ca="1">C7 - C5</f>
        <v>169.25</v>
      </c>
    </row>
    <row r="10" spans="2:3" x14ac:dyDescent="0.3">
      <c r="B10" s="10" t="s">
        <v>3</v>
      </c>
      <c r="C10" s="28">
        <f ca="1">AVERAGE( INDIRECT(C$3))</f>
        <v>314.58333333333331</v>
      </c>
    </row>
    <row r="11" spans="2:3" x14ac:dyDescent="0.3">
      <c r="B11" s="11" t="s">
        <v>4</v>
      </c>
      <c r="C11" s="29">
        <f ca="1">_xlfn.STDEV.S( INDIRECT(C$3))</f>
        <v>381.19607417928245</v>
      </c>
    </row>
    <row r="12" spans="2:3" x14ac:dyDescent="0.3">
      <c r="B12" s="12" t="s">
        <v>50</v>
      </c>
      <c r="C12" s="84">
        <f>MAX( 'xi-sigma-grid'!D4:H8 )</f>
        <v>5.8798974872535145E-2</v>
      </c>
    </row>
    <row r="13" spans="2:3" x14ac:dyDescent="0.3">
      <c r="B13" s="13" t="s">
        <v>51</v>
      </c>
      <c r="C13" s="85">
        <f>INDEX( 'xi-sigma-grid'!C4:C8, MATCH( MAX('xi-sigma-grid'!I4:I8), 'xi-sigma-grid'!I4:I8, 0 ))</f>
        <v>2</v>
      </c>
    </row>
    <row r="14" spans="2:3" x14ac:dyDescent="0.3">
      <c r="B14" s="14" t="s">
        <v>52</v>
      </c>
      <c r="C14" s="86">
        <f>INDEX( 'xi-sigma-grid'!D3:H3, MATCH( MAX('xi-sigma-grid'!D9:H9), 'xi-sigma-grid'!D9:H9, 0) )</f>
        <v>13.5</v>
      </c>
    </row>
    <row r="15" spans="2:3" x14ac:dyDescent="0.3">
      <c r="B15" s="10" t="s">
        <v>6</v>
      </c>
      <c r="C15" s="28">
        <f ca="1">MAX(0, C5-1.5*C9)</f>
        <v>0</v>
      </c>
    </row>
    <row r="16" spans="2:3" x14ac:dyDescent="0.3">
      <c r="B16" s="11" t="s">
        <v>7</v>
      </c>
      <c r="C16" s="29">
        <f ca="1">C7+1.5*C9</f>
        <v>529.875</v>
      </c>
    </row>
    <row r="17" spans="2:10" x14ac:dyDescent="0.3">
      <c r="B17" s="12" t="s">
        <v>62</v>
      </c>
      <c r="C17" s="2">
        <f ca="1">SKEW( INDIRECT(C$3) )</f>
        <v>1.6741648036750576</v>
      </c>
    </row>
    <row r="18" spans="2:10" x14ac:dyDescent="0.3">
      <c r="B18" s="12" t="s">
        <v>63</v>
      </c>
      <c r="C18" s="105">
        <f ca="1">KURT( INDIRECT(C$3) ) + 3</f>
        <v>4.5899152379603061</v>
      </c>
      <c r="E18" s="5" t="s">
        <v>39</v>
      </c>
      <c r="F18" s="64" t="s">
        <v>42</v>
      </c>
      <c r="G18" s="64"/>
      <c r="H18" s="64"/>
      <c r="I18" s="64"/>
      <c r="J18" s="64"/>
    </row>
    <row r="19" spans="2:10" x14ac:dyDescent="0.3">
      <c r="B19" s="12" t="s">
        <v>64</v>
      </c>
      <c r="C19" s="83">
        <f ca="1">COUNT( INDIRECT(C$3) )</f>
        <v>12</v>
      </c>
      <c r="E19" s="5" t="s">
        <v>40</v>
      </c>
      <c r="F19" s="83" t="s">
        <v>43</v>
      </c>
    </row>
    <row r="20" spans="2:10" x14ac:dyDescent="0.3">
      <c r="E20" s="5" t="s">
        <v>41</v>
      </c>
      <c r="F20" s="5" t="s">
        <v>34</v>
      </c>
    </row>
  </sheetData>
  <mergeCells count="1">
    <mergeCell ref="F18:J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3BC2-D14B-4422-A2D9-2DF031C18DF2}">
  <sheetPr codeName="Sheet4"/>
  <dimension ref="B2:I20"/>
  <sheetViews>
    <sheetView workbookViewId="0">
      <selection activeCell="C4" sqref="C4"/>
    </sheetView>
  </sheetViews>
  <sheetFormatPr defaultRowHeight="14.4" x14ac:dyDescent="0.3"/>
  <cols>
    <col min="2" max="2" width="14.77734375" customWidth="1"/>
    <col min="3" max="5" width="8.88671875" style="19"/>
    <col min="6" max="6" width="20.21875" customWidth="1"/>
    <col min="7" max="7" width="2.33203125" customWidth="1"/>
    <col min="8" max="8" width="5.33203125" customWidth="1"/>
    <col min="9" max="9" width="40.88671875" customWidth="1"/>
    <col min="16" max="16" width="12" bestFit="1" customWidth="1"/>
    <col min="28" max="28" width="11.109375" customWidth="1"/>
    <col min="29" max="29" width="20.109375" customWidth="1"/>
    <col min="32" max="32" width="12.33203125" customWidth="1"/>
    <col min="33" max="33" width="5.21875" customWidth="1"/>
    <col min="34" max="34" width="11.77734375" customWidth="1"/>
  </cols>
  <sheetData>
    <row r="2" spans="2:9" x14ac:dyDescent="0.3">
      <c r="C2" s="18" t="s">
        <v>36</v>
      </c>
      <c r="E2" s="18" t="str">
        <f>C2</f>
        <v>xi_h</v>
      </c>
    </row>
    <row r="3" spans="2:9" x14ac:dyDescent="0.3">
      <c r="B3" s="6" t="str">
        <f>"max_"&amp;C$2</f>
        <v>max_xi_h</v>
      </c>
      <c r="C3" s="20">
        <v>3</v>
      </c>
      <c r="E3" s="20">
        <f>min_mu_h</f>
        <v>1</v>
      </c>
      <c r="F3" s="5" t="str">
        <f ca="1">_xlfn.FORMULATEXT(E3 )</f>
        <v>=min_mu_h</v>
      </c>
    </row>
    <row r="4" spans="2:9" x14ac:dyDescent="0.3">
      <c r="B4" s="6" t="str">
        <f>"min_"&amp;C$2</f>
        <v>min_xi_h</v>
      </c>
      <c r="C4" s="20">
        <v>1</v>
      </c>
      <c r="E4" s="20">
        <f>E3 + width_mu_h</f>
        <v>1.5</v>
      </c>
      <c r="F4" s="5" t="str">
        <f ca="1">_xlfn.FORMULATEXT(E4 )</f>
        <v>=E3 + width_mu_h</v>
      </c>
    </row>
    <row r="5" spans="2:9" x14ac:dyDescent="0.3">
      <c r="B5" s="6" t="str">
        <f>"interval_"&amp;C$2</f>
        <v>interval_xi_h</v>
      </c>
      <c r="C5" s="20">
        <v>4</v>
      </c>
      <c r="E5" s="20">
        <f>E4 + width_mu_h</f>
        <v>2</v>
      </c>
      <c r="F5" s="5" t="str">
        <f ca="1">_xlfn.FORMULATEXT(E5 )</f>
        <v>=E4 + width_mu_h</v>
      </c>
    </row>
    <row r="6" spans="2:9" x14ac:dyDescent="0.3">
      <c r="B6" s="6" t="str">
        <f>"width_"&amp;C$2</f>
        <v>width_xi_h</v>
      </c>
      <c r="C6" s="20">
        <f>( max_mu_h - min_mu_h)/interval_mu_h</f>
        <v>0.5</v>
      </c>
      <c r="E6" s="20">
        <f>E5 + width_mu_h</f>
        <v>2.5</v>
      </c>
      <c r="F6" s="5" t="str">
        <f ca="1">_xlfn.FORMULATEXT(E6 )</f>
        <v>=E5 + width_mu_h</v>
      </c>
      <c r="I6" s="5" t="s">
        <v>9</v>
      </c>
    </row>
    <row r="7" spans="2:9" x14ac:dyDescent="0.3">
      <c r="E7" s="20">
        <f>E6 + width_mu_h</f>
        <v>3</v>
      </c>
      <c r="F7" s="5" t="str">
        <f ca="1">_xlfn.FORMULATEXT(E7 )</f>
        <v>=E6 + width_mu_h</v>
      </c>
      <c r="I7" s="5" t="str">
        <f ca="1">_xlfn.FORMULATEXT(width_mu_h)</f>
        <v>=( max_mu_h - min_mu_h)/interval_mu_h</v>
      </c>
    </row>
    <row r="9" spans="2:9" x14ac:dyDescent="0.3">
      <c r="C9" s="18" t="s">
        <v>8</v>
      </c>
      <c r="E9" s="18" t="str">
        <f>C9</f>
        <v>sigma_h</v>
      </c>
    </row>
    <row r="10" spans="2:9" x14ac:dyDescent="0.3">
      <c r="B10" s="6" t="str">
        <f>"max_"&amp;C$9</f>
        <v>max_sigma_h</v>
      </c>
      <c r="C10" s="70">
        <v>15</v>
      </c>
      <c r="E10" s="70">
        <f>min_sigma_h</f>
        <v>12</v>
      </c>
      <c r="F10" s="5" t="str">
        <f ca="1">_xlfn.FORMULATEXT(E10 )</f>
        <v>=min_sigma_h</v>
      </c>
    </row>
    <row r="11" spans="2:9" x14ac:dyDescent="0.3">
      <c r="B11" s="6" t="str">
        <f>"min_"&amp;C$9</f>
        <v>min_sigma_h</v>
      </c>
      <c r="C11" s="70">
        <v>12</v>
      </c>
      <c r="E11" s="70">
        <f>E10 + width_sigma_h</f>
        <v>12.75</v>
      </c>
      <c r="F11" s="5" t="str">
        <f ca="1">_xlfn.FORMULATEXT(E11 )</f>
        <v>=E10 + width_sigma_h</v>
      </c>
    </row>
    <row r="12" spans="2:9" x14ac:dyDescent="0.3">
      <c r="B12" s="6" t="str">
        <f>"interval_"&amp;C$9</f>
        <v>interval_sigma_h</v>
      </c>
      <c r="C12" s="20">
        <v>4</v>
      </c>
      <c r="E12" s="70">
        <f>E11 + width_sigma_h</f>
        <v>13.5</v>
      </c>
      <c r="F12" s="5" t="str">
        <f ca="1">_xlfn.FORMULATEXT(E12 )</f>
        <v>=E11 + width_sigma_h</v>
      </c>
    </row>
    <row r="13" spans="2:9" x14ac:dyDescent="0.3">
      <c r="B13" s="6" t="str">
        <f>"width_"&amp;C$9</f>
        <v>width_sigma_h</v>
      </c>
      <c r="C13" s="20">
        <f>(max_sigma_h - min_sigma_h)/interval_sigma_h</f>
        <v>0.75</v>
      </c>
      <c r="E13" s="70">
        <f>E12 + width_sigma_h</f>
        <v>14.25</v>
      </c>
      <c r="F13" s="5" t="str">
        <f ca="1">_xlfn.FORMULATEXT(E13 )</f>
        <v>=E12 + width_sigma_h</v>
      </c>
      <c r="I13" s="5" t="s">
        <v>23</v>
      </c>
    </row>
    <row r="14" spans="2:9" x14ac:dyDescent="0.3">
      <c r="E14" s="70">
        <f>E13 + width_sigma_h</f>
        <v>15</v>
      </c>
      <c r="F14" s="5" t="str">
        <f ca="1">_xlfn.FORMULATEXT(E14 )</f>
        <v>=E13 + width_sigma_h</v>
      </c>
      <c r="I14" s="5" t="str">
        <f ca="1">_xlfn.FORMULATEXT(width_sigma_h)</f>
        <v>=(max_sigma_h - min_sigma_h)/interval_sigma_h</v>
      </c>
    </row>
    <row r="15" spans="2:9" x14ac:dyDescent="0.3">
      <c r="B15" s="6" t="s">
        <v>37</v>
      </c>
      <c r="C15" s="20">
        <v>100</v>
      </c>
    </row>
    <row r="17" spans="2:8" x14ac:dyDescent="0.3">
      <c r="B17" s="5" t="s">
        <v>10</v>
      </c>
    </row>
    <row r="18" spans="2:8" x14ac:dyDescent="0.3">
      <c r="B18" s="58" t="str">
        <f ca="1">_xlfn.FORMULATEXT('grid-approx'!C6)</f>
        <v>=IF(D5=MAX(sigma_h),INDEX(mu_h,MATCH(C5,mu_h,0)+1), C5)</v>
      </c>
      <c r="C18" s="59"/>
      <c r="D18" s="59"/>
      <c r="E18" s="59"/>
      <c r="F18" s="59"/>
      <c r="G18" s="59"/>
      <c r="H18" s="60"/>
    </row>
    <row r="19" spans="2:8" x14ac:dyDescent="0.3">
      <c r="B19" s="2" t="s">
        <v>11</v>
      </c>
    </row>
    <row r="20" spans="2:8" x14ac:dyDescent="0.3">
      <c r="B20" s="58" t="str">
        <f ca="1">_xlfn.FORMULATEXT('grid-approx'!D6)</f>
        <v>=IF( D5 &lt; MAX(sigma_h), INDEX(sigma_h, MATCH(D5, sigma_h, 0)+1), MIN( sigma_h))</v>
      </c>
      <c r="C20" s="59"/>
      <c r="D20" s="59"/>
      <c r="E20" s="59"/>
      <c r="F20" s="59"/>
      <c r="G20" s="59"/>
      <c r="H20" s="60"/>
    </row>
  </sheetData>
  <mergeCells count="2">
    <mergeCell ref="B18:H18"/>
    <mergeCell ref="B20:H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628A-156D-4EA5-ACAC-EC10FD6D5194}">
  <sheetPr codeName="Sheet5"/>
  <dimension ref="A3:Z34"/>
  <sheetViews>
    <sheetView zoomScale="60" zoomScaleNormal="80" workbookViewId="0">
      <selection activeCell="U12" sqref="U12"/>
    </sheetView>
  </sheetViews>
  <sheetFormatPr defaultRowHeight="14.4" x14ac:dyDescent="0.3"/>
  <cols>
    <col min="3" max="3" width="13.21875" customWidth="1"/>
    <col min="4" max="4" width="13.77734375" customWidth="1"/>
    <col min="19" max="19" width="14.77734375" customWidth="1"/>
    <col min="20" max="20" width="18.88671875" customWidth="1"/>
  </cols>
  <sheetData>
    <row r="3" spans="2:23" x14ac:dyDescent="0.3">
      <c r="C3" s="58" t="s">
        <v>32</v>
      </c>
      <c r="D3" s="60"/>
      <c r="G3" s="61" t="s">
        <v>33</v>
      </c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30" t="s">
        <v>14</v>
      </c>
      <c r="T3" s="38">
        <f>SUM(T5:T29)</f>
        <v>2.8979147647415743E-29</v>
      </c>
    </row>
    <row r="4" spans="2:23" x14ac:dyDescent="0.3">
      <c r="C4" s="49" t="s">
        <v>35</v>
      </c>
      <c r="D4" s="49" t="s">
        <v>5</v>
      </c>
      <c r="E4" s="30" t="s">
        <v>65</v>
      </c>
      <c r="F4" s="30" t="s">
        <v>12</v>
      </c>
      <c r="G4" s="39">
        <f t="array" ref="G4:R4">TRANSPOSE( wages )</f>
        <v>101</v>
      </c>
      <c r="H4" s="39">
        <v>103</v>
      </c>
      <c r="I4" s="39">
        <v>106</v>
      </c>
      <c r="J4" s="39">
        <v>107</v>
      </c>
      <c r="K4" s="39">
        <v>108</v>
      </c>
      <c r="L4" s="39">
        <v>110</v>
      </c>
      <c r="M4" s="39">
        <v>118</v>
      </c>
      <c r="N4" s="39">
        <v>126</v>
      </c>
      <c r="O4" s="39">
        <v>143</v>
      </c>
      <c r="P4" s="39">
        <v>675</v>
      </c>
      <c r="Q4" s="39">
        <v>875</v>
      </c>
      <c r="R4" s="39">
        <v>1203</v>
      </c>
      <c r="S4" s="30" t="s">
        <v>13</v>
      </c>
      <c r="T4" s="56" t="str">
        <f>S4&amp;E4&amp;F4</f>
        <v>Pr(d | h)Pr(xi)Pr(sigma)</v>
      </c>
      <c r="U4" s="49" t="s">
        <v>15</v>
      </c>
      <c r="W4" s="49" t="s">
        <v>16</v>
      </c>
    </row>
    <row r="5" spans="2:23" x14ac:dyDescent="0.3">
      <c r="C5" s="22">
        <f>'grid-setup'!E3</f>
        <v>1</v>
      </c>
      <c r="D5" s="23">
        <f>'grid-setup'!E10</f>
        <v>12</v>
      </c>
      <c r="E5" s="31">
        <f t="shared" ref="E5:F29" si="0">1/5</f>
        <v>0.2</v>
      </c>
      <c r="F5" s="15">
        <f t="shared" si="0"/>
        <v>0.2</v>
      </c>
      <c r="G5" s="35">
        <f>(1/$D5)*(1+$C5*(G$4 - mu_thres)/$D5)^(-($C5+1)/$C5)</f>
        <v>7.1005917159763315E-2</v>
      </c>
      <c r="H5" s="35">
        <f>(1/$D5)*(1+$C5*(H$4 - mu_thres)/$D5)^(-($C5+1)/$C5)</f>
        <v>5.333333333333333E-2</v>
      </c>
      <c r="I5" s="35">
        <f>(1/$D5)*(1+$C5*(I$4 - mu_thres)/$D5)^(-($C5+1)/$C5)</f>
        <v>3.7037037037037035E-2</v>
      </c>
      <c r="J5" s="35">
        <f>(1/$D5)*(1+$C5*(J$4 - mu_thres)/$D5)^(-($C5+1)/$C5)</f>
        <v>3.3240997229916885E-2</v>
      </c>
      <c r="K5" s="35">
        <f>(1/$D5)*(1+$C5*(K$4 - mu_thres)/$D5)^(-($C5+1)/$C5)</f>
        <v>3.0000000000000006E-2</v>
      </c>
      <c r="L5" s="35">
        <f>(1/$D5)*(1+$C5*(L$4 - mu_thres)/$D5)^(-($C5+1)/$C5)</f>
        <v>2.479338842975206E-2</v>
      </c>
      <c r="M5" s="35">
        <f>(1/$D5)*(1+$C5*(M$4 - mu_thres)/$D5)^(-($C5+1)/$C5)</f>
        <v>1.3333333333333332E-2</v>
      </c>
      <c r="N5" s="35">
        <f>(1/$D5)*(1+$C5*(N$4 - mu_thres)/$D5)^(-($C5+1)/$C5)</f>
        <v>8.3102493074792248E-3</v>
      </c>
      <c r="O5" s="35">
        <f>(1/$D5)*(1+$C5*(O$4 - mu_thres)/$D5)^(-($C5+1)/$C5)</f>
        <v>3.9669421487603298E-3</v>
      </c>
      <c r="P5" s="35">
        <f>(1/$D5)*(1+$C5*(P$4 - mu_thres)/$D5)^(-($C5+1)/$C5)</f>
        <v>3.4826116104466747E-5</v>
      </c>
      <c r="Q5" s="35">
        <f>(1/$D5)*(1+$C5*(Q$4 - mu_thres)/$D5)^(-($C5+1)/$C5)</f>
        <v>1.9374557008826725E-5</v>
      </c>
      <c r="R5" s="35">
        <f>(1/$D5)*(1+$C5*(R$4 - mu_thres)/$D5)^(-($C5+1)/$C5)</f>
        <v>9.6523155502825301E-6</v>
      </c>
      <c r="S5" s="40">
        <f t="shared" ref="S5:S29" si="1">PRODUCT(G5:R5)</f>
        <v>9.9274493763848126E-30</v>
      </c>
      <c r="T5" s="41">
        <f t="shared" ref="T5:T29" si="2">S5*E5*F5</f>
        <v>3.9709797505539258E-31</v>
      </c>
      <c r="U5" s="46">
        <f t="shared" ref="U5:U29" si="3">T5 / sum</f>
        <v>1.370288663720599E-2</v>
      </c>
      <c r="W5" s="50" t="str">
        <f>'grid-approx'!C5&amp;"-"&amp;'grid-approx'!D5</f>
        <v>1-12</v>
      </c>
    </row>
    <row r="6" spans="2:23" x14ac:dyDescent="0.3">
      <c r="C6" s="24" cm="1">
        <f t="array" ref="C6">IF(D5=MAX(sigma_h),INDEX(mu_h,MATCH(C5,mu_h,0)+1), C5)</f>
        <v>1</v>
      </c>
      <c r="D6" s="25" cm="1">
        <f t="array" ref="D6">IF( D5 &lt; MAX(sigma_h), INDEX(sigma_h, MATCH(D5, sigma_h, 0)+1), MIN( sigma_h))</f>
        <v>12.75</v>
      </c>
      <c r="E6" s="32">
        <f t="shared" si="0"/>
        <v>0.2</v>
      </c>
      <c r="F6" s="33">
        <f t="shared" si="0"/>
        <v>0.2</v>
      </c>
      <c r="G6" s="35">
        <f>(1/$D6)*(1+$C6*(G$4 - mu_thres)/$D6)^(-($C6+1)/$C6)</f>
        <v>6.7438016528925615E-2</v>
      </c>
      <c r="H6" s="35">
        <f>(1/$D6)*(1+$C6*(H$4 - mu_thres)/$D6)^(-($C6+1)/$C6)</f>
        <v>5.1398337112622823E-2</v>
      </c>
      <c r="I6" s="35">
        <f>(1/$D6)*(1+$C6*(I$4 - mu_thres)/$D6)^(-($C6+1)/$C6)</f>
        <v>3.6266666666666662E-2</v>
      </c>
      <c r="J6" s="35">
        <f>(1/$D6)*(1+$C6*(J$4 - mu_thres)/$D6)^(-($C6+1)/$C6)</f>
        <v>3.2687069379907063E-2</v>
      </c>
      <c r="K6" s="35">
        <f>(1/$D6)*(1+$C6*(K$4 - mu_thres)/$D6)^(-($C6+1)/$C6)</f>
        <v>2.9612425606038609E-2</v>
      </c>
      <c r="L6" s="35">
        <f>(1/$D6)*(1+$C6*(L$4 - mu_thres)/$D6)^(-($C6+1)/$C6)</f>
        <v>2.4634705953387275E-2</v>
      </c>
      <c r="M6" s="35">
        <f>(1/$D6)*(1+$C6*(M$4 - mu_thres)/$D6)^(-($C6+1)/$C6)</f>
        <v>1.348403727939718E-2</v>
      </c>
      <c r="N6" s="35">
        <f>(1/$D6)*(1+$C6*(N$4 - mu_thres)/$D6)^(-($C6+1)/$C6)</f>
        <v>8.4911550468262237E-3</v>
      </c>
      <c r="O6" s="35">
        <f>(1/$D6)*(1+$C6*(O$4 - mu_thres)/$D6)^(-($C6+1)/$C6)</f>
        <v>4.1022341088700742E-3</v>
      </c>
      <c r="P6" s="35">
        <f>(1/$D6)*(1+$C6*(P$4 - mu_thres)/$D6)^(-($C6+1)/$C6)</f>
        <v>3.6908373695836279E-5</v>
      </c>
      <c r="Q6" s="35">
        <f>(1/$D6)*(1+$C6*(Q$4 - mu_thres)/$D6)^(-($C6+1)/$C6)</f>
        <v>2.0546287512459966E-5</v>
      </c>
      <c r="R6" s="35">
        <f>(1/$D6)*(1+$C6*(R$4 - mu_thres)/$D6)^(-($C6+1)/$C6)</f>
        <v>1.0241802428702871E-5</v>
      </c>
      <c r="S6" s="42">
        <f t="shared" si="1"/>
        <v>1.0934543807711704E-29</v>
      </c>
      <c r="T6" s="43">
        <f t="shared" si="2"/>
        <v>4.373817523084682E-31</v>
      </c>
      <c r="U6" s="47">
        <f t="shared" si="3"/>
        <v>1.5092981947917035E-2</v>
      </c>
      <c r="W6" s="51" t="str">
        <f>'grid-approx'!C6&amp;"-"&amp;'grid-approx'!D6</f>
        <v>1-12.75</v>
      </c>
    </row>
    <row r="7" spans="2:23" x14ac:dyDescent="0.3">
      <c r="C7" s="24" cm="1">
        <f t="array" ref="C7">IF(D6=MAX(sigma_h),INDEX(mu_h,MATCH(C6,mu_h,0)+1), C6)</f>
        <v>1</v>
      </c>
      <c r="D7" s="25" cm="1">
        <f t="array" ref="D7">IF( D6 &lt; MAX(sigma_h), INDEX(sigma_h, MATCH(D6, sigma_h, 0)+1), MIN( sigma_h))</f>
        <v>13.5</v>
      </c>
      <c r="E7" s="32">
        <f t="shared" si="0"/>
        <v>0.2</v>
      </c>
      <c r="F7" s="33">
        <f t="shared" si="0"/>
        <v>0.2</v>
      </c>
      <c r="G7" s="35">
        <f>(1/$D7)*(1+$C7*(G$4 - mu_thres)/$D7)^(-($C7+1)/$C7)</f>
        <v>6.4209274673008326E-2</v>
      </c>
      <c r="H7" s="35">
        <f>(1/$D7)*(1+$C7*(H$4 - mu_thres)/$D7)^(-($C7+1)/$C7)</f>
        <v>4.958677685950412E-2</v>
      </c>
      <c r="I7" s="35">
        <f>(1/$D7)*(1+$C7*(I$4 - mu_thres)/$D7)^(-($C7+1)/$C7)</f>
        <v>3.5502958579881658E-2</v>
      </c>
      <c r="J7" s="35">
        <f>(1/$D7)*(1+$C7*(J$4 - mu_thres)/$D7)^(-($C7+1)/$C7)</f>
        <v>3.2123735871505056E-2</v>
      </c>
      <c r="K7" s="35">
        <f>(1/$D7)*(1+$C7*(K$4 - mu_thres)/$D7)^(-($C7+1)/$C7)</f>
        <v>2.9204975662520279E-2</v>
      </c>
      <c r="L7" s="35">
        <f>(1/$D7)*(1+$C7*(L$4 - mu_thres)/$D7)^(-($C7+1)/$C7)</f>
        <v>2.4445450430058847E-2</v>
      </c>
      <c r="M7" s="35">
        <f>(1/$D7)*(1+$C7*(M$4 - mu_thres)/$D7)^(-($C7+1)/$C7)</f>
        <v>1.3605442176870753E-2</v>
      </c>
      <c r="N7" s="35">
        <f>(1/$D7)*(1+$C7*(N$4 - mu_thres)/$D7)^(-($C7+1)/$C7)</f>
        <v>8.6524595417401071E-3</v>
      </c>
      <c r="O7" s="35">
        <f>(1/$D7)*(1+$C7*(O$4 - mu_thres)/$D7)^(-($C7+1)/$C7)</f>
        <v>4.2289920902184985E-3</v>
      </c>
      <c r="P7" s="35">
        <f>(1/$D7)*(1+$C7*(P$4 - mu_thres)/$D7)^(-($C7+1)/$C7)</f>
        <v>3.8979910187399517E-5</v>
      </c>
      <c r="Q7" s="35">
        <f>(1/$D7)*(1+$C7*(Q$4 - mu_thres)/$D7)^(-($C7+1)/$C7)</f>
        <v>2.1713527004590802E-5</v>
      </c>
      <c r="R7" s="35">
        <f>(1/$D7)*(1+$C7*(R$4 - mu_thres)/$D7)^(-($C7+1)/$C7)</f>
        <v>1.0829697195649909E-5</v>
      </c>
      <c r="S7" s="42">
        <f t="shared" si="1"/>
        <v>1.1830027681671326E-29</v>
      </c>
      <c r="T7" s="43">
        <f t="shared" si="2"/>
        <v>4.7320110726685309E-31</v>
      </c>
      <c r="U7" s="47">
        <f t="shared" si="3"/>
        <v>1.6329020888544026E-2</v>
      </c>
      <c r="W7" s="51" t="str">
        <f>'grid-approx'!C7&amp;"-"&amp;'grid-approx'!D7</f>
        <v>1-13.5</v>
      </c>
    </row>
    <row r="8" spans="2:23" x14ac:dyDescent="0.3">
      <c r="C8" s="24" cm="1">
        <f t="array" ref="C8">IF(D7=MAX(sigma_h),INDEX(mu_h,MATCH(C7,mu_h,0)+1), C7)</f>
        <v>1</v>
      </c>
      <c r="D8" s="25" cm="1">
        <f t="array" ref="D8">IF( D7 &lt; MAX(sigma_h), INDEX(sigma_h, MATCH(D7, sigma_h, 0)+1), MIN( sigma_h))</f>
        <v>14.25</v>
      </c>
      <c r="E8" s="32">
        <f t="shared" si="0"/>
        <v>0.2</v>
      </c>
      <c r="F8" s="33">
        <f t="shared" si="0"/>
        <v>0.2</v>
      </c>
      <c r="G8" s="35">
        <f>(1/$D8)*(1+$C8*(G$4 - mu_thres)/$D8)^(-($C8+1)/$C8)</f>
        <v>6.1273851115291586E-2</v>
      </c>
      <c r="H8" s="35">
        <f>(1/$D8)*(1+$C8*(H$4 - mu_thres)/$D8)^(-($C8+1)/$C8)</f>
        <v>4.7889098928796468E-2</v>
      </c>
      <c r="I8" s="35">
        <f>(1/$D8)*(1+$C8*(I$4 - mu_thres)/$D8)^(-($C8+1)/$C8)</f>
        <v>3.4750800182898944E-2</v>
      </c>
      <c r="J8" s="35">
        <f>(1/$D8)*(1+$C8*(J$4 - mu_thres)/$D8)^(-($C8+1)/$C8)</f>
        <v>3.1557093425605538E-2</v>
      </c>
      <c r="K8" s="35">
        <f>(1/$D8)*(1+$C8*(K$4 - mu_thres)/$D8)^(-($C8+1)/$C8)</f>
        <v>2.878424441358414E-2</v>
      </c>
      <c r="L8" s="35">
        <f>(1/$D8)*(1+$C8*(L$4 - mu_thres)/$D8)^(-($C8+1)/$C8)</f>
        <v>2.423211818471676E-2</v>
      </c>
      <c r="M8" s="35">
        <f>(1/$D8)*(1+$C8*(M$4 - mu_thres)/$D8)^(-($C8+1)/$C8)</f>
        <v>1.3701099693528033E-2</v>
      </c>
      <c r="N8" s="35">
        <f>(1/$D8)*(1+$C8*(N$4 - mu_thres)/$D8)^(-($C8+1)/$C8)</f>
        <v>8.7959569461054741E-3</v>
      </c>
      <c r="O8" s="35">
        <f>(1/$D8)*(1+$C8*(O$4 - mu_thres)/$D8)^(-($C8+1)/$C8)</f>
        <v>4.3477431780477097E-3</v>
      </c>
      <c r="P8" s="35">
        <f>(1/$D8)*(1+$C8*(P$4 - mu_thres)/$D8)^(-($C8+1)/$C8)</f>
        <v>4.1040787162297767E-5</v>
      </c>
      <c r="Q8" s="35">
        <f>(1/$D8)*(1+$C8*(Q$4 - mu_thres)/$D8)^(-($C8+1)/$C8)</f>
        <v>2.2876294730555875E-5</v>
      </c>
      <c r="R8" s="35">
        <f>(1/$D8)*(1+$C8*(R$4 - mu_thres)/$D8)^(-($C8+1)/$C8)</f>
        <v>1.1416004667743943E-5</v>
      </c>
      <c r="S8" s="42">
        <f t="shared" si="1"/>
        <v>1.2604852442210765E-29</v>
      </c>
      <c r="T8" s="43">
        <f t="shared" si="2"/>
        <v>5.0419409768843066E-31</v>
      </c>
      <c r="U8" s="47">
        <f t="shared" si="3"/>
        <v>1.739851371140631E-2</v>
      </c>
      <c r="W8" s="51" t="str">
        <f>'grid-approx'!C8&amp;"-"&amp;'grid-approx'!D8</f>
        <v>1-14.25</v>
      </c>
    </row>
    <row r="9" spans="2:23" x14ac:dyDescent="0.3">
      <c r="B9">
        <v>10</v>
      </c>
      <c r="C9" s="24" cm="1">
        <f t="array" ref="C9">IF(D8=MAX(sigma_h),INDEX(mu_h,MATCH(C8,mu_h,0)+1), C8)</f>
        <v>1</v>
      </c>
      <c r="D9" s="25" cm="1">
        <f t="array" ref="D9">IF( D8 &lt; MAX(sigma_h), INDEX(sigma_h, MATCH(D8, sigma_h, 0)+1), MIN( sigma_h))</f>
        <v>15</v>
      </c>
      <c r="E9" s="32">
        <f t="shared" si="0"/>
        <v>0.2</v>
      </c>
      <c r="F9" s="33">
        <f t="shared" si="0"/>
        <v>0.2</v>
      </c>
      <c r="G9" s="35">
        <f>(1/$D9)*(1+$C9*(G$4 - mu_thres)/$D9)^(-($C9+1)/$C9)</f>
        <v>5.859375E-2</v>
      </c>
      <c r="H9" s="35">
        <f>(1/$D9)*(1+$C9*(H$4 - mu_thres)/$D9)^(-($C9+1)/$C9)</f>
        <v>4.6296296296296294E-2</v>
      </c>
      <c r="I9" s="35">
        <f>(1/$D9)*(1+$C9*(I$4 - mu_thres)/$D9)^(-($C9+1)/$C9)</f>
        <v>3.4013605442176881E-2</v>
      </c>
      <c r="J9" s="35">
        <f>(1/$D9)*(1+$C9*(J$4 - mu_thres)/$D9)^(-($C9+1)/$C9)</f>
        <v>3.0991735537190077E-2</v>
      </c>
      <c r="K9" s="35">
        <f>(1/$D9)*(1+$C9*(K$4 - mu_thres)/$D9)^(-($C9+1)/$C9)</f>
        <v>2.835538752362949E-2</v>
      </c>
      <c r="L9" s="35">
        <f>(1/$D9)*(1+$C9*(L$4 - mu_thres)/$D9)^(-($C9+1)/$C9)</f>
        <v>2.4000000000000007E-2</v>
      </c>
      <c r="M9" s="35">
        <f>(1/$D9)*(1+$C9*(M$4 - mu_thres)/$D9)^(-($C9+1)/$C9)</f>
        <v>1.3774104683195591E-2</v>
      </c>
      <c r="N9" s="35">
        <f>(1/$D9)*(1+$C9*(N$4 - mu_thres)/$D9)^(-($C9+1)/$C9)</f>
        <v>8.92325996430696E-3</v>
      </c>
      <c r="O9" s="35">
        <f>(1/$D9)*(1+$C9*(O$4 - mu_thres)/$D9)^(-($C9+1)/$C9)</f>
        <v>4.4589774078478001E-3</v>
      </c>
      <c r="P9" s="35">
        <f>(1/$D9)*(1+$C9*(P$4 - mu_thres)/$D9)^(-($C9+1)/$C9)</f>
        <v>4.3091065785693758E-5</v>
      </c>
      <c r="Q9" s="35">
        <f>(1/$D9)*(1+$C9*(Q$4 - mu_thres)/$D9)^(-($C9+1)/$C9)</f>
        <v>2.4034609838166965E-5</v>
      </c>
      <c r="R9" s="35">
        <f>(1/$D9)*(1+$C9*(R$4 - mu_thres)/$D9)^(-($C9+1)/$C9)</f>
        <v>1.2000729644362376E-5</v>
      </c>
      <c r="S9" s="42">
        <f t="shared" si="1"/>
        <v>1.325553007394842E-29</v>
      </c>
      <c r="T9" s="43">
        <f t="shared" si="2"/>
        <v>5.3022120295793687E-31</v>
      </c>
      <c r="U9" s="47">
        <f t="shared" si="3"/>
        <v>1.8296645898942445E-2</v>
      </c>
      <c r="W9" s="51" t="str">
        <f>'grid-approx'!C9&amp;"-"&amp;'grid-approx'!D9</f>
        <v>1-15</v>
      </c>
    </row>
    <row r="10" spans="2:23" x14ac:dyDescent="0.3">
      <c r="C10" s="22" cm="1">
        <f t="array" ref="C10">IF(D9=MAX(sigma_h),INDEX(mu_h,MATCH(C9,mu_h,0)+1), C9)</f>
        <v>1.5</v>
      </c>
      <c r="D10" s="23" cm="1">
        <f t="array" ref="D10">IF( D9 &lt; MAX(sigma_h), INDEX(sigma_h, MATCH(D9, sigma_h, 0)+1), MIN( sigma_h))</f>
        <v>12</v>
      </c>
      <c r="E10" s="31">
        <f t="shared" si="0"/>
        <v>0.2</v>
      </c>
      <c r="F10" s="15">
        <f t="shared" si="0"/>
        <v>0.2</v>
      </c>
      <c r="G10" s="35">
        <f>(1/$D10)*(1+$C10*(G$4 - mu_thres)/$D10)^(-($C10+1)/$C10)</f>
        <v>6.8480125861791072E-2</v>
      </c>
      <c r="H10" s="35">
        <f>(1/$D10)*(1+$C10*(H$4 - mu_thres)/$D10)^(-($C10+1)/$C10)</f>
        <v>4.9013335329351301E-2</v>
      </c>
      <c r="I10" s="35">
        <f>(1/$D10)*(1+$C10*(I$4 - mu_thres)/$D10)^(-($C10+1)/$C10)</f>
        <v>3.2791051213268432E-2</v>
      </c>
      <c r="J10" s="35">
        <f>(1/$D10)*(1+$C10*(J$4 - mu_thres)/$D10)^(-($C10+1)/$C10)</f>
        <v>2.9229180140212977E-2</v>
      </c>
      <c r="K10" s="35">
        <f>(1/$D10)*(1+$C10*(K$4 - mu_thres)/$D10)^(-($C10+1)/$C10)</f>
        <v>2.624835520614319E-2</v>
      </c>
      <c r="L10" s="35">
        <f>(1/$D10)*(1+$C10*(L$4 - mu_thres)/$D10)^(-($C10+1)/$C10)</f>
        <v>2.1569888018180217E-2</v>
      </c>
      <c r="M10" s="35">
        <f>(1/$D10)*(1+$C10*(M$4 - mu_thres)/$D10)^(-($C10+1)/$C10)</f>
        <v>1.1686375023303235E-2</v>
      </c>
      <c r="N10" s="35">
        <f>(1/$D10)*(1+$C10*(N$4 - mu_thres)/$D10)^(-($C10+1)/$C10)</f>
        <v>7.473152944123377E-3</v>
      </c>
      <c r="O10" s="35">
        <f>(1/$D10)*(1+$C10*(O$4 - mu_thres)/$D10)^(-($C10+1)/$C10)</f>
        <v>3.8020553830743964E-3</v>
      </c>
      <c r="P10" s="35">
        <f>(1/$D10)*(1+$C10*(P$4 - mu_thres)/$D10)^(-($C10+1)/$C10)</f>
        <v>6.5542219033286737E-5</v>
      </c>
      <c r="Q10" s="35">
        <f>(1/$D10)*(1+$C10*(Q$4 - mu_thres)/$D10)^(-($C10+1)/$C10)</f>
        <v>4.0089668230039623E-5</v>
      </c>
      <c r="R10" s="35">
        <f>(1/$D10)*(1+$C10*(R$4 - mu_thres)/$D10)^(-($C10+1)/$C10)</f>
        <v>2.2375803219092887E-5</v>
      </c>
      <c r="S10" s="40">
        <f t="shared" si="1"/>
        <v>3.5557820289713036E-29</v>
      </c>
      <c r="T10" s="41">
        <f t="shared" si="2"/>
        <v>1.4223128115885215E-30</v>
      </c>
      <c r="U10" s="46">
        <f t="shared" si="3"/>
        <v>4.9080560577334932E-2</v>
      </c>
      <c r="W10" s="51" t="str">
        <f>'grid-approx'!C10&amp;"-"&amp;'grid-approx'!D10</f>
        <v>1.5-12</v>
      </c>
    </row>
    <row r="11" spans="2:23" x14ac:dyDescent="0.3">
      <c r="C11" s="24" cm="1">
        <f t="array" ref="C11">IF(D10=MAX(sigma_h),INDEX(mu_h,MATCH(C10,mu_h,0)+1), C10)</f>
        <v>1.5</v>
      </c>
      <c r="D11" s="25" cm="1">
        <f t="array" ref="D11">IF( D10 &lt; MAX(sigma_h), INDEX(sigma_h, MATCH(D10, sigma_h, 0)+1), MIN( sigma_h))</f>
        <v>12.75</v>
      </c>
      <c r="E11" s="32">
        <f t="shared" si="0"/>
        <v>0.2</v>
      </c>
      <c r="F11" s="33">
        <f t="shared" si="0"/>
        <v>0.2</v>
      </c>
      <c r="G11" s="35">
        <f>(1/$D11)*(1+$C11*(G$4 - mu_thres)/$D11)^(-($C11+1)/$C11)</f>
        <v>6.5160141079816103E-2</v>
      </c>
      <c r="H11" s="35">
        <f>(1/$D11)*(1+$C11*(H$4 - mu_thres)/$D11)^(-($C11+1)/$C11)</f>
        <v>4.7390536376165811E-2</v>
      </c>
      <c r="I11" s="35">
        <f>(1/$D11)*(1+$C11*(I$4 - mu_thres)/$D11)^(-($C11+1)/$C11)</f>
        <v>3.2203866752668321E-2</v>
      </c>
      <c r="J11" s="35">
        <f>(1/$D11)*(1+$C11*(J$4 - mu_thres)/$D11)^(-($C11+1)/$C11)</f>
        <v>2.8816099460398127E-2</v>
      </c>
      <c r="K11" s="35">
        <f>(1/$D11)*(1+$C11*(K$4 - mu_thres)/$D11)^(-($C11+1)/$C11)</f>
        <v>2.5964588918389059E-2</v>
      </c>
      <c r="L11" s="35">
        <f>(1/$D11)*(1+$C11*(L$4 - mu_thres)/$D11)^(-($C11+1)/$C11)</f>
        <v>2.1456974121473401E-2</v>
      </c>
      <c r="M11" s="35">
        <f>(1/$D11)*(1+$C11*(M$4 - mu_thres)/$D11)^(-($C11+1)/$C11)</f>
        <v>1.1788129590232649E-2</v>
      </c>
      <c r="N11" s="35">
        <f>(1/$D11)*(1+$C11*(N$4 - mu_thres)/$D11)^(-($C11+1)/$C11)</f>
        <v>7.5943311916847507E-3</v>
      </c>
      <c r="O11" s="35">
        <f>(1/$D11)*(1+$C11*(O$4 - mu_thres)/$D11)^(-($C11+1)/$C11)</f>
        <v>3.8950165710503202E-3</v>
      </c>
      <c r="P11" s="35">
        <f>(1/$D11)*(1+$C11*(P$4 - mu_thres)/$D11)^(-($C11+1)/$C11)</f>
        <v>6.8148022395206754E-5</v>
      </c>
      <c r="Q11" s="35">
        <f>(1/$D11)*(1+$C11*(Q$4 - mu_thres)/$D11)^(-($C11+1)/$C11)</f>
        <v>4.16987487569832E-5</v>
      </c>
      <c r="R11" s="35">
        <f>(1/$D11)*(1+$C11*(R$4 - mu_thres)/$D11)^(-($C11+1)/$C11)</f>
        <v>2.3281211685303255E-5</v>
      </c>
      <c r="S11" s="42">
        <f t="shared" si="1"/>
        <v>3.6829208782095121E-29</v>
      </c>
      <c r="T11" s="43">
        <f t="shared" si="2"/>
        <v>1.4731683512838051E-30</v>
      </c>
      <c r="U11" s="47">
        <f t="shared" si="3"/>
        <v>5.0835461732953245E-2</v>
      </c>
      <c r="W11" s="51" t="str">
        <f>'grid-approx'!C11&amp;"-"&amp;'grid-approx'!D11</f>
        <v>1.5-12.75</v>
      </c>
    </row>
    <row r="12" spans="2:23" x14ac:dyDescent="0.3">
      <c r="C12" s="24" cm="1">
        <f t="array" ref="C12">IF(D11=MAX(sigma_h),INDEX(mu_h,MATCH(C11,mu_h,0)+1), C11)</f>
        <v>1.5</v>
      </c>
      <c r="D12" s="25" cm="1">
        <f t="array" ref="D12">IF( D11 &lt; MAX(sigma_h), INDEX(sigma_h, MATCH(D11, sigma_h, 0)+1), MIN( sigma_h))</f>
        <v>13.5</v>
      </c>
      <c r="E12" s="32">
        <f t="shared" si="0"/>
        <v>0.2</v>
      </c>
      <c r="F12" s="33">
        <f t="shared" si="0"/>
        <v>0.2</v>
      </c>
      <c r="G12" s="35">
        <f>(1/$D12)*(1+$C12*(G$4 - mu_thres)/$D12)^(-($C12+1)/$C12)</f>
        <v>6.2144650119077174E-2</v>
      </c>
      <c r="H12" s="35">
        <f>(1/$D12)*(1+$C12*(H$4 - mu_thres)/$D12)^(-($C12+1)/$C12)</f>
        <v>4.5860100679092033E-2</v>
      </c>
      <c r="I12" s="35">
        <f>(1/$D12)*(1+$C12*(I$4 - mu_thres)/$D12)^(-($C12+1)/$C12)</f>
        <v>3.1616829373245003E-2</v>
      </c>
      <c r="J12" s="35">
        <f>(1/$D12)*(1+$C12*(J$4 - mu_thres)/$D12)^(-($C12+1)/$C12)</f>
        <v>2.8392509263002179E-2</v>
      </c>
      <c r="K12" s="35">
        <f>(1/$D12)*(1+$C12*(K$4 - mu_thres)/$D12)^(-($C12+1)/$C12)</f>
        <v>2.5663873835752173E-2</v>
      </c>
      <c r="L12" s="35">
        <f>(1/$D12)*(1+$C12*(L$4 - mu_thres)/$D12)^(-($C12+1)/$C12)</f>
        <v>2.1321335907350712E-2</v>
      </c>
      <c r="M12" s="35">
        <f>(1/$D12)*(1+$C12*(M$4 - mu_thres)/$D12)^(-($C12+1)/$C12)</f>
        <v>1.1870366833805827E-2</v>
      </c>
      <c r="N12" s="35">
        <f>(1/$D12)*(1+$C12*(N$4 - mu_thres)/$D12)^(-($C12+1)/$C12)</f>
        <v>7.7023575188841353E-3</v>
      </c>
      <c r="O12" s="35">
        <f>(1/$D12)*(1+$C12*(O$4 - mu_thres)/$D12)^(-($C12+1)/$C12)</f>
        <v>3.9816661332006528E-3</v>
      </c>
      <c r="P12" s="35">
        <f>(1/$D12)*(1+$C12*(P$4 - mu_thres)/$D12)^(-($C12+1)/$C12)</f>
        <v>7.0693964160134851E-5</v>
      </c>
      <c r="Q12" s="35">
        <f>(1/$D12)*(1+$C12*(Q$4 - mu_thres)/$D12)^(-($C12+1)/$C12)</f>
        <v>4.3272332889622628E-5</v>
      </c>
      <c r="R12" s="35">
        <f>(1/$D12)*(1+$C12*(R$4 - mu_thres)/$D12)^(-($C12+1)/$C12)</f>
        <v>2.4167353900800921E-5</v>
      </c>
      <c r="S12" s="42">
        <f t="shared" si="1"/>
        <v>3.767661419542335E-29</v>
      </c>
      <c r="T12" s="43">
        <f t="shared" si="2"/>
        <v>1.5070645678169341E-30</v>
      </c>
      <c r="U12" s="47">
        <f t="shared" si="3"/>
        <v>5.2005137837493602E-2</v>
      </c>
      <c r="W12" s="51" t="str">
        <f>'grid-approx'!C12&amp;"-"&amp;'grid-approx'!D12</f>
        <v>1.5-13.5</v>
      </c>
    </row>
    <row r="13" spans="2:23" x14ac:dyDescent="0.3">
      <c r="C13" s="24" cm="1">
        <f t="array" ref="C13">IF(D12=MAX(sigma_h),INDEX(mu_h,MATCH(C12,mu_h,0)+1), C12)</f>
        <v>1.5</v>
      </c>
      <c r="D13" s="25" cm="1">
        <f t="array" ref="D13">IF( D12 &lt; MAX(sigma_h), INDEX(sigma_h, MATCH(D12, sigma_h, 0)+1), MIN( sigma_h))</f>
        <v>14.25</v>
      </c>
      <c r="E13" s="32">
        <f t="shared" si="0"/>
        <v>0.2</v>
      </c>
      <c r="F13" s="33">
        <f t="shared" si="0"/>
        <v>0.2</v>
      </c>
      <c r="G13" s="35">
        <f>(1/$D13)*(1+$C13*(G$4 - mu_thres)/$D13)^(-($C13+1)/$C13)</f>
        <v>5.9393964175932568E-2</v>
      </c>
      <c r="H13" s="35">
        <f>(1/$D13)*(1+$C13*(H$4 - mu_thres)/$D13)^(-($C13+1)/$C13)</f>
        <v>4.4416171648045483E-2</v>
      </c>
      <c r="I13" s="35">
        <f>(1/$D13)*(1+$C13*(I$4 - mu_thres)/$D13)^(-($C13+1)/$C13)</f>
        <v>3.1034039901732816E-2</v>
      </c>
      <c r="J13" s="35">
        <f>(1/$D13)*(1+$C13*(J$4 - mu_thres)/$D13)^(-($C13+1)/$C13)</f>
        <v>2.796305203043753E-2</v>
      </c>
      <c r="K13" s="35">
        <f>(1/$D13)*(1+$C13*(K$4 - mu_thres)/$D13)^(-($C13+1)/$C13)</f>
        <v>2.5350959220539666E-2</v>
      </c>
      <c r="L13" s="35">
        <f>(1/$D13)*(1+$C13*(L$4 - mu_thres)/$D13)^(-($C13+1)/$C13)</f>
        <v>2.1167364686366871E-2</v>
      </c>
      <c r="M13" s="35">
        <f>(1/$D13)*(1+$C13*(M$4 - mu_thres)/$D13)^(-($C13+1)/$C13)</f>
        <v>1.1935391104820468E-2</v>
      </c>
      <c r="N13" s="35">
        <f>(1/$D13)*(1+$C13*(N$4 - mu_thres)/$D13)^(-($C13+1)/$C13)</f>
        <v>7.7984906545401026E-3</v>
      </c>
      <c r="O13" s="35">
        <f>(1/$D13)*(1+$C13*(O$4 - mu_thres)/$D13)^(-($C13+1)/$C13)</f>
        <v>4.0624900047448852E-3</v>
      </c>
      <c r="P13" s="35">
        <f>(1/$D13)*(1+$C13*(P$4 - mu_thres)/$D13)^(-($C13+1)/$C13)</f>
        <v>7.3184136334590653E-5</v>
      </c>
      <c r="Q13" s="35">
        <f>(1/$D13)*(1+$C13*(Q$4 - mu_thres)/$D13)^(-($C13+1)/$C13)</f>
        <v>4.4812884356016501E-5</v>
      </c>
      <c r="R13" s="35">
        <f>(1/$D13)*(1+$C13*(R$4 - mu_thres)/$D13)^(-($C13+1)/$C13)</f>
        <v>2.5035586987785872E-5</v>
      </c>
      <c r="S13" s="42">
        <f t="shared" si="1"/>
        <v>3.81403482224679E-29</v>
      </c>
      <c r="T13" s="43">
        <f t="shared" si="2"/>
        <v>1.5256139288987162E-30</v>
      </c>
      <c r="U13" s="47">
        <f t="shared" si="3"/>
        <v>5.2645231235252186E-2</v>
      </c>
      <c r="W13" s="51" t="str">
        <f>'grid-approx'!C13&amp;"-"&amp;'grid-approx'!D13</f>
        <v>1.5-14.25</v>
      </c>
    </row>
    <row r="14" spans="2:23" x14ac:dyDescent="0.3">
      <c r="C14" s="26" cm="1">
        <f t="array" ref="C14">IF(D13=MAX(sigma_h),INDEX(mu_h,MATCH(C13,mu_h,0)+1), C13)</f>
        <v>1.5</v>
      </c>
      <c r="D14" s="27" cm="1">
        <f t="array" ref="D14">IF( D13 &lt; MAX(sigma_h), INDEX(sigma_h, MATCH(D13, sigma_h, 0)+1), MIN( sigma_h))</f>
        <v>15</v>
      </c>
      <c r="E14" s="34">
        <f t="shared" si="0"/>
        <v>0.2</v>
      </c>
      <c r="F14" s="16">
        <f t="shared" si="0"/>
        <v>0.2</v>
      </c>
      <c r="G14" s="35">
        <f>(1/$D14)*(1+$C14*(G$4 - mu_thres)/$D14)^(-($C14+1)/$C14)</f>
        <v>5.6874937490708932E-2</v>
      </c>
      <c r="H14" s="35">
        <f>(1/$D14)*(1+$C14*(H$4 - mu_thres)/$D14)^(-($C14+1)/$C14)</f>
        <v>4.3052973690773405E-2</v>
      </c>
      <c r="I14" s="35">
        <f>(1/$D14)*(1+$C14*(I$4 - mu_thres)/$D14)^(-($C14+1)/$C14)</f>
        <v>3.0458518106384017E-2</v>
      </c>
      <c r="J14" s="35">
        <f>(1/$D14)*(1+$C14*(J$4 - mu_thres)/$D14)^(-($C14+1)/$C14)</f>
        <v>2.7531330840307653E-2</v>
      </c>
      <c r="K14" s="35">
        <f>(1/$D14)*(1+$C14*(K$4 - mu_thres)/$D14)^(-($C14+1)/$C14)</f>
        <v>2.5029637841865841E-2</v>
      </c>
      <c r="L14" s="35">
        <f>(1/$D14)*(1+$C14*(L$4 - mu_thres)/$D14)^(-($C14+1)/$C14)</f>
        <v>2.0998684164914554E-2</v>
      </c>
      <c r="M14" s="35">
        <f>(1/$D14)*(1+$C14*(M$4 - mu_thres)/$D14)^(-($C14+1)/$C14)</f>
        <v>1.1985201925280431E-2</v>
      </c>
      <c r="N14" s="35">
        <f>(1/$D14)*(1+$C14*(N$4 - mu_thres)/$D14)^(-($C14+1)/$C14)</f>
        <v>7.883841897053016E-3</v>
      </c>
      <c r="O14" s="35">
        <f>(1/$D14)*(1+$C14*(O$4 - mu_thres)/$D14)^(-($C14+1)/$C14)</f>
        <v>4.137921920648221E-3</v>
      </c>
      <c r="P14" s="35">
        <f>(1/$D14)*(1+$C14*(P$4 - mu_thres)/$D14)^(-($C14+1)/$C14)</f>
        <v>7.5622140177332688E-5</v>
      </c>
      <c r="Q14" s="35">
        <f>(1/$D14)*(1+$C14*(Q$4 - mu_thres)/$D14)^(-($C14+1)/$C14)</f>
        <v>4.6322570010660791E-5</v>
      </c>
      <c r="R14" s="35">
        <f>(1/$D14)*(1+$C14*(R$4 - mu_thres)/$D14)^(-($C14+1)/$C14)</f>
        <v>2.5887103915768207E-5</v>
      </c>
      <c r="S14" s="44">
        <f t="shared" si="1"/>
        <v>3.8264614242850762E-29</v>
      </c>
      <c r="T14" s="45">
        <f t="shared" si="2"/>
        <v>1.5305845697140305E-30</v>
      </c>
      <c r="U14" s="48">
        <f t="shared" si="3"/>
        <v>5.2816755976966168E-2</v>
      </c>
      <c r="W14" s="51" t="str">
        <f>'grid-approx'!C14&amp;"-"&amp;'grid-approx'!D14</f>
        <v>1.5-15</v>
      </c>
    </row>
    <row r="15" spans="2:23" x14ac:dyDescent="0.3">
      <c r="C15" s="24" cm="1">
        <f t="array" ref="C15">IF(D14=MAX(sigma_h),INDEX(mu_h,MATCH(C14,mu_h,0)+1), C14)</f>
        <v>2</v>
      </c>
      <c r="D15" s="25" cm="1">
        <f t="array" ref="D15">IF( D14 &lt; MAX(sigma_h), INDEX(sigma_h, MATCH(D14, sigma_h, 0)+1), MIN( sigma_h))</f>
        <v>12</v>
      </c>
      <c r="E15" s="32">
        <f t="shared" si="0"/>
        <v>0.2</v>
      </c>
      <c r="F15" s="33">
        <f t="shared" si="0"/>
        <v>0.2</v>
      </c>
      <c r="G15" s="35">
        <f>(1/$D15)*(1+$C15*(G$4 - mu_thres)/$D15)^(-($C15+1)/$C15)</f>
        <v>6.613000712661081E-2</v>
      </c>
      <c r="H15" s="35">
        <f>(1/$D15)*(1+$C15*(H$4 - mu_thres)/$D15)^(-($C15+1)/$C15)</f>
        <v>4.5360921162651446E-2</v>
      </c>
      <c r="I15" s="35">
        <f>(1/$D15)*(1+$C15*(I$4 - mu_thres)/$D15)^(-($C15+1)/$C15)</f>
        <v>2.946278254943948E-2</v>
      </c>
      <c r="J15" s="35">
        <f>(1/$D15)*(1+$C15*(J$4 - mu_thres)/$D15)^(-($C15+1)/$C15)</f>
        <v>2.6129470018721433E-2</v>
      </c>
      <c r="K15" s="35">
        <f>(1/$D15)*(1+$C15*(K$4 - mu_thres)/$D15)^(-($C15+1)/$C15)</f>
        <v>2.3380488239570618E-2</v>
      </c>
      <c r="L15" s="35">
        <f>(1/$D15)*(1+$C15*(L$4 - mu_thres)/$D15)^(-($C15+1)/$C15)</f>
        <v>1.9136638615493574E-2</v>
      </c>
      <c r="M15" s="35">
        <f>(1/$D15)*(1+$C15*(M$4 - mu_thres)/$D15)^(-($C15+1)/$C15)</f>
        <v>1.0416666666666668E-2</v>
      </c>
      <c r="N15" s="35">
        <f>(1/$D15)*(1+$C15*(N$4 - mu_thres)/$D15)^(-($C15+1)/$C15)</f>
        <v>6.7658234670659265E-3</v>
      </c>
      <c r="O15" s="35">
        <f>(1/$D15)*(1+$C15*(O$4 - mu_thres)/$D15)^(-($C15+1)/$C15)</f>
        <v>3.5706847562436989E-3</v>
      </c>
      <c r="P15" s="35">
        <f>(1/$D15)*(1+$C15*(P$4 - mu_thres)/$D15)^(-($C15+1)/$C15)</f>
        <v>8.74543529562095E-5</v>
      </c>
      <c r="Q15" s="35">
        <f>(1/$D15)*(1+$C15*(Q$4 - mu_thres)/$D15)^(-($C15+1)/$C15)</f>
        <v>5.6113722320360937E-5</v>
      </c>
      <c r="R15" s="35">
        <f>(1/$D15)*(1+$C15*(R$4 - mu_thres)/$D15)^(-($C15+1)/$C15)</f>
        <v>3.3162579972425153E-5</v>
      </c>
      <c r="S15" s="42">
        <f t="shared" si="1"/>
        <v>4.2315919902288939E-29</v>
      </c>
      <c r="T15" s="43">
        <f t="shared" si="2"/>
        <v>1.6926367960915577E-30</v>
      </c>
      <c r="U15" s="47">
        <f t="shared" si="3"/>
        <v>5.8408784712565588E-2</v>
      </c>
      <c r="W15" s="51" t="str">
        <f>'grid-approx'!C15&amp;"-"&amp;'grid-approx'!D15</f>
        <v>2-12</v>
      </c>
    </row>
    <row r="16" spans="2:23" x14ac:dyDescent="0.3">
      <c r="C16" s="24" cm="1">
        <f t="array" ref="C16">IF(D15=MAX(sigma_h),INDEX(mu_h,MATCH(C15,mu_h,0)+1), C15)</f>
        <v>2</v>
      </c>
      <c r="D16" s="25" cm="1">
        <f t="array" ref="D16">IF( D15 &lt; MAX(sigma_h), INDEX(sigma_h, MATCH(D15, sigma_h, 0)+1), MIN( sigma_h))</f>
        <v>12.75</v>
      </c>
      <c r="E16" s="32">
        <f t="shared" si="0"/>
        <v>0.2</v>
      </c>
      <c r="F16" s="33">
        <f t="shared" si="0"/>
        <v>0.2</v>
      </c>
      <c r="G16" s="35">
        <f>(1/$D16)*(1+$C16*(G$4 - mu_thres)/$D16)^(-($C16+1)/$C16)</f>
        <v>6.3032867115897631E-2</v>
      </c>
      <c r="H16" s="35">
        <f>(1/$D16)*(1+$C16*(H$4 - mu_thres)/$D16)^(-($C16+1)/$C16)</f>
        <v>4.3979793339921705E-2</v>
      </c>
      <c r="I16" s="35">
        <f>(1/$D16)*(1+$C16*(I$4 - mu_thres)/$D16)^(-($C16+1)/$C16)</f>
        <v>2.8999618689505995E-2</v>
      </c>
      <c r="J16" s="35">
        <f>(1/$D16)*(1+$C16*(J$4 - mu_thres)/$D16)^(-($C16+1)/$C16)</f>
        <v>2.5808895124412728E-2</v>
      </c>
      <c r="K16" s="35">
        <f>(1/$D16)*(1+$C16*(K$4 - mu_thres)/$D16)^(-($C16+1)/$C16)</f>
        <v>2.3163187295027043E-2</v>
      </c>
      <c r="L16" s="35">
        <f>(1/$D16)*(1+$C16*(L$4 - mu_thres)/$D16)^(-($C16+1)/$C16)</f>
        <v>1.9051893094266716E-2</v>
      </c>
      <c r="M16" s="35">
        <f>(1/$D16)*(1+$C16*(M$4 - mu_thres)/$D16)^(-($C16+1)/$C16)</f>
        <v>1.0490426911933512E-2</v>
      </c>
      <c r="N16" s="35">
        <f>(1/$D16)*(1+$C16*(N$4 - mu_thres)/$D16)^(-($C16+1)/$C16)</f>
        <v>6.853231986962147E-3</v>
      </c>
      <c r="O16" s="35">
        <f>(1/$D16)*(1+$C16*(O$4 - mu_thres)/$D16)^(-($C16+1)/$C16)</f>
        <v>3.6387266867301035E-3</v>
      </c>
      <c r="P16" s="35">
        <f>(1/$D16)*(1+$C16*(P$4 - mu_thres)/$D16)^(-($C16+1)/$C16)</f>
        <v>9.0058678535607459E-5</v>
      </c>
      <c r="Q16" s="35">
        <f>(1/$D16)*(1+$C16*(Q$4 - mu_thres)/$D16)^(-($C16+1)/$C16)</f>
        <v>5.779906739702586E-5</v>
      </c>
      <c r="R16" s="35">
        <f>(1/$D16)*(1+$C16*(R$4 - mu_thres)/$D16)^(-($C16+1)/$C16)</f>
        <v>3.4165874146560451E-5</v>
      </c>
      <c r="S16" s="42">
        <f t="shared" si="1"/>
        <v>4.2598604358697104E-29</v>
      </c>
      <c r="T16" s="43">
        <f t="shared" si="2"/>
        <v>1.7039441743478842E-30</v>
      </c>
      <c r="U16" s="47">
        <f t="shared" si="3"/>
        <v>5.8798974872535145E-2</v>
      </c>
      <c r="W16" s="51" t="str">
        <f>'grid-approx'!C16&amp;"-"&amp;'grid-approx'!D16</f>
        <v>2-12.75</v>
      </c>
    </row>
    <row r="17" spans="1:23" x14ac:dyDescent="0.3">
      <c r="C17" s="24" cm="1">
        <f t="array" ref="C17">IF(D16=MAX(sigma_h),INDEX(mu_h,MATCH(C16,mu_h,0)+1), C16)</f>
        <v>2</v>
      </c>
      <c r="D17" s="25" cm="1">
        <f t="array" ref="D17">IF( D16 &lt; MAX(sigma_h), INDEX(sigma_h, MATCH(D16, sigma_h, 0)+1), MIN( sigma_h))</f>
        <v>13.5</v>
      </c>
      <c r="E17" s="32">
        <f t="shared" si="0"/>
        <v>0.2</v>
      </c>
      <c r="F17" s="33">
        <f t="shared" si="0"/>
        <v>0.2</v>
      </c>
      <c r="G17" s="35">
        <f>(1/$D17)*(1+$C17*(G$4 - mu_thres)/$D17)^(-($C17+1)/$C17)</f>
        <v>6.021009840370211E-2</v>
      </c>
      <c r="H17" s="35">
        <f>(1/$D17)*(1+$C17*(H$4 - mu_thres)/$D17)^(-($C17+1)/$C17)</f>
        <v>4.2669245863479165E-2</v>
      </c>
      <c r="I17" s="35">
        <f>(1/$D17)*(1+$C17*(I$4 - mu_thres)/$D17)^(-($C17+1)/$C17)</f>
        <v>2.8533602945450934E-2</v>
      </c>
      <c r="J17" s="35">
        <f>(1/$D17)*(1+$C17*(J$4 - mu_thres)/$D17)^(-($C17+1)/$C17)</f>
        <v>2.5478147263468021E-2</v>
      </c>
      <c r="K17" s="35">
        <f>(1/$D17)*(1+$C17*(K$4 - mu_thres)/$D17)^(-($C17+1)/$C17)</f>
        <v>2.2931573735679524E-2</v>
      </c>
      <c r="L17" s="35">
        <f>(1/$D17)*(1+$C17*(L$4 - mu_thres)/$D17)^(-($C17+1)/$C17)</f>
        <v>1.8949583709633983E-2</v>
      </c>
      <c r="M17" s="35">
        <f>(1/$D17)*(1+$C17*(M$4 - mu_thres)/$D17)^(-($C17+1)/$C17)</f>
        <v>1.0550160967011989E-2</v>
      </c>
      <c r="N17" s="35">
        <f>(1/$D17)*(1+$C17*(N$4 - mu_thres)/$D17)^(-($C17+1)/$C17)</f>
        <v>6.9311441996150617E-3</v>
      </c>
      <c r="O17" s="35">
        <f>(1/$D17)*(1+$C17*(O$4 - mu_thres)/$D17)^(-($C17+1)/$C17)</f>
        <v>3.7019646138846843E-3</v>
      </c>
      <c r="P17" s="35">
        <f>(1/$D17)*(1+$C17*(P$4 - mu_thres)/$D17)^(-($C17+1)/$C17)</f>
        <v>9.258002693798995E-5</v>
      </c>
      <c r="Q17" s="35">
        <f>(1/$D17)*(1+$C17*(Q$4 - mu_thres)/$D17)^(-($C17+1)/$C17)</f>
        <v>5.9431960387997841E-5</v>
      </c>
      <c r="R17" s="35">
        <f>(1/$D17)*(1+$C17*(R$4 - mu_thres)/$D17)^(-($C17+1)/$C17)</f>
        <v>3.5138576209330698E-5</v>
      </c>
      <c r="S17" s="42">
        <f t="shared" si="1"/>
        <v>4.2477612366087317E-29</v>
      </c>
      <c r="T17" s="43">
        <f t="shared" si="2"/>
        <v>1.6991044946434931E-30</v>
      </c>
      <c r="U17" s="47">
        <f t="shared" si="3"/>
        <v>5.8631969280677348E-2</v>
      </c>
      <c r="W17" s="51" t="str">
        <f>'grid-approx'!C17&amp;"-"&amp;'grid-approx'!D17</f>
        <v>2-13.5</v>
      </c>
    </row>
    <row r="18" spans="1:23" x14ac:dyDescent="0.3">
      <c r="C18" s="24" cm="1">
        <f t="array" ref="C18">IF(D17=MAX(sigma_h),INDEX(mu_h,MATCH(C17,mu_h,0)+1), C17)</f>
        <v>2</v>
      </c>
      <c r="D18" s="25" cm="1">
        <f t="array" ref="D18">IF( D17 &lt; MAX(sigma_h), INDEX(sigma_h, MATCH(D17, sigma_h, 0)+1), MIN( sigma_h))</f>
        <v>14.25</v>
      </c>
      <c r="E18" s="32">
        <f t="shared" si="0"/>
        <v>0.2</v>
      </c>
      <c r="F18" s="33">
        <f t="shared" si="0"/>
        <v>0.2</v>
      </c>
      <c r="G18" s="35">
        <f>(1/$D18)*(1+$C18*(G$4 - mu_thres)/$D18)^(-($C18+1)/$C18)</f>
        <v>5.7627182176693784E-2</v>
      </c>
      <c r="H18" s="35">
        <f>(1/$D18)*(1+$C18*(H$4 - mu_thres)/$D18)^(-($C18+1)/$C18)</f>
        <v>4.1425703348536347E-2</v>
      </c>
      <c r="I18" s="35">
        <f>(1/$D18)*(1+$C18*(I$4 - mu_thres)/$D18)^(-($C18+1)/$C18)</f>
        <v>2.8068129432876468E-2</v>
      </c>
      <c r="J18" s="35">
        <f>(1/$D18)*(1+$C18*(J$4 - mu_thres)/$D18)^(-($C18+1)/$C18)</f>
        <v>2.5140838251682427E-2</v>
      </c>
      <c r="K18" s="35">
        <f>(1/$D18)*(1+$C18*(K$4 - mu_thres)/$D18)^(-($C18+1)/$C18)</f>
        <v>2.2689209422301276E-2</v>
      </c>
      <c r="L18" s="35">
        <f>(1/$D18)*(1+$C18*(L$4 - mu_thres)/$D18)^(-($C18+1)/$C18)</f>
        <v>1.8832872596400766E-2</v>
      </c>
      <c r="M18" s="35">
        <f>(1/$D18)*(1+$C18*(M$4 - mu_thres)/$D18)^(-($C18+1)/$C18)</f>
        <v>1.0597497750002984E-2</v>
      </c>
      <c r="N18" s="35">
        <f>(1/$D18)*(1+$C18*(N$4 - mu_thres)/$D18)^(-($C18+1)/$C18)</f>
        <v>7.0004927192326531E-3</v>
      </c>
      <c r="O18" s="35">
        <f>(1/$D18)*(1+$C18*(O$4 - mu_thres)/$D18)^(-($C18+1)/$C18)</f>
        <v>3.7608053867167839E-3</v>
      </c>
      <c r="P18" s="35">
        <f>(1/$D18)*(1+$C18*(P$4 - mu_thres)/$D18)^(-($C18+1)/$C18)</f>
        <v>9.5025040257593123E-5</v>
      </c>
      <c r="Q18" s="35">
        <f>(1/$D18)*(1+$C18*(Q$4 - mu_thres)/$D18)^(-($C18+1)/$C18)</f>
        <v>6.1016625669933533E-5</v>
      </c>
      <c r="R18" s="35">
        <f>(1/$D18)*(1+$C18*(R$4 - mu_thres)/$D18)^(-($C18+1)/$C18)</f>
        <v>3.6083164153384204E-5</v>
      </c>
      <c r="S18" s="42">
        <f t="shared" si="1"/>
        <v>4.201748911401916E-29</v>
      </c>
      <c r="T18" s="43">
        <f t="shared" si="2"/>
        <v>1.6806995645607665E-30</v>
      </c>
      <c r="U18" s="47">
        <f t="shared" si="3"/>
        <v>5.7996859845898377E-2</v>
      </c>
      <c r="W18" s="51" t="str">
        <f>'grid-approx'!C18&amp;"-"&amp;'grid-approx'!D18</f>
        <v>2-14.25</v>
      </c>
    </row>
    <row r="19" spans="1:23" x14ac:dyDescent="0.3">
      <c r="C19" s="24" cm="1">
        <f t="array" ref="C19">IF(D18=MAX(sigma_h),INDEX(mu_h,MATCH(C18,mu_h,0)+1), C18)</f>
        <v>2</v>
      </c>
      <c r="D19" s="25" cm="1">
        <f t="array" ref="D19">IF( D18 &lt; MAX(sigma_h), INDEX(sigma_h, MATCH(D18, sigma_h, 0)+1), MIN( sigma_h))</f>
        <v>15</v>
      </c>
      <c r="E19" s="32">
        <f t="shared" si="0"/>
        <v>0.2</v>
      </c>
      <c r="F19" s="33">
        <f t="shared" si="0"/>
        <v>0.2</v>
      </c>
      <c r="G19" s="35">
        <f>(1/$D19)*(1+$C19*(G$4 - mu_thres)/$D19)^(-($C19+1)/$C19)</f>
        <v>5.5255084507513187E-2</v>
      </c>
      <c r="H19" s="35">
        <f>(1/$D19)*(1+$C19*(H$4 - mu_thres)/$D19)^(-($C19+1)/$C19)</f>
        <v>4.0245440701357937E-2</v>
      </c>
      <c r="I19" s="35">
        <f>(1/$D19)*(1+$C19*(I$4 - mu_thres)/$D19)^(-($C19+1)/$C19)</f>
        <v>2.7605777499997403E-2</v>
      </c>
      <c r="J19" s="35">
        <f>(1/$D19)*(1+$C19*(J$4 - mu_thres)/$D19)^(-($C19+1)/$C19)</f>
        <v>2.4799825938899182E-2</v>
      </c>
      <c r="K19" s="35">
        <f>(1/$D19)*(1+$C19*(K$4 - mu_thres)/$D19)^(-($C19+1)/$C19)</f>
        <v>2.2438978827104921E-2</v>
      </c>
      <c r="L19" s="35">
        <f>(1/$D19)*(1+$C19*(L$4 - mu_thres)/$D19)^(-($C19+1)/$C19)</f>
        <v>1.8704390591656496E-2</v>
      </c>
      <c r="M19" s="35">
        <f>(1/$D19)*(1+$C19*(M$4 - mu_thres)/$D19)^(-($C19+1)/$C19)</f>
        <v>1.0633845971502754E-2</v>
      </c>
      <c r="N19" s="35">
        <f>(1/$D19)*(1+$C19*(N$4 - mu_thres)/$D19)^(-($C19+1)/$C19)</f>
        <v>7.0620928866773694E-3</v>
      </c>
      <c r="O19" s="35">
        <f>(1/$D19)*(1+$C19*(O$4 - mu_thres)/$D19)^(-($C19+1)/$C19)</f>
        <v>3.815606402515158E-3</v>
      </c>
      <c r="P19" s="35">
        <f>(1/$D19)*(1+$C19*(P$4 - mu_thres)/$D19)^(-($C19+1)/$C19)</f>
        <v>9.7399503150931327E-5</v>
      </c>
      <c r="Q19" s="35">
        <f>(1/$D19)*(1+$C19*(Q$4 - mu_thres)/$D19)^(-($C19+1)/$C19)</f>
        <v>6.2556741197907699E-5</v>
      </c>
      <c r="R19" s="35">
        <f>(1/$D19)*(1+$C19*(R$4 - mu_thres)/$D19)^(-($C19+1)/$C19)</f>
        <v>3.7001794914627334E-5</v>
      </c>
      <c r="S19" s="42">
        <f t="shared" si="1"/>
        <v>4.1278624032823569E-29</v>
      </c>
      <c r="T19" s="43">
        <f t="shared" si="2"/>
        <v>1.6511449613129431E-30</v>
      </c>
      <c r="U19" s="47">
        <f t="shared" si="3"/>
        <v>5.6977002270809936E-2</v>
      </c>
      <c r="W19" s="51" t="str">
        <f>'grid-approx'!C19&amp;"-"&amp;'grid-approx'!D19</f>
        <v>2-15</v>
      </c>
    </row>
    <row r="20" spans="1:23" x14ac:dyDescent="0.3">
      <c r="C20" s="22" cm="1">
        <f t="array" ref="C20">IF(D19=MAX(sigma_h),INDEX(mu_h,MATCH(C19,mu_h,0)+1), C19)</f>
        <v>2.5</v>
      </c>
      <c r="D20" s="23" cm="1">
        <f t="array" ref="D20">IF( D19 &lt; MAX(sigma_h), INDEX(sigma_h, MATCH(D19, sigma_h, 0)+1), MIN( sigma_h))</f>
        <v>12</v>
      </c>
      <c r="E20" s="31">
        <f t="shared" si="0"/>
        <v>0.2</v>
      </c>
      <c r="F20" s="15">
        <f t="shared" si="0"/>
        <v>0.2</v>
      </c>
      <c r="G20" s="35">
        <f>(1/$D20)*(1+$C20*(G$4 - mu_thres)/$D20)^(-($C20+1)/$C20)</f>
        <v>6.3937742067088466E-2</v>
      </c>
      <c r="H20" s="35">
        <f>(1/$D20)*(1+$C20*(H$4 - mu_thres)/$D20)^(-($C20+1)/$C20)</f>
        <v>4.2230287931620925E-2</v>
      </c>
      <c r="I20" s="35">
        <f>(1/$D20)*(1+$C20*(I$4 - mu_thres)/$D20)^(-($C20+1)/$C20)</f>
        <v>2.6777080770313547E-2</v>
      </c>
      <c r="J20" s="35">
        <f>(1/$D20)*(1+$C20*(J$4 - mu_thres)/$D20)^(-($C20+1)/$C20)</f>
        <v>2.3654930481135667E-2</v>
      </c>
      <c r="K20" s="35">
        <f>(1/$D20)*(1+$C20*(K$4 - mu_thres)/$D20)^(-($C20+1)/$C20)</f>
        <v>2.1108750601884583E-2</v>
      </c>
      <c r="L20" s="35">
        <f>(1/$D20)*(1+$C20*(L$4 - mu_thres)/$D20)^(-($C20+1)/$C20)</f>
        <v>1.7226223781464274E-2</v>
      </c>
      <c r="M20" s="35">
        <f>(1/$D20)*(1+$C20*(M$4 - mu_thres)/$D20)^(-($C20+1)/$C20)</f>
        <v>9.4069254116203142E-3</v>
      </c>
      <c r="N20" s="35">
        <f>(1/$D20)*(1+$C20*(N$4 - mu_thres)/$D20)^(-($C20+1)/$C20)</f>
        <v>6.1742680946205285E-3</v>
      </c>
      <c r="O20" s="35">
        <f>(1/$D20)*(1+$C20*(O$4 - mu_thres)/$D20)^(-($C20+1)/$C20)</f>
        <v>3.3370094077100508E-3</v>
      </c>
      <c r="P20" s="35">
        <f>(1/$D20)*(1+$C20*(P$4 - mu_thres)/$D20)^(-($C20+1)/$C20)</f>
        <v>1.0138343249383239E-4</v>
      </c>
      <c r="Q20" s="35">
        <f>(1/$D20)*(1+$C20*(Q$4 - mu_thres)/$D20)^(-($C20+1)/$C20)</f>
        <v>6.6954529585211821E-5</v>
      </c>
      <c r="R20" s="35">
        <f>(1/$D20)*(1+$C20*(R$4 - mu_thres)/$D20)^(-($C20+1)/$C20)</f>
        <v>4.0955344287585857E-5</v>
      </c>
      <c r="S20" s="40">
        <f t="shared" si="1"/>
        <v>3.3509427315773571E-29</v>
      </c>
      <c r="T20" s="41">
        <f t="shared" si="2"/>
        <v>1.340377092630943E-30</v>
      </c>
      <c r="U20" s="46">
        <f t="shared" si="3"/>
        <v>4.6253157923727722E-2</v>
      </c>
      <c r="W20" s="51" t="str">
        <f>'grid-approx'!C20&amp;"-"&amp;'grid-approx'!D20</f>
        <v>2.5-12</v>
      </c>
    </row>
    <row r="21" spans="1:23" x14ac:dyDescent="0.3">
      <c r="C21" s="24" cm="1">
        <f t="array" ref="C21">IF(D20=MAX(sigma_h),INDEX(mu_h,MATCH(C20,mu_h,0)+1), C20)</f>
        <v>2.5</v>
      </c>
      <c r="D21" s="25" cm="1">
        <f t="array" ref="D21">IF( D20 &lt; MAX(sigma_h), INDEX(sigma_h, MATCH(D20, sigma_h, 0)+1), MIN( sigma_h))</f>
        <v>12.75</v>
      </c>
      <c r="E21" s="32">
        <f t="shared" si="0"/>
        <v>0.2</v>
      </c>
      <c r="F21" s="33">
        <f t="shared" si="0"/>
        <v>0.2</v>
      </c>
      <c r="G21" s="35">
        <f>(1/$D21)*(1+$C21*(G$4 - mu_thres)/$D21)^(-($C21+1)/$C21)</f>
        <v>6.1041653985011476E-2</v>
      </c>
      <c r="H21" s="35">
        <f>(1/$D21)*(1+$C21*(H$4 - mu_thres)/$D21)^(-($C21+1)/$C21)</f>
        <v>4.1040159062640774E-2</v>
      </c>
      <c r="I21" s="35">
        <f>(1/$D21)*(1+$C21*(I$4 - mu_thres)/$D21)^(-($C21+1)/$C21)</f>
        <v>2.6401943143246558E-2</v>
      </c>
      <c r="J21" s="35">
        <f>(1/$D21)*(1+$C21*(J$4 - mu_thres)/$D21)^(-($C21+1)/$C21)</f>
        <v>2.3398528349907091E-2</v>
      </c>
      <c r="K21" s="35">
        <f>(1/$D21)*(1+$C21*(K$4 - mu_thres)/$D21)^(-($C21+1)/$C21)</f>
        <v>2.0936700854428114E-2</v>
      </c>
      <c r="L21" s="35">
        <f>(1/$D21)*(1+$C21*(L$4 - mu_thres)/$D21)^(-($C21+1)/$C21)</f>
        <v>1.7160120593886118E-2</v>
      </c>
      <c r="M21" s="35">
        <f>(1/$D21)*(1+$C21*(M$4 - mu_thres)/$D21)^(-($C21+1)/$C21)</f>
        <v>9.4630533803198962E-3</v>
      </c>
      <c r="N21" s="35">
        <f>(1/$D21)*(1+$C21*(N$4 - mu_thres)/$D21)^(-($C21+1)/$C21)</f>
        <v>6.2405593397267317E-3</v>
      </c>
      <c r="O21" s="35">
        <f>(1/$D21)*(1+$C21*(O$4 - mu_thres)/$D21)^(-($C21+1)/$C21)</f>
        <v>3.3891044587870665E-3</v>
      </c>
      <c r="P21" s="35">
        <f>(1/$D21)*(1+$C21*(P$4 - mu_thres)/$D21)^(-($C21+1)/$C21)</f>
        <v>1.037968204252612E-4</v>
      </c>
      <c r="Q21" s="35">
        <f>(1/$D21)*(1+$C21*(Q$4 - mu_thres)/$D21)^(-($C21+1)/$C21)</f>
        <v>6.8561083562390375E-5</v>
      </c>
      <c r="R21" s="35">
        <f>(1/$D21)*(1+$C21*(R$4 - mu_thres)/$D21)^(-($C21+1)/$C21)</f>
        <v>4.1944741760730723E-5</v>
      </c>
      <c r="S21" s="42">
        <f t="shared" si="1"/>
        <v>3.3217531531984196E-29</v>
      </c>
      <c r="T21" s="43">
        <f t="shared" si="2"/>
        <v>1.3287012612793678E-30</v>
      </c>
      <c r="U21" s="47">
        <f t="shared" si="3"/>
        <v>4.5850253342349656E-2</v>
      </c>
      <c r="W21" s="51" t="str">
        <f>'grid-approx'!C21&amp;"-"&amp;'grid-approx'!D21</f>
        <v>2.5-12.75</v>
      </c>
    </row>
    <row r="22" spans="1:23" x14ac:dyDescent="0.3">
      <c r="C22" s="24" cm="1">
        <f t="array" ref="C22">IF(D21=MAX(sigma_h),INDEX(mu_h,MATCH(C21,mu_h,0)+1), C21)</f>
        <v>2.5</v>
      </c>
      <c r="D22" s="25" cm="1">
        <f t="array" ref="D22">IF( D21 &lt; MAX(sigma_h), INDEX(sigma_h, MATCH(D21, sigma_h, 0)+1), MIN( sigma_h))</f>
        <v>13.5</v>
      </c>
      <c r="E22" s="32">
        <f t="shared" si="0"/>
        <v>0.2</v>
      </c>
      <c r="F22" s="33">
        <f t="shared" si="0"/>
        <v>0.2</v>
      </c>
      <c r="G22" s="35">
        <f>(1/$D22)*(1+$C22*(G$4 - mu_thres)/$D22)^(-($C22+1)/$C22)</f>
        <v>5.8393637794477378E-2</v>
      </c>
      <c r="H22" s="35">
        <f>(1/$D22)*(1+$C22*(H$4 - mu_thres)/$D22)^(-($C22+1)/$C22)</f>
        <v>3.9904924620289425E-2</v>
      </c>
      <c r="I22" s="35">
        <f>(1/$D22)*(1+$C22*(I$4 - mu_thres)/$D22)^(-($C22+1)/$C22)</f>
        <v>2.6022601034320803E-2</v>
      </c>
      <c r="J22" s="35">
        <f>(1/$D22)*(1+$C22*(J$4 - mu_thres)/$D22)^(-($C22+1)/$C22)</f>
        <v>2.3132743164095207E-2</v>
      </c>
      <c r="K22" s="35">
        <f>(1/$D22)*(1+$C22*(K$4 - mu_thres)/$D22)^(-($C22+1)/$C22)</f>
        <v>2.0752516964125771E-2</v>
      </c>
      <c r="L22" s="35">
        <f>(1/$D22)*(1+$C22*(L$4 - mu_thres)/$D22)^(-($C22+1)/$C22)</f>
        <v>1.7080024372976406E-2</v>
      </c>
      <c r="M22" s="35">
        <f>(1/$D22)*(1+$C22*(M$4 - mu_thres)/$D22)^(-($C22+1)/$C22)</f>
        <v>9.5085719018065291E-3</v>
      </c>
      <c r="N22" s="35">
        <f>(1/$D22)*(1+$C22*(N$4 - mu_thres)/$D22)^(-($C22+1)/$C22)</f>
        <v>6.2996437139447485E-3</v>
      </c>
      <c r="O22" s="35">
        <f>(1/$D22)*(1+$C22*(O$4 - mu_thres)/$D22)^(-($C22+1)/$C22)</f>
        <v>3.4374309974580064E-3</v>
      </c>
      <c r="P22" s="35">
        <f>(1/$D22)*(1+$C22*(P$4 - mu_thres)/$D22)^(-($C22+1)/$C22)</f>
        <v>1.0612046149933399E-4</v>
      </c>
      <c r="Q22" s="35">
        <f>(1/$D22)*(1+$C22*(Q$4 - mu_thres)/$D22)^(-($C22+1)/$C22)</f>
        <v>7.0108928590727979E-5</v>
      </c>
      <c r="R22" s="35">
        <f>(1/$D22)*(1+$C22*(R$4 - mu_thres)/$D22)^(-($C22+1)/$C22)</f>
        <v>4.2898526127173913E-5</v>
      </c>
      <c r="S22" s="42">
        <f t="shared" si="1"/>
        <v>3.2674521238522118E-29</v>
      </c>
      <c r="T22" s="43">
        <f t="shared" si="2"/>
        <v>1.3069808495408849E-30</v>
      </c>
      <c r="U22" s="47">
        <f t="shared" si="3"/>
        <v>4.5100734688359158E-2</v>
      </c>
      <c r="W22" s="51" t="str">
        <f>'grid-approx'!C22&amp;"-"&amp;'grid-approx'!D22</f>
        <v>2.5-13.5</v>
      </c>
    </row>
    <row r="23" spans="1:23" x14ac:dyDescent="0.3">
      <c r="C23" s="24" cm="1">
        <f t="array" ref="C23">IF(D22=MAX(sigma_h),INDEX(mu_h,MATCH(C22,mu_h,0)+1), C22)</f>
        <v>2.5</v>
      </c>
      <c r="D23" s="25" cm="1">
        <f t="array" ref="D23">IF( D22 &lt; MAX(sigma_h), INDEX(sigma_h, MATCH(D22, sigma_h, 0)+1), MIN( sigma_h))</f>
        <v>14.25</v>
      </c>
      <c r="E23" s="32">
        <f t="shared" si="0"/>
        <v>0.2</v>
      </c>
      <c r="F23" s="33">
        <f t="shared" si="0"/>
        <v>0.2</v>
      </c>
      <c r="G23" s="35">
        <f>(1/$D23)*(1+$C23*(G$4 - mu_thres)/$D23)^(-($C23+1)/$C23)</f>
        <v>5.5963544075318852E-2</v>
      </c>
      <c r="H23" s="35">
        <f>(1/$D23)*(1+$C23*(H$4 - mu_thres)/$D23)^(-($C23+1)/$C23)</f>
        <v>3.8822453632694064E-2</v>
      </c>
      <c r="I23" s="35">
        <f>(1/$D23)*(1+$C23*(I$4 - mu_thres)/$D23)^(-($C23+1)/$C23)</f>
        <v>2.5641871954133123E-2</v>
      </c>
      <c r="J23" s="35">
        <f>(1/$D23)*(1+$C23*(J$4 - mu_thres)/$D23)^(-($C23+1)/$C23)</f>
        <v>2.2860447324905345E-2</v>
      </c>
      <c r="K23" s="35">
        <f>(1/$D23)*(1+$C23*(K$4 - mu_thres)/$D23)^(-($C23+1)/$C23)</f>
        <v>2.055895990597344E-2</v>
      </c>
      <c r="L23" s="35">
        <f>(1/$D23)*(1+$C23*(L$4 - mu_thres)/$D23)^(-($C23+1)/$C23)</f>
        <v>1.6988319501369163E-2</v>
      </c>
      <c r="M23" s="35">
        <f>(1/$D23)*(1+$C23*(M$4 - mu_thres)/$D23)^(-($C23+1)/$C23)</f>
        <v>9.5446992653538867E-3</v>
      </c>
      <c r="N23" s="35">
        <f>(1/$D23)*(1+$C23*(N$4 - mu_thres)/$D23)^(-($C23+1)/$C23)</f>
        <v>6.3522409985803333E-3</v>
      </c>
      <c r="O23" s="35">
        <f>(1/$D23)*(1+$C23*(O$4 - mu_thres)/$D23)^(-($C23+1)/$C23)</f>
        <v>3.4823256991371146E-3</v>
      </c>
      <c r="P23" s="35">
        <f>(1/$D23)*(1+$C23*(P$4 - mu_thres)/$D23)^(-($C23+1)/$C23)</f>
        <v>1.0836209109513305E-4</v>
      </c>
      <c r="Q23" s="35">
        <f>(1/$D23)*(1+$C23*(Q$4 - mu_thres)/$D23)^(-($C23+1)/$C23)</f>
        <v>7.1603142427057573E-5</v>
      </c>
      <c r="R23" s="35">
        <f>(1/$D23)*(1+$C23*(R$4 - mu_thres)/$D23)^(-($C23+1)/$C23)</f>
        <v>4.3819787489701183E-5</v>
      </c>
      <c r="S23" s="42">
        <f t="shared" si="1"/>
        <v>3.1931000841290829E-29</v>
      </c>
      <c r="T23" s="43">
        <f t="shared" si="2"/>
        <v>1.2772400336516332E-30</v>
      </c>
      <c r="U23" s="47">
        <f t="shared" si="3"/>
        <v>4.4074451367293162E-2</v>
      </c>
      <c r="W23" s="51" t="str">
        <f>'grid-approx'!C23&amp;"-"&amp;'grid-approx'!D23</f>
        <v>2.5-14.25</v>
      </c>
    </row>
    <row r="24" spans="1:23" x14ac:dyDescent="0.3">
      <c r="C24" s="26" cm="1">
        <f t="array" ref="C24">IF(D23=MAX(sigma_h),INDEX(mu_h,MATCH(C23,mu_h,0)+1), C23)</f>
        <v>2.5</v>
      </c>
      <c r="D24" s="27" cm="1">
        <f t="array" ref="D24">IF( D23 &lt; MAX(sigma_h), INDEX(sigma_h, MATCH(D23, sigma_h, 0)+1), MIN( sigma_h))</f>
        <v>15</v>
      </c>
      <c r="E24" s="34">
        <f t="shared" si="0"/>
        <v>0.2</v>
      </c>
      <c r="F24" s="16">
        <f t="shared" si="0"/>
        <v>0.2</v>
      </c>
      <c r="G24" s="35">
        <f>(1/$D24)*(1+$C24*(G$4 - mu_thres)/$D24)^(-($C24+1)/$C24)</f>
        <v>5.372584260765173E-2</v>
      </c>
      <c r="H24" s="35">
        <f>(1/$D24)*(1+$C24*(H$4 - mu_thres)/$D24)^(-($C24+1)/$C24)</f>
        <v>3.779035557409751E-2</v>
      </c>
      <c r="I24" s="35">
        <f>(1/$D24)*(1+$C24*(I$4 - mu_thres)/$D24)^(-($C24+1)/$C24)</f>
        <v>2.5261942775173303E-2</v>
      </c>
      <c r="J24" s="35">
        <f>(1/$D24)*(1+$C24*(J$4 - mu_thres)/$D24)^(-($C24+1)/$C24)</f>
        <v>2.2583944520255847E-2</v>
      </c>
      <c r="K24" s="35">
        <f>(1/$D24)*(1+$C24*(K$4 - mu_thres)/$D24)^(-($C24+1)/$C24)</f>
        <v>2.0358287422536991E-2</v>
      </c>
      <c r="L24" s="35">
        <f>(1/$D24)*(1+$C24*(L$4 - mu_thres)/$D24)^(-($C24+1)/$C24)</f>
        <v>1.6887000481507666E-2</v>
      </c>
      <c r="M24" s="35">
        <f>(1/$D24)*(1+$C24*(M$4 - mu_thres)/$D24)^(-($C24+1)/$C24)</f>
        <v>9.5724862916419587E-3</v>
      </c>
      <c r="N24" s="35">
        <f>(1/$D24)*(1+$C24*(N$4 - mu_thres)/$D24)^(-($C24+1)/$C24)</f>
        <v>6.3989765971225613E-3</v>
      </c>
      <c r="O24" s="35">
        <f>(1/$D24)*(1+$C24*(O$4 - mu_thres)/$D24)^(-($C24+1)/$C24)</f>
        <v>3.5240817907704184E-3</v>
      </c>
      <c r="P24" s="35">
        <f>(1/$D24)*(1+$C24*(P$4 - mu_thres)/$D24)^(-($C24+1)/$C24)</f>
        <v>1.105284058224736E-4</v>
      </c>
      <c r="Q24" s="35">
        <f>(1/$D24)*(1+$C24*(Q$4 - mu_thres)/$D24)^(-($C24+1)/$C24)</f>
        <v>7.3048120141541229E-5</v>
      </c>
      <c r="R24" s="35">
        <f>(1/$D24)*(1+$C24*(R$4 - mu_thres)/$D24)^(-($C24+1)/$C24)</f>
        <v>4.4711200088167063E-5</v>
      </c>
      <c r="S24" s="44">
        <f t="shared" si="1"/>
        <v>3.1031662819713025E-29</v>
      </c>
      <c r="T24" s="45">
        <f t="shared" si="2"/>
        <v>1.2412665127885212E-30</v>
      </c>
      <c r="U24" s="48">
        <f t="shared" si="3"/>
        <v>4.2833092535736222E-2</v>
      </c>
      <c r="W24" s="51" t="str">
        <f>'grid-approx'!C24&amp;"-"&amp;'grid-approx'!D24</f>
        <v>2.5-15</v>
      </c>
    </row>
    <row r="25" spans="1:23" x14ac:dyDescent="0.3">
      <c r="C25" s="24" cm="1">
        <f t="array" ref="C25">IF(D24=MAX(sigma_h),INDEX(mu_h,MATCH(C24,mu_h,0)+1), C24)</f>
        <v>3</v>
      </c>
      <c r="D25" s="25" cm="1">
        <f t="array" ref="D25">IF( D24 &lt; MAX(sigma_h), INDEX(sigma_h, MATCH(D24, sigma_h, 0)+1), MIN( sigma_h))</f>
        <v>12</v>
      </c>
      <c r="E25" s="32">
        <f t="shared" si="0"/>
        <v>0.2</v>
      </c>
      <c r="F25" s="33">
        <f t="shared" si="0"/>
        <v>0.2</v>
      </c>
      <c r="G25" s="35">
        <f>(1/$D25)*(1+$C25*(G$4 - mu_thres)/$D25)^(-($C25+1)/$C25)</f>
        <v>6.1887851114837057E-2</v>
      </c>
      <c r="H25" s="35">
        <f>(1/$D25)*(1+$C25*(H$4 - mu_thres)/$D25)^(-($C25+1)/$C25)</f>
        <v>3.9515549207916355E-2</v>
      </c>
      <c r="I25" s="35">
        <f>(1/$D25)*(1+$C25*(I$4 - mu_thres)/$D25)^(-($C25+1)/$C25)</f>
        <v>2.4560209990935909E-2</v>
      </c>
      <c r="J25" s="35">
        <f>(1/$D25)*(1+$C25*(J$4 - mu_thres)/$D25)^(-($C25+1)/$C25)</f>
        <v>2.1629268348594188E-2</v>
      </c>
      <c r="K25" s="35">
        <f>(1/$D25)*(1+$C25*(K$4 - mu_thres)/$D25)^(-($C25+1)/$C25)</f>
        <v>1.9260035398628739E-2</v>
      </c>
      <c r="L25" s="35">
        <f>(1/$D25)*(1+$C25*(L$4 - mu_thres)/$D25)^(-($C25+1)/$C25)</f>
        <v>1.5681756095436893E-2</v>
      </c>
      <c r="M25" s="35">
        <f>(1/$D25)*(1+$C25*(M$4 - mu_thres)/$D25)^(-($C25+1)/$C25)</f>
        <v>8.5835808324652256E-3</v>
      </c>
      <c r="N25" s="35">
        <f>(1/$D25)*(1+$C25*(N$4 - mu_thres)/$D25)^(-($C25+1)/$C25)</f>
        <v>5.6763661658781718E-3</v>
      </c>
      <c r="O25" s="35">
        <f>(1/$D25)*(1+$C25*(O$4 - mu_thres)/$D25)^(-($C25+1)/$C25)</f>
        <v>3.1196192997761454E-3</v>
      </c>
      <c r="P25" s="35">
        <f>(1/$D25)*(1+$C25*(P$4 - mu_thres)/$D25)^(-($C25+1)/$C25)</f>
        <v>1.0964630244960285E-4</v>
      </c>
      <c r="Q25" s="35">
        <f>(1/$D25)*(1+$C25*(Q$4 - mu_thres)/$D25)^(-($C25+1)/$C25)</f>
        <v>7.3821375346338005E-5</v>
      </c>
      <c r="R25" s="35">
        <f>(1/$D25)*(1+$C25*(R$4 - mu_thres)/$D25)^(-($C25+1)/$C25)</f>
        <v>4.6206376716255654E-5</v>
      </c>
      <c r="S25" s="42">
        <f t="shared" si="1"/>
        <v>2.2305791892398734E-29</v>
      </c>
      <c r="T25" s="43">
        <f t="shared" si="2"/>
        <v>8.9223167569594937E-31</v>
      </c>
      <c r="U25" s="47">
        <f t="shared" si="3"/>
        <v>3.078874805261967E-2</v>
      </c>
      <c r="W25" s="51" t="str">
        <f>'grid-approx'!C25&amp;"-"&amp;'grid-approx'!D25</f>
        <v>3-12</v>
      </c>
    </row>
    <row r="26" spans="1:23" x14ac:dyDescent="0.3">
      <c r="C26" s="24" cm="1">
        <f t="array" ref="C26">IF(D25=MAX(sigma_h),INDEX(mu_h,MATCH(C25,mu_h,0)+1), C25)</f>
        <v>3</v>
      </c>
      <c r="D26" s="25" cm="1">
        <f t="array" ref="D26">IF( D25 &lt; MAX(sigma_h), INDEX(sigma_h, MATCH(D25, sigma_h, 0)+1), MIN( sigma_h))</f>
        <v>12.75</v>
      </c>
      <c r="E26" s="32">
        <f t="shared" si="0"/>
        <v>0.2</v>
      </c>
      <c r="F26" s="33">
        <f t="shared" si="0"/>
        <v>0.2</v>
      </c>
      <c r="G26" s="35">
        <f>(1/$D26)*(1+$C26*(G$4 - mu_thres)/$D26)^(-($C26+1)/$C26)</f>
        <v>5.9173780637998344E-2</v>
      </c>
      <c r="H26" s="35">
        <f>(1/$D26)*(1+$C26*(H$4 - mu_thres)/$D26)^(-($C26+1)/$C26)</f>
        <v>3.8479053416720366E-2</v>
      </c>
      <c r="I26" s="35">
        <f>(1/$D26)*(1+$C26*(I$4 - mu_thres)/$D26)^(-($C26+1)/$C26)</f>
        <v>2.4249897175289279E-2</v>
      </c>
      <c r="J26" s="35">
        <f>(1/$D26)*(1+$C26*(J$4 - mu_thres)/$D26)^(-($C26+1)/$C26)</f>
        <v>2.1419287755557497E-2</v>
      </c>
      <c r="K26" s="35">
        <f>(1/$D26)*(1+$C26*(K$4 - mu_thres)/$D26)^(-($C26+1)/$C26)</f>
        <v>1.9120251640267167E-2</v>
      </c>
      <c r="L26" s="35">
        <f>(1/$D26)*(1+$C26*(L$4 - mu_thres)/$D26)^(-($C26+1)/$C26)</f>
        <v>1.5628665743231924E-2</v>
      </c>
      <c r="M26" s="35">
        <f>(1/$D26)*(1+$C26*(M$4 - mu_thres)/$D26)^(-($C26+1)/$C26)</f>
        <v>8.6278324281761094E-3</v>
      </c>
      <c r="N26" s="35">
        <f>(1/$D26)*(1+$C26*(N$4 - mu_thres)/$D26)^(-($C26+1)/$C26)</f>
        <v>5.7285039467781804E-3</v>
      </c>
      <c r="O26" s="35">
        <f>(1/$D26)*(1+$C26*(O$4 - mu_thres)/$D26)^(-($C26+1)/$C26)</f>
        <v>3.1608651740228874E-3</v>
      </c>
      <c r="P26" s="35">
        <f>(1/$D26)*(1+$C26*(P$4 - mu_thres)/$D26)^(-($C26+1)/$C26)</f>
        <v>1.1182021733279465E-4</v>
      </c>
      <c r="Q26" s="35">
        <f>(1/$D26)*(1+$C26*(Q$4 - mu_thres)/$D26)^(-($C26+1)/$C26)</f>
        <v>7.5296127466200849E-5</v>
      </c>
      <c r="R26" s="35">
        <f>(1/$D26)*(1+$C26*(R$4 - mu_thres)/$D26)^(-($C26+1)/$C26)</f>
        <v>4.7135429638539679E-5</v>
      </c>
      <c r="S26" s="42">
        <f t="shared" si="1"/>
        <v>2.1911568308314706E-29</v>
      </c>
      <c r="T26" s="43">
        <f t="shared" si="2"/>
        <v>8.7646273233258833E-31</v>
      </c>
      <c r="U26" s="47">
        <f t="shared" si="3"/>
        <v>3.0244600117172466E-2</v>
      </c>
      <c r="W26" s="51" t="str">
        <f>'grid-approx'!C26&amp;"-"&amp;'grid-approx'!D26</f>
        <v>3-12.75</v>
      </c>
    </row>
    <row r="27" spans="1:23" x14ac:dyDescent="0.3">
      <c r="C27" s="24" cm="1">
        <f t="array" ref="C27">IF(D26=MAX(sigma_h),INDEX(mu_h,MATCH(C26,mu_h,0)+1), C26)</f>
        <v>3</v>
      </c>
      <c r="D27" s="25" cm="1">
        <f t="array" ref="D27">IF( D26 &lt; MAX(sigma_h), INDEX(sigma_h, MATCH(D26, sigma_h, 0)+1), MIN( sigma_h))</f>
        <v>13.5</v>
      </c>
      <c r="E27" s="32">
        <f t="shared" si="0"/>
        <v>0.2</v>
      </c>
      <c r="F27" s="33">
        <f t="shared" si="0"/>
        <v>0.2</v>
      </c>
      <c r="G27" s="35">
        <f>(1/$D27)*(1+$C27*(G$4 - mu_thres)/$D27)^(-($C27+1)/$C27)</f>
        <v>5.6684718887613082E-2</v>
      </c>
      <c r="H27" s="35">
        <f>(1/$D27)*(1+$C27*(H$4 - mu_thres)/$D27)^(-($C27+1)/$C27)</f>
        <v>3.7485896235633302E-2</v>
      </c>
      <c r="I27" s="35">
        <f>(1/$D27)*(1+$C27*(I$4 - mu_thres)/$D27)^(-($C27+1)/$C27)</f>
        <v>2.3934839400925525E-2</v>
      </c>
      <c r="J27" s="35">
        <f>(1/$D27)*(1+$C27*(J$4 - mu_thres)/$D27)^(-($C27+1)/$C27)</f>
        <v>2.1200810429357387E-2</v>
      </c>
      <c r="K27" s="35">
        <f>(1/$D27)*(1+$C27*(K$4 - mu_thres)/$D27)^(-($C27+1)/$C27)</f>
        <v>1.8970097623947003E-2</v>
      </c>
      <c r="L27" s="35">
        <f>(1/$D27)*(1+$C27*(L$4 - mu_thres)/$D27)^(-($C27+1)/$C27)</f>
        <v>1.5564156183683561E-2</v>
      </c>
      <c r="M27" s="35">
        <f>(1/$D27)*(1+$C27*(M$4 - mu_thres)/$D27)^(-($C27+1)/$C27)</f>
        <v>8.6637562613714591E-3</v>
      </c>
      <c r="N27" s="35">
        <f>(1/$D27)*(1+$C27*(N$4 - mu_thres)/$D27)^(-($C27+1)/$C27)</f>
        <v>5.7749708633530461E-3</v>
      </c>
      <c r="O27" s="35">
        <f>(1/$D27)*(1+$C27*(O$4 - mu_thres)/$D27)^(-($C27+1)/$C27)</f>
        <v>3.1990775667242403E-3</v>
      </c>
      <c r="P27" s="35">
        <f>(1/$D27)*(1+$C27*(P$4 - mu_thres)/$D27)^(-($C27+1)/$C27)</f>
        <v>1.1390557904163185E-4</v>
      </c>
      <c r="Q27" s="35">
        <f>(1/$D27)*(1+$C27*(Q$4 - mu_thres)/$D27)^(-($C27+1)/$C27)</f>
        <v>7.6711667610674728E-5</v>
      </c>
      <c r="R27" s="35">
        <f>(1/$D27)*(1+$C27*(R$4 - mu_thres)/$D27)^(-($C27+1)/$C27)</f>
        <v>4.8027642584673425E-5</v>
      </c>
      <c r="S27" s="42">
        <f t="shared" si="1"/>
        <v>2.1384076824153261E-29</v>
      </c>
      <c r="T27" s="43">
        <f t="shared" si="2"/>
        <v>8.553630729661306E-31</v>
      </c>
      <c r="U27" s="47">
        <f t="shared" si="3"/>
        <v>2.951650211984095E-2</v>
      </c>
      <c r="W27" s="51" t="str">
        <f>'grid-approx'!C27&amp;"-"&amp;'grid-approx'!D27</f>
        <v>3-13.5</v>
      </c>
    </row>
    <row r="28" spans="1:23" x14ac:dyDescent="0.3">
      <c r="C28" s="24" cm="1">
        <f t="array" ref="C28">IF(D27=MAX(sigma_h),INDEX(mu_h,MATCH(C27,mu_h,0)+1), C27)</f>
        <v>3</v>
      </c>
      <c r="D28" s="25" cm="1">
        <f t="array" ref="D28">IF( D27 &lt; MAX(sigma_h), INDEX(sigma_h, MATCH(D27, sigma_h, 0)+1), MIN( sigma_h))</f>
        <v>14.25</v>
      </c>
      <c r="E28" s="32">
        <f t="shared" si="0"/>
        <v>0.2</v>
      </c>
      <c r="F28" s="33">
        <f t="shared" si="0"/>
        <v>0.2</v>
      </c>
      <c r="G28" s="35">
        <f>(1/$D28)*(1+$C28*(G$4 - mu_thres)/$D28)^(-($C28+1)/$C28)</f>
        <v>5.4394228614244644E-2</v>
      </c>
      <c r="H28" s="35">
        <f>(1/$D28)*(1+$C28*(H$4 - mu_thres)/$D28)^(-($C28+1)/$C28)</f>
        <v>3.6534879432239722E-2</v>
      </c>
      <c r="I28" s="35">
        <f>(1/$D28)*(1+$C28*(I$4 - mu_thres)/$D28)^(-($C28+1)/$C28)</f>
        <v>2.3617395159871019E-2</v>
      </c>
      <c r="J28" s="35">
        <f>(1/$D28)*(1+$C28*(J$4 - mu_thres)/$D28)^(-($C28+1)/$C28)</f>
        <v>2.0976166728845606E-2</v>
      </c>
      <c r="K28" s="35">
        <f>(1/$D28)*(1+$C28*(K$4 - mu_thres)/$D28)^(-($C28+1)/$C28)</f>
        <v>1.8811771813846148E-2</v>
      </c>
      <c r="L28" s="35">
        <f>(1/$D28)*(1+$C28*(L$4 - mu_thres)/$D28)^(-($C28+1)/$C28)</f>
        <v>1.5490089297830285E-2</v>
      </c>
      <c r="M28" s="35">
        <f>(1/$D28)*(1+$C28*(M$4 - mu_thres)/$D28)^(-($C28+1)/$C28)</f>
        <v>8.6923008069839398E-3</v>
      </c>
      <c r="N28" s="35">
        <f>(1/$D28)*(1+$C28*(N$4 - mu_thres)/$D28)^(-($C28+1)/$C28)</f>
        <v>5.8163400351773729E-3</v>
      </c>
      <c r="O28" s="35">
        <f>(1/$D28)*(1+$C28*(O$4 - mu_thres)/$D28)^(-($C28+1)/$C28)</f>
        <v>3.2345369293339372E-3</v>
      </c>
      <c r="P28" s="35">
        <f>(1/$D28)*(1+$C28*(P$4 - mu_thres)/$D28)^(-($C28+1)/$C28)</f>
        <v>1.1591036464147627E-4</v>
      </c>
      <c r="Q28" s="35">
        <f>(1/$D28)*(1+$C28*(Q$4 - mu_thres)/$D28)^(-($C28+1)/$C28)</f>
        <v>7.8073342081340139E-5</v>
      </c>
      <c r="R28" s="35">
        <f>(1/$D28)*(1+$C28*(R$4 - mu_thres)/$D28)^(-($C28+1)/$C28)</f>
        <v>4.8886348963421059E-5</v>
      </c>
      <c r="S28" s="42">
        <f t="shared" si="1"/>
        <v>2.0754464980519418E-29</v>
      </c>
      <c r="T28" s="43">
        <f t="shared" si="2"/>
        <v>8.3017859922077682E-31</v>
      </c>
      <c r="U28" s="47">
        <f t="shared" si="3"/>
        <v>2.8647447099597809E-2</v>
      </c>
      <c r="W28" s="51" t="str">
        <f>'grid-approx'!C28&amp;"-"&amp;'grid-approx'!D28</f>
        <v>3-14.25</v>
      </c>
    </row>
    <row r="29" spans="1:23" x14ac:dyDescent="0.3">
      <c r="C29" s="26" cm="1">
        <f t="array" ref="C29">IF(D28=MAX(sigma_h),INDEX(mu_h,MATCH(C28,mu_h,0)+1), C28)</f>
        <v>3</v>
      </c>
      <c r="D29" s="27" cm="1">
        <f t="array" ref="D29">IF( D28 &lt; MAX(sigma_h), INDEX(sigma_h, MATCH(D28, sigma_h, 0)+1), MIN( sigma_h))</f>
        <v>15</v>
      </c>
      <c r="E29" s="34">
        <f t="shared" si="0"/>
        <v>0.2</v>
      </c>
      <c r="F29" s="16">
        <f t="shared" si="0"/>
        <v>0.2</v>
      </c>
      <c r="G29" s="35">
        <f>(1/$D29)*(1+$C29*(G$4 - mu_thres)/$D29)^(-($C29+1)/$C29)</f>
        <v>5.2279779382279359E-2</v>
      </c>
      <c r="H29" s="35">
        <f>(1/$D29)*(1+$C29*(H$4 - mu_thres)/$D29)^(-($C29+1)/$C29)</f>
        <v>3.5624498889097848E-2</v>
      </c>
      <c r="I29" s="35">
        <f>(1/$D29)*(1+$C29*(I$4 - mu_thres)/$D29)^(-($C29+1)/$C29)</f>
        <v>2.3299423025109973E-2</v>
      </c>
      <c r="J29" s="35">
        <f>(1/$D29)*(1+$C29*(J$4 - mu_thres)/$D29)^(-($C29+1)/$C29)</f>
        <v>2.0747244197023913E-2</v>
      </c>
      <c r="K29" s="35">
        <f>(1/$D29)*(1+$C29*(K$4 - mu_thres)/$D29)^(-($C29+1)/$C29)</f>
        <v>1.8647084706080494E-2</v>
      </c>
      <c r="L29" s="35">
        <f>(1/$D29)*(1+$C29*(L$4 - mu_thres)/$D29)^(-($C29+1)/$C29)</f>
        <v>1.5408028318902992E-2</v>
      </c>
      <c r="M29" s="35">
        <f>(1/$D29)*(1+$C29*(M$4 - mu_thres)/$D29)^(-($C29+1)/$C29)</f>
        <v>8.7142824444120907E-3</v>
      </c>
      <c r="N29" s="35">
        <f>(1/$D29)*(1+$C29*(N$4 - mu_thres)/$D29)^(-($C29+1)/$C29)</f>
        <v>5.8531073342899384E-3</v>
      </c>
      <c r="O29" s="35">
        <f>(1/$D29)*(1+$C29*(O$4 - mu_thres)/$D29)^(-($C29+1)/$C29)</f>
        <v>3.2674862113924595E-3</v>
      </c>
      <c r="P29" s="35">
        <f>(1/$D29)*(1+$C29*(P$4 - mu_thres)/$D29)^(-($C29+1)/$C29)</f>
        <v>1.1784145296427961E-4</v>
      </c>
      <c r="Q29" s="35">
        <f>(1/$D29)*(1+$C29*(Q$4 - mu_thres)/$D29)^(-($C29+1)/$C29)</f>
        <v>7.9385760538394699E-5</v>
      </c>
      <c r="R29" s="35">
        <f>(1/$D29)*(1+$C29*(R$4 - mu_thres)/$D29)^(-($C29+1)/$C29)</f>
        <v>4.9714422576845314E-5</v>
      </c>
      <c r="S29" s="44">
        <f t="shared" si="1"/>
        <v>2.0049386544330399E-29</v>
      </c>
      <c r="T29" s="45">
        <f t="shared" si="2"/>
        <v>8.0197546177321599E-31</v>
      </c>
      <c r="U29" s="48">
        <f t="shared" si="3"/>
        <v>2.767422532680092E-2</v>
      </c>
      <c r="W29" s="52" t="str">
        <f>'grid-approx'!C29&amp;"-"&amp;'grid-approx'!D29</f>
        <v>3-15</v>
      </c>
    </row>
    <row r="30" spans="1:23" x14ac:dyDescent="0.3">
      <c r="C30" s="5" t="s">
        <v>24</v>
      </c>
      <c r="D30" s="5" t="s">
        <v>18</v>
      </c>
      <c r="E30" s="5" t="s">
        <v>25</v>
      </c>
      <c r="F30" s="5" t="s">
        <v>26</v>
      </c>
      <c r="G30" s="2" t="s">
        <v>27</v>
      </c>
      <c r="M30" s="5" t="s">
        <v>11</v>
      </c>
      <c r="S30" s="5" t="s">
        <v>28</v>
      </c>
      <c r="T30" s="5" t="s">
        <v>29</v>
      </c>
      <c r="U30" s="5" t="s">
        <v>30</v>
      </c>
    </row>
    <row r="31" spans="1:23" x14ac:dyDescent="0.3">
      <c r="A31" s="54"/>
      <c r="B31" s="54"/>
      <c r="C31" s="55" t="str">
        <f t="shared" ref="C31:F31" ca="1" si="4">_xlfn.FORMULATEXT(C5)</f>
        <v>='grid-setup'!E3</v>
      </c>
      <c r="D31" s="55" t="str">
        <f t="shared" ca="1" si="4"/>
        <v>='grid-setup'!E10</v>
      </c>
      <c r="E31" s="55" t="str">
        <f t="shared" ca="1" si="4"/>
        <v>=1/5</v>
      </c>
      <c r="F31" s="55" t="str">
        <f t="shared" ca="1" si="4"/>
        <v>=1/5</v>
      </c>
      <c r="G31" s="63" t="str">
        <f ca="1">_xlfn.FORMULATEXT(G4)</f>
        <v>{=TRANSPOSE( wages )}</v>
      </c>
      <c r="H31" s="63"/>
      <c r="I31" s="63"/>
      <c r="J31" s="54"/>
      <c r="K31" s="54"/>
      <c r="L31" s="54"/>
      <c r="M31" s="62" t="str">
        <f ca="1">_xlfn.FORMULATEXT(M5)</f>
        <v>=(1/$D5)*(1+$C5*(M$4 - mu_thres)/$D5)^(-($C5+1)/$C5)</v>
      </c>
      <c r="N31" s="62"/>
      <c r="O31" s="62"/>
      <c r="P31" s="62"/>
      <c r="Q31" s="62"/>
      <c r="R31" s="54"/>
      <c r="S31" s="55" t="str">
        <f ca="1">_xlfn.FORMULATEXT(S5)</f>
        <v>=PRODUCT(G5:R5)</v>
      </c>
      <c r="T31" s="55" t="str">
        <f t="shared" ref="T31:U31" ca="1" si="5">_xlfn.FORMULATEXT(T5)</f>
        <v>=S5*E5*F5</v>
      </c>
      <c r="U31" s="55" t="str">
        <f t="shared" ca="1" si="5"/>
        <v>=T5 / sum</v>
      </c>
    </row>
    <row r="32" spans="1:23" x14ac:dyDescent="0.3">
      <c r="T32" s="5" t="s">
        <v>31</v>
      </c>
    </row>
    <row r="33" spans="3:26" x14ac:dyDescent="0.3">
      <c r="C33" s="102" t="s">
        <v>61</v>
      </c>
      <c r="D33" s="102" t="s">
        <v>60</v>
      </c>
      <c r="T33" s="5" t="str">
        <f ca="1">_xlfn.FORMULATEXT(sum)</f>
        <v>=SUM(T5:T29)</v>
      </c>
      <c r="W33" s="2" t="s">
        <v>17</v>
      </c>
    </row>
    <row r="34" spans="3:26" ht="86.4" x14ac:dyDescent="0.3">
      <c r="C34" s="102" t="str">
        <f ca="1">_xlfn.FORMULATEXT(C6)</f>
        <v>=IF(D5=MAX(sigma_h),INDEX(mu_h,MATCH(C5,mu_h,0)+1), C5)</v>
      </c>
      <c r="D34" s="102" t="str">
        <f ca="1">_xlfn.FORMULATEXT(D6)</f>
        <v>=IF( D5 &lt; MAX(sigma_h), INDEX(sigma_h, MATCH(D5, sigma_h, 0)+1), MIN( sigma_h))</v>
      </c>
      <c r="W34" s="103" t="str">
        <f ca="1">_xlfn.FORMULATEXT(W5)</f>
        <v>='grid-approx'!C5&amp;"-"&amp;'grid-approx'!D5</v>
      </c>
      <c r="X34" s="104"/>
      <c r="Y34" s="104"/>
      <c r="Z34" s="104"/>
    </row>
  </sheetData>
  <mergeCells count="4">
    <mergeCell ref="C3:D3"/>
    <mergeCell ref="G3:R3"/>
    <mergeCell ref="M31:Q31"/>
    <mergeCell ref="G31:I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8222-2C65-43E0-876C-F150FBD402FB}">
  <sheetPr codeName="Sheet6"/>
  <dimension ref="B2:P33"/>
  <sheetViews>
    <sheetView topLeftCell="AB1" workbookViewId="0">
      <selection activeCell="AE3" sqref="AE3:AJ12"/>
    </sheetView>
  </sheetViews>
  <sheetFormatPr defaultRowHeight="14.4" x14ac:dyDescent="0.3"/>
  <cols>
    <col min="2" max="2" width="3.33203125" customWidth="1"/>
    <col min="3" max="3" width="12.5546875" customWidth="1"/>
    <col min="4" max="4" width="10.6640625" customWidth="1"/>
    <col min="5" max="5" width="10.5546875" customWidth="1"/>
    <col min="6" max="6" width="11.44140625" customWidth="1"/>
    <col min="7" max="7" width="11.109375" customWidth="1"/>
    <col min="9" max="9" width="11.77734375" customWidth="1"/>
    <col min="14" max="14" width="12.21875" customWidth="1"/>
    <col min="15" max="16" width="10.88671875" customWidth="1"/>
    <col min="27" max="27" width="12.6640625" customWidth="1"/>
    <col min="28" max="28" width="12.21875" customWidth="1"/>
    <col min="29" max="29" width="15.77734375" customWidth="1"/>
    <col min="31" max="31" width="12.44140625" customWidth="1"/>
    <col min="34" max="34" width="4.88671875" customWidth="1"/>
  </cols>
  <sheetData>
    <row r="2" spans="2:16" x14ac:dyDescent="0.3">
      <c r="D2" s="58" t="s">
        <v>5</v>
      </c>
      <c r="E2" s="59"/>
      <c r="F2" s="59"/>
      <c r="G2" s="59"/>
      <c r="H2" s="60"/>
    </row>
    <row r="3" spans="2:16" x14ac:dyDescent="0.3">
      <c r="D3" s="2">
        <f t="array" ref="D3:H3">TRANSPOSE( 'grid-setup'!E10:E14 )</f>
        <v>12</v>
      </c>
      <c r="E3" s="2">
        <v>12.75</v>
      </c>
      <c r="F3" s="97">
        <v>13.5</v>
      </c>
      <c r="G3" s="2">
        <v>14.25</v>
      </c>
      <c r="H3" s="2">
        <v>15</v>
      </c>
      <c r="I3" s="17" t="str">
        <f>"Pr( "&amp;'grid-approx'!C4&amp;" )"</f>
        <v>Pr( xi )</v>
      </c>
      <c r="L3">
        <f ca="1">100+13.5*(RAND()^(-2)-1)/2</f>
        <v>112.57437631218734</v>
      </c>
    </row>
    <row r="4" spans="2:16" x14ac:dyDescent="0.3">
      <c r="B4" s="65" t="str">
        <f>'grid-approx'!C4</f>
        <v>xi</v>
      </c>
      <c r="C4" s="53">
        <f>'grid-setup'!E3</f>
        <v>1</v>
      </c>
      <c r="D4" s="71">
        <f t="shared" ref="D4:H8" si="0">INDEX( Pr_h___d, MATCH( $C4&amp;"-"&amp;D$3, key, 0) )</f>
        <v>1.370288663720599E-2</v>
      </c>
      <c r="E4" s="72">
        <f t="shared" si="0"/>
        <v>1.5092981947917035E-2</v>
      </c>
      <c r="F4" s="98">
        <f t="shared" si="0"/>
        <v>1.6329020888544026E-2</v>
      </c>
      <c r="G4" s="72">
        <f t="shared" si="0"/>
        <v>1.739851371140631E-2</v>
      </c>
      <c r="H4" s="73">
        <f t="shared" si="0"/>
        <v>1.8296645898942445E-2</v>
      </c>
      <c r="I4" s="80">
        <f>SUM(D4:H4)</f>
        <v>8.0820049084015813E-2</v>
      </c>
      <c r="L4">
        <f ca="1">100+13.5*(RAND()^(-2)-1)/2</f>
        <v>104.14025032838336</v>
      </c>
      <c r="P4" s="107"/>
    </row>
    <row r="5" spans="2:16" x14ac:dyDescent="0.3">
      <c r="B5" s="66"/>
      <c r="C5" s="53">
        <f>'grid-setup'!E4</f>
        <v>1.5</v>
      </c>
      <c r="D5" s="74">
        <f t="shared" si="0"/>
        <v>4.9080560577334932E-2</v>
      </c>
      <c r="E5" s="75">
        <f t="shared" si="0"/>
        <v>5.0835461732953245E-2</v>
      </c>
      <c r="F5" s="94">
        <f t="shared" si="0"/>
        <v>5.2005137837493602E-2</v>
      </c>
      <c r="G5" s="75">
        <f t="shared" si="0"/>
        <v>5.2645231235252186E-2</v>
      </c>
      <c r="H5" s="76">
        <f t="shared" si="0"/>
        <v>5.2816755976966168E-2</v>
      </c>
      <c r="I5" s="80">
        <f t="shared" ref="I5:I8" si="1">SUM(D5:H5)</f>
        <v>0.25738314736000012</v>
      </c>
      <c r="L5">
        <f ca="1">100+13.5*(RAND()^(-2)-1)/2</f>
        <v>184.97242364112077</v>
      </c>
      <c r="P5" s="107"/>
    </row>
    <row r="6" spans="2:16" x14ac:dyDescent="0.3">
      <c r="B6" s="66"/>
      <c r="C6" s="92">
        <f>'grid-setup'!E5</f>
        <v>2</v>
      </c>
      <c r="D6" s="93">
        <f t="shared" si="0"/>
        <v>5.8408784712565588E-2</v>
      </c>
      <c r="E6" s="94">
        <f t="shared" si="0"/>
        <v>5.8798974872535145E-2</v>
      </c>
      <c r="F6" s="94">
        <f t="shared" si="0"/>
        <v>5.8631969280677348E-2</v>
      </c>
      <c r="G6" s="94">
        <f t="shared" si="0"/>
        <v>5.7996859845898377E-2</v>
      </c>
      <c r="H6" s="95">
        <f t="shared" si="0"/>
        <v>5.6977002270809936E-2</v>
      </c>
      <c r="I6" s="96">
        <f t="shared" si="1"/>
        <v>0.29081359098248638</v>
      </c>
      <c r="L6">
        <f ca="1">100+13.5*(RAND()^(-2)-1)/2</f>
        <v>294.00033876749296</v>
      </c>
      <c r="P6" s="107"/>
    </row>
    <row r="7" spans="2:16" x14ac:dyDescent="0.3">
      <c r="B7" s="66"/>
      <c r="C7" s="53">
        <f>'grid-setup'!E6</f>
        <v>2.5</v>
      </c>
      <c r="D7" s="74">
        <f t="shared" si="0"/>
        <v>4.6253157923727722E-2</v>
      </c>
      <c r="E7" s="75">
        <f t="shared" si="0"/>
        <v>4.5850253342349656E-2</v>
      </c>
      <c r="F7" s="94">
        <f t="shared" si="0"/>
        <v>4.5100734688359158E-2</v>
      </c>
      <c r="G7" s="75">
        <f t="shared" si="0"/>
        <v>4.4074451367293162E-2</v>
      </c>
      <c r="H7" s="76">
        <f t="shared" si="0"/>
        <v>4.2833092535736222E-2</v>
      </c>
      <c r="I7" s="80">
        <f t="shared" si="1"/>
        <v>0.22411168985746591</v>
      </c>
      <c r="L7">
        <f ca="1">100+13.5*(RAND()^(-2)-1)/2</f>
        <v>575.97060640786208</v>
      </c>
      <c r="P7" s="107"/>
    </row>
    <row r="8" spans="2:16" x14ac:dyDescent="0.3">
      <c r="B8" s="67"/>
      <c r="C8" s="53">
        <f>'grid-setup'!E7</f>
        <v>3</v>
      </c>
      <c r="D8" s="77">
        <f t="shared" si="0"/>
        <v>3.078874805261967E-2</v>
      </c>
      <c r="E8" s="78">
        <f t="shared" si="0"/>
        <v>3.0244600117172466E-2</v>
      </c>
      <c r="F8" s="99">
        <f t="shared" si="0"/>
        <v>2.951650211984095E-2</v>
      </c>
      <c r="G8" s="78">
        <f t="shared" si="0"/>
        <v>2.8647447099597809E-2</v>
      </c>
      <c r="H8" s="79">
        <f t="shared" si="0"/>
        <v>2.767422532680092E-2</v>
      </c>
      <c r="I8" s="80">
        <f t="shared" si="1"/>
        <v>0.14687152271603182</v>
      </c>
      <c r="L8">
        <f ca="1">100+13.5*(RAND()^(-2)-1)/2</f>
        <v>108.4614253754723</v>
      </c>
      <c r="P8" s="107"/>
    </row>
    <row r="9" spans="2:16" x14ac:dyDescent="0.3">
      <c r="C9" t="s">
        <v>12</v>
      </c>
      <c r="D9" s="48">
        <f>SUM(D4:D8)</f>
        <v>0.1982341379034539</v>
      </c>
      <c r="E9" s="48">
        <f t="shared" ref="E9:H9" si="2">SUM(E4:E8)</f>
        <v>0.20082227201292754</v>
      </c>
      <c r="F9" s="100">
        <f t="shared" si="2"/>
        <v>0.20158336481491507</v>
      </c>
      <c r="G9" s="48">
        <f t="shared" si="2"/>
        <v>0.20076250325944783</v>
      </c>
      <c r="H9" s="48">
        <f t="shared" si="2"/>
        <v>0.19859772200925568</v>
      </c>
      <c r="L9">
        <f ca="1">100+13.5*(RAND()^(-2)-1)/2</f>
        <v>134.60927263164953</v>
      </c>
      <c r="P9" s="107"/>
    </row>
    <row r="10" spans="2:16" x14ac:dyDescent="0.3">
      <c r="L10">
        <f ca="1">100+13.5*(RAND()^(-2)-1)/2</f>
        <v>140.45465935535736</v>
      </c>
    </row>
    <row r="11" spans="2:16" x14ac:dyDescent="0.3">
      <c r="C11" s="5" t="s">
        <v>22</v>
      </c>
      <c r="D11" s="2" t="s">
        <v>21</v>
      </c>
      <c r="L11">
        <f ca="1">100+13.5*(RAND()^(-2)-1)/2</f>
        <v>168.08111801506644</v>
      </c>
    </row>
    <row r="12" spans="2:16" x14ac:dyDescent="0.3">
      <c r="C12" s="57" t="str">
        <f ca="1">_xlfn.FORMULATEXT(C4)</f>
        <v>='grid-setup'!E3</v>
      </c>
      <c r="D12" s="68" t="str">
        <f ca="1">_xlfn.FORMULATEXT(D3)</f>
        <v>{=TRANSPOSE( 'grid-setup'!E10:E14 )}</v>
      </c>
      <c r="E12" s="68"/>
      <c r="F12" s="68"/>
      <c r="G12" s="68"/>
      <c r="H12" s="68"/>
      <c r="L12">
        <f ca="1">100+13.5*(RAND()^(-2)-1)/2</f>
        <v>102.67876328948702</v>
      </c>
    </row>
    <row r="13" spans="2:16" x14ac:dyDescent="0.3">
      <c r="D13" s="2" t="s">
        <v>18</v>
      </c>
      <c r="L13">
        <f ca="1">100+13.5*(RAND()^(-2)-1)/2</f>
        <v>106.26196659095876</v>
      </c>
    </row>
    <row r="14" spans="2:16" x14ac:dyDescent="0.3">
      <c r="D14" s="68" t="str">
        <f ca="1">_xlfn.FORMULATEXT(D5)</f>
        <v>=INDEX( Pr_h___d, MATCH( $C5&amp;"-"&amp;D$3, key, 0) )</v>
      </c>
      <c r="E14" s="68"/>
      <c r="F14" s="68"/>
      <c r="G14" s="68"/>
      <c r="H14" s="68"/>
      <c r="L14">
        <f ca="1">100+13.5*(RAND()^(-2)-1)/2</f>
        <v>230.23489984118376</v>
      </c>
    </row>
    <row r="15" spans="2:16" x14ac:dyDescent="0.3">
      <c r="F15" s="5" t="s">
        <v>19</v>
      </c>
      <c r="I15" s="5" t="s">
        <v>20</v>
      </c>
      <c r="L15">
        <f ca="1">100+13.5*(RAND()^(-2)-1)/2</f>
        <v>6343.2787421019557</v>
      </c>
    </row>
    <row r="16" spans="2:16" x14ac:dyDescent="0.3">
      <c r="F16" s="57" t="str">
        <f ca="1">_xlfn.FORMULATEXT(F9)</f>
        <v>=SUM(F4:F8)</v>
      </c>
      <c r="I16" s="57" t="str">
        <f ca="1">_xlfn.FORMULATEXT(I5)</f>
        <v>=SUM(D5:H5)</v>
      </c>
      <c r="L16">
        <f ca="1">100+13.5*(RAND()^(-2)-1)/2</f>
        <v>122.40575769356956</v>
      </c>
    </row>
    <row r="17" spans="12:12" x14ac:dyDescent="0.3">
      <c r="L17">
        <f ca="1">100+13.5*(RAND()^(-2)-1)/2</f>
        <v>113.77910893691677</v>
      </c>
    </row>
    <row r="18" spans="12:12" x14ac:dyDescent="0.3">
      <c r="L18">
        <f ca="1">100+13.5*(RAND()^(-2)-1)/2</f>
        <v>1577.7390274467748</v>
      </c>
    </row>
    <row r="19" spans="12:12" x14ac:dyDescent="0.3">
      <c r="L19">
        <f ca="1">100+13.5*(RAND()^(-2)-1)/2</f>
        <v>170.10820224842206</v>
      </c>
    </row>
    <row r="20" spans="12:12" x14ac:dyDescent="0.3">
      <c r="L20">
        <f ca="1">100+13.5*(RAND()^(-2)-1)/2</f>
        <v>105.96050816233199</v>
      </c>
    </row>
    <row r="21" spans="12:12" x14ac:dyDescent="0.3">
      <c r="L21">
        <f ca="1">100+13.5*(RAND()^(-2)-1)/2</f>
        <v>215.16231839718495</v>
      </c>
    </row>
    <row r="22" spans="12:12" x14ac:dyDescent="0.3">
      <c r="L22">
        <f ca="1">100+13.5*(RAND()^(-2)-1)/2</f>
        <v>390.43815397025037</v>
      </c>
    </row>
    <row r="23" spans="12:12" x14ac:dyDescent="0.3">
      <c r="L23">
        <f ca="1">100+13.5*(RAND()^(-2)-1)/2</f>
        <v>2995.8834400884843</v>
      </c>
    </row>
    <row r="24" spans="12:12" x14ac:dyDescent="0.3">
      <c r="L24">
        <f ca="1">100+13.5*(RAND()^(-2)-1)/2</f>
        <v>102.64834359357181</v>
      </c>
    </row>
    <row r="25" spans="12:12" x14ac:dyDescent="0.3">
      <c r="L25">
        <f ca="1">100+13.5*(RAND()^(-2)-1)/2</f>
        <v>677.67482684794606</v>
      </c>
    </row>
    <row r="26" spans="12:12" x14ac:dyDescent="0.3">
      <c r="L26">
        <f ca="1">100+13.5*(RAND()^(-2)-1)/2</f>
        <v>119.96702941817425</v>
      </c>
    </row>
    <row r="27" spans="12:12" x14ac:dyDescent="0.3">
      <c r="L27">
        <f ca="1">100+13.5*(RAND()^(-2)-1)/2</f>
        <v>101.0461606479919</v>
      </c>
    </row>
    <row r="28" spans="12:12" x14ac:dyDescent="0.3">
      <c r="L28">
        <f ca="1">100+13.5*(RAND()^(-2)-1)/2</f>
        <v>101.10465543078442</v>
      </c>
    </row>
    <row r="29" spans="12:12" x14ac:dyDescent="0.3">
      <c r="L29">
        <f ca="1">100+13.5*(RAND()^(-2)-1)/2</f>
        <v>148.36859140606262</v>
      </c>
    </row>
    <row r="30" spans="12:12" x14ac:dyDescent="0.3">
      <c r="L30">
        <f ca="1">100+13.5*(RAND()^(-2)-1)/2</f>
        <v>482.68187951525033</v>
      </c>
    </row>
    <row r="31" spans="12:12" x14ac:dyDescent="0.3">
      <c r="L31">
        <f ca="1">100+13.5*(RAND()^(-2)-1)/2</f>
        <v>108.2455546126788</v>
      </c>
    </row>
    <row r="32" spans="12:12" x14ac:dyDescent="0.3">
      <c r="L32">
        <f ca="1">100+13.5*(RAND()^(-2)-1)/2</f>
        <v>101.39144719788263</v>
      </c>
    </row>
    <row r="33" spans="12:12" x14ac:dyDescent="0.3">
      <c r="L33">
        <f ca="1">100+13.5*(RAND()^(-2)-1)/2</f>
        <v>127.1492178365289</v>
      </c>
    </row>
  </sheetData>
  <mergeCells count="4">
    <mergeCell ref="D2:H2"/>
    <mergeCell ref="B4:B8"/>
    <mergeCell ref="D12:H12"/>
    <mergeCell ref="D14:H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E51F-5F9C-48BA-A9E5-7A9729DB825A}">
  <sheetPr codeName="Sheet8"/>
  <dimension ref="B3:Y12"/>
  <sheetViews>
    <sheetView topLeftCell="O1" workbookViewId="0">
      <selection activeCell="AC12" sqref="AC12"/>
    </sheetView>
  </sheetViews>
  <sheetFormatPr defaultRowHeight="14.4" x14ac:dyDescent="0.3"/>
  <cols>
    <col min="1" max="1" width="4" customWidth="1"/>
    <col min="11" max="11" width="14.5546875" customWidth="1"/>
    <col min="12" max="12" width="12.77734375" customWidth="1"/>
    <col min="13" max="13" width="10.77734375" customWidth="1"/>
    <col min="14" max="14" width="16.6640625" customWidth="1"/>
    <col min="16" max="16" width="11.33203125" customWidth="1"/>
    <col min="18" max="18" width="3.6640625" customWidth="1"/>
    <col min="19" max="19" width="21.44140625" customWidth="1"/>
    <col min="20" max="20" width="3.5546875" customWidth="1"/>
    <col min="22" max="22" width="17.6640625" customWidth="1"/>
    <col min="23" max="23" width="18.77734375" customWidth="1"/>
    <col min="25" max="25" width="11.109375" customWidth="1"/>
  </cols>
  <sheetData>
    <row r="3" spans="2:25" x14ac:dyDescent="0.3">
      <c r="B3" s="30" t="str">
        <f>'xi-sigma-grid'!I3</f>
        <v>Pr( xi )</v>
      </c>
      <c r="C3" s="30" t="s">
        <v>35</v>
      </c>
      <c r="D3" s="30" t="s">
        <v>72</v>
      </c>
      <c r="E3" s="30" t="s">
        <v>73</v>
      </c>
      <c r="G3" s="30" t="s">
        <v>12</v>
      </c>
      <c r="H3" s="30" t="s">
        <v>5</v>
      </c>
      <c r="I3" s="30" t="s">
        <v>72</v>
      </c>
      <c r="J3" s="30" t="s">
        <v>73</v>
      </c>
      <c r="L3" s="30" t="s">
        <v>74</v>
      </c>
      <c r="M3" s="30" t="s">
        <v>75</v>
      </c>
      <c r="N3" s="30" t="s">
        <v>76</v>
      </c>
      <c r="P3" s="91" t="s">
        <v>67</v>
      </c>
      <c r="Q3" s="57">
        <f>SUMPRODUCT(B4:B8, C4:C8)</f>
        <v>2.0494157448807488</v>
      </c>
      <c r="S3" s="57" t="str">
        <f ca="1">_xlfn.FORMULATEXT(Q3)</f>
        <v>=SUMPRODUCT(B4:B8, C4:C8)</v>
      </c>
      <c r="U3" s="109" t="s">
        <v>43</v>
      </c>
      <c r="V3" s="109" t="s">
        <v>35</v>
      </c>
      <c r="W3" s="109" t="s">
        <v>5</v>
      </c>
      <c r="Y3" s="154" t="s">
        <v>108</v>
      </c>
    </row>
    <row r="4" spans="2:25" x14ac:dyDescent="0.3">
      <c r="B4" s="106">
        <f>'xi-sigma-grid'!I4</f>
        <v>8.0820049084015813E-2</v>
      </c>
      <c r="C4" s="19">
        <f>'xi-sigma-grid'!C4</f>
        <v>1</v>
      </c>
      <c r="D4" s="19" cm="1">
        <f t="array" ref="D4">C4 - mu_xi</f>
        <v>-1.0494157448807488</v>
      </c>
      <c r="E4" s="19">
        <f>D4^2</f>
        <v>1.1012734056036169</v>
      </c>
      <c r="G4" s="111">
        <f t="array" ref="G4:G8">TRANSPOSE('xi-sigma-grid'!D9:H9)</f>
        <v>0.1982341379034539</v>
      </c>
      <c r="H4" s="111">
        <f t="array" ref="H4:H8">TRANSPOSE('xi-sigma-grid'!D3:H3)</f>
        <v>12</v>
      </c>
      <c r="I4" s="111">
        <f>H4 - mu_sigma</f>
        <v>-1.5005005495935926</v>
      </c>
      <c r="J4" s="111">
        <f>I4^2</f>
        <v>2.2515018993306732</v>
      </c>
      <c r="L4" s="111">
        <f>'xi-sigma-grid'!D4</f>
        <v>1.370288663720599E-2</v>
      </c>
      <c r="M4" s="111">
        <f>L4 / sum_pr_xi_sigma</f>
        <v>7.0300417274661395E-2</v>
      </c>
      <c r="N4" s="111">
        <f>D4 *I4</f>
        <v>1.574648901945733</v>
      </c>
      <c r="P4" s="91" t="s">
        <v>69</v>
      </c>
      <c r="Q4" s="20">
        <f>SUMPRODUCT(G4:G8, H4:H8)</f>
        <v>13.500500549593593</v>
      </c>
      <c r="S4" s="57" t="str">
        <f ca="1">_xlfn.FORMULATEXT(mu_xi)</f>
        <v>=SUMPRODUCT(B4:B8, C4:C8)</v>
      </c>
      <c r="U4">
        <v>2</v>
      </c>
      <c r="V4" s="111">
        <f ca="1">_xlfn.NORM.INV(RAND(), mu_xi, sig_xi)</f>
        <v>2.3065497748629182</v>
      </c>
      <c r="W4" s="111">
        <f ca="1">_xlfn.NORM.INV(_xlfn.NORM.DIST( rho*RAND()+(1-rho^2)^0.5*RAND(), 0,1,TRUE), mu_sigma, sig_sigma )</f>
        <v>13.915438508567217</v>
      </c>
      <c r="Y4" s="19">
        <f ca="1">mu_thres + W4 * ( RAND()^-V4 - 1 ) / V4</f>
        <v>107.77421681817358</v>
      </c>
    </row>
    <row r="5" spans="2:25" x14ac:dyDescent="0.3">
      <c r="B5" s="106">
        <f>'xi-sigma-grid'!I5</f>
        <v>0.25738314736000012</v>
      </c>
      <c r="C5" s="19">
        <f>'xi-sigma-grid'!C5</f>
        <v>1.5</v>
      </c>
      <c r="D5" s="19" cm="1">
        <f t="array" ref="D5">C5 - mu_xi</f>
        <v>-0.54941574488074885</v>
      </c>
      <c r="E5" s="19">
        <f t="shared" ref="E5:E8" si="0">D5^2</f>
        <v>0.30185766072286813</v>
      </c>
      <c r="G5" s="111">
        <v>0.20082227201292754</v>
      </c>
      <c r="H5" s="111">
        <v>12.75</v>
      </c>
      <c r="I5" s="111">
        <f>H5 - mu_sigma</f>
        <v>-0.75050054959359258</v>
      </c>
      <c r="J5" s="111">
        <f>I5^2</f>
        <v>0.56325107494028448</v>
      </c>
      <c r="L5" s="111">
        <f>'xi-sigma-grid'!E5</f>
        <v>5.0835461732953245E-2</v>
      </c>
      <c r="M5" s="111">
        <f>L5 / sum_pr_xi_sigma</f>
        <v>0.26080301667776046</v>
      </c>
      <c r="N5" s="111">
        <f>D5 *I5</f>
        <v>0.41233681848837506</v>
      </c>
      <c r="P5" s="91" t="s">
        <v>70</v>
      </c>
      <c r="Q5" s="20">
        <f>SUMPRODUCT(B4:B8, E4:E8)^0.5</f>
        <v>0.5878974104912309</v>
      </c>
      <c r="S5" s="57" t="str">
        <f ca="1">_xlfn.FORMULATEXT(mu_xi)</f>
        <v>=SUMPRODUCT(B4:B8, C4:C8)</v>
      </c>
      <c r="U5">
        <f>U4+1</f>
        <v>3</v>
      </c>
      <c r="V5" s="111">
        <f ca="1">_xlfn.NORM.INV(RAND(), mu_xi, sig_xi)</f>
        <v>1.6582033207891838</v>
      </c>
      <c r="W5" s="111">
        <f ca="1">_xlfn.NORM.INV(_xlfn.NORM.DIST( rho*RAND()+(1-rho^2)^0.5*RAND(), 0,1,TRUE), mu_sigma, sig_sigma )</f>
        <v>13.880286856747544</v>
      </c>
      <c r="Y5" s="19">
        <f ca="1">mu_thres + W5 * ( RAND()^-V5 - 1 ) / V5</f>
        <v>101.99585298520431</v>
      </c>
    </row>
    <row r="6" spans="2:25" x14ac:dyDescent="0.3">
      <c r="B6" s="106">
        <f>'xi-sigma-grid'!I6</f>
        <v>0.29081359098248638</v>
      </c>
      <c r="C6" s="19">
        <f>'xi-sigma-grid'!C6</f>
        <v>2</v>
      </c>
      <c r="D6" s="19" cm="1">
        <f t="array" ref="D6">C6 - mu_xi</f>
        <v>-4.9415744880748846E-2</v>
      </c>
      <c r="E6" s="19">
        <f t="shared" si="0"/>
        <v>2.4419158421192556E-3</v>
      </c>
      <c r="G6" s="111">
        <v>0.20158336481491507</v>
      </c>
      <c r="H6" s="111">
        <v>13.5</v>
      </c>
      <c r="I6" s="111">
        <f>H6 - mu_sigma</f>
        <v>-5.0054959359258078E-4</v>
      </c>
      <c r="J6" s="111">
        <f>I6^2</f>
        <v>2.5054989564569779E-7</v>
      </c>
      <c r="L6" s="111">
        <f>'xi-sigma-grid'!F6</f>
        <v>5.8631969280677348E-2</v>
      </c>
      <c r="M6" s="111">
        <f>L6 / sum_pr_xi_sigma</f>
        <v>0.30080172267317168</v>
      </c>
      <c r="N6" s="111">
        <f>D6 *I6</f>
        <v>2.4735031017133489E-5</v>
      </c>
      <c r="P6" s="91" t="s">
        <v>68</v>
      </c>
      <c r="Q6" s="20">
        <f>SUMPRODUCT(G4:G8, J4:J8)^0.5</f>
        <v>1.0577158741100616</v>
      </c>
      <c r="S6" s="57" t="str">
        <f ca="1">_xlfn.FORMULATEXT(mu_xi)</f>
        <v>=SUMPRODUCT(B4:B8, C4:C8)</v>
      </c>
      <c r="U6">
        <f>U5+1</f>
        <v>4</v>
      </c>
      <c r="V6" s="111">
        <f ca="1">_xlfn.NORM.INV(RAND(), mu_xi, sig_xi)</f>
        <v>2.5831802754211872</v>
      </c>
      <c r="W6" s="111">
        <f ca="1">_xlfn.NORM.INV(_xlfn.NORM.DIST( rho*RAND()+(1-rho^2)^0.5*RAND(), 0,1,TRUE), mu_sigma, sig_sigma )</f>
        <v>14.12803542221357</v>
      </c>
      <c r="Y6" s="19">
        <f ca="1">mu_thres + W6 * ( RAND()^-V6 - 1 ) / V6</f>
        <v>100.53853241277211</v>
      </c>
    </row>
    <row r="7" spans="2:25" x14ac:dyDescent="0.3">
      <c r="B7" s="106">
        <f>'xi-sigma-grid'!I7</f>
        <v>0.22411168985746591</v>
      </c>
      <c r="C7" s="19">
        <f>'xi-sigma-grid'!C7</f>
        <v>2.5</v>
      </c>
      <c r="D7" s="19" cm="1">
        <f t="array" ref="D7">C7 - mu_xi</f>
        <v>0.45058425511925115</v>
      </c>
      <c r="E7" s="19">
        <f t="shared" si="0"/>
        <v>0.20302617096137041</v>
      </c>
      <c r="G7" s="111">
        <v>0.20076250325944783</v>
      </c>
      <c r="H7" s="111">
        <v>14.25</v>
      </c>
      <c r="I7" s="111">
        <f>H7 - mu_sigma</f>
        <v>0.74949945040640742</v>
      </c>
      <c r="J7" s="111">
        <f>I7^2</f>
        <v>0.56174942615950674</v>
      </c>
      <c r="L7" s="111">
        <f>'xi-sigma-grid'!G7</f>
        <v>4.4074451367293162E-2</v>
      </c>
      <c r="M7" s="111">
        <f>L7 / sum_pr_xi_sigma</f>
        <v>0.22611675950522586</v>
      </c>
      <c r="N7" s="111">
        <f>D7 *I7</f>
        <v>0.33771265157365921</v>
      </c>
      <c r="P7" s="91" t="s">
        <v>66</v>
      </c>
      <c r="Q7" s="20">
        <f>SUMPRODUCT( M4:M8, N4:N8)</f>
        <v>0.49698273318183839</v>
      </c>
      <c r="S7" s="57" t="str">
        <f ca="1">_xlfn.FORMULATEXT(mu_xi)</f>
        <v>=SUMPRODUCT(B4:B8, C4:C8)</v>
      </c>
      <c r="U7">
        <f>U6+1</f>
        <v>5</v>
      </c>
      <c r="V7" s="111">
        <f ca="1">_xlfn.NORM.INV(RAND(), mu_xi, sig_xi)</f>
        <v>2.1016985355476465</v>
      </c>
      <c r="W7" s="111">
        <f ca="1">_xlfn.NORM.INV(_xlfn.NORM.DIST( rho*RAND()+(1-rho^2)^0.5*RAND(), 0,1,TRUE), mu_sigma, sig_sigma )</f>
        <v>14.158328750571291</v>
      </c>
      <c r="Y7" s="19">
        <f ca="1">mu_thres + W7 * ( RAND()^-V7 - 1 ) / V7</f>
        <v>124.7018380636469</v>
      </c>
    </row>
    <row r="8" spans="2:25" x14ac:dyDescent="0.3">
      <c r="B8" s="78">
        <f>'xi-sigma-grid'!I8</f>
        <v>0.14687152271603182</v>
      </c>
      <c r="C8" s="110">
        <f>'xi-sigma-grid'!C8</f>
        <v>3</v>
      </c>
      <c r="D8" s="19" cm="1">
        <f t="array" ref="D8">C8 - mu_xi</f>
        <v>0.95058425511925115</v>
      </c>
      <c r="E8" s="19">
        <f t="shared" si="0"/>
        <v>0.90361042608062159</v>
      </c>
      <c r="G8" s="37">
        <v>0.19859772200925568</v>
      </c>
      <c r="H8" s="37">
        <v>15</v>
      </c>
      <c r="I8" s="111">
        <f>H8 - mu_sigma</f>
        <v>1.4994994504064074</v>
      </c>
      <c r="J8" s="37">
        <f>I8^2</f>
        <v>2.2484986017691178</v>
      </c>
      <c r="L8" s="36">
        <f>'xi-sigma-grid'!H8</f>
        <v>2.767422532680092E-2</v>
      </c>
      <c r="M8" s="37">
        <f>L8 / sum_pr_xi_sigma</f>
        <v>0.14197808386918068</v>
      </c>
      <c r="N8" s="37">
        <f>D8 *I8</f>
        <v>1.4254005681163013</v>
      </c>
      <c r="P8" s="91" t="s">
        <v>71</v>
      </c>
      <c r="Q8" s="20">
        <f>Q7 / (Q5*Q6)</f>
        <v>0.79922807395111162</v>
      </c>
      <c r="S8" s="57" t="str">
        <f ca="1">_xlfn.FORMULATEXT(mu_xi)</f>
        <v>=SUMPRODUCT(B4:B8, C4:C8)</v>
      </c>
      <c r="U8">
        <f>U7+1</f>
        <v>6</v>
      </c>
      <c r="V8" s="111">
        <f ca="1">_xlfn.NORM.INV(RAND(), mu_xi, sig_xi)</f>
        <v>1.1914158442206071</v>
      </c>
      <c r="W8" s="111">
        <f ca="1">_xlfn.NORM.INV(_xlfn.NORM.DIST( rho*RAND()+(1-rho^2)^0.5*RAND(), 0,1,TRUE), mu_sigma, sig_sigma )</f>
        <v>14.487381203442419</v>
      </c>
      <c r="Y8" s="19">
        <f ca="1">mu_thres + W8 * ( RAND()^-V8 - 1 ) / V8</f>
        <v>197.30160646565815</v>
      </c>
    </row>
    <row r="9" spans="2:25" x14ac:dyDescent="0.3">
      <c r="C9" s="19"/>
      <c r="D9" s="19"/>
      <c r="K9" s="132" t="s">
        <v>97</v>
      </c>
      <c r="L9" s="131">
        <f>SUM(L4:L8)</f>
        <v>0.19491899434493065</v>
      </c>
      <c r="U9" s="108">
        <f>U8+1</f>
        <v>7</v>
      </c>
      <c r="V9" s="37">
        <f ca="1">_xlfn.NORM.INV(RAND(), mu_xi, sig_xi)</f>
        <v>2.441841461312185</v>
      </c>
      <c r="W9" s="37">
        <f ca="1">_xlfn.NORM.INV(_xlfn.NORM.DIST( rho*RAND()+(1-rho^2)^0.5*RAND(), 0,1,TRUE), mu_sigma, sig_sigma )</f>
        <v>14.029559822281071</v>
      </c>
      <c r="Y9" s="110">
        <f ca="1">mu_thres + W9 * ( RAND()^-V9 - 1 ) / V9</f>
        <v>126.68381416341008</v>
      </c>
    </row>
    <row r="10" spans="2:25" x14ac:dyDescent="0.3">
      <c r="U10" s="133"/>
      <c r="V10" s="36"/>
      <c r="W10" s="36"/>
    </row>
    <row r="11" spans="2:25" x14ac:dyDescent="0.3">
      <c r="B11" s="102" t="s">
        <v>94</v>
      </c>
      <c r="C11" s="102" t="s">
        <v>22</v>
      </c>
      <c r="D11" s="102" t="s">
        <v>95</v>
      </c>
      <c r="E11" s="102" t="s">
        <v>96</v>
      </c>
      <c r="G11" s="102" t="s">
        <v>27</v>
      </c>
      <c r="H11" s="102" t="s">
        <v>88</v>
      </c>
      <c r="I11" s="102" t="s">
        <v>89</v>
      </c>
      <c r="J11" s="102" t="s">
        <v>90</v>
      </c>
      <c r="K11" s="101"/>
      <c r="L11" s="102" t="s">
        <v>91</v>
      </c>
      <c r="M11" s="102" t="s">
        <v>92</v>
      </c>
      <c r="N11" s="102" t="s">
        <v>93</v>
      </c>
      <c r="V11" s="134" t="s">
        <v>98</v>
      </c>
      <c r="W11" s="134" t="s">
        <v>99</v>
      </c>
      <c r="Y11" s="20" t="s">
        <v>87</v>
      </c>
    </row>
    <row r="12" spans="2:25" ht="96" x14ac:dyDescent="0.3">
      <c r="B12" s="102" t="str">
        <f ca="1">_xlfn.FORMULATEXT(B4)</f>
        <v>='xi-sigma-grid'!I4</v>
      </c>
      <c r="C12" s="102" t="str">
        <f ca="1">_xlfn.FORMULATEXT(C4)</f>
        <v>='xi-sigma-grid'!C4</v>
      </c>
      <c r="D12" s="102" t="str">
        <f ca="1">_xlfn.FORMULATEXT(D4)</f>
        <v>=C4 - mu_xi</v>
      </c>
      <c r="E12" s="102" t="str">
        <f ca="1">_xlfn.FORMULATEXT(E4)</f>
        <v>=D4^2</v>
      </c>
      <c r="G12" s="102" t="str">
        <f ca="1">_xlfn.FORMULATEXT(G4)</f>
        <v>{=TRANSPOSE('xi-sigma-grid'!D9:H9)}</v>
      </c>
      <c r="H12" s="102" t="str">
        <f ca="1">_xlfn.FORMULATEXT(H4)</f>
        <v>{=TRANSPOSE('xi-sigma-grid'!D3:H3)}</v>
      </c>
      <c r="I12" s="102" t="str">
        <f ca="1">_xlfn.FORMULATEXT(I4)</f>
        <v>=H4 - mu_sigma</v>
      </c>
      <c r="J12" s="102" t="str">
        <f ca="1">_xlfn.FORMULATEXT(J4)</f>
        <v>=I4^2</v>
      </c>
      <c r="K12" s="101"/>
      <c r="L12" s="102" t="str">
        <f ca="1">_xlfn.FORMULATEXT(L4)</f>
        <v>='xi-sigma-grid'!D4</v>
      </c>
      <c r="M12" s="102" t="str">
        <f ca="1">_xlfn.FORMULATEXT(M4)</f>
        <v>=L4 / sum_pr_xi_sigma</v>
      </c>
      <c r="N12" s="102" t="str">
        <f ca="1">_xlfn.FORMULATEXT(N4)</f>
        <v>=D4 *I4</v>
      </c>
      <c r="V12" s="134" t="str">
        <f ca="1">_xlfn.FORMULATEXT(V4)</f>
        <v>=NORM.INV(RAND(), mu_xi, sig_xi)</v>
      </c>
      <c r="W12" s="134" t="str">
        <f ca="1">_xlfn.FORMULATEXT(W4)</f>
        <v>=NORM.INV(NORM.DIST( rho*RAND()+(1-rho^2)^0.5*RAND(), 0,1,TRUE), mu_sigma, sig_sigma )</v>
      </c>
      <c r="Y12" s="134" t="str">
        <f ca="1">_xlfn.FORMULATEXT(Y4)</f>
        <v>=mu_thres + W4 * ( RAND()^-V4 - 1 ) / V4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00A5-D384-45DE-A1C8-00BA9BDFCA32}">
  <sheetPr codeName="Sheet9"/>
  <dimension ref="B2:I18"/>
  <sheetViews>
    <sheetView workbookViewId="0">
      <selection activeCell="F10" sqref="F10"/>
    </sheetView>
  </sheetViews>
  <sheetFormatPr defaultRowHeight="14.4" x14ac:dyDescent="0.3"/>
  <sheetData>
    <row r="2" spans="2:9" x14ac:dyDescent="0.3">
      <c r="B2" s="112" t="s">
        <v>43</v>
      </c>
      <c r="C2" s="113"/>
      <c r="D2" s="114">
        <v>1</v>
      </c>
      <c r="E2" s="114">
        <v>2</v>
      </c>
      <c r="F2" s="114">
        <v>3</v>
      </c>
      <c r="G2" s="114">
        <v>4</v>
      </c>
      <c r="H2" s="114">
        <v>5</v>
      </c>
      <c r="I2" s="114">
        <v>6</v>
      </c>
    </row>
    <row r="3" spans="2:9" x14ac:dyDescent="0.3">
      <c r="B3" s="112" t="s">
        <v>77</v>
      </c>
      <c r="C3" s="113"/>
      <c r="D3" s="115">
        <v>110</v>
      </c>
      <c r="E3" s="115">
        <v>143</v>
      </c>
      <c r="F3" s="115">
        <v>101</v>
      </c>
      <c r="G3" s="115">
        <v>1203</v>
      </c>
      <c r="H3" s="115">
        <v>875</v>
      </c>
      <c r="I3" s="115">
        <v>103</v>
      </c>
    </row>
    <row r="5" spans="2:9" x14ac:dyDescent="0.3">
      <c r="C5" s="116"/>
      <c r="D5" s="117" t="s">
        <v>86</v>
      </c>
      <c r="E5" s="118"/>
      <c r="F5" s="116"/>
    </row>
    <row r="6" spans="2:9" x14ac:dyDescent="0.3">
      <c r="C6" s="114" t="s">
        <v>78</v>
      </c>
      <c r="D6" s="114" t="s">
        <v>79</v>
      </c>
      <c r="E6" s="114" t="s">
        <v>80</v>
      </c>
      <c r="F6" s="114" t="s">
        <v>81</v>
      </c>
    </row>
    <row r="7" spans="2:9" x14ac:dyDescent="0.3">
      <c r="C7" s="119" t="s">
        <v>82</v>
      </c>
      <c r="D7" s="120">
        <v>1</v>
      </c>
      <c r="E7" s="121">
        <v>2</v>
      </c>
      <c r="F7" s="122">
        <v>1.7999999999999999E-2</v>
      </c>
    </row>
    <row r="8" spans="2:9" x14ac:dyDescent="0.3">
      <c r="C8" s="123" t="s">
        <v>83</v>
      </c>
      <c r="D8" s="124">
        <v>1</v>
      </c>
      <c r="E8" s="125">
        <v>3</v>
      </c>
      <c r="F8" s="126">
        <v>3.5000000000000003E-2</v>
      </c>
    </row>
    <row r="9" spans="2:9" x14ac:dyDescent="0.3">
      <c r="C9" s="123" t="s">
        <v>84</v>
      </c>
      <c r="D9" s="124">
        <v>1</v>
      </c>
      <c r="E9" s="125">
        <v>4</v>
      </c>
      <c r="F9" s="126">
        <v>5.8000000000000003E-2</v>
      </c>
    </row>
    <row r="10" spans="2:9" x14ac:dyDescent="0.3">
      <c r="C10" s="123" t="s">
        <v>85</v>
      </c>
      <c r="D10" s="124">
        <v>1</v>
      </c>
      <c r="E10" s="125">
        <v>7</v>
      </c>
      <c r="F10" s="126">
        <v>0.11</v>
      </c>
    </row>
    <row r="11" spans="2:9" x14ac:dyDescent="0.3">
      <c r="C11" s="123" t="s">
        <v>82</v>
      </c>
      <c r="D11" s="124">
        <v>2</v>
      </c>
      <c r="E11" s="125">
        <v>3</v>
      </c>
      <c r="F11" s="126">
        <v>2.1999999999999999E-2</v>
      </c>
    </row>
    <row r="12" spans="2:9" x14ac:dyDescent="0.3">
      <c r="C12" s="123" t="s">
        <v>82</v>
      </c>
      <c r="D12" s="124">
        <v>3</v>
      </c>
      <c r="E12" s="125">
        <v>4</v>
      </c>
      <c r="F12" s="126">
        <v>2.1000000000000001E-2</v>
      </c>
    </row>
    <row r="13" spans="2:9" x14ac:dyDescent="0.3">
      <c r="C13" s="123" t="s">
        <v>83</v>
      </c>
      <c r="D13" s="124">
        <v>3</v>
      </c>
      <c r="E13" s="125">
        <v>5</v>
      </c>
      <c r="F13" s="126">
        <v>3.6999999999999998E-2</v>
      </c>
    </row>
    <row r="14" spans="2:9" x14ac:dyDescent="0.3">
      <c r="C14" s="123" t="s">
        <v>82</v>
      </c>
      <c r="D14" s="124">
        <v>4</v>
      </c>
      <c r="E14" s="125">
        <v>5</v>
      </c>
      <c r="F14" s="126">
        <v>2.4E-2</v>
      </c>
    </row>
    <row r="15" spans="2:9" x14ac:dyDescent="0.3">
      <c r="C15" s="123" t="s">
        <v>84</v>
      </c>
      <c r="D15" s="124">
        <v>4</v>
      </c>
      <c r="E15" s="125">
        <v>7</v>
      </c>
      <c r="F15" s="126">
        <v>5.8000000000000003E-2</v>
      </c>
    </row>
    <row r="16" spans="2:9" x14ac:dyDescent="0.3">
      <c r="C16" s="123" t="s">
        <v>82</v>
      </c>
      <c r="D16" s="124">
        <v>5</v>
      </c>
      <c r="E16" s="125">
        <v>6</v>
      </c>
      <c r="F16" s="126">
        <v>2.5000000000000001E-2</v>
      </c>
    </row>
    <row r="17" spans="3:6" x14ac:dyDescent="0.3">
      <c r="C17" s="123" t="s">
        <v>83</v>
      </c>
      <c r="D17" s="124">
        <v>5</v>
      </c>
      <c r="E17" s="125">
        <v>7</v>
      </c>
      <c r="F17" s="126">
        <v>4.1000000000000002E-2</v>
      </c>
    </row>
    <row r="18" spans="3:6" x14ac:dyDescent="0.3">
      <c r="C18" s="127" t="s">
        <v>82</v>
      </c>
      <c r="D18" s="128">
        <v>6</v>
      </c>
      <c r="E18" s="129">
        <v>7</v>
      </c>
      <c r="F18" s="130">
        <v>1.7999999999999999E-2</v>
      </c>
    </row>
  </sheetData>
  <mergeCells count="3">
    <mergeCell ref="B2:C2"/>
    <mergeCell ref="B3:C3"/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615B-77C6-4941-AA5F-A6990A73670A}">
  <sheetPr codeName="Sheet7"/>
  <dimension ref="B2:Q40"/>
  <sheetViews>
    <sheetView tabSelected="1" workbookViewId="0">
      <selection activeCell="O28" sqref="O28"/>
    </sheetView>
  </sheetViews>
  <sheetFormatPr defaultColWidth="9.109375" defaultRowHeight="13.2" x14ac:dyDescent="0.25"/>
  <cols>
    <col min="1" max="1" width="2.33203125" style="136" customWidth="1"/>
    <col min="2" max="2" width="16.44140625" style="136" customWidth="1"/>
    <col min="3" max="4" width="8.109375" style="136" customWidth="1"/>
    <col min="5" max="5" width="10.88671875" style="136" customWidth="1"/>
    <col min="6" max="6" width="8.109375" style="136" customWidth="1"/>
    <col min="7" max="8" width="6.33203125" style="136" customWidth="1"/>
    <col min="9" max="9" width="8.88671875" style="136" customWidth="1"/>
    <col min="10" max="11" width="6.33203125" style="136" customWidth="1"/>
    <col min="12" max="12" width="10.44140625" style="136" customWidth="1"/>
    <col min="13" max="13" width="9.77734375" style="136" customWidth="1"/>
    <col min="14" max="14" width="2.77734375" style="136" customWidth="1"/>
    <col min="15" max="15" width="55.5546875" style="169" customWidth="1"/>
    <col min="16" max="16384" width="9.109375" style="136"/>
  </cols>
  <sheetData>
    <row r="2" spans="2:15" ht="13.8" x14ac:dyDescent="0.25">
      <c r="B2" s="135" t="s">
        <v>100</v>
      </c>
    </row>
    <row r="4" spans="2:15" x14ac:dyDescent="0.25">
      <c r="F4" s="137"/>
    </row>
    <row r="5" spans="2:15" x14ac:dyDescent="0.25">
      <c r="C5" s="138" t="s">
        <v>101</v>
      </c>
      <c r="D5" s="139"/>
      <c r="G5" s="138" t="s">
        <v>102</v>
      </c>
      <c r="H5" s="140"/>
      <c r="I5" s="140"/>
      <c r="J5" s="140"/>
      <c r="K5" s="140"/>
      <c r="L5" s="140"/>
      <c r="M5" s="139"/>
      <c r="N5" s="141"/>
      <c r="O5" s="168" t="s">
        <v>107</v>
      </c>
    </row>
    <row r="6" spans="2:15" x14ac:dyDescent="0.25">
      <c r="B6" s="119" t="s">
        <v>78</v>
      </c>
      <c r="C6" s="119" t="s">
        <v>79</v>
      </c>
      <c r="D6" s="119" t="s">
        <v>80</v>
      </c>
      <c r="E6" s="119" t="s">
        <v>103</v>
      </c>
      <c r="F6" s="119" t="s">
        <v>81</v>
      </c>
      <c r="G6" s="142">
        <v>1</v>
      </c>
      <c r="H6" s="142">
        <f>G6+1</f>
        <v>2</v>
      </c>
      <c r="I6" s="142">
        <f t="shared" ref="I6:M6" si="0">H6+1</f>
        <v>3</v>
      </c>
      <c r="J6" s="142">
        <f t="shared" si="0"/>
        <v>4</v>
      </c>
      <c r="K6" s="142">
        <f t="shared" si="0"/>
        <v>5</v>
      </c>
      <c r="L6" s="142">
        <f t="shared" si="0"/>
        <v>6</v>
      </c>
      <c r="M6" s="142">
        <f t="shared" si="0"/>
        <v>7</v>
      </c>
      <c r="N6" s="141"/>
      <c r="O6" s="168" t="str">
        <f ca="1">_xlfn.FORMULATEXT(M6)</f>
        <v>=L6+1</v>
      </c>
    </row>
    <row r="7" spans="2:15" x14ac:dyDescent="0.25">
      <c r="B7" s="119" t="str">
        <f>'fund-claims'!C7</f>
        <v>A</v>
      </c>
      <c r="C7" s="143">
        <f>'fund-claims'!D7</f>
        <v>1</v>
      </c>
      <c r="D7" s="143">
        <f>'fund-claims'!E7</f>
        <v>2</v>
      </c>
      <c r="E7" s="164">
        <v>936.71673285194993</v>
      </c>
      <c r="F7" s="159">
        <f>'fund-claims'!F7</f>
        <v>1.7999999999999999E-2</v>
      </c>
      <c r="G7" s="120">
        <f t="shared" ref="G7:M18" si="1">IF($C7=G$6,-1,IF($D7=G$6,1+$F7,IF(AND($C7&lt;G$6,$D7&gt;G$6),"&lt;----&gt;","")))</f>
        <v>-1</v>
      </c>
      <c r="H7" s="143">
        <f t="shared" si="1"/>
        <v>1.018</v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21" t="str">
        <f t="shared" si="1"/>
        <v/>
      </c>
      <c r="N7" s="141"/>
      <c r="O7" s="168" t="str">
        <f ca="1">_xlfn.FORMULATEXT(M7)</f>
        <v>=IF($C7=M$6,-1,IF($D7=M$6,1+$F7,IF(AND($C7&lt;M$6,$D7&gt;M$6),"&lt;----&gt;","")))</v>
      </c>
    </row>
    <row r="8" spans="2:15" x14ac:dyDescent="0.25">
      <c r="B8" s="123" t="str">
        <f>'fund-claims'!C8</f>
        <v>B</v>
      </c>
      <c r="C8" s="158">
        <f>'fund-claims'!D8</f>
        <v>1</v>
      </c>
      <c r="D8" s="158">
        <f>'fund-claims'!E8</f>
        <v>3</v>
      </c>
      <c r="E8" s="165">
        <v>0</v>
      </c>
      <c r="F8" s="160">
        <f>'fund-claims'!F8</f>
        <v>3.5000000000000003E-2</v>
      </c>
      <c r="G8" s="124">
        <f t="shared" si="1"/>
        <v>-1</v>
      </c>
      <c r="H8" s="158" t="str">
        <f t="shared" si="1"/>
        <v>&lt;----&gt;</v>
      </c>
      <c r="I8" s="158">
        <f t="shared" si="1"/>
        <v>1.0349999999999999</v>
      </c>
      <c r="J8" s="158" t="str">
        <f t="shared" si="1"/>
        <v/>
      </c>
      <c r="K8" s="158" t="str">
        <f t="shared" si="1"/>
        <v/>
      </c>
      <c r="L8" s="158" t="str">
        <f t="shared" si="1"/>
        <v/>
      </c>
      <c r="M8" s="125" t="str">
        <f t="shared" si="1"/>
        <v/>
      </c>
      <c r="N8" s="141"/>
    </row>
    <row r="9" spans="2:15" x14ac:dyDescent="0.25">
      <c r="B9" s="123" t="str">
        <f>'fund-claims'!C9</f>
        <v>C</v>
      </c>
      <c r="C9" s="158">
        <f>'fund-claims'!D9</f>
        <v>1</v>
      </c>
      <c r="D9" s="158">
        <f>'fund-claims'!E9</f>
        <v>4</v>
      </c>
      <c r="E9" s="165">
        <v>0</v>
      </c>
      <c r="F9" s="160">
        <f>'fund-claims'!F9</f>
        <v>5.8000000000000003E-2</v>
      </c>
      <c r="G9" s="124">
        <f t="shared" si="1"/>
        <v>-1</v>
      </c>
      <c r="H9" s="158" t="str">
        <f t="shared" si="1"/>
        <v>&lt;----&gt;</v>
      </c>
      <c r="I9" s="158" t="str">
        <f t="shared" si="1"/>
        <v>&lt;----&gt;</v>
      </c>
      <c r="J9" s="158">
        <f t="shared" si="1"/>
        <v>1.0580000000000001</v>
      </c>
      <c r="K9" s="158" t="str">
        <f t="shared" si="1"/>
        <v/>
      </c>
      <c r="L9" s="158" t="str">
        <f t="shared" si="1"/>
        <v/>
      </c>
      <c r="M9" s="125" t="str">
        <f t="shared" si="1"/>
        <v/>
      </c>
      <c r="N9" s="141"/>
    </row>
    <row r="10" spans="2:15" x14ac:dyDescent="0.25">
      <c r="B10" s="127" t="str">
        <f>'fund-claims'!C10</f>
        <v>D</v>
      </c>
      <c r="C10" s="144">
        <f>'fund-claims'!D10</f>
        <v>1</v>
      </c>
      <c r="D10" s="144">
        <f>'fund-claims'!E10</f>
        <v>7</v>
      </c>
      <c r="E10" s="166">
        <v>0</v>
      </c>
      <c r="F10" s="160">
        <f>'fund-claims'!F10</f>
        <v>0.11</v>
      </c>
      <c r="G10" s="128">
        <f t="shared" si="1"/>
        <v>-1</v>
      </c>
      <c r="H10" s="144" t="str">
        <f t="shared" si="1"/>
        <v>&lt;----&gt;</v>
      </c>
      <c r="I10" s="144" t="str">
        <f t="shared" si="1"/>
        <v>&lt;----&gt;</v>
      </c>
      <c r="J10" s="144" t="str">
        <f t="shared" si="1"/>
        <v>&lt;----&gt;</v>
      </c>
      <c r="K10" s="144" t="str">
        <f t="shared" si="1"/>
        <v>&lt;----&gt;</v>
      </c>
      <c r="L10" s="144" t="str">
        <f t="shared" si="1"/>
        <v>&lt;----&gt;</v>
      </c>
      <c r="M10" s="129">
        <f t="shared" si="1"/>
        <v>1.1100000000000001</v>
      </c>
      <c r="N10" s="141"/>
      <c r="O10" s="168" t="str">
        <f ca="1">_xlfn.FORMULATEXT(M10)</f>
        <v>=IF($C10=M$6,-1,IF($D10=M$6,1+$F10,IF(AND($C10&lt;M$6,$D10&gt;M$6),"&lt;----&gt;","")))</v>
      </c>
    </row>
    <row r="11" spans="2:15" x14ac:dyDescent="0.25">
      <c r="B11" s="142" t="str">
        <f>'fund-claims'!C11</f>
        <v>A</v>
      </c>
      <c r="C11" s="162">
        <f>'fund-claims'!D11</f>
        <v>2</v>
      </c>
      <c r="D11" s="162">
        <f>'fund-claims'!E11</f>
        <v>3</v>
      </c>
      <c r="E11" s="167">
        <v>736.77646541345632</v>
      </c>
      <c r="F11" s="163">
        <f>'fund-claims'!F11</f>
        <v>2.1999999999999999E-2</v>
      </c>
      <c r="G11" s="141" t="str">
        <f t="shared" si="1"/>
        <v/>
      </c>
      <c r="H11" s="141">
        <f t="shared" si="1"/>
        <v>-1</v>
      </c>
      <c r="I11" s="141">
        <f t="shared" si="1"/>
        <v>1.022</v>
      </c>
      <c r="J11" s="141" t="str">
        <f t="shared" si="1"/>
        <v/>
      </c>
      <c r="K11" s="141" t="str">
        <f t="shared" si="1"/>
        <v/>
      </c>
      <c r="L11" s="141" t="str">
        <f t="shared" si="1"/>
        <v/>
      </c>
      <c r="M11" s="125" t="str">
        <f t="shared" si="1"/>
        <v/>
      </c>
      <c r="N11" s="141"/>
    </row>
    <row r="12" spans="2:15" x14ac:dyDescent="0.25">
      <c r="B12" s="119" t="str">
        <f>'fund-claims'!C12</f>
        <v>A</v>
      </c>
      <c r="C12" s="143">
        <f>'fund-claims'!D12</f>
        <v>3</v>
      </c>
      <c r="D12" s="143">
        <f>'fund-claims'!E12</f>
        <v>4</v>
      </c>
      <c r="E12" s="164">
        <v>642.06072906975112</v>
      </c>
      <c r="F12" s="159">
        <f>'fund-claims'!F12</f>
        <v>2.1000000000000001E-2</v>
      </c>
      <c r="G12" s="141" t="str">
        <f t="shared" si="1"/>
        <v/>
      </c>
      <c r="H12" s="141" t="str">
        <f t="shared" si="1"/>
        <v/>
      </c>
      <c r="I12" s="141">
        <f t="shared" si="1"/>
        <v>-1</v>
      </c>
      <c r="J12" s="141">
        <f t="shared" si="1"/>
        <v>1.0209999999999999</v>
      </c>
      <c r="K12" s="141" t="str">
        <f t="shared" si="1"/>
        <v/>
      </c>
      <c r="L12" s="141" t="str">
        <f t="shared" si="1"/>
        <v/>
      </c>
      <c r="M12" s="125" t="str">
        <f t="shared" si="1"/>
        <v/>
      </c>
      <c r="N12" s="141"/>
    </row>
    <row r="13" spans="2:15" x14ac:dyDescent="0.25">
      <c r="B13" s="127" t="str">
        <f>'fund-claims'!C13</f>
        <v>B</v>
      </c>
      <c r="C13" s="144">
        <f>'fund-claims'!D13</f>
        <v>3</v>
      </c>
      <c r="D13" s="144">
        <f>'fund-claims'!E13</f>
        <v>5</v>
      </c>
      <c r="E13" s="166">
        <v>0</v>
      </c>
      <c r="F13" s="161">
        <f>'fund-claims'!F13</f>
        <v>3.6999999999999998E-2</v>
      </c>
      <c r="G13" s="141" t="str">
        <f t="shared" si="1"/>
        <v/>
      </c>
      <c r="H13" s="141" t="str">
        <f t="shared" si="1"/>
        <v/>
      </c>
      <c r="I13" s="141">
        <f t="shared" si="1"/>
        <v>-1</v>
      </c>
      <c r="J13" s="141" t="str">
        <f t="shared" si="1"/>
        <v>&lt;----&gt;</v>
      </c>
      <c r="K13" s="141">
        <f t="shared" si="1"/>
        <v>1.0369999999999999</v>
      </c>
      <c r="L13" s="141" t="str">
        <f t="shared" si="1"/>
        <v/>
      </c>
      <c r="M13" s="125" t="str">
        <f t="shared" si="1"/>
        <v/>
      </c>
      <c r="N13" s="141"/>
    </row>
    <row r="14" spans="2:15" x14ac:dyDescent="0.25">
      <c r="B14" s="119" t="str">
        <f>'fund-claims'!C14</f>
        <v>A</v>
      </c>
      <c r="C14" s="143">
        <f>'fund-claims'!D14</f>
        <v>4</v>
      </c>
      <c r="D14" s="143">
        <f>'fund-claims'!E14</f>
        <v>5</v>
      </c>
      <c r="E14" s="164">
        <v>540.71158771402895</v>
      </c>
      <c r="F14" s="159">
        <f>'fund-claims'!F14</f>
        <v>2.4E-2</v>
      </c>
      <c r="G14" s="141" t="str">
        <f t="shared" si="1"/>
        <v/>
      </c>
      <c r="H14" s="141" t="str">
        <f t="shared" si="1"/>
        <v/>
      </c>
      <c r="I14" s="141" t="str">
        <f t="shared" si="1"/>
        <v/>
      </c>
      <c r="J14" s="141">
        <f t="shared" si="1"/>
        <v>-1</v>
      </c>
      <c r="K14" s="141">
        <f t="shared" si="1"/>
        <v>1.024</v>
      </c>
      <c r="L14" s="141" t="str">
        <f t="shared" si="1"/>
        <v/>
      </c>
      <c r="M14" s="125" t="str">
        <f t="shared" si="1"/>
        <v/>
      </c>
      <c r="N14" s="141"/>
    </row>
    <row r="15" spans="2:15" x14ac:dyDescent="0.25">
      <c r="B15" s="127" t="str">
        <f>'fund-claims'!C15</f>
        <v>C</v>
      </c>
      <c r="C15" s="144">
        <f>'fund-claims'!D15</f>
        <v>4</v>
      </c>
      <c r="D15" s="144">
        <f>'fund-claims'!E15</f>
        <v>7</v>
      </c>
      <c r="E15" s="166">
        <v>0</v>
      </c>
      <c r="F15" s="161">
        <f>'fund-claims'!F15</f>
        <v>5.8000000000000003E-2</v>
      </c>
      <c r="G15" s="141" t="str">
        <f t="shared" si="1"/>
        <v/>
      </c>
      <c r="H15" s="141" t="str">
        <f t="shared" si="1"/>
        <v/>
      </c>
      <c r="I15" s="141" t="str">
        <f t="shared" si="1"/>
        <v/>
      </c>
      <c r="J15" s="141">
        <f t="shared" si="1"/>
        <v>-1</v>
      </c>
      <c r="K15" s="141" t="str">
        <f t="shared" si="1"/>
        <v>&lt;----&gt;</v>
      </c>
      <c r="L15" s="141" t="str">
        <f t="shared" si="1"/>
        <v>&lt;----&gt;</v>
      </c>
      <c r="M15" s="125">
        <f t="shared" si="1"/>
        <v>1.0580000000000001</v>
      </c>
      <c r="N15" s="141"/>
    </row>
    <row r="16" spans="2:15" x14ac:dyDescent="0.25">
      <c r="B16" s="119" t="str">
        <f>'fund-claims'!C16</f>
        <v>A</v>
      </c>
      <c r="C16" s="143">
        <f>'fund-claims'!D16</f>
        <v>5</v>
      </c>
      <c r="D16" s="143">
        <f>'fund-claims'!E16</f>
        <v>6</v>
      </c>
      <c r="E16" s="164">
        <v>324.51188145645528</v>
      </c>
      <c r="F16" s="159">
        <f>'fund-claims'!F16</f>
        <v>2.5000000000000001E-2</v>
      </c>
      <c r="G16" s="141" t="str">
        <f t="shared" si="1"/>
        <v/>
      </c>
      <c r="H16" s="141" t="str">
        <f t="shared" si="1"/>
        <v/>
      </c>
      <c r="I16" s="141" t="str">
        <f t="shared" si="1"/>
        <v/>
      </c>
      <c r="J16" s="141" t="str">
        <f t="shared" si="1"/>
        <v/>
      </c>
      <c r="K16" s="141">
        <f t="shared" si="1"/>
        <v>-1</v>
      </c>
      <c r="L16" s="141">
        <f t="shared" si="1"/>
        <v>1.0249999999999999</v>
      </c>
      <c r="M16" s="125" t="str">
        <f t="shared" si="1"/>
        <v/>
      </c>
      <c r="N16" s="141"/>
    </row>
    <row r="17" spans="2:17" x14ac:dyDescent="0.25">
      <c r="B17" s="127" t="str">
        <f>'fund-claims'!C17</f>
        <v>B</v>
      </c>
      <c r="C17" s="144">
        <f>'fund-claims'!D17</f>
        <v>5</v>
      </c>
      <c r="D17" s="144">
        <f>'fund-claims'!E17</f>
        <v>7</v>
      </c>
      <c r="E17" s="166">
        <v>0</v>
      </c>
      <c r="F17" s="161">
        <f>'fund-claims'!F17</f>
        <v>4.1000000000000002E-2</v>
      </c>
      <c r="G17" s="141" t="str">
        <f t="shared" si="1"/>
        <v/>
      </c>
      <c r="H17" s="141" t="str">
        <f t="shared" si="1"/>
        <v/>
      </c>
      <c r="I17" s="141" t="str">
        <f t="shared" si="1"/>
        <v/>
      </c>
      <c r="J17" s="141" t="str">
        <f t="shared" si="1"/>
        <v/>
      </c>
      <c r="K17" s="141">
        <f t="shared" si="1"/>
        <v>-1</v>
      </c>
      <c r="L17" s="141" t="str">
        <f t="shared" si="1"/>
        <v>&lt;----&gt;</v>
      </c>
      <c r="M17" s="125">
        <f t="shared" si="1"/>
        <v>1.0409999999999999</v>
      </c>
      <c r="N17" s="141"/>
    </row>
    <row r="18" spans="2:17" x14ac:dyDescent="0.25">
      <c r="B18" s="127" t="str">
        <f>'fund-claims'!C18</f>
        <v>A</v>
      </c>
      <c r="C18" s="144">
        <f>'fund-claims'!D18</f>
        <v>6</v>
      </c>
      <c r="D18" s="144">
        <f>'fund-claims'!E18</f>
        <v>7</v>
      </c>
      <c r="E18" s="166">
        <v>108.1053999420932</v>
      </c>
      <c r="F18" s="161">
        <f>'fund-claims'!F18</f>
        <v>1.7999999999999999E-2</v>
      </c>
      <c r="G18" s="144" t="str">
        <f t="shared" si="1"/>
        <v/>
      </c>
      <c r="H18" s="144" t="str">
        <f t="shared" si="1"/>
        <v/>
      </c>
      <c r="I18" s="144" t="str">
        <f t="shared" si="1"/>
        <v/>
      </c>
      <c r="J18" s="144" t="str">
        <f t="shared" si="1"/>
        <v/>
      </c>
      <c r="K18" s="144" t="str">
        <f t="shared" si="1"/>
        <v/>
      </c>
      <c r="L18" s="144">
        <f t="shared" si="1"/>
        <v>-1</v>
      </c>
      <c r="M18" s="129">
        <f t="shared" si="1"/>
        <v>1.018</v>
      </c>
      <c r="N18" s="141"/>
    </row>
    <row r="19" spans="2:17" ht="13.8" thickBot="1" x14ac:dyDescent="0.3">
      <c r="B19" s="155" t="s">
        <v>104</v>
      </c>
      <c r="C19" s="156"/>
      <c r="D19" s="157"/>
      <c r="E19" s="145">
        <f>SUMIF(C7:C18,1,E7:E18)</f>
        <v>936.71673285194993</v>
      </c>
      <c r="F19" s="146" t="s">
        <v>105</v>
      </c>
      <c r="G19" s="146"/>
      <c r="H19" s="147">
        <f t="shared" ref="H19:M19" si="2">SUMPRODUCT(H7:H18,$E$7:$E$18)</f>
        <v>216.80116862982868</v>
      </c>
      <c r="I19" s="147">
        <f t="shared" si="2"/>
        <v>110.92481858280121</v>
      </c>
      <c r="J19" s="147">
        <f t="shared" si="2"/>
        <v>114.83241666618687</v>
      </c>
      <c r="K19" s="147">
        <f t="shared" si="2"/>
        <v>229.17678436271035</v>
      </c>
      <c r="L19" s="147">
        <f t="shared" si="2"/>
        <v>224.51927855077344</v>
      </c>
      <c r="M19" s="147">
        <f t="shared" si="2"/>
        <v>110.05129714105088</v>
      </c>
      <c r="N19" s="148"/>
      <c r="O19" s="168" t="str">
        <f ca="1">_xlfn.FORMULATEXT(M19)</f>
        <v>=SUMPRODUCT(M7:M18,$E$7:$E$18)</v>
      </c>
    </row>
    <row r="20" spans="2:17" ht="13.8" thickTop="1" x14ac:dyDescent="0.25">
      <c r="B20" s="141"/>
      <c r="C20" s="141"/>
      <c r="D20" s="141"/>
      <c r="F20" s="149" t="s">
        <v>34</v>
      </c>
      <c r="G20" s="150"/>
      <c r="H20" s="115">
        <f t="array" aca="1" ref="H20:M20" ca="1">TRANSPOSE('xi-sigma-sim'!Y4:Y9)</f>
        <v>107.77421681817358</v>
      </c>
      <c r="I20" s="115">
        <f ca="1"/>
        <v>101.99585298520431</v>
      </c>
      <c r="J20" s="115">
        <f ca="1"/>
        <v>100.53853241277211</v>
      </c>
      <c r="K20" s="115">
        <f ca="1"/>
        <v>124.7018380636469</v>
      </c>
      <c r="L20" s="115">
        <f ca="1"/>
        <v>197.30160646565815</v>
      </c>
      <c r="M20" s="115">
        <f ca="1"/>
        <v>126.68381416341008</v>
      </c>
      <c r="N20" s="151"/>
      <c r="O20" s="168" t="str">
        <f ca="1">_xlfn.FORMULATEXT(M20)</f>
        <v>{=TRANSPOSE('xi-sigma-sim'!Y4:Y9)}</v>
      </c>
    </row>
    <row r="25" spans="2:17" x14ac:dyDescent="0.25">
      <c r="F25" s="137"/>
      <c r="P25" s="152"/>
      <c r="Q25" s="153"/>
    </row>
    <row r="40" spans="15:15" x14ac:dyDescent="0.25">
      <c r="O40" s="170" t="s">
        <v>106</v>
      </c>
    </row>
  </sheetData>
  <mergeCells count="5">
    <mergeCell ref="C5:D5"/>
    <mergeCell ref="G5:M5"/>
    <mergeCell ref="B19:D19"/>
    <mergeCell ref="F19:G19"/>
    <mergeCell ref="F20:G20"/>
  </mergeCells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 macro="[0]!cmdSolverCapital">
                <anchor moveWithCells="1" sizeWithCells="1">
                  <from>
                    <xdr:col>8</xdr:col>
                    <xdr:colOff>15240</xdr:colOff>
                    <xdr:row>21</xdr:row>
                    <xdr:rowOff>129540</xdr:rowOff>
                  </from>
                  <to>
                    <xdr:col>11</xdr:col>
                    <xdr:colOff>91440</xdr:colOff>
                    <xdr:row>24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0AFF-14BB-40BF-B31F-534EC7E48AF7}">
  <sheetPr codeName="Sheet10"/>
  <dimension ref="A1"/>
  <sheetViews>
    <sheetView workbookViewId="0">
      <selection activeCell="H9" sqref="H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data</vt:lpstr>
      <vt:lpstr>mean-excess-over-threshold</vt:lpstr>
      <vt:lpstr>eda</vt:lpstr>
      <vt:lpstr>grid-setup</vt:lpstr>
      <vt:lpstr>grid-approx</vt:lpstr>
      <vt:lpstr>xi-sigma-grid</vt:lpstr>
      <vt:lpstr>xi-sigma-sim</vt:lpstr>
      <vt:lpstr>fund-claims</vt:lpstr>
      <vt:lpstr>fund-allocation</vt:lpstr>
      <vt:lpstr>x</vt:lpstr>
      <vt:lpstr>claims</vt:lpstr>
      <vt:lpstr>cov_xi__sigma</vt:lpstr>
      <vt:lpstr>gpa</vt:lpstr>
      <vt:lpstr>interval_mu_h</vt:lpstr>
      <vt:lpstr>interval_sigma_h</vt:lpstr>
      <vt:lpstr>key</vt:lpstr>
      <vt:lpstr>max_mu_h</vt:lpstr>
      <vt:lpstr>max_sigma_h</vt:lpstr>
      <vt:lpstr>min_mu_h</vt:lpstr>
      <vt:lpstr>min_sigma_h</vt:lpstr>
      <vt:lpstr>'grid-approx'!mu_h</vt:lpstr>
      <vt:lpstr>'grid-setup'!mu_h</vt:lpstr>
      <vt:lpstr>mu_sigma</vt:lpstr>
      <vt:lpstr>mu_thres</vt:lpstr>
      <vt:lpstr>mu_xi</vt:lpstr>
      <vt:lpstr>Pr_h___d</vt:lpstr>
      <vt:lpstr>rho</vt:lpstr>
      <vt:lpstr>sig_sigma</vt:lpstr>
      <vt:lpstr>sig_xi</vt:lpstr>
      <vt:lpstr>'grid-approx'!sigma_h</vt:lpstr>
      <vt:lpstr>'grid-setup'!sigma_h</vt:lpstr>
      <vt:lpstr>sum</vt:lpstr>
      <vt:lpstr>sum_pr_xi_sigma</vt:lpstr>
      <vt:lpstr>u</vt:lpstr>
      <vt:lpstr>wages</vt:lpstr>
      <vt:lpstr>width_mu_h</vt:lpstr>
      <vt:lpstr>width_sigma_h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2021-02-27T21:28:33Z</dcterms:created>
  <dcterms:modified xsi:type="dcterms:W3CDTF">2021-04-25T16:47:17Z</dcterms:modified>
</cp:coreProperties>
</file>