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yo sean\Desktop\chez_claire\"/>
    </mc:Choice>
  </mc:AlternateContent>
  <bookViews>
    <workbookView xWindow="0" yWindow="0" windowWidth="4080" windowHeight="603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42" i="1" l="1"/>
  <c r="H73" i="1" l="1"/>
  <c r="G73" i="1"/>
  <c r="D73" i="1"/>
  <c r="C73" i="1"/>
  <c r="B73" i="1"/>
  <c r="M44" i="1"/>
  <c r="M73" i="1" s="1"/>
  <c r="I44" i="1"/>
  <c r="E44" i="1"/>
  <c r="N44" i="1" s="1"/>
  <c r="I43" i="1"/>
  <c r="E43" i="1"/>
  <c r="N43" i="1" s="1"/>
  <c r="I42" i="1"/>
  <c r="E42" i="1"/>
  <c r="I37" i="1"/>
  <c r="E37" i="1"/>
  <c r="K37" i="1" s="1"/>
  <c r="D36" i="1"/>
  <c r="M35" i="1"/>
  <c r="I35" i="1"/>
  <c r="C35" i="1"/>
  <c r="E35" i="1" s="1"/>
  <c r="K35" i="1" s="1"/>
  <c r="M34" i="1"/>
  <c r="I34" i="1"/>
  <c r="C34" i="1"/>
  <c r="E34" i="1" s="1"/>
  <c r="N34" i="1" s="1"/>
  <c r="M33" i="1"/>
  <c r="I33" i="1"/>
  <c r="C33" i="1"/>
  <c r="B33" i="1"/>
  <c r="M32" i="1"/>
  <c r="I32" i="1"/>
  <c r="G32" i="1"/>
  <c r="C32" i="1"/>
  <c r="E32" i="1" s="1"/>
  <c r="K32" i="1" s="1"/>
  <c r="B32" i="1"/>
  <c r="M31" i="1"/>
  <c r="N31" i="1" s="1"/>
  <c r="I31" i="1"/>
  <c r="E31" i="1"/>
  <c r="K31" i="1" s="1"/>
  <c r="M30" i="1"/>
  <c r="I30" i="1"/>
  <c r="E30" i="1"/>
  <c r="K30" i="1" s="1"/>
  <c r="M29" i="1"/>
  <c r="I29" i="1"/>
  <c r="E29" i="1"/>
  <c r="N29" i="1" s="1"/>
  <c r="I28" i="1"/>
  <c r="E28" i="1"/>
  <c r="M27" i="1"/>
  <c r="I27" i="1"/>
  <c r="E27" i="1"/>
  <c r="N27" i="1" s="1"/>
  <c r="M26" i="1"/>
  <c r="I26" i="1"/>
  <c r="C26" i="1"/>
  <c r="M25" i="1"/>
  <c r="I25" i="1"/>
  <c r="E25" i="1"/>
  <c r="N25" i="1" s="1"/>
  <c r="M24" i="1"/>
  <c r="I24" i="1"/>
  <c r="E24" i="1"/>
  <c r="M23" i="1"/>
  <c r="N23" i="1" s="1"/>
  <c r="I23" i="1"/>
  <c r="E23" i="1"/>
  <c r="K23" i="1" s="1"/>
  <c r="M22" i="1"/>
  <c r="G22" i="1"/>
  <c r="G36" i="1" s="1"/>
  <c r="E22" i="1"/>
  <c r="M21" i="1"/>
  <c r="I21" i="1"/>
  <c r="E21" i="1"/>
  <c r="I20" i="1"/>
  <c r="E20" i="1"/>
  <c r="N20" i="1" s="1"/>
  <c r="M19" i="1"/>
  <c r="N19" i="1" s="1"/>
  <c r="I19" i="1"/>
  <c r="E19" i="1"/>
  <c r="K19" i="1" s="1"/>
  <c r="M18" i="1"/>
  <c r="N18" i="1" s="1"/>
  <c r="I18" i="1"/>
  <c r="E18" i="1"/>
  <c r="K18" i="1" s="1"/>
  <c r="M17" i="1"/>
  <c r="I17" i="1"/>
  <c r="E17" i="1"/>
  <c r="N17" i="1" s="1"/>
  <c r="I16" i="1"/>
  <c r="E16" i="1"/>
  <c r="N16" i="1" s="1"/>
  <c r="M15" i="1"/>
  <c r="I15" i="1"/>
  <c r="E15" i="1"/>
  <c r="M14" i="1"/>
  <c r="N14" i="1" s="1"/>
  <c r="I14" i="1"/>
  <c r="E14" i="1"/>
  <c r="M13" i="1"/>
  <c r="I13" i="1"/>
  <c r="E13" i="1"/>
  <c r="K13" i="1" s="1"/>
  <c r="I12" i="1"/>
  <c r="E12" i="1"/>
  <c r="N12" i="1" s="1"/>
  <c r="M11" i="1"/>
  <c r="I11" i="1"/>
  <c r="E11" i="1"/>
  <c r="M10" i="1"/>
  <c r="I10" i="1"/>
  <c r="E10" i="1"/>
  <c r="K10" i="1" s="1"/>
  <c r="M9" i="1"/>
  <c r="I9" i="1"/>
  <c r="K9" i="1" s="1"/>
  <c r="E9" i="1"/>
  <c r="M8" i="1"/>
  <c r="N8" i="1" s="1"/>
  <c r="I8" i="1"/>
  <c r="E8" i="1"/>
  <c r="K8" i="1" s="1"/>
  <c r="M7" i="1"/>
  <c r="I7" i="1"/>
  <c r="E7" i="1"/>
  <c r="K7" i="1" s="1"/>
  <c r="M6" i="1"/>
  <c r="M36" i="1" s="1"/>
  <c r="H6" i="1"/>
  <c r="I6" i="1" s="1"/>
  <c r="E6" i="1"/>
  <c r="I5" i="1"/>
  <c r="K5" i="1" s="1"/>
  <c r="E5" i="1"/>
  <c r="N5" i="1" s="1"/>
  <c r="N7" i="1" l="1"/>
  <c r="K12" i="1"/>
  <c r="N22" i="1"/>
  <c r="N30" i="1"/>
  <c r="K34" i="1"/>
  <c r="N35" i="1"/>
  <c r="K43" i="1"/>
  <c r="K6" i="1"/>
  <c r="N6" i="1"/>
  <c r="N9" i="1"/>
  <c r="K11" i="1"/>
  <c r="N11" i="1"/>
  <c r="N13" i="1"/>
  <c r="K14" i="1"/>
  <c r="K15" i="1"/>
  <c r="K21" i="1"/>
  <c r="K24" i="1"/>
  <c r="C36" i="1"/>
  <c r="N28" i="1"/>
  <c r="B36" i="1"/>
  <c r="E33" i="1"/>
  <c r="K33" i="1" s="1"/>
  <c r="I73" i="1"/>
  <c r="K42" i="1"/>
  <c r="E73" i="1"/>
  <c r="N73" i="1" s="1"/>
  <c r="E36" i="1"/>
  <c r="N32" i="1"/>
  <c r="N33" i="1"/>
  <c r="N10" i="1"/>
  <c r="K20" i="1"/>
  <c r="K27" i="1"/>
  <c r="K16" i="1"/>
  <c r="K17" i="1"/>
  <c r="I22" i="1"/>
  <c r="K22" i="1" s="1"/>
  <c r="K25" i="1"/>
  <c r="E26" i="1"/>
  <c r="K26" i="1" s="1"/>
  <c r="K28" i="1"/>
  <c r="K29" i="1"/>
  <c r="K44" i="1"/>
  <c r="K73" i="1" s="1"/>
  <c r="N15" i="1"/>
  <c r="N21" i="1"/>
  <c r="N24" i="1"/>
  <c r="H36" i="1"/>
  <c r="I36" i="1" s="1"/>
  <c r="N26" i="1" l="1"/>
  <c r="N36" i="1" s="1"/>
  <c r="K36" i="1"/>
</calcChain>
</file>

<file path=xl/sharedStrings.xml><?xml version="1.0" encoding="utf-8"?>
<sst xmlns="http://schemas.openxmlformats.org/spreadsheetml/2006/main" count="77" uniqueCount="37">
  <si>
    <t>RESTAURENT CHEZ CLAIRE / UPDATES</t>
  </si>
  <si>
    <t>IBYACURUJWE</t>
  </si>
  <si>
    <t>IBYISHYUWE</t>
  </si>
  <si>
    <t>Gros Margin</t>
  </si>
  <si>
    <t>Verifications ( Igikoni / Bernard)</t>
  </si>
  <si>
    <t>Dates</t>
  </si>
  <si>
    <t>MoMo</t>
  </si>
  <si>
    <t>Cash</t>
  </si>
  <si>
    <t>Creditors</t>
  </si>
  <si>
    <t>Total</t>
  </si>
  <si>
    <t>Guhaha</t>
  </si>
  <si>
    <t>Debts</t>
  </si>
  <si>
    <t>Gross Margin</t>
  </si>
  <si>
    <t>Bernard</t>
  </si>
  <si>
    <t>Reconciliation</t>
  </si>
  <si>
    <t xml:space="preserve">Ikiruhuko </t>
  </si>
  <si>
    <t>Umunsi wagenze neza</t>
  </si>
  <si>
    <t>Umunsi wagenze neza (Voir stock)</t>
  </si>
  <si>
    <t>Ubanza nta binyarwanda mwatetse</t>
  </si>
  <si>
    <t>Voir Stock</t>
  </si>
  <si>
    <t>Ibinyarwanda byabuze</t>
  </si>
  <si>
    <t>TOTAL</t>
  </si>
  <si>
    <t>Verifications ( Igikoni)</t>
  </si>
  <si>
    <t>add the name of your Restaurent</t>
  </si>
  <si>
    <t xml:space="preserve">purchase: </t>
  </si>
  <si>
    <t>inyanya</t>
  </si>
  <si>
    <t>ibishyimbo</t>
  </si>
  <si>
    <t xml:space="preserve">ibitoki </t>
  </si>
  <si>
    <t xml:space="preserve">inkwi </t>
  </si>
  <si>
    <t xml:space="preserve">amakara </t>
  </si>
  <si>
    <t>gaz</t>
  </si>
  <si>
    <t>umutetsi</t>
  </si>
  <si>
    <t>house rent</t>
  </si>
  <si>
    <t>fixed purchase</t>
  </si>
  <si>
    <t xml:space="preserve">waiter </t>
  </si>
  <si>
    <t>IGIKONI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</si>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</sst>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5" fillId="2" borderId="7" xfId="0" applyFont="1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6" fillId="3" borderId="14" xfId="0" applyFont="1" applyFill="1" applyBorder="1"/>
    <xf numFmtId="14" fontId="0" fillId="0" borderId="11" xfId="0" applyNumberFormat="1" applyBorder="1"/>
    <xf numFmtId="165" fontId="0" fillId="0" borderId="0" xfId="1" applyNumberFormat="1" applyFont="1" applyBorder="1"/>
    <xf numFmtId="165" fontId="3" fillId="0" borderId="12" xfId="1" applyNumberFormat="1" applyFont="1" applyBorder="1"/>
    <xf numFmtId="165" fontId="0" fillId="0" borderId="0" xfId="1" applyNumberFormat="1" applyFont="1"/>
    <xf numFmtId="165" fontId="0" fillId="0" borderId="11" xfId="1" applyNumberFormat="1" applyFont="1" applyBorder="1"/>
    <xf numFmtId="165" fontId="7" fillId="0" borderId="13" xfId="1" applyNumberFormat="1" applyFont="1" applyBorder="1"/>
    <xf numFmtId="165" fontId="3" fillId="0" borderId="14" xfId="1" applyNumberFormat="1" applyFont="1" applyBorder="1"/>
    <xf numFmtId="165" fontId="0" fillId="0" borderId="17" xfId="1" applyNumberFormat="1" applyFont="1" applyBorder="1" applyAlignment="1">
      <alignment horizontal="right" vertical="top"/>
    </xf>
    <xf numFmtId="0" fontId="0" fillId="0" borderId="18" xfId="0" applyBorder="1"/>
    <xf numFmtId="0" fontId="0" fillId="4" borderId="18" xfId="0" applyFill="1" applyBorder="1"/>
    <xf numFmtId="165" fontId="0" fillId="0" borderId="17" xfId="1" applyNumberFormat="1" applyFont="1" applyBorder="1"/>
    <xf numFmtId="0" fontId="0" fillId="0" borderId="18" xfId="0" applyFill="1" applyBorder="1"/>
    <xf numFmtId="165" fontId="3" fillId="0" borderId="17" xfId="1" applyNumberFormat="1" applyFont="1" applyBorder="1"/>
    <xf numFmtId="0" fontId="2" fillId="0" borderId="18" xfId="0" applyFont="1" applyFill="1" applyBorder="1"/>
    <xf numFmtId="0" fontId="8" fillId="5" borderId="18" xfId="0" applyFont="1" applyFill="1" applyBorder="1"/>
    <xf numFmtId="0" fontId="0" fillId="5" borderId="18" xfId="0" applyFill="1" applyBorder="1"/>
    <xf numFmtId="14" fontId="0" fillId="0" borderId="11" xfId="0" applyNumberFormat="1" applyFont="1" applyBorder="1"/>
    <xf numFmtId="165" fontId="1" fillId="0" borderId="0" xfId="1" applyNumberFormat="1" applyFont="1" applyBorder="1"/>
    <xf numFmtId="165" fontId="1" fillId="0" borderId="0" xfId="1" applyNumberFormat="1" applyFont="1"/>
    <xf numFmtId="165" fontId="1" fillId="0" borderId="11" xfId="1" applyNumberFormat="1" applyFont="1" applyBorder="1"/>
    <xf numFmtId="165" fontId="1" fillId="0" borderId="13" xfId="1" applyNumberFormat="1" applyFont="1" applyBorder="1"/>
    <xf numFmtId="165" fontId="1" fillId="0" borderId="17" xfId="1" applyNumberFormat="1" applyFont="1" applyBorder="1"/>
    <xf numFmtId="0" fontId="0" fillId="0" borderId="0" xfId="0" applyFont="1"/>
    <xf numFmtId="165" fontId="0" fillId="0" borderId="17" xfId="0" applyNumberFormat="1" applyBorder="1"/>
    <xf numFmtId="0" fontId="3" fillId="0" borderId="19" xfId="0" applyFont="1" applyBorder="1"/>
    <xf numFmtId="165" fontId="3" fillId="0" borderId="20" xfId="1" applyNumberFormat="1" applyFont="1" applyBorder="1"/>
    <xf numFmtId="165" fontId="3" fillId="6" borderId="21" xfId="1" applyNumberFormat="1" applyFont="1" applyFill="1" applyBorder="1"/>
    <xf numFmtId="165" fontId="3" fillId="0" borderId="19" xfId="1" applyNumberFormat="1" applyFont="1" applyBorder="1"/>
    <xf numFmtId="165" fontId="7" fillId="6" borderId="22" xfId="1" applyNumberFormat="1" applyFont="1" applyFill="1" applyBorder="1"/>
    <xf numFmtId="165" fontId="3" fillId="6" borderId="23" xfId="0" applyNumberFormat="1" applyFont="1" applyFill="1" applyBorder="1"/>
    <xf numFmtId="165" fontId="3" fillId="6" borderId="24" xfId="0" applyNumberFormat="1" applyFont="1" applyFill="1" applyBorder="1"/>
    <xf numFmtId="0" fontId="0" fillId="0" borderId="25" xfId="0" applyBorder="1"/>
    <xf numFmtId="165" fontId="0" fillId="0" borderId="25" xfId="1" applyNumberFormat="1" applyFont="1" applyBorder="1"/>
    <xf numFmtId="165" fontId="3" fillId="0" borderId="25" xfId="1" applyNumberFormat="1" applyFont="1" applyBorder="1"/>
    <xf numFmtId="165" fontId="7" fillId="0" borderId="25" xfId="1" applyNumberFormat="1" applyFont="1" applyBorder="1"/>
    <xf numFmtId="0" fontId="0" fillId="0" borderId="26" xfId="0" applyBorder="1"/>
    <xf numFmtId="14" fontId="0" fillId="0" borderId="0" xfId="0" applyNumberFormat="1" applyFill="1" applyBorder="1"/>
    <xf numFmtId="165" fontId="0" fillId="0" borderId="0" xfId="1" applyNumberFormat="1" applyFont="1" applyFill="1" applyBorder="1"/>
    <xf numFmtId="165" fontId="3" fillId="0" borderId="0" xfId="1" applyNumberFormat="1" applyFont="1" applyBorder="1"/>
    <xf numFmtId="165" fontId="7" fillId="0" borderId="13" xfId="1" applyNumberFormat="1" applyFont="1" applyFill="1" applyBorder="1"/>
    <xf numFmtId="165" fontId="1" fillId="0" borderId="0" xfId="1" applyNumberFormat="1" applyFont="1" applyFill="1" applyBorder="1"/>
    <xf numFmtId="14" fontId="0" fillId="0" borderId="0" xfId="0" applyNumberFormat="1" applyFont="1" applyFill="1" applyBorder="1"/>
    <xf numFmtId="165" fontId="1" fillId="0" borderId="13" xfId="1" applyNumberFormat="1" applyFont="1" applyFill="1" applyBorder="1"/>
    <xf numFmtId="165" fontId="3" fillId="0" borderId="0" xfId="1" applyNumberFormat="1" applyFont="1" applyFill="1" applyBorder="1"/>
    <xf numFmtId="165" fontId="3" fillId="0" borderId="14" xfId="0" applyNumberFormat="1" applyFont="1" applyFill="1" applyBorder="1"/>
    <xf numFmtId="165" fontId="3" fillId="0" borderId="17" xfId="0" applyNumberFormat="1" applyFont="1" applyFill="1" applyBorder="1"/>
    <xf numFmtId="0" fontId="0" fillId="0" borderId="14" xfId="0" applyBorder="1"/>
    <xf numFmtId="0" fontId="0" fillId="0" borderId="17" xfId="0" applyBorder="1"/>
    <xf numFmtId="165" fontId="0" fillId="0" borderId="0" xfId="0" applyNumberFormat="1" applyFont="1" applyBorder="1"/>
    <xf numFmtId="165" fontId="3" fillId="6" borderId="0" xfId="0" applyNumberFormat="1" applyFont="1" applyFill="1" applyBorder="1"/>
    <xf numFmtId="165" fontId="7" fillId="6" borderId="22" xfId="0" applyNumberFormat="1" applyFont="1" applyFill="1" applyBorder="1"/>
    <xf numFmtId="165" fontId="3" fillId="0" borderId="23" xfId="0" applyNumberFormat="1" applyFont="1" applyBorder="1"/>
    <xf numFmtId="165" fontId="0" fillId="0" borderId="24" xfId="0" applyNumberFormat="1" applyBorder="1"/>
    <xf numFmtId="0" fontId="0" fillId="7" borderId="18" xfId="0" applyFill="1" applyBorder="1"/>
    <xf numFmtId="0" fontId="6" fillId="3" borderId="15" xfId="0" applyFont="1" applyFill="1" applyBorder="1" applyAlignment="1">
      <alignment horizontal="left"/>
    </xf>
    <xf numFmtId="0" fontId="6" fillId="3" borderId="16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0" xfId="0" applyFont="1"/>
    <xf numFmtId="0" fontId="9" fillId="0" borderId="0" xfId="0" applyFont="1"/>
  </cellXfs>
  <cellStyles count="2">
    <cellStyle name="Comma" xfId="1" builtinId="3"/>
    <cellStyle name="Normal" xfId="0" builtinId="0"/>
  </cellStyles>
  <dxfs count="28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00B05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00B05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border outline="0">
        <left style="medium">
          <color indexed="64"/>
        </left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/>
      </font>
      <numFmt numFmtId="165" formatCode="_-* #,##0_-;\-* #,##0_-;_-* &quot;-&quot;??_-;_-@_-"/>
    </dxf>
    <dxf>
      <font>
        <b/>
        <i/>
      </font>
      <numFmt numFmtId="165" formatCode="_-* #,##0_-;\-* #,##0_-;_-* &quot;-&quot;??_-;_-@_-"/>
    </dxf>
    <dxf>
      <font>
        <b/>
      </font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/>
      </font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11" displayName="Table1411" ref="A4:E37" totalsRowShown="0">
  <autoFilter ref="A4:E37"/>
  <tableColumns count="5">
    <tableColumn id="1" name="Dates"/>
    <tableColumn id="2" name="MoMo" dataDxfId="27" dataCellStyle="Comma"/>
    <tableColumn id="3" name="Cash" dataDxfId="26" dataCellStyle="Comma"/>
    <tableColumn id="4" name="Creditors" dataDxfId="25" dataCellStyle="Comma"/>
    <tableColumn id="5" name="Total" dataDxfId="24" dataCellStyle="Comma">
      <calculatedColumnFormula>Table1411[[#This Row],[MoMo]]+Table1411[[#This Row],[Cash]]+Table1411[[#This Row],[Creditors]]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612" displayName="Table2612" ref="G4:I37" totalsRowShown="0" dataDxfId="23" dataCellStyle="Comma">
  <autoFilter ref="G4:I37"/>
  <tableColumns count="3">
    <tableColumn id="1" name="Guhaha" dataDxfId="22" dataCellStyle="Comma"/>
    <tableColumn id="2" name="Debts" dataDxfId="21" dataCellStyle="Comma"/>
    <tableColumn id="3" name="Total" dataDxfId="20" dataCellStyle="Comma">
      <calculatedColumnFormula>Table2612[[#This Row],[Guhaha]]+Table2612[[#This Row],[Debts]]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e4713" displayName="Table4713" ref="K4:K37" totalsRowShown="0" dataDxfId="19" dataCellStyle="Comma">
  <autoFilter ref="K4:K37"/>
  <tableColumns count="1">
    <tableColumn id="1" name="Gross Margin" dataDxfId="18" dataCellStyle="Comma">
      <calculatedColumnFormula>Table1411[[#This Row],[Total]]-Table2612[[#This Row],[Total]]</calculatedColumnFormula>
    </tableColumn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id="4" name="Table714" displayName="Table714" ref="A41:E73" totalsRowShown="0" dataDxfId="17" tableBorderDxfId="16" dataCellStyle="Comma">
  <autoFilter ref="A41:E73"/>
  <tableColumns count="5">
    <tableColumn id="1" name="Dates" dataDxfId="15"/>
    <tableColumn id="2" name="MoMo" dataDxfId="14" dataCellStyle="Comma"/>
    <tableColumn id="3" name="Cash" dataDxfId="13" dataCellStyle="Comma"/>
    <tableColumn id="4" name="Creditors" dataDxfId="12" dataCellStyle="Comma">
      <calculatedColumnFormula>SUM(B42:C42)</calculatedColumnFormula>
    </tableColumn>
    <tableColumn id="5" name="Total" dataDxfId="11" dataCellStyle="Comma">
      <calculatedColumnFormula>Table714[[#This Row],[MoMo]]+Table714[[#This Row],[Cash]]+Table714[[#This Row],[Creditors]]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5" name="Table815" displayName="Table815" ref="G41:I73" totalsRowCount="1" tableBorderDxfId="10">
  <autoFilter ref="G41:I72"/>
  <tableColumns count="3">
    <tableColumn id="1" name="Guhaha" totalsRowFunction="custom" dataDxfId="9" totalsRowDxfId="8" dataCellStyle="Comma">
      <totalsRowFormula>SUM(G42:G72)</totalsRowFormula>
    </tableColumn>
    <tableColumn id="2" name="Debts" totalsRowFunction="custom" dataDxfId="7" totalsRowDxfId="6" dataCellStyle="Comma">
      <totalsRowFormula>SUM(H42:H72)</totalsRowFormula>
    </tableColumn>
    <tableColumn id="3" name="Total" totalsRowFunction="custom" dataDxfId="5" totalsRowDxfId="4" dataCellStyle="Comma">
      <calculatedColumnFormula>Table815[[#This Row],[Guhaha]]+Table815[[#This Row],[Debts]]</calculatedColumnFormula>
      <totalsRowFormula>SUM(I42:I72)</totalsRowFormula>
    </tableColumn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id="6" name="Table916" displayName="Table916" ref="K41:K73" totalsRowCount="1" dataDxfId="3" tableBorderDxfId="2" dataCellStyle="Comma">
  <autoFilter ref="K41:K72"/>
  <tableColumns count="1">
    <tableColumn id="1" name="Gross Margin" totalsRowFunction="custom" dataDxfId="1" totalsRowDxfId="0" dataCellStyle="Comma">
      <calculatedColumnFormula>Table714[[#This Row],[Total]]-Table815[[#This Row],[Total]]</calculatedColumnFormula>
      <totalsRowFormula>SUM(K42:K72)</totalsRow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C1" workbookViewId="0">
      <selection activeCell="O43" sqref="O43"/>
    </sheetView>
  </sheetViews>
  <sheetFormatPr defaultRowHeight="15" x14ac:dyDescent="0.25"/>
  <cols>
    <col min="1" max="1" width="12.28515625" customWidth="1"/>
    <col min="2" max="2" width="11.7109375" customWidth="1"/>
    <col min="3" max="5" width="11.28515625" customWidth="1"/>
    <col min="6" max="6" width="2.7109375" customWidth="1"/>
    <col min="7" max="7" width="10.7109375" customWidth="1"/>
    <col min="8" max="8" width="10.140625" customWidth="1"/>
    <col min="9" max="9" width="10.85546875" customWidth="1"/>
    <col min="10" max="10" width="2.7109375" customWidth="1"/>
    <col min="11" max="11" width="14.28515625" customWidth="1"/>
    <col min="12" max="12" width="2.7109375" customWidth="1"/>
    <col min="13" max="13" width="10.7109375" customWidth="1"/>
    <col min="14" max="14" width="10.28515625" customWidth="1"/>
    <col min="15" max="15" width="26.85546875" customWidth="1"/>
  </cols>
  <sheetData>
    <row r="1" spans="1:15" ht="32.450000000000003" customHeight="1" thickBot="1" x14ac:dyDescent="0.4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ht="15.75" hidden="1" thickBot="1" x14ac:dyDescent="0.3"/>
    <row r="3" spans="1:15" ht="19.5" hidden="1" thickBot="1" x14ac:dyDescent="0.35">
      <c r="A3" s="66" t="s">
        <v>1</v>
      </c>
      <c r="B3" s="67"/>
      <c r="C3" s="67"/>
      <c r="D3" s="67"/>
      <c r="E3" s="68"/>
      <c r="G3" s="66" t="s">
        <v>2</v>
      </c>
      <c r="H3" s="67"/>
      <c r="I3" s="68"/>
      <c r="K3" s="1" t="s">
        <v>3</v>
      </c>
      <c r="M3" s="69" t="s">
        <v>4</v>
      </c>
      <c r="N3" s="70"/>
      <c r="O3" s="71"/>
    </row>
    <row r="4" spans="1:15" ht="16.5" hidden="1" thickBot="1" x14ac:dyDescent="0.3">
      <c r="A4" s="2" t="s">
        <v>5</v>
      </c>
      <c r="B4" s="3" t="s">
        <v>6</v>
      </c>
      <c r="C4" s="3" t="s">
        <v>7</v>
      </c>
      <c r="D4" s="3" t="s">
        <v>8</v>
      </c>
      <c r="E4" s="4" t="s">
        <v>9</v>
      </c>
      <c r="G4" s="2" t="s">
        <v>10</v>
      </c>
      <c r="H4" s="3" t="s">
        <v>11</v>
      </c>
      <c r="I4" s="4" t="s">
        <v>9</v>
      </c>
      <c r="K4" s="5" t="s">
        <v>12</v>
      </c>
      <c r="M4" s="6" t="s">
        <v>13</v>
      </c>
      <c r="N4" s="61" t="s">
        <v>14</v>
      </c>
      <c r="O4" s="62"/>
    </row>
    <row r="5" spans="1:15" ht="15.75" hidden="1" thickBot="1" x14ac:dyDescent="0.3">
      <c r="A5" s="7">
        <v>45292</v>
      </c>
      <c r="B5" s="8">
        <v>0</v>
      </c>
      <c r="C5" s="8">
        <v>0</v>
      </c>
      <c r="D5" s="8"/>
      <c r="E5" s="9">
        <f>Table1411[[#This Row],[MoMo]]+Table1411[[#This Row],[Cash]]+Table1411[[#This Row],[Creditors]]</f>
        <v>0</v>
      </c>
      <c r="F5" s="10"/>
      <c r="G5" s="11">
        <v>0</v>
      </c>
      <c r="H5" s="8"/>
      <c r="I5" s="9">
        <f>Table2612[[#This Row],[Guhaha]]+Table2612[[#This Row],[Debts]]</f>
        <v>0</v>
      </c>
      <c r="J5" s="10"/>
      <c r="K5" s="12">
        <f>Table1411[[#This Row],[Total]]-Table2612[[#This Row],[Total]]</f>
        <v>0</v>
      </c>
      <c r="L5" s="10"/>
      <c r="M5" s="13">
        <v>0</v>
      </c>
      <c r="N5" s="14">
        <f>Table1411[[#This Row],[Total]]-M5</f>
        <v>0</v>
      </c>
      <c r="O5" s="15" t="s">
        <v>15</v>
      </c>
    </row>
    <row r="6" spans="1:15" ht="15.75" hidden="1" thickBot="1" x14ac:dyDescent="0.3">
      <c r="A6" s="7">
        <v>45293</v>
      </c>
      <c r="B6" s="8">
        <v>31951</v>
      </c>
      <c r="C6" s="8">
        <v>73500</v>
      </c>
      <c r="D6" s="8"/>
      <c r="E6" s="9">
        <f>Table1411[[#This Row],[MoMo]]+Table1411[[#This Row],[Cash]]+Table1411[[#This Row],[Creditors]]</f>
        <v>105451</v>
      </c>
      <c r="F6" s="10"/>
      <c r="G6" s="11">
        <v>83150</v>
      </c>
      <c r="H6" s="8">
        <f t="shared" ref="H6" si="0">SUBTOTAL(109,H5)</f>
        <v>0</v>
      </c>
      <c r="I6" s="9">
        <f>Table2612[[#This Row],[Guhaha]]+Table2612[[#This Row],[Debts]]</f>
        <v>83150</v>
      </c>
      <c r="J6" s="10"/>
      <c r="K6" s="12">
        <f>Table1411[[#This Row],[Total]]-Table2612[[#This Row],[Total]]</f>
        <v>22301</v>
      </c>
      <c r="L6" s="10"/>
      <c r="M6" s="13">
        <f>1.5*60000</f>
        <v>90000</v>
      </c>
      <c r="N6" s="14">
        <f>Table1411[[#This Row],[Total]]-M6</f>
        <v>15451</v>
      </c>
      <c r="O6" s="16" t="s">
        <v>16</v>
      </c>
    </row>
    <row r="7" spans="1:15" ht="15.75" hidden="1" thickBot="1" x14ac:dyDescent="0.3">
      <c r="A7" s="7">
        <v>45294</v>
      </c>
      <c r="B7" s="8">
        <v>51356</v>
      </c>
      <c r="C7" s="8">
        <v>180000</v>
      </c>
      <c r="D7" s="8"/>
      <c r="E7" s="9">
        <f>Table1411[[#This Row],[MoMo]]+Table1411[[#This Row],[Cash]]+Table1411[[#This Row],[Creditors]]</f>
        <v>231356</v>
      </c>
      <c r="F7" s="10"/>
      <c r="G7" s="11">
        <v>212700</v>
      </c>
      <c r="H7" s="8">
        <v>0</v>
      </c>
      <c r="I7" s="9">
        <f>Table2612[[#This Row],[Guhaha]]+Table2612[[#This Row],[Debts]]</f>
        <v>212700</v>
      </c>
      <c r="J7" s="10"/>
      <c r="K7" s="12">
        <f>Table1411[[#This Row],[Total]]-Table2612[[#This Row],[Total]]</f>
        <v>18656</v>
      </c>
      <c r="L7" s="10"/>
      <c r="M7" s="13">
        <f>4*60000</f>
        <v>240000</v>
      </c>
      <c r="N7" s="17">
        <f>Table1411[[#This Row],[Total]]-M7</f>
        <v>-8644</v>
      </c>
      <c r="O7" s="16" t="s">
        <v>17</v>
      </c>
    </row>
    <row r="8" spans="1:15" ht="15.75" hidden="1" thickBot="1" x14ac:dyDescent="0.3">
      <c r="A8" s="7">
        <v>45295</v>
      </c>
      <c r="B8" s="8">
        <v>84132</v>
      </c>
      <c r="C8" s="8">
        <v>129000</v>
      </c>
      <c r="D8" s="8"/>
      <c r="E8" s="9">
        <f>Table1411[[#This Row],[MoMo]]+Table1411[[#This Row],[Cash]]+Table1411[[#This Row],[Creditors]]</f>
        <v>213132</v>
      </c>
      <c r="F8" s="10"/>
      <c r="G8" s="11">
        <v>138550</v>
      </c>
      <c r="H8" s="8"/>
      <c r="I8" s="9">
        <f>Table2612[[#This Row],[Guhaha]]+Table2612[[#This Row],[Debts]]</f>
        <v>138550</v>
      </c>
      <c r="J8" s="10"/>
      <c r="K8" s="12">
        <f>Table1411[[#This Row],[Total]]-Table2612[[#This Row],[Total]]</f>
        <v>74582</v>
      </c>
      <c r="L8" s="10"/>
      <c r="M8" s="13">
        <f>3.5*60000</f>
        <v>210000</v>
      </c>
      <c r="N8" s="17">
        <f>Table1411[[#This Row],[Total]]-M8</f>
        <v>3132</v>
      </c>
      <c r="O8" s="16" t="s">
        <v>16</v>
      </c>
    </row>
    <row r="9" spans="1:15" ht="15.75" hidden="1" thickBot="1" x14ac:dyDescent="0.3">
      <c r="A9" s="7">
        <v>45296</v>
      </c>
      <c r="B9" s="8">
        <v>57854</v>
      </c>
      <c r="C9" s="8">
        <v>125500</v>
      </c>
      <c r="D9" s="8">
        <v>12000</v>
      </c>
      <c r="E9" s="9">
        <f>Table1411[[#This Row],[MoMo]]+Table1411[[#This Row],[Cash]]+Table1411[[#This Row],[Creditors]]</f>
        <v>195354</v>
      </c>
      <c r="F9" s="10"/>
      <c r="G9" s="11">
        <v>170200</v>
      </c>
      <c r="H9" s="8"/>
      <c r="I9" s="9">
        <f>Table2612[[#This Row],[Guhaha]]+Table2612[[#This Row],[Debts]]</f>
        <v>170200</v>
      </c>
      <c r="J9" s="10"/>
      <c r="K9" s="12">
        <f>Table1411[[#This Row],[Total]]-Table2612[[#This Row],[Total]]</f>
        <v>25154</v>
      </c>
      <c r="L9" s="10"/>
      <c r="M9" s="13">
        <f>3.5*60000</f>
        <v>210000</v>
      </c>
      <c r="N9" s="17">
        <f>Table1411[[#This Row],[Total]]-M9</f>
        <v>-14646</v>
      </c>
      <c r="O9" s="18" t="s">
        <v>18</v>
      </c>
    </row>
    <row r="10" spans="1:15" ht="15.75" hidden="1" thickBot="1" x14ac:dyDescent="0.3">
      <c r="A10" s="7">
        <v>45297</v>
      </c>
      <c r="B10" s="8">
        <v>84930</v>
      </c>
      <c r="C10" s="8">
        <v>127500</v>
      </c>
      <c r="D10" s="8"/>
      <c r="E10" s="9">
        <f>Table1411[[#This Row],[MoMo]]+Table1411[[#This Row],[Cash]]+Table1411[[#This Row],[Creditors]]</f>
        <v>212430</v>
      </c>
      <c r="F10" s="10"/>
      <c r="G10" s="11">
        <v>136000</v>
      </c>
      <c r="H10" s="8"/>
      <c r="I10" s="9">
        <f>Table2612[[#This Row],[Guhaha]]+Table2612[[#This Row],[Debts]]</f>
        <v>136000</v>
      </c>
      <c r="J10" s="10"/>
      <c r="K10" s="12">
        <f>Table1411[[#This Row],[Total]]-Table2612[[#This Row],[Total]]</f>
        <v>76430</v>
      </c>
      <c r="L10" s="10"/>
      <c r="M10" s="13">
        <f>3.5*60000</f>
        <v>210000</v>
      </c>
      <c r="N10" s="17">
        <f>Table1411[[#This Row],[Total]]-M10</f>
        <v>2430</v>
      </c>
      <c r="O10" s="16" t="s">
        <v>16</v>
      </c>
    </row>
    <row r="11" spans="1:15" ht="15.75" hidden="1" thickBot="1" x14ac:dyDescent="0.3">
      <c r="A11" s="7">
        <v>45298</v>
      </c>
      <c r="B11" s="8">
        <v>53266</v>
      </c>
      <c r="C11" s="8">
        <v>50000</v>
      </c>
      <c r="D11" s="8"/>
      <c r="E11" s="9">
        <f>Table1411[[#This Row],[MoMo]]+Table1411[[#This Row],[Cash]]+Table1411[[#This Row],[Creditors]]</f>
        <v>103266</v>
      </c>
      <c r="F11" s="10"/>
      <c r="G11" s="11">
        <v>60950</v>
      </c>
      <c r="H11" s="8"/>
      <c r="I11" s="9">
        <f>Table2612[[#This Row],[Guhaha]]+Table2612[[#This Row],[Debts]]</f>
        <v>60950</v>
      </c>
      <c r="J11" s="10"/>
      <c r="K11" s="12">
        <f>Table1411[[#This Row],[Total]]-Table2612[[#This Row],[Total]]</f>
        <v>42316</v>
      </c>
      <c r="L11" s="10"/>
      <c r="M11" s="13">
        <f>1.5*60000</f>
        <v>90000</v>
      </c>
      <c r="N11" s="17">
        <f>Table1411[[#This Row],[Total]]-M11</f>
        <v>13266</v>
      </c>
      <c r="O11" s="16" t="s">
        <v>16</v>
      </c>
    </row>
    <row r="12" spans="1:15" ht="15.75" hidden="1" thickBot="1" x14ac:dyDescent="0.3">
      <c r="A12" s="7">
        <v>45299</v>
      </c>
      <c r="B12" s="8">
        <v>82614</v>
      </c>
      <c r="C12" s="8">
        <v>125050</v>
      </c>
      <c r="D12" s="8"/>
      <c r="E12" s="9">
        <f>Table1411[[#This Row],[MoMo]]+Table1411[[#This Row],[Cash]]+Table1411[[#This Row],[Creditors]]</f>
        <v>207664</v>
      </c>
      <c r="F12" s="10"/>
      <c r="G12" s="11">
        <v>231250</v>
      </c>
      <c r="H12" s="8"/>
      <c r="I12" s="9">
        <f>Table2612[[#This Row],[Guhaha]]+Table2612[[#This Row],[Debts]]</f>
        <v>231250</v>
      </c>
      <c r="J12" s="10"/>
      <c r="K12" s="12">
        <f>Table1411[[#This Row],[Total]]-Table2612[[#This Row],[Total]]</f>
        <v>-23586</v>
      </c>
      <c r="L12" s="10"/>
      <c r="M12" s="13">
        <v>180000</v>
      </c>
      <c r="N12" s="19">
        <f>Table1411[[#This Row],[Total]]-M12</f>
        <v>27664</v>
      </c>
      <c r="O12" s="20" t="s">
        <v>19</v>
      </c>
    </row>
    <row r="13" spans="1:15" ht="15.75" hidden="1" thickBot="1" x14ac:dyDescent="0.3">
      <c r="A13" s="7">
        <v>45300</v>
      </c>
      <c r="B13" s="8">
        <v>93837</v>
      </c>
      <c r="C13" s="8">
        <v>121000</v>
      </c>
      <c r="D13" s="8"/>
      <c r="E13" s="9">
        <f>Table1411[[#This Row],[MoMo]]+Table1411[[#This Row],[Cash]]+Table1411[[#This Row],[Creditors]]</f>
        <v>214837</v>
      </c>
      <c r="F13" s="10"/>
      <c r="G13" s="11">
        <v>127250</v>
      </c>
      <c r="H13" s="8"/>
      <c r="I13" s="9">
        <f>Table2612[[#This Row],[Guhaha]]+Table2612[[#This Row],[Debts]]</f>
        <v>127250</v>
      </c>
      <c r="J13" s="10"/>
      <c r="K13" s="12">
        <f>Table1411[[#This Row],[Total]]-Table2612[[#This Row],[Total]]</f>
        <v>87587</v>
      </c>
      <c r="L13" s="10"/>
      <c r="M13" s="13">
        <f>2.75*60000</f>
        <v>165000</v>
      </c>
      <c r="N13" s="17">
        <f>Table1411[[#This Row],[Total]]-M13</f>
        <v>49837</v>
      </c>
      <c r="O13" s="16" t="s">
        <v>16</v>
      </c>
    </row>
    <row r="14" spans="1:15" ht="15.75" hidden="1" thickBot="1" x14ac:dyDescent="0.3">
      <c r="A14" s="7">
        <v>45301</v>
      </c>
      <c r="B14" s="8">
        <v>95178</v>
      </c>
      <c r="C14" s="8">
        <v>216659</v>
      </c>
      <c r="D14" s="8"/>
      <c r="E14" s="9">
        <f>Table1411[[#This Row],[MoMo]]+Table1411[[#This Row],[Cash]]+Table1411[[#This Row],[Creditors]]</f>
        <v>311837</v>
      </c>
      <c r="F14" s="10"/>
      <c r="G14" s="11">
        <v>221950</v>
      </c>
      <c r="H14" s="8"/>
      <c r="I14" s="9">
        <f>Table2612[[#This Row],[Guhaha]]+Table2612[[#This Row],[Debts]]</f>
        <v>221950</v>
      </c>
      <c r="J14" s="10"/>
      <c r="K14" s="12">
        <f>Table1411[[#This Row],[Total]]-Table2612[[#This Row],[Total]]</f>
        <v>89887</v>
      </c>
      <c r="L14" s="10"/>
      <c r="M14" s="13">
        <f>5*60000</f>
        <v>300000</v>
      </c>
      <c r="N14" s="17">
        <f>Table1411[[#This Row],[Total]]-M14</f>
        <v>11837</v>
      </c>
      <c r="O14" s="16" t="s">
        <v>16</v>
      </c>
    </row>
    <row r="15" spans="1:15" ht="15.75" hidden="1" thickBot="1" x14ac:dyDescent="0.3">
      <c r="A15" s="7">
        <v>45302</v>
      </c>
      <c r="B15" s="8">
        <v>74409</v>
      </c>
      <c r="C15" s="8">
        <v>156000</v>
      </c>
      <c r="D15" s="8"/>
      <c r="E15" s="9">
        <f>Table1411[[#This Row],[MoMo]]+Table1411[[#This Row],[Cash]]+Table1411[[#This Row],[Creditors]]</f>
        <v>230409</v>
      </c>
      <c r="F15" s="10"/>
      <c r="G15" s="11">
        <v>162050</v>
      </c>
      <c r="H15" s="8"/>
      <c r="I15" s="9">
        <f>Table2612[[#This Row],[Guhaha]]+Table2612[[#This Row],[Debts]]</f>
        <v>162050</v>
      </c>
      <c r="J15" s="10"/>
      <c r="K15" s="12">
        <f>Table1411[[#This Row],[Total]]-Table2612[[#This Row],[Total]]</f>
        <v>68359</v>
      </c>
      <c r="L15" s="10"/>
      <c r="M15" s="13">
        <f>4*60000</f>
        <v>240000</v>
      </c>
      <c r="N15" s="17">
        <f>Table1411[[#This Row],[Total]]-M15</f>
        <v>-9591</v>
      </c>
      <c r="O15" s="16" t="s">
        <v>16</v>
      </c>
    </row>
    <row r="16" spans="1:15" ht="15.75" hidden="1" thickBot="1" x14ac:dyDescent="0.3">
      <c r="A16" s="7">
        <v>45303</v>
      </c>
      <c r="B16" s="8">
        <v>66205</v>
      </c>
      <c r="C16" s="8">
        <v>117500</v>
      </c>
      <c r="D16" s="8"/>
      <c r="E16" s="9">
        <f>Table1411[[#This Row],[MoMo]]+Table1411[[#This Row],[Cash]]+Table1411[[#This Row],[Creditors]]</f>
        <v>183705</v>
      </c>
      <c r="F16" s="10"/>
      <c r="G16" s="11">
        <v>145800</v>
      </c>
      <c r="H16" s="8"/>
      <c r="I16" s="9">
        <f>Table2612[[#This Row],[Guhaha]]+Table2612[[#This Row],[Debts]]</f>
        <v>145800</v>
      </c>
      <c r="J16" s="10"/>
      <c r="K16" s="12">
        <f>Table1411[[#This Row],[Total]]-Table2612[[#This Row],[Total]]</f>
        <v>37905</v>
      </c>
      <c r="L16" s="10"/>
      <c r="M16" s="13">
        <v>180000</v>
      </c>
      <c r="N16" s="17">
        <f>Table1411[[#This Row],[Total]]-M16</f>
        <v>3705</v>
      </c>
      <c r="O16" s="16" t="s">
        <v>16</v>
      </c>
    </row>
    <row r="17" spans="1:15" ht="15.75" hidden="1" thickBot="1" x14ac:dyDescent="0.3">
      <c r="A17" s="7">
        <v>45304</v>
      </c>
      <c r="B17" s="8">
        <v>76859</v>
      </c>
      <c r="C17" s="8">
        <v>141500</v>
      </c>
      <c r="D17" s="8"/>
      <c r="E17" s="9">
        <f>Table1411[[#This Row],[MoMo]]+Table1411[[#This Row],[Cash]]+Table1411[[#This Row],[Creditors]]</f>
        <v>218359</v>
      </c>
      <c r="F17" s="10"/>
      <c r="G17" s="11">
        <v>234956</v>
      </c>
      <c r="H17" s="8"/>
      <c r="I17" s="9">
        <f>Table2612[[#This Row],[Guhaha]]+Table2612[[#This Row],[Debts]]</f>
        <v>234956</v>
      </c>
      <c r="J17" s="10"/>
      <c r="K17" s="12">
        <f>Table1411[[#This Row],[Total]]-Table2612[[#This Row],[Total]]</f>
        <v>-16597</v>
      </c>
      <c r="L17" s="10"/>
      <c r="M17" s="13">
        <f>3.5*60000</f>
        <v>210000</v>
      </c>
      <c r="N17" s="17">
        <f>Table1411[[#This Row],[Total]]-M17</f>
        <v>8359</v>
      </c>
      <c r="O17" s="21" t="s">
        <v>19</v>
      </c>
    </row>
    <row r="18" spans="1:15" ht="15.75" hidden="1" thickBot="1" x14ac:dyDescent="0.3">
      <c r="A18" s="7">
        <v>45305</v>
      </c>
      <c r="B18" s="8">
        <v>46477</v>
      </c>
      <c r="C18" s="8">
        <v>60700</v>
      </c>
      <c r="D18" s="8"/>
      <c r="E18" s="9">
        <f>Table1411[[#This Row],[MoMo]]+Table1411[[#This Row],[Cash]]+Table1411[[#This Row],[Creditors]]</f>
        <v>107177</v>
      </c>
      <c r="F18" s="10"/>
      <c r="G18" s="11">
        <v>65800</v>
      </c>
      <c r="H18" s="8"/>
      <c r="I18" s="9">
        <f>Table2612[[#This Row],[Guhaha]]+Table2612[[#This Row],[Debts]]</f>
        <v>65800</v>
      </c>
      <c r="J18" s="10"/>
      <c r="K18" s="12">
        <f>Table1411[[#This Row],[Total]]-Table2612[[#This Row],[Total]]</f>
        <v>41377</v>
      </c>
      <c r="L18" s="10"/>
      <c r="M18" s="13">
        <f>1.5*60000</f>
        <v>90000</v>
      </c>
      <c r="N18" s="17">
        <f>Table1411[[#This Row],[Total]]-M18</f>
        <v>17177</v>
      </c>
      <c r="O18" s="16" t="s">
        <v>16</v>
      </c>
    </row>
    <row r="19" spans="1:15" ht="15.75" hidden="1" thickBot="1" x14ac:dyDescent="0.3">
      <c r="A19" s="7">
        <v>45306</v>
      </c>
      <c r="B19" s="8">
        <v>109558</v>
      </c>
      <c r="C19" s="8">
        <v>117600</v>
      </c>
      <c r="D19" s="8"/>
      <c r="E19" s="9">
        <f>Table1411[[#This Row],[MoMo]]+Table1411[[#This Row],[Cash]]+Table1411[[#This Row],[Creditors]]</f>
        <v>227158</v>
      </c>
      <c r="F19" s="10"/>
      <c r="G19" s="11">
        <v>171150</v>
      </c>
      <c r="H19" s="8"/>
      <c r="I19" s="9">
        <f>Table2612[[#This Row],[Guhaha]]+Table2612[[#This Row],[Debts]]</f>
        <v>171150</v>
      </c>
      <c r="J19" s="10"/>
      <c r="K19" s="12">
        <f>Table1411[[#This Row],[Total]]-Table2612[[#This Row],[Total]]</f>
        <v>56008</v>
      </c>
      <c r="L19" s="10"/>
      <c r="M19" s="13">
        <f>3.75*60000</f>
        <v>225000</v>
      </c>
      <c r="N19" s="17">
        <f>Table1411[[#This Row],[Total]]-M19</f>
        <v>2158</v>
      </c>
      <c r="O19" s="16" t="s">
        <v>16</v>
      </c>
    </row>
    <row r="20" spans="1:15" ht="15.75" hidden="1" thickBot="1" x14ac:dyDescent="0.3">
      <c r="A20" s="7">
        <v>45307</v>
      </c>
      <c r="B20" s="8">
        <v>116952</v>
      </c>
      <c r="C20" s="8">
        <v>165000</v>
      </c>
      <c r="D20" s="8"/>
      <c r="E20" s="9">
        <f>Table1411[[#This Row],[MoMo]]+Table1411[[#This Row],[Cash]]+Table1411[[#This Row],[Creditors]]</f>
        <v>281952</v>
      </c>
      <c r="F20" s="10"/>
      <c r="G20" s="11">
        <v>192100</v>
      </c>
      <c r="H20" s="8"/>
      <c r="I20" s="9">
        <f>Table2612[[#This Row],[Guhaha]]+Table2612[[#This Row],[Debts]]</f>
        <v>192100</v>
      </c>
      <c r="J20" s="10"/>
      <c r="K20" s="12">
        <f>Table1411[[#This Row],[Total]]-Table2612[[#This Row],[Total]]</f>
        <v>89852</v>
      </c>
      <c r="L20" s="10"/>
      <c r="M20" s="13">
        <v>300000</v>
      </c>
      <c r="N20" s="17">
        <f>Table1411[[#This Row],[Total]]-M20</f>
        <v>-18048</v>
      </c>
      <c r="O20" s="22" t="s">
        <v>20</v>
      </c>
    </row>
    <row r="21" spans="1:15" s="29" customFormat="1" ht="15.75" hidden="1" thickBot="1" x14ac:dyDescent="0.3">
      <c r="A21" s="23">
        <v>45308</v>
      </c>
      <c r="B21" s="24">
        <v>100484</v>
      </c>
      <c r="C21" s="24">
        <v>174300</v>
      </c>
      <c r="D21" s="24">
        <v>48000</v>
      </c>
      <c r="E21" s="9">
        <f>Table1411[[#This Row],[MoMo]]+Table1411[[#This Row],[Cash]]+Table1411[[#This Row],[Creditors]]</f>
        <v>322784</v>
      </c>
      <c r="F21" s="25"/>
      <c r="G21" s="26">
        <v>203250</v>
      </c>
      <c r="H21" s="24"/>
      <c r="I21" s="9">
        <f>Table2612[[#This Row],[Guhaha]]+Table2612[[#This Row],[Debts]]</f>
        <v>203250</v>
      </c>
      <c r="J21" s="25"/>
      <c r="K21" s="27">
        <f>Table1411[[#This Row],[Total]]-Table2612[[#This Row],[Total]]</f>
        <v>119534</v>
      </c>
      <c r="L21" s="25"/>
      <c r="M21" s="13">
        <f>4.75*60000</f>
        <v>285000</v>
      </c>
      <c r="N21" s="28">
        <f>Table1411[[#This Row],[Total]]-M21</f>
        <v>37784</v>
      </c>
      <c r="O21" s="16" t="s">
        <v>16</v>
      </c>
    </row>
    <row r="22" spans="1:15" ht="15.75" hidden="1" thickBot="1" x14ac:dyDescent="0.3">
      <c r="A22" s="7">
        <v>45309</v>
      </c>
      <c r="B22" s="8">
        <v>112182</v>
      </c>
      <c r="C22" s="8">
        <v>116000</v>
      </c>
      <c r="D22" s="8">
        <v>56000</v>
      </c>
      <c r="E22" s="9">
        <f>Table1411[[#This Row],[MoMo]]+Table1411[[#This Row],[Cash]]+Table1411[[#This Row],[Creditors]]</f>
        <v>284182</v>
      </c>
      <c r="G22" s="11">
        <f>178600+12500</f>
        <v>191100</v>
      </c>
      <c r="H22" s="8"/>
      <c r="I22" s="9">
        <f>Table2612[[#This Row],[Guhaha]]+Table2612[[#This Row],[Debts]]</f>
        <v>191100</v>
      </c>
      <c r="K22" s="12">
        <f>Table1411[[#This Row],[Total]]-Table2612[[#This Row],[Total]]</f>
        <v>93082</v>
      </c>
      <c r="M22" s="13">
        <f>4.5*60000</f>
        <v>270000</v>
      </c>
      <c r="N22" s="30">
        <f>Table1411[[#This Row],[Total]]-M22</f>
        <v>14182</v>
      </c>
      <c r="O22" s="16" t="s">
        <v>16</v>
      </c>
    </row>
    <row r="23" spans="1:15" ht="15.75" hidden="1" thickBot="1" x14ac:dyDescent="0.3">
      <c r="A23" s="7">
        <v>45310</v>
      </c>
      <c r="B23" s="8">
        <v>81451</v>
      </c>
      <c r="C23" s="8">
        <v>92500</v>
      </c>
      <c r="D23" s="8"/>
      <c r="E23" s="9">
        <f>Table1411[[#This Row],[MoMo]]+Table1411[[#This Row],[Cash]]+Table1411[[#This Row],[Creditors]]</f>
        <v>173951</v>
      </c>
      <c r="G23" s="11">
        <v>151700</v>
      </c>
      <c r="H23" s="8"/>
      <c r="I23" s="9">
        <f>Table2612[[#This Row],[Guhaha]]+Table2612[[#This Row],[Debts]]</f>
        <v>151700</v>
      </c>
      <c r="K23" s="12">
        <f>Table1411[[#This Row],[Total]]-Table2612[[#This Row],[Total]]</f>
        <v>22251</v>
      </c>
      <c r="M23" s="13">
        <f>3*60000</f>
        <v>180000</v>
      </c>
      <c r="N23" s="30">
        <f>Table1411[[#This Row],[Total]]-M23</f>
        <v>-6049</v>
      </c>
      <c r="O23" s="16" t="s">
        <v>16</v>
      </c>
    </row>
    <row r="24" spans="1:15" ht="15.75" hidden="1" thickBot="1" x14ac:dyDescent="0.3">
      <c r="A24" s="7">
        <v>45311</v>
      </c>
      <c r="B24" s="8">
        <v>46500</v>
      </c>
      <c r="C24" s="8">
        <v>125500</v>
      </c>
      <c r="D24" s="8"/>
      <c r="E24" s="9">
        <f>Table1411[[#This Row],[MoMo]]+Table1411[[#This Row],[Cash]]+Table1411[[#This Row],[Creditors]]</f>
        <v>172000</v>
      </c>
      <c r="G24" s="11">
        <v>166500</v>
      </c>
      <c r="H24" s="8"/>
      <c r="I24" s="9">
        <f>Table2612[[#This Row],[Guhaha]]+Table2612[[#This Row],[Debts]]</f>
        <v>166500</v>
      </c>
      <c r="K24" s="12">
        <f>Table1411[[#This Row],[Total]]-Table2612[[#This Row],[Total]]</f>
        <v>5500</v>
      </c>
      <c r="M24" s="13">
        <f>3*60000</f>
        <v>180000</v>
      </c>
      <c r="N24" s="30">
        <f>Table1411[[#This Row],[Total]]-M24</f>
        <v>-8000</v>
      </c>
      <c r="O24" s="16" t="s">
        <v>16</v>
      </c>
    </row>
    <row r="25" spans="1:15" ht="15.75" hidden="1" thickBot="1" x14ac:dyDescent="0.3">
      <c r="A25" s="7">
        <v>45312</v>
      </c>
      <c r="B25" s="8">
        <v>29600</v>
      </c>
      <c r="C25" s="8">
        <v>51000</v>
      </c>
      <c r="D25" s="8"/>
      <c r="E25" s="9">
        <f>Table1411[[#This Row],[MoMo]]+Table1411[[#This Row],[Cash]]+Table1411[[#This Row],[Creditors]]</f>
        <v>80600</v>
      </c>
      <c r="G25" s="11">
        <v>52400</v>
      </c>
      <c r="H25" s="8"/>
      <c r="I25" s="9">
        <f>Table2612[[#This Row],[Guhaha]]+Table2612[[#This Row],[Debts]]</f>
        <v>52400</v>
      </c>
      <c r="K25" s="12">
        <f>Table1411[[#This Row],[Total]]-Table2612[[#This Row],[Total]]</f>
        <v>28200</v>
      </c>
      <c r="M25" s="13">
        <f>1.3*60000</f>
        <v>78000</v>
      </c>
      <c r="N25" s="30">
        <f>Table1411[[#This Row],[Total]]-M25</f>
        <v>2600</v>
      </c>
      <c r="O25" s="16" t="s">
        <v>16</v>
      </c>
    </row>
    <row r="26" spans="1:15" ht="15.75" hidden="1" thickBot="1" x14ac:dyDescent="0.3">
      <c r="A26" s="7">
        <v>45313</v>
      </c>
      <c r="B26" s="8">
        <v>85379</v>
      </c>
      <c r="C26" s="8">
        <f>111000+9700</f>
        <v>120700</v>
      </c>
      <c r="D26" s="8"/>
      <c r="E26" s="9">
        <f>Table1411[[#This Row],[MoMo]]+Table1411[[#This Row],[Cash]]+Table1411[[#This Row],[Creditors]]</f>
        <v>206079</v>
      </c>
      <c r="G26" s="11">
        <v>244100</v>
      </c>
      <c r="H26" s="8"/>
      <c r="I26" s="9">
        <f>Table2612[[#This Row],[Guhaha]]+Table2612[[#This Row],[Debts]]</f>
        <v>244100</v>
      </c>
      <c r="K26" s="12">
        <f>Table1411[[#This Row],[Total]]-Table2612[[#This Row],[Total]]</f>
        <v>-38021</v>
      </c>
      <c r="M26" s="13">
        <f>3.5*60000</f>
        <v>210000</v>
      </c>
      <c r="N26" s="30">
        <f>Table1411[[#This Row],[Total]]-M26</f>
        <v>-3921</v>
      </c>
      <c r="O26" s="21" t="s">
        <v>19</v>
      </c>
    </row>
    <row r="27" spans="1:15" ht="15.75" hidden="1" thickBot="1" x14ac:dyDescent="0.3">
      <c r="A27" s="7">
        <v>45314</v>
      </c>
      <c r="B27" s="8">
        <v>82281</v>
      </c>
      <c r="C27" s="8">
        <v>104000</v>
      </c>
      <c r="D27" s="8"/>
      <c r="E27" s="9">
        <f>Table1411[[#This Row],[MoMo]]+Table1411[[#This Row],[Cash]]+Table1411[[#This Row],[Creditors]]</f>
        <v>186281</v>
      </c>
      <c r="G27" s="11">
        <v>116700</v>
      </c>
      <c r="H27" s="8"/>
      <c r="I27" s="9">
        <f>Table2612[[#This Row],[Guhaha]]+Table2612[[#This Row],[Debts]]</f>
        <v>116700</v>
      </c>
      <c r="K27" s="12">
        <f>Table1411[[#This Row],[Total]]-Table2612[[#This Row],[Total]]</f>
        <v>69581</v>
      </c>
      <c r="M27" s="13">
        <f>3*60000</f>
        <v>180000</v>
      </c>
      <c r="N27" s="30">
        <f>Table1411[[#This Row],[Total]]-M27</f>
        <v>6281</v>
      </c>
      <c r="O27" s="16" t="s">
        <v>16</v>
      </c>
    </row>
    <row r="28" spans="1:15" ht="15.75" hidden="1" thickBot="1" x14ac:dyDescent="0.3">
      <c r="A28" s="7">
        <v>45315</v>
      </c>
      <c r="B28" s="8">
        <v>118243</v>
      </c>
      <c r="C28" s="8">
        <v>192000</v>
      </c>
      <c r="D28" s="8"/>
      <c r="E28" s="9">
        <f>Table1411[[#This Row],[MoMo]]+Table1411[[#This Row],[Cash]]+Table1411[[#This Row],[Creditors]]</f>
        <v>310243</v>
      </c>
      <c r="G28" s="11">
        <v>232450</v>
      </c>
      <c r="H28" s="8"/>
      <c r="I28" s="9">
        <f>Table2612[[#This Row],[Guhaha]]+Table2612[[#This Row],[Debts]]</f>
        <v>232450</v>
      </c>
      <c r="K28" s="12">
        <f>Table1411[[#This Row],[Total]]-Table2612[[#This Row],[Total]]</f>
        <v>77793</v>
      </c>
      <c r="M28" s="13">
        <v>240000</v>
      </c>
      <c r="N28" s="17">
        <f>Table1411[[#This Row],[Total]]-Table2612[[#This Row],[Total]]</f>
        <v>77793</v>
      </c>
      <c r="O28" s="16" t="s">
        <v>16</v>
      </c>
    </row>
    <row r="29" spans="1:15" ht="15.75" hidden="1" thickBot="1" x14ac:dyDescent="0.3">
      <c r="A29" s="7">
        <v>45316</v>
      </c>
      <c r="B29" s="8">
        <v>94258</v>
      </c>
      <c r="C29" s="8">
        <v>130000</v>
      </c>
      <c r="D29" s="8"/>
      <c r="E29" s="9">
        <f>Table1411[[#This Row],[MoMo]]+Table1411[[#This Row],[Cash]]+Table1411[[#This Row],[Creditors]]</f>
        <v>224258</v>
      </c>
      <c r="G29" s="11">
        <v>188400</v>
      </c>
      <c r="H29" s="8"/>
      <c r="I29" s="9">
        <f>Table2612[[#This Row],[Guhaha]]+Table2612[[#This Row],[Debts]]</f>
        <v>188400</v>
      </c>
      <c r="K29" s="12">
        <f>Table1411[[#This Row],[Total]]-Table2612[[#This Row],[Total]]</f>
        <v>35858</v>
      </c>
      <c r="M29" s="13">
        <f>3.25*60000</f>
        <v>195000</v>
      </c>
      <c r="N29" s="30">
        <f>Table1411[[#This Row],[Total]]-M29</f>
        <v>29258</v>
      </c>
      <c r="O29" s="16" t="s">
        <v>16</v>
      </c>
    </row>
    <row r="30" spans="1:15" ht="15.75" hidden="1" thickBot="1" x14ac:dyDescent="0.3">
      <c r="A30" s="7">
        <v>45317</v>
      </c>
      <c r="B30" s="8">
        <v>75900</v>
      </c>
      <c r="C30" s="8">
        <v>87000</v>
      </c>
      <c r="D30" s="8"/>
      <c r="E30" s="9">
        <f>Table1411[[#This Row],[MoMo]]+Table1411[[#This Row],[Cash]]+Table1411[[#This Row],[Creditors]]</f>
        <v>162900</v>
      </c>
      <c r="G30" s="11">
        <v>180250</v>
      </c>
      <c r="H30" s="8"/>
      <c r="I30" s="9">
        <f>Table2612[[#This Row],[Guhaha]]+Table2612[[#This Row],[Debts]]</f>
        <v>180250</v>
      </c>
      <c r="K30" s="12">
        <f>Table1411[[#This Row],[Total]]-Table2612[[#This Row],[Total]]</f>
        <v>-17350</v>
      </c>
      <c r="M30" s="13">
        <f>2.5*60000</f>
        <v>150000</v>
      </c>
      <c r="N30" s="30">
        <f>Table1411[[#This Row],[Total]]-M30</f>
        <v>12900</v>
      </c>
      <c r="O30" s="21" t="s">
        <v>19</v>
      </c>
    </row>
    <row r="31" spans="1:15" ht="15.75" hidden="1" thickBot="1" x14ac:dyDescent="0.3">
      <c r="A31" s="7">
        <v>45318</v>
      </c>
      <c r="B31" s="8">
        <v>44892</v>
      </c>
      <c r="C31" s="8">
        <v>102800</v>
      </c>
      <c r="D31" s="8"/>
      <c r="E31" s="9">
        <f>Table1411[[#This Row],[MoMo]]+Table1411[[#This Row],[Cash]]+Table1411[[#This Row],[Creditors]]</f>
        <v>147692</v>
      </c>
      <c r="G31" s="11">
        <v>139250</v>
      </c>
      <c r="H31" s="8"/>
      <c r="I31" s="9">
        <f>Table2612[[#This Row],[Guhaha]]+Table2612[[#This Row],[Debts]]</f>
        <v>139250</v>
      </c>
      <c r="K31" s="12">
        <f>Table1411[[#This Row],[Total]]-Table2612[[#This Row],[Total]]</f>
        <v>8442</v>
      </c>
      <c r="M31" s="13">
        <f>2.5*60000</f>
        <v>150000</v>
      </c>
      <c r="N31" s="30">
        <f>Table1411[[#This Row],[Total]]-M31</f>
        <v>-2308</v>
      </c>
      <c r="O31" s="16" t="s">
        <v>16</v>
      </c>
    </row>
    <row r="32" spans="1:15" ht="15.75" hidden="1" thickBot="1" x14ac:dyDescent="0.3">
      <c r="A32" s="7">
        <v>45319</v>
      </c>
      <c r="B32" s="8">
        <f>35579+900</f>
        <v>36479</v>
      </c>
      <c r="C32" s="8">
        <f>38000+4500</f>
        <v>42500</v>
      </c>
      <c r="D32" s="8"/>
      <c r="E32" s="9">
        <f>Table1411[[#This Row],[MoMo]]+Table1411[[#This Row],[Cash]]+Table1411[[#This Row],[Creditors]]</f>
        <v>78979</v>
      </c>
      <c r="G32" s="11">
        <f>96700-20500</f>
        <v>76200</v>
      </c>
      <c r="H32" s="8"/>
      <c r="I32" s="9">
        <f>Table2612[[#This Row],[Guhaha]]+Table2612[[#This Row],[Debts]]</f>
        <v>76200</v>
      </c>
      <c r="K32" s="12">
        <f>Table1411[[#This Row],[Total]]-Table2612[[#This Row],[Total]]</f>
        <v>2779</v>
      </c>
      <c r="M32" s="13">
        <f>1.5*60000</f>
        <v>90000</v>
      </c>
      <c r="N32" s="30">
        <f>Table1411[[#This Row],[Total]]-M32</f>
        <v>-11021</v>
      </c>
      <c r="O32" s="21" t="s">
        <v>19</v>
      </c>
    </row>
    <row r="33" spans="1:15" ht="15.75" hidden="1" thickBot="1" x14ac:dyDescent="0.3">
      <c r="A33" s="7">
        <v>45320</v>
      </c>
      <c r="B33" s="8">
        <f>126093+1800</f>
        <v>127893</v>
      </c>
      <c r="C33" s="8">
        <f>112000+6000</f>
        <v>118000</v>
      </c>
      <c r="D33" s="8"/>
      <c r="E33" s="9">
        <f>Table1411[[#This Row],[MoMo]]+Table1411[[#This Row],[Cash]]+Table1411[[#This Row],[Creditors]]</f>
        <v>245893</v>
      </c>
      <c r="G33" s="11">
        <v>127250</v>
      </c>
      <c r="H33" s="8"/>
      <c r="I33" s="9">
        <f>Table2612[[#This Row],[Guhaha]]+Table2612[[#This Row],[Debts]]</f>
        <v>127250</v>
      </c>
      <c r="K33" s="12">
        <f>Table1411[[#This Row],[Total]]-Table2612[[#This Row],[Total]]</f>
        <v>118643</v>
      </c>
      <c r="M33" s="13">
        <f>2.75*60000</f>
        <v>165000</v>
      </c>
      <c r="N33" s="30">
        <f>Table1411[[#This Row],[Total]]-M33</f>
        <v>80893</v>
      </c>
      <c r="O33" s="16" t="s">
        <v>16</v>
      </c>
    </row>
    <row r="34" spans="1:15" ht="15.75" hidden="1" thickBot="1" x14ac:dyDescent="0.3">
      <c r="A34" s="7">
        <v>45321</v>
      </c>
      <c r="B34" s="8">
        <v>135782</v>
      </c>
      <c r="C34" s="8">
        <f>110000+1500</f>
        <v>111500</v>
      </c>
      <c r="D34" s="8"/>
      <c r="E34" s="9">
        <f>Table1411[[#This Row],[MoMo]]+Table1411[[#This Row],[Cash]]+Table1411[[#This Row],[Creditors]]</f>
        <v>247282</v>
      </c>
      <c r="G34" s="11">
        <v>185800</v>
      </c>
      <c r="H34" s="8"/>
      <c r="I34" s="9">
        <f>Table2612[[#This Row],[Guhaha]]+Table2612[[#This Row],[Debts]]</f>
        <v>185800</v>
      </c>
      <c r="K34" s="12">
        <f>Table1411[[#This Row],[Total]]-Table2612[[#This Row],[Total]]</f>
        <v>61482</v>
      </c>
      <c r="M34" s="13">
        <f>4*60000</f>
        <v>240000</v>
      </c>
      <c r="N34" s="30">
        <f>Table1411[[#This Row],[Total]]-M34</f>
        <v>7282</v>
      </c>
      <c r="O34" s="16" t="s">
        <v>16</v>
      </c>
    </row>
    <row r="35" spans="1:15" ht="15.75" hidden="1" thickBot="1" x14ac:dyDescent="0.3">
      <c r="A35" s="7">
        <v>45322</v>
      </c>
      <c r="B35" s="8">
        <v>95268</v>
      </c>
      <c r="C35" s="8">
        <f>178000+6600</f>
        <v>184600</v>
      </c>
      <c r="D35" s="8"/>
      <c r="E35" s="9">
        <f>Table1411[[#This Row],[MoMo]]+Table1411[[#This Row],[Cash]]+Table1411[[#This Row],[Creditors]]</f>
        <v>279868</v>
      </c>
      <c r="G35" s="11">
        <v>216150</v>
      </c>
      <c r="H35" s="8"/>
      <c r="I35" s="9">
        <f>Table2612[[#This Row],[Guhaha]]+Table2612[[#This Row],[Debts]]</f>
        <v>216150</v>
      </c>
      <c r="K35" s="12">
        <f>Table1411[[#This Row],[Total]]-Table2612[[#This Row],[Total]]</f>
        <v>63718</v>
      </c>
      <c r="M35" s="13">
        <f>4*60000</f>
        <v>240000</v>
      </c>
      <c r="N35" s="30">
        <f>Table1411[[#This Row],[Total]]-M35</f>
        <v>39868</v>
      </c>
      <c r="O35" s="16" t="s">
        <v>16</v>
      </c>
    </row>
    <row r="36" spans="1:15" ht="15.75" hidden="1" thickBot="1" x14ac:dyDescent="0.3">
      <c r="A36" s="31" t="s">
        <v>21</v>
      </c>
      <c r="B36" s="32">
        <f>SUM(B5:B35)</f>
        <v>2392170</v>
      </c>
      <c r="C36" s="32">
        <f>SUM(C5:C35)</f>
        <v>3658909</v>
      </c>
      <c r="D36" s="32">
        <f>SUM(D5:D35)</f>
        <v>116000</v>
      </c>
      <c r="E36" s="33">
        <f>Table1411[[#This Row],[MoMo]]+Table1411[[#This Row],[Cash]]+Table1411[[#This Row],[Creditors]]</f>
        <v>6167079</v>
      </c>
      <c r="G36" s="34">
        <f>SUM(G5:G35)</f>
        <v>4825356</v>
      </c>
      <c r="H36" s="32">
        <f>SUM(H5:H35)</f>
        <v>0</v>
      </c>
      <c r="I36" s="33">
        <f>Table2612[[#This Row],[Guhaha]]+Table2612[[#This Row],[Debts]]</f>
        <v>4825356</v>
      </c>
      <c r="K36" s="35">
        <f>Table1411[[#This Row],[Total]]-Table2612[[#This Row],[Total]]</f>
        <v>1341723</v>
      </c>
      <c r="M36" s="36">
        <f>SUM(M5:M35)</f>
        <v>5793000</v>
      </c>
      <c r="N36" s="37">
        <f>SUM(N5:N35)</f>
        <v>381629</v>
      </c>
      <c r="O36" s="15"/>
    </row>
    <row r="37" spans="1:15" s="38" customFormat="1" ht="15.75" hidden="1" thickBot="1" x14ac:dyDescent="0.3">
      <c r="B37" s="39"/>
      <c r="C37" s="39"/>
      <c r="D37" s="39"/>
      <c r="E37" s="40">
        <f>Table1411[[#This Row],[MoMo]]+Table1411[[#This Row],[Cash]]+Table1411[[#This Row],[Creditors]]</f>
        <v>0</v>
      </c>
      <c r="G37" s="39"/>
      <c r="H37" s="39"/>
      <c r="I37" s="40">
        <f>Table2612[[#This Row],[Guhaha]]+Table2612[[#This Row],[Debts]]</f>
        <v>0</v>
      </c>
      <c r="K37" s="41">
        <f>Table1411[[#This Row],[Total]]-Table2612[[#This Row],[Total]]</f>
        <v>0</v>
      </c>
      <c r="O37" s="42"/>
    </row>
    <row r="38" spans="1:15" ht="15.75" hidden="1" thickBot="1" x14ac:dyDescent="0.3">
      <c r="O38" s="38"/>
    </row>
    <row r="39" spans="1:15" ht="15.75" hidden="1" thickBot="1" x14ac:dyDescent="0.3">
      <c r="O39" s="3"/>
    </row>
    <row r="40" spans="1:15" ht="18.75" x14ac:dyDescent="0.3">
      <c r="A40" s="72" t="s">
        <v>1</v>
      </c>
      <c r="B40" s="72"/>
      <c r="C40" s="72"/>
      <c r="D40" s="72"/>
      <c r="E40" s="72"/>
      <c r="F40" s="3"/>
      <c r="G40" s="72" t="s">
        <v>2</v>
      </c>
      <c r="H40" s="72"/>
      <c r="I40" s="72"/>
      <c r="J40" s="3"/>
      <c r="K40" s="1" t="s">
        <v>3</v>
      </c>
      <c r="M40" s="69" t="s">
        <v>22</v>
      </c>
      <c r="N40" s="70"/>
      <c r="O40" s="71"/>
    </row>
    <row r="41" spans="1:15" ht="15.75" x14ac:dyDescent="0.25">
      <c r="A41" s="3" t="s">
        <v>5</v>
      </c>
      <c r="B41" s="3" t="s">
        <v>6</v>
      </c>
      <c r="C41" s="3" t="s">
        <v>7</v>
      </c>
      <c r="D41" s="3" t="s">
        <v>8</v>
      </c>
      <c r="E41" s="3" t="s">
        <v>9</v>
      </c>
      <c r="F41" s="3"/>
      <c r="G41" s="3" t="s">
        <v>10</v>
      </c>
      <c r="H41" s="3" t="s">
        <v>11</v>
      </c>
      <c r="I41" s="3" t="s">
        <v>9</v>
      </c>
      <c r="J41" s="3"/>
      <c r="K41" s="5" t="s">
        <v>12</v>
      </c>
      <c r="M41" s="6" t="s">
        <v>13</v>
      </c>
      <c r="N41" s="61" t="s">
        <v>14</v>
      </c>
      <c r="O41" s="62"/>
    </row>
    <row r="42" spans="1:15" x14ac:dyDescent="0.25">
      <c r="A42" s="43">
        <v>45352</v>
      </c>
      <c r="B42" s="44">
        <v>50000</v>
      </c>
      <c r="C42" s="44">
        <v>35000</v>
      </c>
      <c r="D42" s="44">
        <v>15000</v>
      </c>
      <c r="E42" s="45">
        <f>Table714[[#This Row],[MoMo]]+Table714[[#This Row],[Cash]]+Table714[[#This Row],[Creditors]]</f>
        <v>100000</v>
      </c>
      <c r="F42" s="8"/>
      <c r="G42" s="8">
        <v>120000</v>
      </c>
      <c r="H42" s="8"/>
      <c r="I42" s="45">
        <f>Table815[[#This Row],[Guhaha]]+Table815[[#This Row],[Debts]]</f>
        <v>120000</v>
      </c>
      <c r="J42" s="8"/>
      <c r="K42" s="46">
        <f>Table714[[#This Row],[Total]]-Table815[[#This Row],[Total]]</f>
        <v>-20000</v>
      </c>
      <c r="L42" s="10"/>
      <c r="M42" s="13">
        <v>120000</v>
      </c>
      <c r="N42" s="14">
        <f>Table714[[#This Row],[Total]]-M42</f>
        <v>-20000</v>
      </c>
      <c r="O42" s="60"/>
    </row>
    <row r="43" spans="1:15" x14ac:dyDescent="0.25">
      <c r="A43" s="43">
        <v>45353</v>
      </c>
      <c r="B43" s="44">
        <v>43000</v>
      </c>
      <c r="C43" s="44">
        <v>37500</v>
      </c>
      <c r="D43" s="44"/>
      <c r="E43" s="45">
        <f>Table714[[#This Row],[MoMo]]+Table714[[#This Row],[Cash]]+Table714[[#This Row],[Creditors]]</f>
        <v>80500</v>
      </c>
      <c r="F43" s="8"/>
      <c r="G43" s="8">
        <v>110000</v>
      </c>
      <c r="H43" s="8"/>
      <c r="I43" s="45">
        <f>Table815[[#This Row],[Guhaha]]+Table815[[#This Row],[Debts]]</f>
        <v>110000</v>
      </c>
      <c r="J43" s="8"/>
      <c r="K43" s="46">
        <f>Table714[[#This Row],[Total]]-Table815[[#This Row],[Total]]</f>
        <v>-29500</v>
      </c>
      <c r="L43" s="10"/>
      <c r="M43" s="13">
        <v>113000</v>
      </c>
      <c r="N43" s="14">
        <f>Table714[[#This Row],[Total]]-M43</f>
        <v>-32500</v>
      </c>
      <c r="O43" s="60"/>
    </row>
    <row r="44" spans="1:15" x14ac:dyDescent="0.25">
      <c r="A44" s="43">
        <v>45354</v>
      </c>
      <c r="B44" s="44">
        <v>66000</v>
      </c>
      <c r="C44" s="44">
        <v>40000</v>
      </c>
      <c r="D44" s="44"/>
      <c r="E44" s="45">
        <f>Table714[[#This Row],[MoMo]]+Table714[[#This Row],[Cash]]+Table714[[#This Row],[Creditors]]</f>
        <v>106000</v>
      </c>
      <c r="F44" s="8"/>
      <c r="G44" s="8">
        <v>100000</v>
      </c>
      <c r="H44" s="8"/>
      <c r="I44" s="45">
        <f>Table815[[#This Row],[Guhaha]]+Table815[[#This Row],[Debts]]</f>
        <v>100000</v>
      </c>
      <c r="J44" s="8"/>
      <c r="K44" s="46">
        <f>Table714[[#This Row],[Total]]-Table815[[#This Row],[Total]]</f>
        <v>6000</v>
      </c>
      <c r="L44" s="10"/>
      <c r="M44" s="13">
        <f>1.6*60000</f>
        <v>96000</v>
      </c>
      <c r="N44" s="17">
        <f>Table714[[#This Row],[Total]]-M44</f>
        <v>10000</v>
      </c>
      <c r="O44" s="60"/>
    </row>
    <row r="45" spans="1:15" x14ac:dyDescent="0.25">
      <c r="A45" s="43"/>
      <c r="B45" s="44"/>
      <c r="C45" s="44"/>
      <c r="D45" s="44"/>
      <c r="E45" s="45"/>
      <c r="F45" s="8"/>
      <c r="G45" s="8"/>
      <c r="H45" s="8"/>
      <c r="I45" s="45"/>
      <c r="J45" s="8"/>
      <c r="K45" s="46"/>
      <c r="L45" s="10"/>
      <c r="M45" s="13"/>
      <c r="N45" s="17"/>
      <c r="O45" s="60"/>
    </row>
    <row r="46" spans="1:15" x14ac:dyDescent="0.25">
      <c r="A46" s="43"/>
      <c r="B46" s="44"/>
      <c r="C46" s="44"/>
      <c r="D46" s="44"/>
      <c r="E46" s="45"/>
      <c r="F46" s="8"/>
      <c r="G46" s="8"/>
      <c r="H46" s="8"/>
      <c r="I46" s="45"/>
      <c r="J46" s="8"/>
      <c r="K46" s="46"/>
      <c r="L46" s="10"/>
      <c r="M46" s="13"/>
      <c r="N46" s="17"/>
      <c r="O46" s="60"/>
    </row>
    <row r="47" spans="1:15" x14ac:dyDescent="0.25">
      <c r="A47" s="43"/>
      <c r="B47" s="44"/>
      <c r="C47" s="44"/>
      <c r="D47" s="44"/>
      <c r="E47" s="45"/>
      <c r="F47" s="8"/>
      <c r="G47" s="8"/>
      <c r="H47" s="8"/>
      <c r="I47" s="45"/>
      <c r="J47" s="8"/>
      <c r="K47" s="46"/>
      <c r="L47" s="10"/>
      <c r="M47" s="13"/>
      <c r="N47" s="17"/>
      <c r="O47" s="60"/>
    </row>
    <row r="48" spans="1:15" x14ac:dyDescent="0.25">
      <c r="A48" s="43"/>
      <c r="B48" s="47"/>
      <c r="C48" s="44"/>
      <c r="D48" s="44"/>
      <c r="E48" s="45"/>
      <c r="F48" s="8"/>
      <c r="G48" s="8"/>
      <c r="H48" s="8"/>
      <c r="I48" s="45"/>
      <c r="J48" s="8"/>
      <c r="K48" s="46"/>
      <c r="L48" s="10"/>
      <c r="M48" s="13"/>
      <c r="N48" s="17"/>
      <c r="O48" s="60"/>
    </row>
    <row r="49" spans="1:15" x14ac:dyDescent="0.25">
      <c r="A49" s="43"/>
      <c r="B49" s="47"/>
      <c r="C49" s="44"/>
      <c r="D49" s="44"/>
      <c r="E49" s="45"/>
      <c r="F49" s="8"/>
      <c r="G49" s="8"/>
      <c r="H49" s="8"/>
      <c r="I49" s="45"/>
      <c r="J49" s="8"/>
      <c r="K49" s="46"/>
      <c r="L49" s="10"/>
      <c r="M49" s="13"/>
      <c r="N49" s="19"/>
      <c r="O49" s="60"/>
    </row>
    <row r="50" spans="1:15" x14ac:dyDescent="0.25">
      <c r="A50" s="43"/>
      <c r="B50" s="47"/>
      <c r="C50" s="47"/>
      <c r="D50" s="47"/>
      <c r="E50" s="45"/>
      <c r="F50" s="8"/>
      <c r="G50" s="8"/>
      <c r="H50" s="8"/>
      <c r="I50" s="45"/>
      <c r="J50" s="8"/>
      <c r="K50" s="46"/>
      <c r="L50" s="10"/>
      <c r="M50" s="13"/>
      <c r="N50" s="17"/>
      <c r="O50" s="60"/>
    </row>
    <row r="51" spans="1:15" x14ac:dyDescent="0.25">
      <c r="A51" s="43"/>
      <c r="B51" s="47"/>
      <c r="C51" s="47"/>
      <c r="D51" s="47"/>
      <c r="E51" s="45"/>
      <c r="F51" s="8"/>
      <c r="G51" s="8"/>
      <c r="H51" s="8"/>
      <c r="I51" s="45"/>
      <c r="J51" s="8"/>
      <c r="K51" s="46"/>
      <c r="L51" s="10"/>
      <c r="M51" s="13"/>
      <c r="N51" s="17"/>
      <c r="O51" s="60"/>
    </row>
    <row r="52" spans="1:15" x14ac:dyDescent="0.25">
      <c r="A52" s="43"/>
      <c r="B52" s="47"/>
      <c r="C52" s="47"/>
      <c r="D52" s="47"/>
      <c r="E52" s="45"/>
      <c r="F52" s="8"/>
      <c r="G52" s="8"/>
      <c r="H52" s="8"/>
      <c r="I52" s="45"/>
      <c r="J52" s="8"/>
      <c r="K52" s="46"/>
      <c r="L52" s="10"/>
      <c r="M52" s="13"/>
      <c r="N52" s="17"/>
      <c r="O52" s="60"/>
    </row>
    <row r="53" spans="1:15" x14ac:dyDescent="0.25">
      <c r="A53" s="43"/>
      <c r="B53" s="47"/>
      <c r="C53" s="47"/>
      <c r="D53" s="47"/>
      <c r="E53" s="45"/>
      <c r="F53" s="8"/>
      <c r="G53" s="8"/>
      <c r="H53" s="8"/>
      <c r="I53" s="45"/>
      <c r="J53" s="8"/>
      <c r="K53" s="46"/>
      <c r="L53" s="10"/>
      <c r="M53" s="13"/>
      <c r="N53" s="17"/>
      <c r="O53" s="60"/>
    </row>
    <row r="54" spans="1:15" x14ac:dyDescent="0.25">
      <c r="A54" s="43"/>
      <c r="B54" s="47"/>
      <c r="C54" s="47"/>
      <c r="D54" s="47"/>
      <c r="E54" s="45"/>
      <c r="F54" s="8"/>
      <c r="G54" s="8"/>
      <c r="H54" s="8"/>
      <c r="I54" s="45"/>
      <c r="J54" s="8"/>
      <c r="K54" s="46"/>
      <c r="L54" s="10"/>
      <c r="M54" s="13"/>
      <c r="N54" s="17"/>
      <c r="O54" s="60"/>
    </row>
    <row r="55" spans="1:15" x14ac:dyDescent="0.25">
      <c r="A55" s="43"/>
      <c r="B55" s="47"/>
      <c r="C55" s="47"/>
      <c r="D55" s="47"/>
      <c r="E55" s="45"/>
      <c r="F55" s="8"/>
      <c r="G55" s="8"/>
      <c r="H55" s="8"/>
      <c r="I55" s="45"/>
      <c r="J55" s="8"/>
      <c r="K55" s="46"/>
      <c r="L55" s="10"/>
      <c r="M55" s="13"/>
      <c r="N55" s="17"/>
      <c r="O55" s="60"/>
    </row>
    <row r="56" spans="1:15" x14ac:dyDescent="0.25">
      <c r="A56" s="43"/>
      <c r="B56" s="47"/>
      <c r="C56" s="47"/>
      <c r="D56" s="47"/>
      <c r="E56" s="45"/>
      <c r="F56" s="8"/>
      <c r="G56" s="8"/>
      <c r="H56" s="8"/>
      <c r="I56" s="45"/>
      <c r="J56" s="8"/>
      <c r="K56" s="46"/>
      <c r="L56" s="10"/>
      <c r="M56" s="13"/>
      <c r="N56" s="17"/>
      <c r="O56" s="60"/>
    </row>
    <row r="57" spans="1:15" x14ac:dyDescent="0.25">
      <c r="A57" s="43"/>
      <c r="B57" s="47"/>
      <c r="C57" s="47"/>
      <c r="D57" s="47"/>
      <c r="E57" s="45"/>
      <c r="F57" s="8"/>
      <c r="G57" s="8"/>
      <c r="H57" s="8"/>
      <c r="I57" s="45"/>
      <c r="J57" s="8"/>
      <c r="K57" s="46"/>
      <c r="L57" s="10"/>
      <c r="M57" s="13"/>
      <c r="N57" s="17"/>
      <c r="O57" s="60"/>
    </row>
    <row r="58" spans="1:15" s="29" customFormat="1" x14ac:dyDescent="0.25">
      <c r="A58" s="48"/>
      <c r="B58" s="47"/>
      <c r="C58" s="47"/>
      <c r="D58" s="47"/>
      <c r="E58" s="45"/>
      <c r="F58" s="24"/>
      <c r="G58" s="24"/>
      <c r="H58" s="24"/>
      <c r="I58" s="45"/>
      <c r="J58" s="24"/>
      <c r="K58" s="49"/>
      <c r="L58" s="25"/>
      <c r="M58" s="13"/>
      <c r="N58" s="28"/>
      <c r="O58" s="60"/>
    </row>
    <row r="59" spans="1:15" x14ac:dyDescent="0.25">
      <c r="A59" s="43"/>
      <c r="B59" s="47"/>
      <c r="C59" s="47"/>
      <c r="D59" s="47"/>
      <c r="E59" s="45"/>
      <c r="F59" s="3"/>
      <c r="G59" s="8"/>
      <c r="H59" s="8"/>
      <c r="I59" s="45"/>
      <c r="J59" s="3"/>
      <c r="K59" s="46"/>
      <c r="M59" s="13"/>
      <c r="N59" s="30"/>
      <c r="O59" s="60"/>
    </row>
    <row r="60" spans="1:15" x14ac:dyDescent="0.25">
      <c r="A60" s="43"/>
      <c r="B60" s="47"/>
      <c r="C60" s="47"/>
      <c r="D60" s="47"/>
      <c r="E60" s="45"/>
      <c r="F60" s="3"/>
      <c r="G60" s="8"/>
      <c r="H60" s="8"/>
      <c r="I60" s="45"/>
      <c r="J60" s="3"/>
      <c r="K60" s="46"/>
      <c r="M60" s="13"/>
      <c r="N60" s="30"/>
      <c r="O60" s="60"/>
    </row>
    <row r="61" spans="1:15" x14ac:dyDescent="0.25">
      <c r="A61" s="43"/>
      <c r="B61" s="47"/>
      <c r="C61" s="47"/>
      <c r="D61" s="47"/>
      <c r="E61" s="45"/>
      <c r="F61" s="3"/>
      <c r="G61" s="8"/>
      <c r="H61" s="8"/>
      <c r="I61" s="45"/>
      <c r="J61" s="3"/>
      <c r="K61" s="46"/>
      <c r="M61" s="13"/>
      <c r="N61" s="30"/>
      <c r="O61" s="60"/>
    </row>
    <row r="62" spans="1:15" x14ac:dyDescent="0.25">
      <c r="A62" s="43"/>
      <c r="B62" s="47"/>
      <c r="C62" s="47"/>
      <c r="D62" s="47"/>
      <c r="E62" s="45"/>
      <c r="F62" s="3"/>
      <c r="G62" s="8"/>
      <c r="H62" s="8"/>
      <c r="I62" s="45"/>
      <c r="J62" s="3"/>
      <c r="K62" s="46"/>
      <c r="M62" s="13"/>
      <c r="N62" s="30"/>
      <c r="O62" s="60"/>
    </row>
    <row r="63" spans="1:15" x14ac:dyDescent="0.25">
      <c r="A63" s="43"/>
      <c r="B63" s="47"/>
      <c r="C63" s="47"/>
      <c r="D63" s="47"/>
      <c r="E63" s="45"/>
      <c r="F63" s="3"/>
      <c r="G63" s="8"/>
      <c r="H63" s="8"/>
      <c r="I63" s="45"/>
      <c r="J63" s="3"/>
      <c r="K63" s="46"/>
      <c r="M63" s="13"/>
      <c r="N63" s="30"/>
      <c r="O63" s="60"/>
    </row>
    <row r="64" spans="1:15" x14ac:dyDescent="0.25">
      <c r="A64" s="43"/>
      <c r="B64" s="47"/>
      <c r="C64" s="47"/>
      <c r="D64" s="47"/>
      <c r="E64" s="45"/>
      <c r="F64" s="3"/>
      <c r="G64" s="8"/>
      <c r="H64" s="8"/>
      <c r="I64" s="45"/>
      <c r="J64" s="3"/>
      <c r="K64" s="46"/>
      <c r="M64" s="13"/>
      <c r="N64" s="30"/>
      <c r="O64" s="60"/>
    </row>
    <row r="65" spans="1:15" x14ac:dyDescent="0.25">
      <c r="A65" s="43"/>
      <c r="B65" s="47"/>
      <c r="C65" s="47"/>
      <c r="D65" s="47"/>
      <c r="E65" s="45"/>
      <c r="F65" s="3"/>
      <c r="G65" s="8"/>
      <c r="H65" s="8"/>
      <c r="I65" s="45"/>
      <c r="J65" s="3"/>
      <c r="K65" s="46"/>
      <c r="M65" s="13"/>
      <c r="N65" s="17"/>
      <c r="O65" s="60"/>
    </row>
    <row r="66" spans="1:15" x14ac:dyDescent="0.25">
      <c r="A66" s="43"/>
      <c r="B66" s="47"/>
      <c r="C66" s="47"/>
      <c r="D66" s="47"/>
      <c r="E66" s="45"/>
      <c r="F66" s="3"/>
      <c r="G66" s="8"/>
      <c r="H66" s="8"/>
      <c r="I66" s="45"/>
      <c r="J66" s="3"/>
      <c r="K66" s="46"/>
      <c r="M66" s="13"/>
      <c r="N66" s="30"/>
      <c r="O66" s="60"/>
    </row>
    <row r="67" spans="1:15" x14ac:dyDescent="0.25">
      <c r="A67" s="43"/>
      <c r="B67" s="47"/>
      <c r="C67" s="47"/>
      <c r="D67" s="47"/>
      <c r="E67" s="45"/>
      <c r="F67" s="3"/>
      <c r="G67" s="8"/>
      <c r="H67" s="8"/>
      <c r="I67" s="45"/>
      <c r="J67" s="3"/>
      <c r="K67" s="46"/>
      <c r="M67" s="13"/>
      <c r="N67" s="30"/>
      <c r="O67" s="60"/>
    </row>
    <row r="68" spans="1:15" x14ac:dyDescent="0.25">
      <c r="A68" s="43"/>
      <c r="B68" s="47"/>
      <c r="C68" s="47"/>
      <c r="D68" s="47"/>
      <c r="E68" s="45"/>
      <c r="F68" s="3"/>
      <c r="G68" s="8"/>
      <c r="H68" s="8"/>
      <c r="I68" s="45"/>
      <c r="J68" s="3"/>
      <c r="K68" s="46"/>
      <c r="M68" s="13"/>
      <c r="N68" s="30"/>
      <c r="O68" s="60"/>
    </row>
    <row r="69" spans="1:15" x14ac:dyDescent="0.25">
      <c r="A69" s="43"/>
      <c r="B69" s="47"/>
      <c r="C69" s="47"/>
      <c r="D69" s="47"/>
      <c r="E69" s="45"/>
      <c r="F69" s="3"/>
      <c r="G69" s="8"/>
      <c r="H69" s="8"/>
      <c r="I69" s="45"/>
      <c r="J69" s="3"/>
      <c r="K69" s="46"/>
      <c r="M69" s="13"/>
      <c r="N69" s="30"/>
      <c r="O69" s="60"/>
    </row>
    <row r="70" spans="1:15" x14ac:dyDescent="0.25">
      <c r="A70" s="43"/>
      <c r="B70" s="47"/>
      <c r="C70" s="47"/>
      <c r="D70" s="47"/>
      <c r="E70" s="45"/>
      <c r="F70" s="3"/>
      <c r="G70" s="8"/>
      <c r="H70" s="8"/>
      <c r="I70" s="45"/>
      <c r="J70" s="3"/>
      <c r="K70" s="46"/>
      <c r="M70" s="13"/>
      <c r="N70" s="30"/>
      <c r="O70" s="60"/>
    </row>
    <row r="71" spans="1:15" x14ac:dyDescent="0.25">
      <c r="A71" s="48"/>
      <c r="B71" s="47"/>
      <c r="C71" s="47"/>
      <c r="D71" s="47"/>
      <c r="E71" s="50"/>
      <c r="F71" s="3"/>
      <c r="G71" s="8"/>
      <c r="H71" s="8"/>
      <c r="I71" s="45"/>
      <c r="J71" s="3"/>
      <c r="K71" s="46"/>
      <c r="M71" s="51"/>
      <c r="N71" s="52"/>
      <c r="O71" s="60"/>
    </row>
    <row r="72" spans="1:15" x14ac:dyDescent="0.25">
      <c r="A72" s="43"/>
      <c r="B72" s="47"/>
      <c r="C72" s="47"/>
      <c r="D72" s="47"/>
      <c r="E72" s="45"/>
      <c r="F72" s="3"/>
      <c r="G72" s="8"/>
      <c r="H72" s="8"/>
      <c r="I72" s="45"/>
      <c r="J72" s="3"/>
      <c r="K72" s="46"/>
      <c r="M72" s="53"/>
      <c r="N72" s="54"/>
      <c r="O72" s="60"/>
    </row>
    <row r="73" spans="1:15" ht="15.75" thickBot="1" x14ac:dyDescent="0.3">
      <c r="A73" s="43"/>
      <c r="B73" s="44">
        <f>SUM(B42:B72)</f>
        <v>159000</v>
      </c>
      <c r="C73" s="44">
        <f>SUM(C42:C72)</f>
        <v>112500</v>
      </c>
      <c r="D73" s="44">
        <f>SUM(D42:D72)</f>
        <v>15000</v>
      </c>
      <c r="E73" s="45">
        <f>Table714[[#This Row],[MoMo]]+Table714[[#This Row],[Cash]]+Table714[[#This Row],[Creditors]]</f>
        <v>286500</v>
      </c>
      <c r="F73" s="3"/>
      <c r="G73" s="55">
        <f>SUM(G42:G72)</f>
        <v>330000</v>
      </c>
      <c r="H73" s="55">
        <f>SUM(H42:H72)</f>
        <v>0</v>
      </c>
      <c r="I73" s="56">
        <f>SUM(I42:I72)</f>
        <v>330000</v>
      </c>
      <c r="J73" s="3"/>
      <c r="K73" s="57">
        <f>SUM(K42:K72)</f>
        <v>-43500</v>
      </c>
      <c r="M73" s="58">
        <f>SUM(M42:M72)</f>
        <v>329000</v>
      </c>
      <c r="N73" s="59">
        <f>Table714[[#This Row],[Total]]-M73</f>
        <v>-42500</v>
      </c>
      <c r="O73" s="42"/>
    </row>
  </sheetData>
  <mergeCells count="9">
    <mergeCell ref="N41:O41"/>
    <mergeCell ref="A1:O1"/>
    <mergeCell ref="A3:E3"/>
    <mergeCell ref="G3:I3"/>
    <mergeCell ref="M3:O3"/>
    <mergeCell ref="N4:O4"/>
    <mergeCell ref="A40:E40"/>
    <mergeCell ref="G40:I40"/>
    <mergeCell ref="M40:O40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tabSelected="1" workbookViewId="0">
      <selection activeCell="A23" sqref="A1:XFD1048576"/>
    </sheetView>
  </sheetViews>
  <sheetFormatPr defaultRowHeight="15" x14ac:dyDescent="0.25"/>
  <cols>
    <col min="1" max="1" width="54" customWidth="1"/>
  </cols>
  <sheetData>
    <row r="2" spans="1:1" x14ac:dyDescent="0.25">
      <c r="A2" t="s">
        <v>23</v>
      </c>
    </row>
    <row r="4" spans="1:1" ht="15.75" x14ac:dyDescent="0.25">
      <c r="A4" s="74" t="s">
        <v>35</v>
      </c>
    </row>
    <row r="5" spans="1:1" x14ac:dyDescent="0.25">
      <c r="A5" s="73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s="73" customFormat="1" x14ac:dyDescent="0.25">
      <c r="A12" s="73" t="s">
        <v>33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34</v>
      </c>
    </row>
    <row r="17" spans="1:1" s="73" customFormat="1" x14ac:dyDescent="0.25">
      <c r="A17" s="73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niyo sean</cp:lastModifiedBy>
  <dcterms:created xsi:type="dcterms:W3CDTF">2024-03-30T16:23:42Z</dcterms:created>
  <dcterms:modified xsi:type="dcterms:W3CDTF">2024-04-01T16:10:00Z</dcterms:modified>
</cp:coreProperties>
</file>