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 Project\Thesis Work\Plastic Zone\"/>
    </mc:Choice>
  </mc:AlternateContent>
  <bookViews>
    <workbookView xWindow="480" yWindow="105" windowWidth="9555" windowHeight="5970" activeTab="1"/>
  </bookViews>
  <sheets>
    <sheet name="Sheet1" sheetId="1" r:id="rId1"/>
    <sheet name="Mata Theory" sheetId="2" r:id="rId2"/>
    <sheet name="Hill Theory" sheetId="3" r:id="rId3"/>
  </sheets>
  <definedNames>
    <definedName name="E">'Mata Theory'!$B$11</definedName>
    <definedName name="n">'Mata Theory'!$B$3</definedName>
  </definedNames>
  <calcPr calcId="152511"/>
</workbook>
</file>

<file path=xl/calcChain.xml><?xml version="1.0" encoding="utf-8"?>
<calcChain xmlns="http://schemas.openxmlformats.org/spreadsheetml/2006/main">
  <c r="L52" i="2" l="1"/>
  <c r="L28" i="2"/>
  <c r="L5" i="2"/>
  <c r="B58" i="2" l="1"/>
  <c r="B56" i="2"/>
  <c r="B33" i="2" l="1"/>
  <c r="B11" i="2" l="1"/>
  <c r="B60" i="2" l="1"/>
  <c r="B64" i="2"/>
  <c r="B57" i="2"/>
  <c r="B54" i="2"/>
  <c r="B52" i="2"/>
  <c r="B51" i="2"/>
  <c r="B50" i="2"/>
  <c r="B59" i="2" l="1"/>
  <c r="B61" i="2" s="1"/>
  <c r="B65" i="2"/>
  <c r="B66" i="2" s="1"/>
  <c r="B44" i="2"/>
  <c r="B37" i="2" l="1"/>
  <c r="B15" i="2" l="1"/>
  <c r="B31" i="2" l="1"/>
  <c r="B9" i="2" l="1"/>
  <c r="B8" i="3" l="1"/>
  <c r="B7" i="3"/>
  <c r="B15" i="3"/>
  <c r="B6" i="3"/>
  <c r="B34" i="2" l="1"/>
  <c r="B41" i="2"/>
  <c r="B29" i="2"/>
  <c r="B28" i="2"/>
  <c r="B27" i="2"/>
  <c r="B36" i="2" l="1"/>
  <c r="B42" i="2"/>
  <c r="B38" i="2" l="1"/>
  <c r="B43" i="2"/>
  <c r="B19" i="2"/>
  <c r="B12" i="2" l="1"/>
  <c r="B7" i="2" l="1"/>
  <c r="B6" i="2"/>
  <c r="B20" i="2" s="1"/>
  <c r="B21" i="2" s="1"/>
  <c r="B5" i="2"/>
  <c r="B14" i="2" l="1"/>
  <c r="B16" i="2" s="1"/>
  <c r="D15" i="1"/>
  <c r="F25" i="1" l="1"/>
  <c r="E25" i="1"/>
  <c r="D25" i="1"/>
  <c r="C25" i="1"/>
  <c r="B25" i="1"/>
  <c r="F24" i="1"/>
  <c r="E24" i="1"/>
  <c r="D24" i="1"/>
  <c r="C24" i="1"/>
  <c r="B24" i="1"/>
  <c r="N9" i="1" l="1"/>
  <c r="F26" i="1" s="1"/>
  <c r="K8" i="1" l="1"/>
  <c r="K9" i="1" s="1"/>
  <c r="E26" i="1" s="1"/>
  <c r="H8" i="1"/>
  <c r="H9" i="1" s="1"/>
  <c r="E8" i="1"/>
  <c r="E9" i="1" s="1"/>
  <c r="C26" i="1" s="1"/>
  <c r="B8" i="1"/>
  <c r="B9" i="1" s="1"/>
  <c r="B26" i="1" s="1"/>
  <c r="D26" i="1" l="1"/>
  <c r="H18" i="1"/>
</calcChain>
</file>

<file path=xl/sharedStrings.xml><?xml version="1.0" encoding="utf-8"?>
<sst xmlns="http://schemas.openxmlformats.org/spreadsheetml/2006/main" count="166" uniqueCount="84">
  <si>
    <t>50 nm</t>
  </si>
  <si>
    <t>Number</t>
  </si>
  <si>
    <t>100 nm</t>
  </si>
  <si>
    <t>200  nm</t>
  </si>
  <si>
    <t>300 nm</t>
  </si>
  <si>
    <t>400 nm</t>
  </si>
  <si>
    <t>plastic zone radius</t>
  </si>
  <si>
    <t>b</t>
  </si>
  <si>
    <t>diameter</t>
  </si>
  <si>
    <t>d</t>
  </si>
  <si>
    <t>youngs moduls</t>
  </si>
  <si>
    <t>E</t>
  </si>
  <si>
    <t>hardness</t>
  </si>
  <si>
    <t>H</t>
  </si>
  <si>
    <t>α</t>
  </si>
  <si>
    <t>*estimate based on vicker's probe found in Chicot 1995</t>
  </si>
  <si>
    <t>avg</t>
  </si>
  <si>
    <t xml:space="preserve">semi ange </t>
  </si>
  <si>
    <t>Diameter (nm)</t>
  </si>
  <si>
    <t>Gpa</t>
  </si>
  <si>
    <t>radians</t>
  </si>
  <si>
    <t>Model</t>
  </si>
  <si>
    <t>5 x</t>
  </si>
  <si>
    <t>10 x</t>
  </si>
  <si>
    <t>Chicot</t>
  </si>
  <si>
    <t>Depth (nm)</t>
  </si>
  <si>
    <t>500 nm</t>
  </si>
  <si>
    <t>600 nm</t>
  </si>
  <si>
    <t>700 nm</t>
  </si>
  <si>
    <t>800 nm</t>
  </si>
  <si>
    <t>900 nm</t>
  </si>
  <si>
    <t>1000 nm</t>
  </si>
  <si>
    <t>1100 nm</t>
  </si>
  <si>
    <t>Ion Irradiated</t>
  </si>
  <si>
    <t>Plastic Response</t>
  </si>
  <si>
    <t>Θ(n)</t>
  </si>
  <si>
    <t>n</t>
  </si>
  <si>
    <t>toualbi cayron olier loge carlan 2013 data fit</t>
  </si>
  <si>
    <t>M(n)</t>
  </si>
  <si>
    <t>P(n)</t>
  </si>
  <si>
    <t>from equation 18 Mata</t>
  </si>
  <si>
    <t>from equation 20 Mata</t>
  </si>
  <si>
    <t>from equation 19 Mata</t>
  </si>
  <si>
    <r>
      <t>ε</t>
    </r>
    <r>
      <rPr>
        <vertAlign val="subscript"/>
        <sz val="11"/>
        <color theme="1"/>
        <rFont val="Calibri"/>
        <family val="2"/>
      </rPr>
      <t>ys</t>
    </r>
  </si>
  <si>
    <r>
      <t>σ</t>
    </r>
    <r>
      <rPr>
        <vertAlign val="subscript"/>
        <sz val="11"/>
        <color theme="1"/>
        <rFont val="Calibri"/>
        <family val="2"/>
      </rPr>
      <t xml:space="preserve">ys </t>
    </r>
    <r>
      <rPr>
        <sz val="11"/>
        <color theme="1"/>
        <rFont val="Calibri"/>
        <family val="2"/>
      </rPr>
      <t>(Mpa)</t>
    </r>
  </si>
  <si>
    <t>from substitution of yield strain into fit data trendlines</t>
  </si>
  <si>
    <t>E (Mpa)</t>
  </si>
  <si>
    <t>from fit of toualbi cayron alier lage carlan fit of elastic region, but should use measured E when data is corrected</t>
  </si>
  <si>
    <r>
      <t>σ</t>
    </r>
    <r>
      <rPr>
        <vertAlign val="subscript"/>
        <sz val="11"/>
        <color theme="1"/>
        <rFont val="Calibri"/>
        <family val="2"/>
      </rPr>
      <t xml:space="preserve">r </t>
    </r>
    <r>
      <rPr>
        <sz val="11"/>
        <color theme="1"/>
        <rFont val="Calibri"/>
        <family val="2"/>
      </rPr>
      <t>(Mpa)</t>
    </r>
  </si>
  <si>
    <t>from equation 16 Mata</t>
  </si>
  <si>
    <t>H (Mpa)</t>
  </si>
  <si>
    <r>
      <t>a</t>
    </r>
    <r>
      <rPr>
        <vertAlign val="subscript"/>
        <sz val="11"/>
        <color theme="1"/>
        <rFont val="Calibri"/>
        <family val="2"/>
      </rPr>
      <t xml:space="preserve">s </t>
    </r>
    <r>
      <rPr>
        <sz val="11"/>
        <color theme="1"/>
        <rFont val="Calibri"/>
        <family val="2"/>
      </rPr>
      <t>(μm)</t>
    </r>
  </si>
  <si>
    <t>from geometry of berkovich indent, deffinition of as for a pyramidal indenter, and image analysis of ion irradiated indent</t>
  </si>
  <si>
    <t>from equation 33 mata</t>
  </si>
  <si>
    <r>
      <t>(z</t>
    </r>
    <r>
      <rPr>
        <vertAlign val="subscript"/>
        <sz val="11"/>
        <color theme="1"/>
        <rFont val="Calibri"/>
        <family val="2"/>
      </rPr>
      <t>ys</t>
    </r>
    <r>
      <rPr>
        <sz val="11"/>
        <color theme="1"/>
        <rFont val="Calibri"/>
        <family val="2"/>
      </rPr>
      <t>+1.217a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>)/(a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>/0.635)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</si>
  <si>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ys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μm)</t>
    </r>
  </si>
  <si>
    <t>Elasto-Plastic Response</t>
  </si>
  <si>
    <t>from equation 34 mata</t>
  </si>
  <si>
    <r>
      <t>Θ</t>
    </r>
    <r>
      <rPr>
        <vertAlign val="subscript"/>
        <sz val="11"/>
        <color theme="1"/>
        <rFont val="Calibri"/>
        <family val="2"/>
      </rPr>
      <t>ep</t>
    </r>
  </si>
  <si>
    <t>As Received</t>
  </si>
  <si>
    <r>
      <t>a (</t>
    </r>
    <r>
      <rPr>
        <sz val="11"/>
        <color theme="1"/>
        <rFont val="Calibri"/>
        <family val="2"/>
      </rPr>
      <t>μm)</t>
    </r>
  </si>
  <si>
    <t>ν</t>
  </si>
  <si>
    <t>c (μm)</t>
  </si>
  <si>
    <t>equation 18 Hill</t>
  </si>
  <si>
    <t>poissons ratio for steel</t>
  </si>
  <si>
    <t>approximation for poisson's ratio = 0.5</t>
  </si>
  <si>
    <t>calculated from measured E at 900 nm and calculated yield stress from 900nm normalized data</t>
  </si>
  <si>
    <t>from geometry of berkovich indent, deffinition of as for a pyramidal indenter, and image analysis of as received indent</t>
  </si>
  <si>
    <t>Neutron Irradiated</t>
  </si>
  <si>
    <t>calculated using mathematica and the measured plastic zone in indented area_5.9kx</t>
  </si>
  <si>
    <t>calculated zys</t>
  </si>
  <si>
    <t>measured</t>
  </si>
  <si>
    <t>measured zys see word document</t>
  </si>
  <si>
    <t>from geometry of berkovich indent, deffinition of as for a pyramidal indenter, and image analysis of neutron irradiated indent</t>
  </si>
  <si>
    <r>
      <t>z</t>
    </r>
    <r>
      <rPr>
        <b/>
        <vertAlign val="subscript"/>
        <sz val="11"/>
        <color theme="1"/>
        <rFont val="Calibri"/>
        <family val="2"/>
        <scheme val="minor"/>
      </rPr>
      <t xml:space="preserve">ys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</rPr>
      <t>μm)</t>
    </r>
  </si>
  <si>
    <t>from normalized as received data 500 nm</t>
  </si>
  <si>
    <t>from measured as received hardness for as received data normalized data 500 nm</t>
  </si>
  <si>
    <t>from change in hardness using equation 12.128 in Was (pg. 625), and the 500 nm as received data normalized data</t>
  </si>
  <si>
    <t>from normalized hardness 500nm neutron irradiated</t>
  </si>
  <si>
    <t>from CAES neutron irradiated 500 nm</t>
  </si>
  <si>
    <t>calculated  from change in hardness using equation 12.128 in Was (pg. 625), and the 500 nm normalized neutron data</t>
  </si>
  <si>
    <t>from CAES ion irradiated 700nm</t>
  </si>
  <si>
    <t>calculated  from change in hardness using equation 12.128 in Was (pg. 625), and the 700 nm normalized ion data</t>
  </si>
  <si>
    <t>from normalized hardness 700nm neutron irradiated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</si>
</sst>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1"/>
    <xf numFmtId="1" fontId="0" fillId="0" borderId="0" xfId="0" applyNumberFormat="1"/>
    <xf numFmtId="0" fontId="0" fillId="0" borderId="7" xfId="0" applyBorder="1"/>
    <xf numFmtId="1" fontId="0" fillId="0" borderId="7" xfId="0" applyNumberFormat="1" applyBorder="1"/>
    <xf numFmtId="0" fontId="3" fillId="0" borderId="7" xfId="0" applyFont="1" applyBorder="1"/>
    <xf numFmtId="0" fontId="3" fillId="0" borderId="0" xfId="0" applyFont="1"/>
    <xf numFmtId="0" fontId="7" fillId="2" borderId="0" xfId="2"/>
    <xf numFmtId="0" fontId="3" fillId="0" borderId="3" xfId="0" applyFont="1" applyBorder="1"/>
    <xf numFmtId="164" fontId="0" fillId="0" borderId="4" xfId="0" applyNumberFormat="1" applyBorder="1"/>
    <xf numFmtId="0" fontId="3" fillId="0" borderId="3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164" fontId="0" fillId="0" borderId="11" xfId="0" applyNumberFormat="1" applyBorder="1"/>
    <xf numFmtId="0" fontId="2" fillId="0" borderId="5" xfId="0" applyFont="1" applyBorder="1"/>
    <xf numFmtId="165" fontId="2" fillId="0" borderId="6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3">
    <cellStyle name="Explanatory Text" xfId="1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60292</xdr:colOff>
      <xdr:row>15</xdr:row>
      <xdr:rowOff>75088</xdr:rowOff>
    </xdr:from>
    <xdr:ext cx="1863757" cy="453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0292" y="2751613"/>
              <a:ext cx="1863757" cy="453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𝑏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𝐸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𝐻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1/2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cot</m:t>
                            </m:r>
                          </m:fName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α</m:t>
                            </m:r>
                          </m:e>
                        </m:func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1/3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0292" y="2751613"/>
              <a:ext cx="1863757" cy="453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𝑏=𝑑/2 (𝐸/𝐻)^(1/2)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cot⁡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/>
                </a:rPr>
                <a:t>1/3)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I11" sqref="I11"/>
    </sheetView>
  </sheetViews>
  <sheetFormatPr defaultRowHeight="15" x14ac:dyDescent="0.25"/>
  <cols>
    <col min="2" max="2" width="14" customWidth="1"/>
    <col min="5" max="5" width="14.85546875" customWidth="1"/>
    <col min="8" max="8" width="14.140625" bestFit="1" customWidth="1"/>
    <col min="11" max="11" width="14.140625" bestFit="1" customWidth="1"/>
    <col min="14" max="14" width="14.140625" bestFit="1" customWidth="1"/>
    <col min="17" max="17" width="14.140625" bestFit="1" customWidth="1"/>
    <col min="20" max="20" width="14.140625" bestFit="1" customWidth="1"/>
    <col min="23" max="23" width="14.140625" bestFit="1" customWidth="1"/>
    <col min="26" max="26" width="14.140625" bestFit="1" customWidth="1"/>
    <col min="29" max="29" width="14.140625" bestFit="1" customWidth="1"/>
    <col min="32" max="32" width="14.140625" bestFit="1" customWidth="1"/>
    <col min="35" max="35" width="14.140625" bestFit="1" customWidth="1"/>
  </cols>
  <sheetData>
    <row r="1" spans="1:35" x14ac:dyDescent="0.25">
      <c r="A1" s="21" t="s">
        <v>0</v>
      </c>
      <c r="B1" s="22"/>
      <c r="D1" s="21" t="s">
        <v>2</v>
      </c>
      <c r="E1" s="22"/>
      <c r="G1" s="21" t="s">
        <v>3</v>
      </c>
      <c r="H1" s="22"/>
      <c r="J1" s="21" t="s">
        <v>4</v>
      </c>
      <c r="K1" s="22"/>
      <c r="M1" s="21" t="s">
        <v>5</v>
      </c>
      <c r="N1" s="22"/>
      <c r="P1" s="21" t="s">
        <v>26</v>
      </c>
      <c r="Q1" s="22"/>
      <c r="S1" s="21" t="s">
        <v>27</v>
      </c>
      <c r="T1" s="22"/>
      <c r="V1" s="21" t="s">
        <v>28</v>
      </c>
      <c r="W1" s="22"/>
      <c r="Y1" s="21" t="s">
        <v>29</v>
      </c>
      <c r="Z1" s="22"/>
      <c r="AB1" s="21" t="s">
        <v>30</v>
      </c>
      <c r="AC1" s="22"/>
      <c r="AE1" s="21" t="s">
        <v>31</v>
      </c>
      <c r="AF1" s="22"/>
      <c r="AH1" s="21" t="s">
        <v>32</v>
      </c>
      <c r="AI1" s="22"/>
    </row>
    <row r="2" spans="1:35" x14ac:dyDescent="0.25">
      <c r="A2" s="1" t="s">
        <v>1</v>
      </c>
      <c r="B2" s="2" t="s">
        <v>18</v>
      </c>
      <c r="D2" s="1" t="s">
        <v>1</v>
      </c>
      <c r="E2" s="2" t="s">
        <v>18</v>
      </c>
      <c r="G2" s="1" t="s">
        <v>1</v>
      </c>
      <c r="H2" s="2" t="s">
        <v>18</v>
      </c>
      <c r="J2" s="1" t="s">
        <v>1</v>
      </c>
      <c r="K2" s="2" t="s">
        <v>18</v>
      </c>
      <c r="M2" s="1" t="s">
        <v>1</v>
      </c>
      <c r="N2" s="2" t="s">
        <v>18</v>
      </c>
      <c r="P2" s="1" t="s">
        <v>1</v>
      </c>
      <c r="Q2" s="2" t="s">
        <v>18</v>
      </c>
      <c r="S2" s="1" t="s">
        <v>1</v>
      </c>
      <c r="T2" s="2" t="s">
        <v>18</v>
      </c>
      <c r="V2" s="1" t="s">
        <v>1</v>
      </c>
      <c r="W2" s="2" t="s">
        <v>18</v>
      </c>
      <c r="Y2" s="1" t="s">
        <v>1</v>
      </c>
      <c r="Z2" s="2" t="s">
        <v>18</v>
      </c>
      <c r="AB2" s="1" t="s">
        <v>1</v>
      </c>
      <c r="AC2" s="2" t="s">
        <v>18</v>
      </c>
      <c r="AE2" s="1" t="s">
        <v>1</v>
      </c>
      <c r="AF2" s="2" t="s">
        <v>18</v>
      </c>
      <c r="AH2" s="1" t="s">
        <v>1</v>
      </c>
      <c r="AI2" s="2" t="s">
        <v>18</v>
      </c>
    </row>
    <row r="3" spans="1:35" x14ac:dyDescent="0.25">
      <c r="A3" s="1">
        <v>1</v>
      </c>
      <c r="B3" s="2">
        <v>259.79000000000002</v>
      </c>
      <c r="D3" s="1">
        <v>1</v>
      </c>
      <c r="E3" s="2">
        <v>712.58</v>
      </c>
      <c r="G3" s="1">
        <v>1</v>
      </c>
      <c r="H3" s="2">
        <v>1290</v>
      </c>
      <c r="J3" s="1">
        <v>1</v>
      </c>
      <c r="K3" s="2">
        <v>1880</v>
      </c>
      <c r="M3" s="1">
        <v>1</v>
      </c>
      <c r="N3" s="2">
        <v>5900</v>
      </c>
      <c r="P3" s="1">
        <v>1</v>
      </c>
      <c r="Q3" s="2"/>
      <c r="S3" s="1">
        <v>1</v>
      </c>
      <c r="T3" s="2"/>
      <c r="V3" s="1">
        <v>1</v>
      </c>
      <c r="W3" s="2"/>
      <c r="Y3" s="1">
        <v>1</v>
      </c>
      <c r="Z3" s="2"/>
      <c r="AB3" s="1">
        <v>1</v>
      </c>
      <c r="AC3" s="2"/>
      <c r="AE3" s="1">
        <v>1</v>
      </c>
      <c r="AF3" s="2">
        <v>5900</v>
      </c>
      <c r="AH3" s="1">
        <v>1</v>
      </c>
      <c r="AI3" s="2"/>
    </row>
    <row r="4" spans="1:35" x14ac:dyDescent="0.25">
      <c r="A4" s="1">
        <v>2</v>
      </c>
      <c r="B4" s="2">
        <v>281.45999999999998</v>
      </c>
      <c r="D4" s="1">
        <v>2</v>
      </c>
      <c r="E4" s="2">
        <v>728.78</v>
      </c>
      <c r="G4" s="1">
        <v>2</v>
      </c>
      <c r="H4" s="2">
        <v>1310</v>
      </c>
      <c r="J4" s="1">
        <v>2</v>
      </c>
      <c r="K4" s="2">
        <v>1930</v>
      </c>
      <c r="M4" s="1">
        <v>2</v>
      </c>
      <c r="N4" s="2"/>
      <c r="P4" s="1">
        <v>2</v>
      </c>
      <c r="Q4" s="2"/>
      <c r="S4" s="1">
        <v>2</v>
      </c>
      <c r="T4" s="2"/>
      <c r="V4" s="1">
        <v>2</v>
      </c>
      <c r="W4" s="2"/>
      <c r="Y4" s="1">
        <v>2</v>
      </c>
      <c r="Z4" s="2"/>
      <c r="AB4" s="1">
        <v>2</v>
      </c>
      <c r="AC4" s="2"/>
      <c r="AE4" s="1">
        <v>2</v>
      </c>
      <c r="AF4" s="2"/>
      <c r="AH4" s="1">
        <v>2</v>
      </c>
      <c r="AI4" s="2"/>
    </row>
    <row r="5" spans="1:35" x14ac:dyDescent="0.25">
      <c r="A5" s="1">
        <v>3</v>
      </c>
      <c r="B5" s="2">
        <v>324.95999999999998</v>
      </c>
      <c r="D5" s="1">
        <v>3</v>
      </c>
      <c r="E5" s="2">
        <v>790.17</v>
      </c>
      <c r="G5" s="1">
        <v>3</v>
      </c>
      <c r="H5" s="2">
        <v>1220</v>
      </c>
      <c r="J5" s="1">
        <v>3</v>
      </c>
      <c r="K5" s="2">
        <v>2120</v>
      </c>
      <c r="M5" s="1">
        <v>3</v>
      </c>
      <c r="N5" s="2"/>
      <c r="P5" s="1">
        <v>3</v>
      </c>
      <c r="Q5" s="2"/>
      <c r="S5" s="1">
        <v>3</v>
      </c>
      <c r="T5" s="2"/>
      <c r="V5" s="1">
        <v>3</v>
      </c>
      <c r="W5" s="2"/>
      <c r="Y5" s="1">
        <v>3</v>
      </c>
      <c r="Z5" s="2"/>
      <c r="AB5" s="1">
        <v>3</v>
      </c>
      <c r="AC5" s="2"/>
      <c r="AE5" s="1">
        <v>3</v>
      </c>
      <c r="AF5" s="2"/>
      <c r="AH5" s="1">
        <v>3</v>
      </c>
      <c r="AI5" s="2"/>
    </row>
    <row r="6" spans="1:35" x14ac:dyDescent="0.25">
      <c r="A6" s="1">
        <v>4</v>
      </c>
      <c r="B6" s="2">
        <v>247.51</v>
      </c>
      <c r="D6" s="1">
        <v>4</v>
      </c>
      <c r="E6" s="2">
        <v>661.28</v>
      </c>
      <c r="G6" s="1">
        <v>4</v>
      </c>
      <c r="H6" s="2">
        <v>1230</v>
      </c>
      <c r="J6" s="1">
        <v>4</v>
      </c>
      <c r="K6" s="2">
        <v>1940</v>
      </c>
      <c r="M6" s="1">
        <v>4</v>
      </c>
      <c r="N6" s="2"/>
      <c r="P6" s="1">
        <v>4</v>
      </c>
      <c r="Q6" s="2"/>
      <c r="S6" s="1">
        <v>4</v>
      </c>
      <c r="T6" s="2"/>
      <c r="V6" s="1">
        <v>4</v>
      </c>
      <c r="W6" s="2"/>
      <c r="Y6" s="1">
        <v>4</v>
      </c>
      <c r="Z6" s="2"/>
      <c r="AB6" s="1">
        <v>4</v>
      </c>
      <c r="AC6" s="2"/>
      <c r="AE6" s="1">
        <v>4</v>
      </c>
      <c r="AF6" s="2"/>
      <c r="AH6" s="1">
        <v>4</v>
      </c>
      <c r="AI6" s="2"/>
    </row>
    <row r="7" spans="1:35" ht="15.75" thickBot="1" x14ac:dyDescent="0.3">
      <c r="A7" s="3">
        <v>5</v>
      </c>
      <c r="B7" s="4">
        <v>295.17</v>
      </c>
      <c r="D7" s="3">
        <v>5</v>
      </c>
      <c r="E7" s="4">
        <v>766.32</v>
      </c>
      <c r="G7" s="3">
        <v>5</v>
      </c>
      <c r="H7" s="4">
        <v>1350</v>
      </c>
      <c r="J7" s="3">
        <v>5</v>
      </c>
      <c r="K7" s="4">
        <v>2140</v>
      </c>
      <c r="M7" s="3">
        <v>5</v>
      </c>
      <c r="N7" s="4"/>
      <c r="P7" s="3">
        <v>5</v>
      </c>
      <c r="Q7" s="4"/>
      <c r="S7" s="3">
        <v>5</v>
      </c>
      <c r="T7" s="4"/>
      <c r="V7" s="3">
        <v>5</v>
      </c>
      <c r="W7" s="4"/>
      <c r="Y7" s="3">
        <v>5</v>
      </c>
      <c r="Z7" s="4"/>
      <c r="AB7" s="3">
        <v>5</v>
      </c>
      <c r="AC7" s="4"/>
      <c r="AE7" s="3">
        <v>5</v>
      </c>
      <c r="AF7" s="4"/>
      <c r="AH7" s="3">
        <v>5</v>
      </c>
      <c r="AI7" s="4"/>
    </row>
    <row r="8" spans="1:35" x14ac:dyDescent="0.25">
      <c r="A8" t="s">
        <v>16</v>
      </c>
      <c r="B8">
        <f>AVERAGE(B3:B7)</f>
        <v>281.77800000000002</v>
      </c>
      <c r="D8" t="s">
        <v>16</v>
      </c>
      <c r="E8">
        <f>AVERAGE(E3:E7)</f>
        <v>731.82600000000014</v>
      </c>
      <c r="G8" t="s">
        <v>16</v>
      </c>
      <c r="H8">
        <f>AVERAGE(H3:H7)</f>
        <v>1280</v>
      </c>
      <c r="J8" t="s">
        <v>16</v>
      </c>
      <c r="K8">
        <f>AVERAGE(K3:K7)</f>
        <v>2002</v>
      </c>
    </row>
    <row r="9" spans="1:35" x14ac:dyDescent="0.25">
      <c r="A9" t="s">
        <v>7</v>
      </c>
      <c r="B9" s="6">
        <f>(B8/2)*(D$13/D$14)^0.5*((1/TAN(D$15))^(1/3))</f>
        <v>685.4116731558629</v>
      </c>
      <c r="C9" s="6"/>
      <c r="D9" t="s">
        <v>7</v>
      </c>
      <c r="E9" s="6">
        <f>(E8/2)*(D$13/D$14)^0.5*((1/TAN(D$15))^(1/3))</f>
        <v>1780.132171847918</v>
      </c>
      <c r="F9" s="6"/>
      <c r="G9" t="s">
        <v>7</v>
      </c>
      <c r="H9" s="6">
        <f>(H8/2)*(D$13/D$14)^0.5*((1/TAN(D$15))^(1/3))</f>
        <v>3113.5395298408839</v>
      </c>
      <c r="I9" s="6"/>
      <c r="J9" t="s">
        <v>7</v>
      </c>
      <c r="K9" s="6">
        <f>(K8/2)*(D$13/D$14)^0.5*((1/TAN(D$15))^(1/3))</f>
        <v>4869.7704208917576</v>
      </c>
      <c r="L9" s="6"/>
      <c r="M9" t="s">
        <v>7</v>
      </c>
      <c r="N9" s="6">
        <f>(N8/2)*(D$13/D$14)^0.5*((1/TAN(D$15))^(1/3))</f>
        <v>0</v>
      </c>
    </row>
    <row r="11" spans="1:35" x14ac:dyDescent="0.25">
      <c r="A11" t="s">
        <v>6</v>
      </c>
      <c r="C11" t="s">
        <v>7</v>
      </c>
    </row>
    <row r="12" spans="1:35" x14ac:dyDescent="0.25">
      <c r="A12" t="s">
        <v>8</v>
      </c>
      <c r="C12" t="s">
        <v>9</v>
      </c>
    </row>
    <row r="13" spans="1:35" x14ac:dyDescent="0.25">
      <c r="A13" t="s">
        <v>10</v>
      </c>
      <c r="C13" t="s">
        <v>11</v>
      </c>
      <c r="D13">
        <v>207</v>
      </c>
      <c r="E13" t="s">
        <v>19</v>
      </c>
    </row>
    <row r="14" spans="1:35" x14ac:dyDescent="0.25">
      <c r="A14" t="s">
        <v>12</v>
      </c>
      <c r="C14" t="s">
        <v>13</v>
      </c>
      <c r="D14">
        <v>4.78</v>
      </c>
      <c r="E14" t="s">
        <v>19</v>
      </c>
    </row>
    <row r="15" spans="1:35" x14ac:dyDescent="0.25">
      <c r="A15" t="s">
        <v>17</v>
      </c>
      <c r="C15" t="s">
        <v>14</v>
      </c>
      <c r="D15">
        <f>(68*PI())/180</f>
        <v>1.1868238913561442</v>
      </c>
      <c r="E15" t="s">
        <v>20</v>
      </c>
    </row>
    <row r="18" spans="1:8" x14ac:dyDescent="0.25">
      <c r="H18">
        <f xml:space="preserve"> (H9/2)</f>
        <v>1556.769764920442</v>
      </c>
    </row>
    <row r="20" spans="1:8" x14ac:dyDescent="0.25">
      <c r="A20" s="5" t="s">
        <v>15</v>
      </c>
    </row>
    <row r="22" spans="1:8" x14ac:dyDescent="0.25">
      <c r="A22" s="7"/>
      <c r="B22" s="23" t="s">
        <v>25</v>
      </c>
      <c r="C22" s="23"/>
      <c r="D22" s="23"/>
      <c r="E22" s="23"/>
      <c r="F22" s="23"/>
    </row>
    <row r="23" spans="1:8" x14ac:dyDescent="0.25">
      <c r="A23" s="7" t="s">
        <v>21</v>
      </c>
      <c r="B23" s="7">
        <v>50</v>
      </c>
      <c r="C23" s="7">
        <v>100</v>
      </c>
      <c r="D23" s="7">
        <v>200</v>
      </c>
      <c r="E23" s="7">
        <v>300</v>
      </c>
      <c r="F23" s="7">
        <v>400</v>
      </c>
    </row>
    <row r="24" spans="1:8" x14ac:dyDescent="0.25">
      <c r="A24" s="7" t="s">
        <v>22</v>
      </c>
      <c r="B24" s="7">
        <f>5*50</f>
        <v>250</v>
      </c>
      <c r="C24" s="7">
        <f>5*100</f>
        <v>500</v>
      </c>
      <c r="D24" s="7">
        <f>5*200</f>
        <v>1000</v>
      </c>
      <c r="E24" s="7">
        <f>5*300</f>
        <v>1500</v>
      </c>
      <c r="F24" s="7">
        <f>5*400</f>
        <v>2000</v>
      </c>
    </row>
    <row r="25" spans="1:8" x14ac:dyDescent="0.25">
      <c r="A25" s="7" t="s">
        <v>23</v>
      </c>
      <c r="B25" s="7">
        <f>10*50</f>
        <v>500</v>
      </c>
      <c r="C25" s="7">
        <f>10*100</f>
        <v>1000</v>
      </c>
      <c r="D25" s="7">
        <f>10*200</f>
        <v>2000</v>
      </c>
      <c r="E25" s="7">
        <f>10*300</f>
        <v>3000</v>
      </c>
      <c r="F25" s="7">
        <f>10*400</f>
        <v>4000</v>
      </c>
    </row>
    <row r="26" spans="1:8" x14ac:dyDescent="0.25">
      <c r="A26" s="7" t="s">
        <v>24</v>
      </c>
      <c r="B26" s="8">
        <f>B9</f>
        <v>685.4116731558629</v>
      </c>
      <c r="C26" s="8">
        <f>E9</f>
        <v>1780.132171847918</v>
      </c>
      <c r="D26" s="8">
        <f>H9</f>
        <v>3113.5395298408839</v>
      </c>
      <c r="E26" s="8">
        <f>K9</f>
        <v>4869.7704208917576</v>
      </c>
      <c r="F26" s="8">
        <f>N9</f>
        <v>0</v>
      </c>
    </row>
  </sheetData>
  <mergeCells count="13">
    <mergeCell ref="M1:N1"/>
    <mergeCell ref="B22:F22"/>
    <mergeCell ref="A1:B1"/>
    <mergeCell ref="D1:E1"/>
    <mergeCell ref="G1:H1"/>
    <mergeCell ref="J1:K1"/>
    <mergeCell ref="AE1:AF1"/>
    <mergeCell ref="AH1:AI1"/>
    <mergeCell ref="P1:Q1"/>
    <mergeCell ref="S1:T1"/>
    <mergeCell ref="V1:W1"/>
    <mergeCell ref="Y1:Z1"/>
    <mergeCell ref="AB1:A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L53" sqref="L53"/>
    </sheetView>
  </sheetViews>
  <sheetFormatPr defaultRowHeight="15" x14ac:dyDescent="0.25"/>
  <cols>
    <col min="1" max="1" width="11.5703125" customWidth="1"/>
    <col min="2" max="2" width="14.7109375" bestFit="1" customWidth="1"/>
  </cols>
  <sheetData>
    <row r="1" spans="1:12" ht="18.75" x14ac:dyDescent="0.3">
      <c r="A1" s="24" t="s">
        <v>59</v>
      </c>
      <c r="B1" s="25"/>
    </row>
    <row r="2" spans="1:12" x14ac:dyDescent="0.25">
      <c r="A2" s="26" t="s">
        <v>34</v>
      </c>
      <c r="B2" s="27"/>
    </row>
    <row r="3" spans="1:12" x14ac:dyDescent="0.25">
      <c r="A3" s="12" t="s">
        <v>36</v>
      </c>
      <c r="B3" s="2">
        <v>6.6500000000000004E-2</v>
      </c>
      <c r="C3" s="5" t="s">
        <v>37</v>
      </c>
    </row>
    <row r="4" spans="1:12" x14ac:dyDescent="0.25">
      <c r="A4" s="1"/>
      <c r="B4" s="2"/>
    </row>
    <row r="5" spans="1:12" x14ac:dyDescent="0.25">
      <c r="A5" s="12" t="s">
        <v>35</v>
      </c>
      <c r="B5" s="13">
        <f>2.5968+0.5097/n</f>
        <v>10.261461654135339</v>
      </c>
      <c r="C5" s="5" t="s">
        <v>40</v>
      </c>
      <c r="L5">
        <f>E/B12</f>
        <v>132.33126270912925</v>
      </c>
    </row>
    <row r="6" spans="1:12" x14ac:dyDescent="0.25">
      <c r="A6" s="12" t="s">
        <v>38</v>
      </c>
      <c r="B6" s="13">
        <f>-2.2778-0.5479/n</f>
        <v>-10.516897744360904</v>
      </c>
      <c r="C6" s="5" t="s">
        <v>42</v>
      </c>
    </row>
    <row r="7" spans="1:12" x14ac:dyDescent="0.25">
      <c r="A7" s="12" t="s">
        <v>39</v>
      </c>
      <c r="B7" s="13">
        <f>-3.0615*n-0.005</f>
        <v>-0.20858975000000002</v>
      </c>
      <c r="C7" s="5" t="s">
        <v>41</v>
      </c>
    </row>
    <row r="8" spans="1:12" x14ac:dyDescent="0.25">
      <c r="A8" s="1"/>
      <c r="B8" s="13"/>
    </row>
    <row r="9" spans="1:12" ht="18" x14ac:dyDescent="0.35">
      <c r="A9" s="12" t="s">
        <v>43</v>
      </c>
      <c r="B9" s="13">
        <f>B10/E</f>
        <v>6.2868538144749278E-3</v>
      </c>
      <c r="C9" s="5" t="s">
        <v>66</v>
      </c>
    </row>
    <row r="10" spans="1:12" ht="18" x14ac:dyDescent="0.35">
      <c r="A10" s="12" t="s">
        <v>44</v>
      </c>
      <c r="B10" s="13">
        <v>1214.7</v>
      </c>
      <c r="C10" s="5" t="s">
        <v>77</v>
      </c>
    </row>
    <row r="11" spans="1:12" x14ac:dyDescent="0.25">
      <c r="A11" s="12" t="s">
        <v>46</v>
      </c>
      <c r="B11" s="13">
        <f>193.2127*1000</f>
        <v>193212.7</v>
      </c>
      <c r="C11" s="5" t="s">
        <v>75</v>
      </c>
    </row>
    <row r="12" spans="1:12" ht="18" x14ac:dyDescent="0.35">
      <c r="A12" s="12" t="s">
        <v>48</v>
      </c>
      <c r="B12" s="13">
        <f>B10^(1-n)*(0.1*E)^n</f>
        <v>1460.0684376804536</v>
      </c>
      <c r="C12" s="5" t="s">
        <v>49</v>
      </c>
    </row>
    <row r="13" spans="1:12" x14ac:dyDescent="0.25">
      <c r="A13" s="12" t="s">
        <v>50</v>
      </c>
      <c r="B13" s="13">
        <v>3893</v>
      </c>
      <c r="C13" s="5" t="s">
        <v>76</v>
      </c>
    </row>
    <row r="14" spans="1:12" ht="36" x14ac:dyDescent="0.35">
      <c r="A14" s="14" t="s">
        <v>54</v>
      </c>
      <c r="B14" s="13">
        <f>((B$13/(B$12*1.101)-(2/3)*((B$9/0.1)^n)-(B$5))/B$6)^(1/B$7)</f>
        <v>2.9467227469626436</v>
      </c>
      <c r="C14" s="5" t="s">
        <v>53</v>
      </c>
    </row>
    <row r="15" spans="1:12" ht="18" x14ac:dyDescent="0.35">
      <c r="A15" s="12" t="s">
        <v>51</v>
      </c>
      <c r="B15" s="13">
        <f>AVERAGE(1.337,1.204,1.827,1.696,1.257,1.494)</f>
        <v>1.4691666666666665</v>
      </c>
      <c r="C15" s="5" t="s">
        <v>67</v>
      </c>
    </row>
    <row r="16" spans="1:12" ht="18" x14ac:dyDescent="0.35">
      <c r="A16" s="1" t="s">
        <v>55</v>
      </c>
      <c r="B16" s="13">
        <f>((B$14*B$15)/0.635)-1.217*B$15</f>
        <v>5.0297042229595013</v>
      </c>
    </row>
    <row r="17" spans="1:12" x14ac:dyDescent="0.25">
      <c r="A17" s="1"/>
      <c r="B17" s="2"/>
    </row>
    <row r="18" spans="1:12" x14ac:dyDescent="0.25">
      <c r="A18" s="26" t="s">
        <v>56</v>
      </c>
      <c r="B18" s="27"/>
    </row>
    <row r="19" spans="1:12" ht="18" x14ac:dyDescent="0.35">
      <c r="A19" s="12" t="s">
        <v>58</v>
      </c>
      <c r="B19" s="13">
        <f>3.3556+0.512/n</f>
        <v>11.05484812030075</v>
      </c>
      <c r="C19" s="5" t="s">
        <v>57</v>
      </c>
    </row>
    <row r="20" spans="1:12" ht="36" x14ac:dyDescent="0.35">
      <c r="A20" s="14" t="s">
        <v>54</v>
      </c>
      <c r="B20" s="13">
        <f>((B$13/(B$12*1.101)-(2/3)*((B$9/0.1)^n)-(B$19))/B$6)^(1/B$7)</f>
        <v>1.9112091507786122</v>
      </c>
      <c r="C20" s="5" t="s">
        <v>53</v>
      </c>
    </row>
    <row r="21" spans="1:12" ht="18.75" thickBot="1" x14ac:dyDescent="0.4">
      <c r="A21" s="19" t="s">
        <v>74</v>
      </c>
      <c r="B21" s="20">
        <f>((B$20*B$15)/0.635)-1.217*B$15</f>
        <v>2.6338899577725625</v>
      </c>
    </row>
    <row r="22" spans="1:12" ht="15.75" thickBot="1" x14ac:dyDescent="0.3"/>
    <row r="23" spans="1:12" ht="18.75" x14ac:dyDescent="0.3">
      <c r="A23" s="24" t="s">
        <v>68</v>
      </c>
      <c r="B23" s="25"/>
    </row>
    <row r="24" spans="1:12" x14ac:dyDescent="0.25">
      <c r="A24" s="26" t="s">
        <v>34</v>
      </c>
      <c r="B24" s="27"/>
    </row>
    <row r="25" spans="1:12" x14ac:dyDescent="0.25">
      <c r="A25" s="12" t="s">
        <v>36</v>
      </c>
      <c r="B25" s="2">
        <v>8.1345000000000001E-2</v>
      </c>
      <c r="C25" s="5" t="s">
        <v>69</v>
      </c>
    </row>
    <row r="26" spans="1:12" x14ac:dyDescent="0.25">
      <c r="A26" s="1"/>
      <c r="B26" s="2"/>
    </row>
    <row r="27" spans="1:12" x14ac:dyDescent="0.25">
      <c r="A27" s="12" t="s">
        <v>35</v>
      </c>
      <c r="B27" s="13">
        <f>2.5968+0.5097/B25</f>
        <v>8.8627044809146227</v>
      </c>
    </row>
    <row r="28" spans="1:12" x14ac:dyDescent="0.25">
      <c r="A28" s="12" t="s">
        <v>38</v>
      </c>
      <c r="B28" s="13">
        <f>-2.2778-0.5479/B25</f>
        <v>-9.0133092507222337</v>
      </c>
      <c r="L28">
        <f>B33/B34</f>
        <v>82.885272608393393</v>
      </c>
    </row>
    <row r="29" spans="1:12" x14ac:dyDescent="0.25">
      <c r="A29" s="12" t="s">
        <v>39</v>
      </c>
      <c r="B29" s="13">
        <f>-3.0615*B25-0.005</f>
        <v>-0.25403771749999998</v>
      </c>
    </row>
    <row r="30" spans="1:12" x14ac:dyDescent="0.25">
      <c r="A30" s="1"/>
      <c r="B30" s="13"/>
    </row>
    <row r="31" spans="1:12" ht="18" x14ac:dyDescent="0.35">
      <c r="A31" s="12" t="s">
        <v>43</v>
      </c>
      <c r="B31" s="13">
        <f>B32/B33</f>
        <v>1.0004453236472916E-2</v>
      </c>
    </row>
    <row r="32" spans="1:12" ht="18" x14ac:dyDescent="0.35">
      <c r="A32" s="12" t="s">
        <v>44</v>
      </c>
      <c r="B32" s="13">
        <v>1651.22</v>
      </c>
      <c r="C32" s="5" t="s">
        <v>80</v>
      </c>
    </row>
    <row r="33" spans="1:3" x14ac:dyDescent="0.25">
      <c r="A33" s="12" t="s">
        <v>46</v>
      </c>
      <c r="B33" s="13">
        <f>165.0485*1000</f>
        <v>165048.5</v>
      </c>
      <c r="C33" s="5" t="s">
        <v>79</v>
      </c>
    </row>
    <row r="34" spans="1:3" ht="18" x14ac:dyDescent="0.35">
      <c r="A34" s="12" t="s">
        <v>48</v>
      </c>
      <c r="B34" s="13">
        <f>B32^(1-B25)*(0.1*B33)^B25</f>
        <v>1991.2886186645219</v>
      </c>
      <c r="C34" s="5"/>
    </row>
    <row r="35" spans="1:3" x14ac:dyDescent="0.25">
      <c r="A35" s="12" t="s">
        <v>50</v>
      </c>
      <c r="B35" s="13">
        <v>5292</v>
      </c>
      <c r="C35" s="5" t="s">
        <v>78</v>
      </c>
    </row>
    <row r="36" spans="1:3" ht="36" x14ac:dyDescent="0.35">
      <c r="A36" s="14" t="s">
        <v>54</v>
      </c>
      <c r="B36" s="13">
        <f>((B$35/(B$34*1.101)-(2/3)*((B$31/0.1)^B25)-(B$27))/B$28)^(1/B$29)</f>
        <v>2.7023479480068224</v>
      </c>
    </row>
    <row r="37" spans="1:3" ht="18" x14ac:dyDescent="0.35">
      <c r="A37" s="12" t="s">
        <v>51</v>
      </c>
      <c r="B37" s="13">
        <f>AVERAGE(2.056,1.996,1.939,2.02,1.86,1.831)</f>
        <v>1.950333333333333</v>
      </c>
      <c r="C37" s="5" t="s">
        <v>73</v>
      </c>
    </row>
    <row r="38" spans="1:3" ht="18" x14ac:dyDescent="0.35">
      <c r="A38" s="1" t="s">
        <v>55</v>
      </c>
      <c r="B38" s="13">
        <f>((B$36*B$37)/0.635)-1.217*B$37</f>
        <v>5.926411705400481</v>
      </c>
    </row>
    <row r="39" spans="1:3" x14ac:dyDescent="0.25">
      <c r="A39" s="15"/>
      <c r="B39" s="16"/>
    </row>
    <row r="40" spans="1:3" x14ac:dyDescent="0.25">
      <c r="A40" s="26" t="s">
        <v>56</v>
      </c>
      <c r="B40" s="27"/>
    </row>
    <row r="41" spans="1:3" ht="18" x14ac:dyDescent="0.35">
      <c r="A41" s="12" t="s">
        <v>58</v>
      </c>
      <c r="B41" s="13">
        <f>3.3556+0.512/B25</f>
        <v>9.6497791136517304</v>
      </c>
    </row>
    <row r="42" spans="1:3" ht="36" x14ac:dyDescent="0.35">
      <c r="A42" s="14" t="s">
        <v>54</v>
      </c>
      <c r="B42" s="13">
        <f>((B$35/(B$34*1.101)-(2/3)*((B$31/0.1)^B25)-(B$41))/B$28)^(1/B$29)</f>
        <v>1.7767282342355832</v>
      </c>
    </row>
    <row r="43" spans="1:3" ht="18" x14ac:dyDescent="0.35">
      <c r="A43" s="1" t="s">
        <v>55</v>
      </c>
      <c r="B43" s="13">
        <f>((B$42*B$37)/0.635)-1.217*B$37</f>
        <v>3.0834715766469269</v>
      </c>
      <c r="C43" s="11" t="s">
        <v>70</v>
      </c>
    </row>
    <row r="44" spans="1:3" ht="15.75" thickBot="1" x14ac:dyDescent="0.3">
      <c r="A44" s="17" t="s">
        <v>71</v>
      </c>
      <c r="B44" s="18">
        <f>AVERAGE(2.98,3.14,3.11)</f>
        <v>3.0766666666666667</v>
      </c>
      <c r="C44" s="11" t="s">
        <v>72</v>
      </c>
    </row>
    <row r="45" spans="1:3" ht="15.75" thickBot="1" x14ac:dyDescent="0.3"/>
    <row r="46" spans="1:3" ht="18.75" x14ac:dyDescent="0.3">
      <c r="A46" s="24" t="s">
        <v>33</v>
      </c>
      <c r="B46" s="25"/>
    </row>
    <row r="47" spans="1:3" x14ac:dyDescent="0.25">
      <c r="A47" s="26" t="s">
        <v>34</v>
      </c>
      <c r="B47" s="27"/>
    </row>
    <row r="48" spans="1:3" x14ac:dyDescent="0.25">
      <c r="A48" s="12" t="s">
        <v>36</v>
      </c>
      <c r="B48" s="2">
        <v>9.0216000000000005E-2</v>
      </c>
      <c r="C48" s="5" t="s">
        <v>69</v>
      </c>
    </row>
    <row r="49" spans="1:12" x14ac:dyDescent="0.25">
      <c r="A49" s="1"/>
      <c r="B49" s="2"/>
    </row>
    <row r="50" spans="1:12" x14ac:dyDescent="0.25">
      <c r="A50" s="12" t="s">
        <v>35</v>
      </c>
      <c r="B50" s="13">
        <f>2.5968+0.5097/B48</f>
        <v>8.2465738760308582</v>
      </c>
    </row>
    <row r="51" spans="1:12" x14ac:dyDescent="0.25">
      <c r="A51" s="12" t="s">
        <v>38</v>
      </c>
      <c r="B51" s="13">
        <f>-2.2778-0.5479/B48</f>
        <v>-8.3510020927551665</v>
      </c>
    </row>
    <row r="52" spans="1:12" x14ac:dyDescent="0.25">
      <c r="A52" s="12" t="s">
        <v>39</v>
      </c>
      <c r="B52" s="13">
        <f>-3.0615*B48-0.005</f>
        <v>-0.28119628400000002</v>
      </c>
      <c r="L52">
        <f>B56/B57</f>
        <v>79.745854575092082</v>
      </c>
    </row>
    <row r="53" spans="1:12" x14ac:dyDescent="0.25">
      <c r="A53" s="1"/>
      <c r="B53" s="13"/>
    </row>
    <row r="54" spans="1:12" ht="18" x14ac:dyDescent="0.35">
      <c r="A54" s="12" t="s">
        <v>43</v>
      </c>
      <c r="B54" s="13">
        <f>B55/B56</f>
        <v>1.0206496814354983E-2</v>
      </c>
    </row>
    <row r="55" spans="1:12" ht="18" x14ac:dyDescent="0.35">
      <c r="A55" s="12" t="s">
        <v>44</v>
      </c>
      <c r="B55" s="13">
        <v>1535.15</v>
      </c>
      <c r="C55" s="5" t="s">
        <v>82</v>
      </c>
    </row>
    <row r="56" spans="1:12" x14ac:dyDescent="0.25">
      <c r="A56" s="12" t="s">
        <v>46</v>
      </c>
      <c r="B56" s="13">
        <f>150.4091*1000</f>
        <v>150409.1</v>
      </c>
      <c r="C56" s="5" t="s">
        <v>81</v>
      </c>
    </row>
    <row r="57" spans="1:12" ht="18" x14ac:dyDescent="0.35">
      <c r="A57" s="12" t="s">
        <v>48</v>
      </c>
      <c r="B57" s="13">
        <f>B55^(1-B48)*(0.1*B56)^B48</f>
        <v>1886.1055637490022</v>
      </c>
      <c r="C57" s="5"/>
    </row>
    <row r="58" spans="1:12" x14ac:dyDescent="0.25">
      <c r="A58" s="12" t="s">
        <v>50</v>
      </c>
      <c r="B58" s="13">
        <f>4.92*1000</f>
        <v>4920</v>
      </c>
      <c r="C58" s="5" t="s">
        <v>83</v>
      </c>
    </row>
    <row r="59" spans="1:12" ht="36" x14ac:dyDescent="0.35">
      <c r="A59" s="14" t="s">
        <v>54</v>
      </c>
      <c r="B59" s="13">
        <f>((B58/(B57*1.101)-(2/3)*((B54/0.1)^B48)-(B50))/B51)^(1/B52)</f>
        <v>2.5477102737689568</v>
      </c>
    </row>
    <row r="60" spans="1:12" ht="18" x14ac:dyDescent="0.35">
      <c r="A60" s="12" t="s">
        <v>51</v>
      </c>
      <c r="B60" s="13">
        <f>AVERAGE(2.138,2.034,2.325,2.293,2.16,1.993)</f>
        <v>2.1571666666666665</v>
      </c>
      <c r="C60" s="5" t="s">
        <v>52</v>
      </c>
    </row>
    <row r="61" spans="1:12" ht="18" x14ac:dyDescent="0.35">
      <c r="A61" s="1" t="s">
        <v>55</v>
      </c>
      <c r="B61" s="13">
        <f>((B59*B60)/0.635)-1.217*B60</f>
        <v>6.0295875035148576</v>
      </c>
    </row>
    <row r="62" spans="1:12" x14ac:dyDescent="0.25">
      <c r="A62" s="15"/>
      <c r="B62" s="16"/>
    </row>
    <row r="63" spans="1:12" x14ac:dyDescent="0.25">
      <c r="A63" s="26" t="s">
        <v>56</v>
      </c>
      <c r="B63" s="27"/>
    </row>
    <row r="64" spans="1:12" ht="18" x14ac:dyDescent="0.35">
      <c r="A64" s="12" t="s">
        <v>58</v>
      </c>
      <c r="B64" s="13">
        <f>3.3556+0.512/B48</f>
        <v>9.0308682451006472</v>
      </c>
    </row>
    <row r="65" spans="1:3" ht="36" x14ac:dyDescent="0.35">
      <c r="A65" s="14" t="s">
        <v>54</v>
      </c>
      <c r="B65" s="13">
        <f>((B58/(B57*1.101)-(2/3)*((B54/0.1)^B48)-(B64))/B51)^(1/B52)</f>
        <v>1.6909702999179541</v>
      </c>
    </row>
    <row r="66" spans="1:3" ht="18" x14ac:dyDescent="0.35">
      <c r="A66" s="1" t="s">
        <v>55</v>
      </c>
      <c r="B66" s="13">
        <f>((B65*B60)/0.635)-1.217*B60</f>
        <v>3.1191451199050078</v>
      </c>
      <c r="C66" s="11" t="s">
        <v>70</v>
      </c>
    </row>
    <row r="67" spans="1:3" ht="15.75" thickBot="1" x14ac:dyDescent="0.3">
      <c r="A67" s="17" t="s">
        <v>71</v>
      </c>
      <c r="B67" s="18">
        <v>3.113</v>
      </c>
      <c r="C67" s="11" t="s">
        <v>72</v>
      </c>
    </row>
  </sheetData>
  <mergeCells count="9">
    <mergeCell ref="A46:B46"/>
    <mergeCell ref="A47:B47"/>
    <mergeCell ref="A63:B63"/>
    <mergeCell ref="A40:B40"/>
    <mergeCell ref="A1:B1"/>
    <mergeCell ref="A2:B2"/>
    <mergeCell ref="A18:B18"/>
    <mergeCell ref="A23:B23"/>
    <mergeCell ref="A24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defaultRowHeight="15" x14ac:dyDescent="0.25"/>
  <sheetData>
    <row r="1" spans="1:4" ht="18.75" x14ac:dyDescent="0.3">
      <c r="A1" s="28" t="s">
        <v>33</v>
      </c>
      <c r="B1" s="28"/>
    </row>
    <row r="2" spans="1:4" x14ac:dyDescent="0.25">
      <c r="A2" s="7" t="s">
        <v>60</v>
      </c>
      <c r="B2" s="7">
        <v>1.6976</v>
      </c>
      <c r="D2" s="5" t="s">
        <v>52</v>
      </c>
    </row>
    <row r="3" spans="1:4" x14ac:dyDescent="0.25">
      <c r="A3" s="7" t="s">
        <v>46</v>
      </c>
      <c r="B3" s="7">
        <v>255640</v>
      </c>
      <c r="D3" s="5" t="s">
        <v>47</v>
      </c>
    </row>
    <row r="4" spans="1:4" x14ac:dyDescent="0.25">
      <c r="A4" s="9" t="s">
        <v>61</v>
      </c>
      <c r="B4" s="7">
        <v>0.3</v>
      </c>
      <c r="D4" s="5" t="s">
        <v>64</v>
      </c>
    </row>
    <row r="5" spans="1:4" ht="18" x14ac:dyDescent="0.35">
      <c r="A5" s="9" t="s">
        <v>44</v>
      </c>
      <c r="B5" s="7">
        <v>1266.4100000000001</v>
      </c>
      <c r="D5" s="5" t="s">
        <v>45</v>
      </c>
    </row>
    <row r="6" spans="1:4" x14ac:dyDescent="0.25">
      <c r="A6" s="9" t="s">
        <v>62</v>
      </c>
      <c r="B6" s="7">
        <f>(B3/(3*(1-B4)*B5))^(1/3)*B2</f>
        <v>7.7764328741256881</v>
      </c>
      <c r="D6" s="5" t="s">
        <v>63</v>
      </c>
    </row>
    <row r="7" spans="1:4" x14ac:dyDescent="0.25">
      <c r="A7" s="9" t="s">
        <v>62</v>
      </c>
      <c r="B7" s="7">
        <f>((2*B3/(3*B5))^(1/3))*B2</f>
        <v>8.6994094651226614</v>
      </c>
      <c r="D7" s="5" t="s">
        <v>65</v>
      </c>
    </row>
    <row r="8" spans="1:4" x14ac:dyDescent="0.25">
      <c r="A8" s="9"/>
      <c r="B8" s="7">
        <f>(B3/((1+B4)*B5))^(1/3)*B2</f>
        <v>9.1244299565142182</v>
      </c>
      <c r="D8" s="5"/>
    </row>
    <row r="9" spans="1:4" x14ac:dyDescent="0.25">
      <c r="A9" s="10"/>
      <c r="D9" s="5"/>
    </row>
    <row r="10" spans="1:4" ht="18.75" x14ac:dyDescent="0.3">
      <c r="A10" s="28" t="s">
        <v>59</v>
      </c>
      <c r="B10" s="28"/>
    </row>
    <row r="11" spans="1:4" x14ac:dyDescent="0.25">
      <c r="A11" s="7" t="s">
        <v>60</v>
      </c>
      <c r="B11" s="7">
        <v>1.6976</v>
      </c>
    </row>
    <row r="12" spans="1:4" x14ac:dyDescent="0.25">
      <c r="A12" s="7" t="s">
        <v>46</v>
      </c>
      <c r="B12" s="7">
        <v>220368</v>
      </c>
    </row>
    <row r="13" spans="1:4" x14ac:dyDescent="0.25">
      <c r="A13" s="9" t="s">
        <v>61</v>
      </c>
      <c r="B13" s="7">
        <v>0.3</v>
      </c>
    </row>
    <row r="14" spans="1:4" ht="18" x14ac:dyDescent="0.35">
      <c r="A14" s="9" t="s">
        <v>44</v>
      </c>
      <c r="B14" s="7">
        <v>1086.4100000000001</v>
      </c>
    </row>
    <row r="15" spans="1:4" x14ac:dyDescent="0.25">
      <c r="A15" s="9" t="s">
        <v>62</v>
      </c>
      <c r="B15" s="7">
        <f>(B12/(3*(1-B13)*B14))^(1/3)*B11</f>
        <v>7.7889788912470665</v>
      </c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Mata Theory</vt:lpstr>
      <vt:lpstr>Hill Theory</vt:lpstr>
      <vt:lpstr>E</vt:lpstr>
      <vt:lpstr>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2014-06-06T15:54:57Z</dcterms:created>
  <dcterms:modified xsi:type="dcterms:W3CDTF">2015-05-11T18:01:30Z</dcterms:modified>
</cp:coreProperties>
</file>