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" sheetId="1" state="visible" r:id="rId1"/>
    <sheet name="Assumptions" sheetId="2" state="visible" r:id="rId2"/>
    <sheet name="Inputs" sheetId="3" state="visible" r:id="rId3"/>
    <sheet name="5 Year Summary" sheetId="4" state="visible" r:id="rId4"/>
    <sheet name="24 Month Forecast" sheetId="5" state="visible" r:id="rId5"/>
    <sheet name="Unit Economics" sheetId="6" state="visible" r:id="rId6"/>
    <sheet name="Sens - Scenarios" sheetId="7" state="visible" r:id="rId7"/>
    <sheet name="Sens - Churn" sheetId="8" state="visible" r:id="rId8"/>
    <sheet name="Sens - Annual Mix" sheetId="9" state="visible" r:id="rId9"/>
    <sheet name="Sens - CAC &amp; Marketing" sheetId="10" state="visible" r:id="rId10"/>
    <sheet name="Sens - Winter Pivot" sheetId="11" state="visible" r:id="rId11"/>
    <sheet name="Model" sheetId="12" state="visible" r:id="rId12"/>
    <sheet name="Scenario Engine" sheetId="13" state="hidden" r:id="rId13"/>
  </sheets>
  <definedNames>
    <definedName name="InitialInvestment">Inputs!$B$5</definedName>
    <definedName name="PriceEssMonthly">Inputs!$B$8</definedName>
    <definedName name="PricePremMonthly">Inputs!$B$9</definedName>
    <definedName name="PriceEssAnnual">Inputs!$B$10</definedName>
    <definedName name="PricePremAnnual">Inputs!$B$11</definedName>
    <definedName name="AnnualMix">Inputs!$B$14</definedName>
    <definedName name="EssentialMix">Inputs!$B$15</definedName>
    <definedName name="MonthlyChurn">Inputs!$B$18</definedName>
    <definedName name="AnnualChurn">Inputs!$B$19</definedName>
    <definedName name="CAC">Inputs!$B$22</definedName>
    <definedName name="ProviderShare">Inputs!$B$23</definedName>
    <definedName name="PaymentFee">Inputs!$B$24</definedName>
    <definedName name="OpsAI">Inputs!$B$25</definedName>
    <definedName name="ProviderDelay">Inputs!$B$27</definedName>
    <definedName name="MonthlyFixed">Inputs!$B$28</definedName>
    <definedName name="MktFixed1_3">Inputs!$B$31</definedName>
    <definedName name="MktFixed4_6">Inputs!$B$32</definedName>
    <definedName name="MktPct7_12">Inputs!$B$33</definedName>
    <definedName name="MktPct13_18">Inputs!$B$34</definedName>
    <definedName name="MktPct19plus">Inputs!$B$35</definedName>
    <definedName name="MktMin7_12">Inputs!$B$36</definedName>
    <definedName name="MktMin13_18">Inputs!$B$37</definedName>
    <definedName name="MktMin19plus">Inputs!$B$38</definedName>
    <definedName name="CashBuffer">Inputs!$B$39</definedName>
    <definedName name="InflationRate">Inputs!$B$48</definedName>
    <definedName name="ReferralMix">Inputs!$B$49</definedName>
    <definedName name="ReferralReward">Inputs!$B$50</definedName>
    <definedName name="LaunchMonth">Inputs!$B$51</definedName>
    <definedName name="AcqSeasonTable">Inputs!$A$55:$C$66</definedName>
    <definedName name="ChurnSeasonTable">Inputs!$A$55:$D$66</definedName>
    <definedName name="SeasonTable">Inputs!$A$55:$B$66</definedName>
    <definedName name="VATRate">Inputs!$B$42</definedName>
    <definedName name="VATThreshold">Inputs!$B$43</definedName>
    <definedName name="MRR_Month12">Model!$V$16</definedName>
    <definedName name="ARR_Month12">Model!$W$16</definedName>
    <definedName name="Cust_Month12">Model!$U$16</definedName>
    <definedName name="Cash_Month12">Model!$AO$16</definedName>
    <definedName name="MRR_Month24">Model!$V$28</definedName>
    <definedName name="ARR_Month24">Model!$W$28</definedName>
    <definedName name="Cust_Month24">Model!$U$28</definedName>
    <definedName name="Cash_Month24">Model!$AO$28</definedName>
    <definedName name="MRR_Month60">Model!$V$64</definedName>
    <definedName name="ARR_Month60">Model!$W$64</definedName>
    <definedName name="Cust_Month60">Model!$U$64</definedName>
    <definedName name="Cash_Month60">Model!$AO$64</definedName>
    <definedName name="WinterPivotSeasonTable">Inputs!$A$55:$E$66</definedName>
    <definedName name="WinterPivotChurnTable">Inputs!$A$55:$F$66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"/>
    <numFmt numFmtId="165" formatCode="£#,##0.00"/>
    <numFmt numFmtId="166" formatCode="0.0%"/>
    <numFmt numFmtId="167" formatCode="0.0"/>
    <numFmt numFmtId="168" formatCode="0.0&quot;x&quot;"/>
    <numFmt numFmtId="169" formatCode="0.0&quot; mo&quot;"/>
  </numFmts>
  <fonts count="20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2F5496"/>
      <sz val="11"/>
    </font>
    <font>
      <b val="1"/>
      <color rgb="00FFFFFF"/>
      <sz val="11"/>
    </font>
    <font>
      <b val="1"/>
    </font>
    <font>
      <b val="1"/>
      <color rgb="001F3864"/>
      <sz val="16"/>
    </font>
    <font>
      <i val="1"/>
      <color rgb="00888888"/>
      <sz val="9"/>
    </font>
    <font>
      <b val="1"/>
      <color rgb="002F5496"/>
      <sz val="12"/>
    </font>
    <font>
      <color rgb="00666666"/>
      <sz val="10"/>
    </font>
    <font>
      <b val="1"/>
      <color rgb="001F3864"/>
      <sz val="14"/>
    </font>
    <font>
      <b val="1"/>
      <color rgb="001F3864"/>
      <sz val="18"/>
    </font>
    <font>
      <b val="1"/>
      <color rgb="00FFFFFF"/>
      <sz val="10"/>
    </font>
    <font>
      <sz val="10"/>
    </font>
    <font>
      <color rgb="00555555"/>
      <sz val="9"/>
    </font>
    <font>
      <b val="1"/>
      <color rgb="000563C1"/>
      <sz val="10"/>
    </font>
    <font>
      <color rgb="00666666"/>
      <sz val="9"/>
    </font>
    <font>
      <color rgb="00333333"/>
      <sz val="9"/>
    </font>
    <font>
      <b val="1"/>
      <sz val="10"/>
    </font>
    <font>
      <b val="1"/>
      <color rgb="002F5496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0" fontId="0" fillId="2" borderId="1" pivotButton="0" quotePrefix="0" xfId="0"/>
    <xf numFmtId="0" fontId="4" fillId="3" borderId="1" applyAlignment="1" pivotButton="0" quotePrefix="0" xfId="0">
      <alignment horizontal="center" wrapText="1"/>
    </xf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164" fontId="5" fillId="0" borderId="1" pivotButton="0" quotePrefix="0" xfId="0"/>
    <xf numFmtId="10" fontId="0" fillId="0" borderId="0" pivotButton="0" quotePrefix="0" xfId="0"/>
    <xf numFmtId="167" fontId="0" fillId="0" borderId="1" pivotButton="0" quotePrefix="0" xfId="0"/>
    <xf numFmtId="168" fontId="0" fillId="0" borderId="1" pivotButton="0" quotePrefix="0" xfId="0"/>
    <xf numFmtId="3" fontId="0" fillId="0" borderId="1" pivotButton="0" quotePrefix="0" xfId="0"/>
    <xf numFmtId="166" fontId="0" fillId="0" borderId="0" pivotButton="0" quotePrefix="0" xfId="0"/>
    <xf numFmtId="164" fontId="0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0" fillId="4" borderId="1" pivotButton="0" quotePrefix="0" xfId="0"/>
    <xf numFmtId="164" fontId="10" fillId="4" borderId="1" applyAlignment="1" pivotButton="0" quotePrefix="0" xfId="0">
      <alignment horizontal="center"/>
    </xf>
    <xf numFmtId="164" fontId="11" fillId="4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10" fillId="4" borderId="1" applyAlignment="1" pivotButton="0" quotePrefix="0" xfId="0">
      <alignment horizontal="center"/>
    </xf>
    <xf numFmtId="168" fontId="10" fillId="4" borderId="1" applyAlignment="1" pivotButton="0" quotePrefix="0" xfId="0">
      <alignment horizontal="center"/>
    </xf>
    <xf numFmtId="169" fontId="10" fillId="4" borderId="1" applyAlignment="1" pivotButton="0" quotePrefix="0" xfId="0">
      <alignment horizontal="center"/>
    </xf>
    <xf numFmtId="166" fontId="10" fillId="4" borderId="1" applyAlignment="1" pivotButton="0" quotePrefix="0" xfId="0">
      <alignment horizontal="center"/>
    </xf>
    <xf numFmtId="0" fontId="8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0">
      <alignment horizontal="right"/>
    </xf>
    <xf numFmtId="3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4" borderId="1" pivotButton="0" quotePrefix="0" xfId="0"/>
    <xf numFmtId="0" fontId="8" fillId="5" borderId="0" pivotButton="0" quotePrefix="0" xfId="0"/>
    <xf numFmtId="0" fontId="17" fillId="0" borderId="0" pivotButton="0" quotePrefix="0" xfId="0"/>
    <xf numFmtId="165" fontId="0" fillId="0" borderId="0" pivotButton="0" quotePrefix="0" xfId="0"/>
    <xf numFmtId="1" fontId="0" fillId="2" borderId="1" pivotButton="0" quotePrefix="0" xfId="0"/>
    <xf numFmtId="2" fontId="0" fillId="2" borderId="1" pivotButton="0" quotePrefix="0" xfId="0"/>
    <xf numFmtId="0" fontId="2" fillId="0" borderId="1" pivotButton="0" quotePrefix="0" xfId="0"/>
    <xf numFmtId="2" fontId="0" fillId="0" borderId="1" pivotButton="0" quotePrefix="0" xfId="0"/>
    <xf numFmtId="0" fontId="12" fillId="3" borderId="1" pivotButton="0" quotePrefix="0" xfId="0"/>
    <xf numFmtId="10" fontId="4" fillId="2" borderId="1" applyAlignment="1" pivotButton="0" quotePrefix="0" xfId="0">
      <alignment horizontal="center" wrapText="1"/>
    </xf>
    <xf numFmtId="164" fontId="4" fillId="3" borderId="1" applyAlignment="1" pivotButton="0" quotePrefix="0" xfId="0">
      <alignment horizontal="center" wrapText="1"/>
    </xf>
    <xf numFmtId="3" fontId="4" fillId="3" borderId="1" applyAlignment="1" pivotButton="0" quotePrefix="0" xfId="0">
      <alignment horizontal="center" wrapText="1"/>
    </xf>
    <xf numFmtId="0" fontId="18" fillId="0" borderId="0" pivotButton="0" quotePrefix="0" xfId="0"/>
    <xf numFmtId="0" fontId="19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0" fontId="4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Sorted Model</author>
  </authors>
  <commentList>
    <comment ref="A4" authorId="0" shapeId="0">
      <text>
        <t>Model month number (1–60 from launch).</t>
      </text>
    </comment>
    <comment ref="B4" authorId="0" shapeId="0">
      <text>
        <t>Calendar month (1=Jan … 12=Dec), anchored to launch month on Inputs.</t>
      </text>
    </comment>
    <comment ref="C4" authorId="0" shapeId="0">
      <text>
        <t>Calendar year of operation (Year 1, 2, 3 … from launch).</t>
      </text>
    </comment>
    <comment ref="D4" authorId="0" shapeId="0">
      <text>
        <t>Acquisition seasonality multiplier for this calendar month (Inputs seasonality table).</t>
      </text>
    </comment>
    <comment ref="E4" authorId="0" shapeId="0">
      <text>
        <t>Price inflation multiplier — 2.5%/yr uplift applied to subscription prices.</t>
      </text>
    </comment>
    <comment ref="F4" authorId="0" shapeId="0">
      <text>
        <t>Effective monthly churn rate = base monthly churn × seasonal churn multiplier.</t>
      </text>
    </comment>
    <comment ref="G4" authorId="0" shapeId="0">
      <text>
        <t>Marketing budget this month (target spend, capped by available cash minus £2k buffer from month 4).</t>
      </text>
    </comment>
    <comment ref="H4" authorId="0" shapeId="0">
      <text>
        <t>New paid customers acquired this month = budget ÷ CAC × acquisition seasonality.</t>
      </text>
    </comment>
    <comment ref="I4" authorId="0" shapeId="0">
      <text>
        <t>New referral customers this month (zero-CAC; driven by referral mix on Inputs).</t>
      </text>
    </comment>
    <comment ref="J4" authorId="0" shapeId="0">
      <text>
        <t>Total new customers this month (paid + referral).</t>
      </text>
    </comment>
    <comment ref="K4" authorId="0" shapeId="0">
      <text>
        <t>New monthly-plan subscribers (3-month min term) = total new × (1 − annual mix).</t>
      </text>
    </comment>
    <comment ref="L4" authorId="0" shapeId="0">
      <text>
        <t>New annual-plan subscribers (12-month commitment) = total new − monthly plan new.</t>
      </text>
    </comment>
    <comment ref="M4" authorId="0" shapeId="0">
      <text>
        <t>New Essential tier — monthly plan signups this month.</t>
      </text>
    </comment>
    <comment ref="N4" authorId="0" shapeId="0">
      <text>
        <t>New Premium tier — monthly plan signups this month.</t>
      </text>
    </comment>
    <comment ref="O4" authorId="0" shapeId="0">
      <text>
        <t>New Essential tier — annual plan signups this month (upfront annual fee).</t>
      </text>
    </comment>
    <comment ref="P4" authorId="0" shapeId="0">
      <text>
        <t>New Premium tier — annual plan signups this month (upfront annual fee).</t>
      </text>
    </comment>
    <comment ref="Q4" authorId="0" shapeId="0">
      <text>
        <t>Active Essential monthly subscribers after 3-month min term (after churn).</t>
      </text>
    </comment>
    <comment ref="R4" authorId="0" shapeId="0">
      <text>
        <t>Active Premium monthly subscribers after min term (after churn).</t>
      </text>
    </comment>
    <comment ref="S4" authorId="0" shapeId="0">
      <text>
        <t>Active Essential annual subscribers (cohort engine; churn at 12/24/36/48-mo anniversaries).</t>
      </text>
    </comment>
    <comment ref="T4" authorId="0" shapeId="0">
      <text>
        <t>Active Premium annual subscribers (same cohort logic as Essential annual).</t>
      </text>
    </comment>
    <comment ref="U4" authorId="0" shapeId="0">
      <text>
        <t>Total active customers = monthly + annual, Essential + Premium.</t>
      </text>
    </comment>
    <comment ref="V4" authorId="0" shapeId="0">
      <text>
        <t>Monthly Recurring Revenue — normalised subscription revenue per month.</t>
      </text>
    </comment>
    <comment ref="W4" authorId="0" shapeId="0">
      <text>
        <t>Annual Recurring Revenue = MRR × 12.</t>
      </text>
    </comment>
    <comment ref="X4" authorId="0" shapeId="0">
      <text>
        <t>Monthly plan billing collected this month (Essential + Premium monthly subs).</t>
      </text>
    </comment>
    <comment ref="Y4" authorId="0" shapeId="0">
      <text>
        <t>New annual plan cash collected this month (upfront Essential + Premium annual fees).</t>
      </text>
    </comment>
    <comment ref="Z4" authorId="0" shapeId="0">
      <text>
        <t>Annual plan renewal revenue at 12/24/36/48-month customer anniversaries.</t>
      </text>
    </comment>
    <comment ref="AA4" authorId="0" shapeId="0">
      <text>
        <t>Gross revenue = monthly billing + new annual cash + renewals (VAT-inclusive prices).</t>
      </text>
    </comment>
    <comment ref="AB4" authorId="0" shapeId="0">
      <text>
        <t>Rolling 12-month gross revenue — used to trigger VAT registration at £90k threshold.</t>
      </text>
    </comment>
    <comment ref="AC4" authorId="0" shapeId="0">
      <text>
        <t>VAT registered flag (TRUE once rolling 12-month gross ≥ £90k; stays on thereafter).</t>
      </text>
    </comment>
    <comment ref="AD4" authorId="0" shapeId="0">
      <text>
        <t>Net revenue = gross ÷ 1.20 when VAT registered; otherwise equals gross.</t>
      </text>
    </comment>
    <comment ref="AE4" authorId="0" shapeId="0">
      <text>
        <t>VAT accrued this month = gross revenue − net revenue.</t>
      </text>
    </comment>
    <comment ref="AF4" authorId="0" shapeId="0">
      <text>
        <t>VAT paid to HMRC — calendar quarters (Jan/Apr/Jul/Oct for preceding quarter).</t>
      </text>
    </comment>
    <comment ref="AG4" authorId="0" shapeId="0">
      <text>
        <t>VAT liability balance — cumulative accrued VAT minus VAT payments.</t>
      </text>
    </comment>
    <comment ref="AH4" authorId="0" shapeId="0">
      <text>
        <t>Provider/contractor payout = net revenue × provider share (1-month payment delay).</t>
      </text>
    </comment>
    <comment ref="AI4" authorId="0" shapeId="0">
      <text>
        <t>Payment processing fees = gross revenue × Stripe/card fee % (3%).</t>
      </text>
    </comment>
    <comment ref="AJ4" authorId="0" shapeId="0">
      <text>
        <t>Ops + AI variable cost = active customers × £5/customer/month.</t>
      </text>
    </comment>
    <comment ref="AK4" authorId="0" shapeId="0">
      <text>
        <t>Fixed platform cost = £250/month (hosting, tools, base AI).</t>
      </text>
    </comment>
    <comment ref="AL4" authorId="0" shapeId="0">
      <text>
        <t>Referral reward payouts = referral customers × £15 reward.</t>
      </text>
    </comment>
    <comment ref="AM4" authorId="0" shapeId="0">
      <text>
        <t>Marketing cash outflow this month (same as budget in column G when spent).</t>
      </text>
    </comment>
    <comment ref="AN4" authorId="0" shapeId="0">
      <text>
        <t>Operating profit = net revenue − provider − fees − ops − fixed − referrals − marketing.</t>
      </text>
    </comment>
    <comment ref="AO4" authorId="0" shapeId="0">
      <text>
        <t>Cash balance — cumulative after all revenue in and costs out (incl. VAT payments).</t>
      </text>
    </comment>
    <comment ref="AP4" authorId="0" shapeId="0">
      <text>
        <t>Average revenue per user = MRR ÷ total active customers.</t>
      </text>
    </comment>
    <comment ref="AQ4" authorId="0" shapeId="0">
      <text>
        <t>Implied customer churn rate this month (net customer loss ÷ prior month customers).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3" t="inlineStr">
        <is>
          <t>GardensSorted — Financial Headlines</t>
        </is>
      </c>
    </row>
    <row r="2">
      <c r="A2" s="2" t="inlineStr">
        <is>
          <t>Calendar VAT quarters | seasonal churn | provider delay | referrals | inflation</t>
        </is>
      </c>
    </row>
    <row r="4">
      <c r="A4" s="25" t="inlineStr">
        <is>
          <t>KEY METRICS</t>
        </is>
      </c>
    </row>
    <row r="5">
      <c r="A5" s="52" t="inlineStr">
        <is>
          <t>Y1 ARR</t>
        </is>
      </c>
      <c r="B5" s="38" t="n"/>
      <c r="C5" s="52" t="inlineStr">
        <is>
          <t>Y2 ARR</t>
        </is>
      </c>
      <c r="D5" s="38" t="n"/>
      <c r="E5" s="52" t="inlineStr">
        <is>
          <t>Y5 ARR</t>
        </is>
      </c>
      <c r="F5" s="38" t="n"/>
      <c r="G5" s="52" t="inlineStr">
        <is>
          <t>Cash Y5</t>
        </is>
      </c>
      <c r="H5" s="38" t="n"/>
    </row>
    <row r="6">
      <c r="A6" s="28">
        <f>Model!W16</f>
        <v/>
      </c>
      <c r="B6" s="38" t="n"/>
      <c r="C6" s="29">
        <f>Model!W28</f>
        <v/>
      </c>
      <c r="D6" s="38" t="n"/>
      <c r="E6" s="29">
        <f>Model!W64</f>
        <v/>
      </c>
      <c r="F6" s="38" t="n"/>
      <c r="G6" s="29">
        <f>Model!AO64</f>
        <v/>
      </c>
      <c r="H6" s="38" t="n"/>
    </row>
    <row r="8">
      <c r="A8" s="25" t="inlineStr">
        <is>
          <t>SNAPSHOT</t>
        </is>
      </c>
    </row>
    <row r="9">
      <c r="A9" s="8" t="inlineStr">
        <is>
          <t>Metric</t>
        </is>
      </c>
      <c r="B9" s="8" t="inlineStr">
        <is>
          <t>Year 1</t>
        </is>
      </c>
      <c r="C9" s="8" t="inlineStr">
        <is>
          <t>Year 2</t>
        </is>
      </c>
      <c r="D9" s="8" t="inlineStr">
        <is>
          <t>Year 5</t>
        </is>
      </c>
    </row>
    <row r="10">
      <c r="A10" s="12" t="inlineStr">
        <is>
          <t>End customers</t>
        </is>
      </c>
      <c r="B10" s="19">
        <f>Model!U16</f>
        <v/>
      </c>
      <c r="C10" s="19">
        <f>Model!U28</f>
        <v/>
      </c>
      <c r="D10" s="19">
        <f>Model!U64</f>
        <v/>
      </c>
    </row>
    <row r="11">
      <c r="A11" s="12" t="inlineStr">
        <is>
          <t>ARR</t>
        </is>
      </c>
      <c r="B11" s="9">
        <f>Model!W16</f>
        <v/>
      </c>
      <c r="C11" s="9">
        <f>Model!W28</f>
        <v/>
      </c>
      <c r="D11" s="9">
        <f>Model!W64</f>
        <v/>
      </c>
    </row>
    <row r="12">
      <c r="A12" s="12" t="inlineStr">
        <is>
          <t>Gross revenue</t>
        </is>
      </c>
      <c r="B12" s="9">
        <f>SUM(Model!AA5:AA16)</f>
        <v/>
      </c>
      <c r="C12" s="9">
        <f>SUM(Model!AA17:AA28)</f>
        <v/>
      </c>
      <c r="D12" s="9">
        <f>SUM(Model!AA53:AA64)</f>
        <v/>
      </c>
    </row>
    <row r="13">
      <c r="A13" s="12" t="inlineStr">
        <is>
          <t>Net revenue</t>
        </is>
      </c>
      <c r="B13" s="9">
        <f>SUM(Model!AD5:AD16)</f>
        <v/>
      </c>
      <c r="C13" s="9">
        <f>SUM(Model!AD17:AD28)</f>
        <v/>
      </c>
      <c r="D13" s="9">
        <f>SUM(Model!AD53:AD64)</f>
        <v/>
      </c>
    </row>
    <row r="14">
      <c r="A14" s="12" t="inlineStr">
        <is>
          <t>VAT paid (calendar Q)</t>
        </is>
      </c>
      <c r="B14" s="9">
        <f>SUM(Model!AF5:AF16)</f>
        <v/>
      </c>
      <c r="C14" s="9">
        <f>SUM(Model!AF17:AF28)</f>
        <v/>
      </c>
      <c r="D14" s="9">
        <f>SUM(Model!AF53:AF64)</f>
        <v/>
      </c>
    </row>
    <row r="15">
      <c r="A15" s="12" t="inlineStr">
        <is>
          <t>Annual profit</t>
        </is>
      </c>
      <c r="B15" s="9">
        <f>SUM(Model!AN5:AN16)</f>
        <v/>
      </c>
      <c r="C15" s="9">
        <f>SUM(Model!AN17:AN28)</f>
        <v/>
      </c>
      <c r="D15" s="9">
        <f>SUM(Model!AN53:AN64)</f>
        <v/>
      </c>
    </row>
    <row r="16">
      <c r="A16" s="12" t="inlineStr">
        <is>
          <t>Cash balance</t>
        </is>
      </c>
      <c r="B16" s="9">
        <f>Model!AO16</f>
        <v/>
      </c>
      <c r="C16" s="9">
        <f>Model!AO28</f>
        <v/>
      </c>
      <c r="D16" s="9">
        <f>Model!AO64</f>
        <v/>
      </c>
    </row>
    <row r="17">
      <c r="A17" s="12" t="inlineStr">
        <is>
          <t>Avg logo churn</t>
        </is>
      </c>
      <c r="B17" s="11">
        <f>AVERAGE(Model!AQ6:AQ16)</f>
        <v/>
      </c>
      <c r="C17" s="11">
        <f>AVERAGE(Model!AQ18:AQ28)</f>
        <v/>
      </c>
      <c r="D17" s="11">
        <f>AVERAGE(Model!AQ54:AQ64)</f>
        <v/>
      </c>
    </row>
    <row r="18">
      <c r="A18" s="12" t="inlineStr">
        <is>
          <t>Platform margin</t>
        </is>
      </c>
      <c r="B18" s="13">
        <f>'5 Year Summary'!T4</f>
        <v/>
      </c>
      <c r="C18" s="13">
        <f>'5 Year Summary'!T5</f>
        <v/>
      </c>
      <c r="D18" s="13">
        <f>'5 Year Summary'!T8</f>
        <v/>
      </c>
    </row>
    <row r="20">
      <c r="A20" s="25" t="inlineStr">
        <is>
          <t>MILESTONES</t>
        </is>
      </c>
    </row>
    <row r="21">
      <c r="A21" s="12" t="inlineStr">
        <is>
          <t>VAT registration</t>
        </is>
      </c>
      <c r="B21" s="12">
        <f>IFERROR("Month "&amp;MATCH(TRUE,Model!AC5:Model!AC64,0),"Not in 60 mo")</f>
        <v/>
      </c>
      <c r="C21" s="37" t="n"/>
      <c r="D21" s="38" t="n"/>
    </row>
    <row r="22">
      <c r="A22" s="12" t="inlineStr">
        <is>
          <t>First profitable month</t>
        </is>
      </c>
      <c r="B22" s="12">
        <f>IFERROR("Month "&amp;MATCH(1,IF(Model!AN5:AN64&gt;0,1),0),"Not in 60 mo")</f>
        <v/>
      </c>
      <c r="C22" s="37" t="n"/>
      <c r="D22" s="38" t="n"/>
    </row>
    <row r="23">
      <c r="A23" s="12" t="inlineStr">
        <is>
          <t>Cash payback £17k</t>
        </is>
      </c>
      <c r="B23" s="12">
        <f>IFERROR("Month "&amp;MATCH(1,IF(Model!AO5:AO64&gt;=InitialInvestment,1),0),"Not in 60 mo")</f>
        <v/>
      </c>
      <c r="C23" s="37" t="n"/>
      <c r="D23" s="38" t="n"/>
    </row>
    <row r="24">
      <c r="A24" s="12" t="inlineStr">
        <is>
          <t>Provider payment delay</t>
        </is>
      </c>
      <c r="B24" s="12">
        <f>ProviderDelay&amp;" month(s)"</f>
        <v/>
      </c>
      <c r="C24" s="37" t="n"/>
      <c r="D24" s="38" t="n"/>
    </row>
    <row r="25">
      <c r="A25" s="12" t="inlineStr">
        <is>
          <t>Fixed platform cost</t>
        </is>
      </c>
      <c r="B25" s="9">
        <f>MonthlyFixed</f>
        <v/>
      </c>
      <c r="C25" s="37" t="n"/>
      <c r="D25" s="38" t="n"/>
    </row>
    <row r="27">
      <c r="A27" s="53" t="inlineStr">
        <is>
          <t>MODEL COMPLETENESS</t>
        </is>
      </c>
    </row>
    <row r="28">
      <c r="A28" s="54" t="inlineStr">
        <is>
          <t>✓ SaaS cohorts — monthly (3-mo min) &amp; annual (12-mo) subs, MRR/ARR, tier pricing</t>
        </is>
      </c>
    </row>
    <row r="29">
      <c r="A29" s="54" t="inlineStr">
        <is>
          <t>✓ VAT at £90k threshold — calendar quarter payments (Jan/Apr/Jul/Oct)</t>
        </is>
      </c>
    </row>
    <row r="30">
      <c r="A30" s="54" t="inlineStr">
        <is>
          <t>✓ Seasonal acquisition (col B) &amp; churn (col D) — gardening seasonality</t>
        </is>
      </c>
    </row>
    <row r="31">
      <c r="A31" s="54" t="inlineStr">
        <is>
          <t>✓ Referrals 15% / £15 | Inflation 2.5%/yr | Upfront billing | £17k startup</t>
        </is>
      </c>
    </row>
    <row r="32">
      <c r="A32" s="54" t="inlineStr">
        <is>
          <t>✓ Provider delay 1 mo (customer upfront → cash float) | Fixed platform £250/mo</t>
        </is>
      </c>
    </row>
    <row r="33">
      <c r="A33" s="54" t="inlineStr">
        <is>
          <t>✓ Per-customer ops/AI £5/mo | Marketing phased with cash cap | No salaries (AI ops)</t>
        </is>
      </c>
    </row>
    <row r="34">
      <c r="A34" t="inlineStr">
        <is>
          <t>✓ Sensitivity tabs — churn, mix, CAC, scenarios, winter pivot</t>
        </is>
      </c>
    </row>
    <row r="36">
      <c r="A36" s="43" t="inlineStr">
        <is>
          <t>NOT MODELLED (by design or later)</t>
        </is>
      </c>
    </row>
    <row r="37">
      <c r="A37" s="44" t="inlineStr">
        <is>
          <t>• Corporation tax (~19–25%) — add when consistently profitable</t>
        </is>
      </c>
    </row>
    <row r="38">
      <c r="A38" s="44" t="inlineStr">
        <is>
          <t>• Route density / travel efficiency in clustered postcodes</t>
        </is>
      </c>
    </row>
    <row r="39">
      <c r="A39" s="44" t="inlineStr">
        <is>
          <t>• Cross-sell to other Sorted brands | Geographic rollout phasing</t>
        </is>
      </c>
    </row>
    <row r="40">
      <c r="A40" s="44" t="inlineStr">
        <is>
          <t>• HMRC exact deadline (+1 mo 7 days) — model pays in Jan/Apr/Jul/Oct cal months</t>
        </is>
      </c>
    </row>
    <row r="41">
      <c r="A41" s="44" t="inlineStr">
        <is>
          <t>• Sensitivity tabs now use full model engine (Scenario Engine sheet)</t>
        </is>
      </c>
    </row>
    <row r="43">
      <c r="A43" s="25" t="inlineStr">
        <is>
          <t>WHERE TO GO NEXT</t>
        </is>
      </c>
    </row>
    <row r="44">
      <c r="A44" s="45" t="inlineStr">
        <is>
          <t>Inputs</t>
        </is>
      </c>
      <c r="B44" s="46" t="inlineStr">
        <is>
          <t>All assumptions</t>
        </is>
      </c>
    </row>
    <row r="45">
      <c r="A45" s="45" t="inlineStr">
        <is>
          <t>5 Year Summary</t>
        </is>
      </c>
      <c r="B45" s="46" t="inlineStr">
        <is>
          <t>Annual P&amp;L</t>
        </is>
      </c>
    </row>
    <row r="46">
      <c r="A46" s="45" t="inlineStr">
        <is>
          <t>24 Month Forecast</t>
        </is>
      </c>
      <c r="B46" s="46" t="inlineStr">
        <is>
          <t>Monthly detail</t>
        </is>
      </c>
    </row>
    <row r="47">
      <c r="A47" s="45" t="inlineStr">
        <is>
          <t>Unit Economics</t>
        </is>
      </c>
      <c r="B47" s="46" t="inlineStr">
        <is>
          <t>LTV &amp; CAC</t>
        </is>
      </c>
    </row>
  </sheetData>
  <mergeCells count="31">
    <mergeCell ref="A30:H30"/>
    <mergeCell ref="C6:D6"/>
    <mergeCell ref="A39:H39"/>
    <mergeCell ref="B23:D23"/>
    <mergeCell ref="C5:D5"/>
    <mergeCell ref="E5:F5"/>
    <mergeCell ref="A1:H1"/>
    <mergeCell ref="A6:B6"/>
    <mergeCell ref="B45:E45"/>
    <mergeCell ref="A41:H41"/>
    <mergeCell ref="B47:E47"/>
    <mergeCell ref="G6:H6"/>
    <mergeCell ref="A37:H37"/>
    <mergeCell ref="B46:E46"/>
    <mergeCell ref="B24:D24"/>
    <mergeCell ref="E6:F6"/>
    <mergeCell ref="A2:H2"/>
    <mergeCell ref="A5:B5"/>
    <mergeCell ref="G5:H5"/>
    <mergeCell ref="A33:H33"/>
    <mergeCell ref="A32:H32"/>
    <mergeCell ref="B25:D25"/>
    <mergeCell ref="A29:H29"/>
    <mergeCell ref="A34:H34"/>
    <mergeCell ref="B22:D22"/>
    <mergeCell ref="A38:H38"/>
    <mergeCell ref="B44:E44"/>
    <mergeCell ref="A28:H28"/>
    <mergeCell ref="B21:D21"/>
    <mergeCell ref="A31:H3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</cols>
  <sheetData>
    <row r="1">
      <c r="A1" s="1" t="inlineStr">
        <is>
          <t>Assumptions &amp; Methodology (values linked to Inputs sheet)</t>
        </is>
      </c>
    </row>
    <row r="2">
      <c r="A2" s="2" t="inlineStr">
        <is>
          <t>Edit yellow cells on the Inputs sheet — all tabs update automatically.</t>
        </is>
      </c>
    </row>
    <row r="4">
      <c r="A4" s="3" t="inlineStr">
        <is>
          <t>Parameter</t>
        </is>
      </c>
      <c r="B4" s="3" t="inlineStr">
        <is>
          <t>Live Value</t>
        </is>
      </c>
      <c r="C4" s="3" t="inlineStr">
        <is>
          <t>Notes</t>
        </is>
      </c>
    </row>
    <row r="5">
      <c r="A5" t="inlineStr">
        <is>
          <t>Initial investment</t>
        </is>
      </c>
      <c r="B5" s="12">
        <f>InitialInvestment</f>
        <v/>
      </c>
      <c r="C5" s="2" t="inlineStr">
        <is>
          <t>Total startup capital</t>
        </is>
      </c>
    </row>
    <row r="6">
      <c r="A6" t="inlineStr">
        <is>
          <t>Essential Monthly</t>
        </is>
      </c>
      <c r="B6" s="10">
        <f>PriceEssMonthly</f>
        <v/>
      </c>
      <c r="C6" s="2" t="inlineStr">
        <is>
          <t>3-month minimum term</t>
        </is>
      </c>
    </row>
    <row r="7">
      <c r="A7" t="inlineStr">
        <is>
          <t>Premium Monthly</t>
        </is>
      </c>
      <c r="B7" s="10">
        <f>PricePremMonthly</f>
        <v/>
      </c>
      <c r="C7" s="2" t="inlineStr">
        <is>
          <t>3-month minimum term</t>
        </is>
      </c>
    </row>
    <row r="8">
      <c r="A8" t="inlineStr">
        <is>
          <t>Essential Annual</t>
        </is>
      </c>
      <c r="B8" s="10">
        <f>PriceEssAnnual</f>
        <v/>
      </c>
      <c r="C8" s="2" t="inlineStr">
        <is>
          <t>12-month commitment</t>
        </is>
      </c>
    </row>
    <row r="9">
      <c r="A9" t="inlineStr">
        <is>
          <t>Premium Annual</t>
        </is>
      </c>
      <c r="B9" s="10">
        <f>PricePremAnnual</f>
        <v/>
      </c>
      <c r="C9" s="2" t="inlineStr">
        <is>
          <t>12-month commitment</t>
        </is>
      </c>
    </row>
    <row r="10">
      <c r="A10" t="inlineStr">
        <is>
          <t>Annual plan mix</t>
        </is>
      </c>
      <c r="B10" s="12">
        <f>AnnualMix</f>
        <v/>
      </c>
      <c r="C10" s="2" t="inlineStr">
        <is>
          <t>Industry B2C: 15–25%</t>
        </is>
      </c>
    </row>
    <row r="11">
      <c r="A11" t="inlineStr">
        <is>
          <t>Essential tier mix</t>
        </is>
      </c>
      <c r="B11" s="12">
        <f>EssentialMix</f>
        <v/>
      </c>
      <c r="C11" s="2" t="inlineStr">
        <is>
          <t>Within each billing type</t>
        </is>
      </c>
    </row>
    <row r="12">
      <c r="A12" t="inlineStr">
        <is>
          <t>Monthly churn (post min term)</t>
        </is>
      </c>
      <c r="B12" s="11">
        <f>MonthlyChurn</f>
        <v/>
      </c>
      <c r="C12" s="2" t="inlineStr">
        <is>
          <t>Home services B2C: 4–7%/mo</t>
        </is>
      </c>
    </row>
    <row r="13">
      <c r="A13" t="inlineStr">
        <is>
          <t>Annual churn (at renewal)</t>
        </is>
      </c>
      <c r="B13" s="13">
        <f>AnnualChurn</f>
        <v/>
      </c>
      <c r="C13" s="2" t="inlineStr">
        <is>
          <t>B2C annual: 15–25%</t>
        </is>
      </c>
    </row>
    <row r="14">
      <c r="A14" t="inlineStr">
        <is>
          <t>CAC</t>
        </is>
      </c>
      <c r="B14" s="10">
        <f>CAC</f>
        <v/>
      </c>
      <c r="C14" s="2" t="inlineStr">
        <is>
          <t>Paid acquisition; base £70 (industry £50–80 paid, £100–120 conservative)</t>
        </is>
      </c>
    </row>
    <row r="15">
      <c r="A15" t="inlineStr">
        <is>
          <t>Provider share</t>
        </is>
      </c>
      <c r="B15" s="13">
        <f>ProviderShare</f>
        <v/>
      </c>
      <c r="C15" s="2" t="inlineStr">
        <is>
          <t>Contractor payout</t>
        </is>
      </c>
    </row>
    <row r="16">
      <c r="A16" t="inlineStr">
        <is>
          <t>Payment fees</t>
        </is>
      </c>
      <c r="B16" s="13">
        <f>PaymentFee</f>
        <v/>
      </c>
      <c r="C16" s="2" t="inlineStr">
        <is>
          <t>Stripe processing</t>
        </is>
      </c>
    </row>
    <row r="17">
      <c r="A17" t="inlineStr">
        <is>
          <t>Ops + AI per customer</t>
        </is>
      </c>
      <c r="B17" s="10">
        <f>OpsAI</f>
        <v/>
      </c>
      <c r="C17" s="2" t="inlineStr">
        <is>
          <t>Per active subscriber/month</t>
        </is>
      </c>
    </row>
    <row r="18">
      <c r="A18" t="inlineStr">
        <is>
          <t>Months 1–3 marketing</t>
        </is>
      </c>
      <c r="B18">
        <f>MktFixed1_3</f>
        <v/>
      </c>
      <c r="C18" t="inlineStr">
        <is>
          <t>Soft launch</t>
        </is>
      </c>
    </row>
    <row r="19">
      <c r="A19" t="inlineStr">
        <is>
          <t>Months 4–6 marketing</t>
        </is>
      </c>
      <c r="B19">
        <f>MktFixed4_6</f>
        <v/>
      </c>
      <c r="C19" t="inlineStr">
        <is>
          <t>Ramp phase</t>
        </is>
      </c>
    </row>
    <row r="20">
      <c r="A20" t="inlineStr">
        <is>
          <t>Cash buffer</t>
        </is>
      </c>
      <c r="B20">
        <f>CashBuffer</f>
        <v/>
      </c>
      <c r="C20" t="inlineStr">
        <is>
          <t>Marketing cap reserve</t>
        </is>
      </c>
    </row>
    <row r="21">
      <c r="A21" t="inlineStr">
        <is>
          <t>VAT rate</t>
        </is>
      </c>
      <c r="B21" s="12">
        <f>VATRate</f>
        <v/>
      </c>
      <c r="C21" s="2" t="inlineStr">
        <is>
          <t>Once registered</t>
        </is>
      </c>
    </row>
    <row r="22">
      <c r="A22" s="3" t="inlineStr">
        <is>
          <t>VAT threshold</t>
        </is>
      </c>
      <c r="B22" s="12">
        <f>VATThreshold</f>
        <v/>
      </c>
      <c r="C22" s="2" t="inlineStr">
        <is>
          <t>Rolling 12-mo gross</t>
        </is>
      </c>
    </row>
    <row r="23">
      <c r="A23" t="inlineStr">
        <is>
          <t>Inflation</t>
        </is>
      </c>
      <c r="B23" s="12">
        <f>InflationRate</f>
        <v/>
      </c>
      <c r="C23" s="2" t="inlineStr">
        <is>
          <t>Annual price uplift</t>
        </is>
      </c>
    </row>
    <row r="24">
      <c r="A24" t="inlineStr">
        <is>
          <t>Referral mix</t>
        </is>
      </c>
      <c r="B24" s="12">
        <f>ReferralMix</f>
        <v/>
      </c>
      <c r="C24" s="2" t="inlineStr">
        <is>
          <t>Zero-CAC channel</t>
        </is>
      </c>
    </row>
    <row r="25">
      <c r="A25" t="inlineStr">
        <is>
          <t>Referral reward</t>
        </is>
      </c>
      <c r="B25" s="12">
        <f>ReferralReward</f>
        <v/>
      </c>
      <c r="C25" s="2" t="inlineStr">
        <is>
          <t>Per referral</t>
        </is>
      </c>
    </row>
    <row r="26">
      <c r="A26" t="inlineStr">
        <is>
          <t>Launch month</t>
        </is>
      </c>
      <c r="B26" s="12">
        <f>LaunchMonth</f>
        <v/>
      </c>
      <c r="C26" s="2" t="inlineStr">
        <is>
          <t>Seasonality anchor</t>
        </is>
      </c>
    </row>
    <row r="27">
      <c r="A27" t="inlineStr">
        <is>
          <t>Seasonal churn table</t>
        </is>
      </c>
      <c r="B27" s="58" t="inlineStr">
        <is>
          <t>Inputs col D</t>
        </is>
      </c>
      <c r="C27" s="2" t="n"/>
    </row>
    <row r="28">
      <c r="A28" t="inlineStr">
        <is>
          <t>VAT payment</t>
        </is>
      </c>
      <c r="B28" s="58" t="inlineStr">
        <is>
          <t>Calendar quarters (Jan/Apr/Jul/Oct)</t>
        </is>
      </c>
      <c r="C28" s="2" t="inlineStr">
        <is>
          <t>Preceding calendar quarter</t>
        </is>
      </c>
    </row>
    <row r="29">
      <c r="A29" t="inlineStr">
        <is>
          <t>Winter pivot seasonality</t>
        </is>
      </c>
      <c r="B29" s="12" t="inlineStr">
        <is>
          <t>Inputs cols E &amp; F</t>
        </is>
      </c>
      <c r="C29" s="2" t="inlineStr">
        <is>
          <t>Sens - Winter Pivot tab — gutter/leaf/patio Oct–Feb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1" t="inlineStr">
        <is>
          <t>Sorted — SaaS Forecast Inputs (edit yellow cells)</t>
        </is>
      </c>
    </row>
    <row r="2">
      <c r="A2" s="2" t="inlineStr">
        <is>
          <t>All forecast sheets recalculate automatically when you change inputs below.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Notes</t>
        </is>
      </c>
    </row>
    <row r="4">
      <c r="A4" s="3" t="inlineStr">
        <is>
          <t>INITIAL INVESTMENT</t>
        </is>
      </c>
    </row>
    <row r="5">
      <c r="A5" t="inlineStr">
        <is>
          <t>Initial investment (£)</t>
        </is>
      </c>
      <c r="B5" s="4" t="n">
        <v>17000</v>
      </c>
      <c r="C5" s="2" t="inlineStr">
        <is>
          <t>Total startup capital available</t>
        </is>
      </c>
    </row>
    <row r="7">
      <c r="A7" s="3" t="inlineStr">
        <is>
          <t>SUBSCRIPTION PRICING</t>
        </is>
      </c>
    </row>
    <row r="8">
      <c r="A8" t="inlineStr">
        <is>
          <t>Essential Monthly (£/mo)</t>
        </is>
      </c>
      <c r="B8" s="5" t="n">
        <v>29.95</v>
      </c>
      <c r="C8" s="2" t="inlineStr">
        <is>
          <t>3-month minimum term</t>
        </is>
      </c>
    </row>
    <row r="9">
      <c r="A9" t="inlineStr">
        <is>
          <t>Premium Monthly (£/mo)</t>
        </is>
      </c>
      <c r="B9" s="5" t="n">
        <v>49.95</v>
      </c>
      <c r="C9" s="2" t="inlineStr">
        <is>
          <t>3-month minimum term</t>
        </is>
      </c>
    </row>
    <row r="10">
      <c r="A10" t="inlineStr">
        <is>
          <t>Essential Annual (£/yr)</t>
        </is>
      </c>
      <c r="B10" s="5" t="n">
        <v>299.95</v>
      </c>
      <c r="C10" s="2" t="inlineStr">
        <is>
          <t>12-month commitment</t>
        </is>
      </c>
    </row>
    <row r="11">
      <c r="A11" t="inlineStr">
        <is>
          <t>Premium Annual (£/yr)</t>
        </is>
      </c>
      <c r="B11" s="5" t="n">
        <v>499.95</v>
      </c>
      <c r="C11" s="2" t="inlineStr">
        <is>
          <t>12-month commitment</t>
        </is>
      </c>
    </row>
    <row r="13">
      <c r="A13" s="3" t="inlineStr">
        <is>
          <t>PLAN MIX</t>
        </is>
      </c>
    </row>
    <row r="14">
      <c r="A14" t="inlineStr">
        <is>
          <t>Annual plan mix (%)</t>
        </is>
      </c>
      <c r="B14" s="6" t="n">
        <v>0.2</v>
      </c>
      <c r="C14" s="2" t="inlineStr">
        <is>
          <t>Industry B2C benchmark: 15–25%</t>
        </is>
      </c>
    </row>
    <row r="15">
      <c r="A15" t="inlineStr">
        <is>
          <t>Essential tier mix (%)</t>
        </is>
      </c>
      <c r="B15" s="6" t="n">
        <v>0.7</v>
      </c>
      <c r="C15" s="2" t="inlineStr">
        <is>
          <t>Within each billing type</t>
        </is>
      </c>
    </row>
    <row r="17">
      <c r="A17" s="3" t="inlineStr">
        <is>
          <t>CHURN (edit for sensitivity)</t>
        </is>
      </c>
    </row>
    <row r="18">
      <c r="A18" t="inlineStr">
        <is>
          <t>Monthly plan churn — post min term (%/mo)</t>
        </is>
      </c>
      <c r="B18" s="7" t="n">
        <v>0.055</v>
      </c>
      <c r="C18" s="2" t="inlineStr">
        <is>
          <t>Home services B2C: 4–7%. Applied after month 3.</t>
        </is>
      </c>
    </row>
    <row r="19">
      <c r="A19" t="inlineStr">
        <is>
          <t>Annual plan churn — at renewal (%/yr)</t>
        </is>
      </c>
      <c r="B19" s="6" t="n">
        <v>0.2</v>
      </c>
      <c r="C19" s="2" t="inlineStr">
        <is>
          <t>B2C annual renewal: 15–25%</t>
        </is>
      </c>
    </row>
    <row r="21">
      <c r="A21" s="3" t="inlineStr">
        <is>
          <t>UNIT ECONOMICS</t>
        </is>
      </c>
    </row>
    <row r="22">
      <c r="A22" t="inlineStr">
        <is>
          <t>Customer Acquisition Cost — CAC (£)</t>
        </is>
      </c>
      <c r="B22" s="4" t="n">
        <v>70</v>
      </c>
      <c r="C22" s="2" t="inlineStr">
        <is>
          <t>Paid acquisition per customer. Base £50–80 (B2C home services); ~⅓ yr-1 revenue ≈ £100–120 conservative</t>
        </is>
      </c>
    </row>
    <row r="23">
      <c r="A23" t="inlineStr">
        <is>
          <t>Provider payout share (%)</t>
        </is>
      </c>
      <c r="B23" s="6" t="n">
        <v>0.6</v>
      </c>
      <c r="C23" s="2" t="inlineStr">
        <is>
          <t>Contractor share of revenue</t>
        </is>
      </c>
    </row>
    <row r="24">
      <c r="A24" t="inlineStr">
        <is>
          <t>Payment processing fee (%)</t>
        </is>
      </c>
      <c r="B24" s="7" t="n">
        <v>0.03</v>
      </c>
      <c r="C24" s="2" t="inlineStr">
        <is>
          <t>Stripe/card fees</t>
        </is>
      </c>
    </row>
    <row r="25">
      <c r="A25" t="inlineStr">
        <is>
          <t>Ops + AI cost per customer (£/mo)</t>
        </is>
      </c>
      <c r="B25" s="5" t="n">
        <v>5</v>
      </c>
      <c r="C25" s="2" t="inlineStr">
        <is>
          <t>Support, hosting, AI per active sub</t>
        </is>
      </c>
    </row>
    <row r="26">
      <c r="A26" s="3" t="inlineStr">
        <is>
          <t>CASH TIMING</t>
        </is>
      </c>
    </row>
    <row r="27">
      <c r="A27" s="3" t="inlineStr">
        <is>
          <t>Provider payment delay (months)</t>
        </is>
      </c>
      <c r="B27" s="56" t="n">
        <v>1</v>
      </c>
      <c r="C27" s="2" t="inlineStr">
        <is>
          <t>Providers invoiced ~30 days after service — cash float benefit</t>
        </is>
      </c>
    </row>
    <row r="28">
      <c r="A28" t="inlineStr">
        <is>
          <t>Monthly fixed platform cost (£)</t>
        </is>
      </c>
      <c r="B28" s="4" t="n">
        <v>250</v>
      </c>
      <c r="C28" s="2" t="inlineStr">
        <is>
          <t>Hosting, AI base, tools — excludes per-customer ops</t>
        </is>
      </c>
    </row>
    <row r="29">
      <c r="A29" t="inlineStr">
        <is>
          <t>VAT payment timing</t>
        </is>
      </c>
      <c r="B29" s="4" t="inlineStr">
        <is>
          <t>Calendar quarters</t>
        </is>
      </c>
      <c r="C29" s="2" t="inlineStr">
        <is>
          <t>Jan/Apr/Jul/Oct for preceding calendar quarter (UK)</t>
        </is>
      </c>
    </row>
    <row r="30">
      <c r="A30" s="3" t="inlineStr">
        <is>
          <t>MARKETING SPEND</t>
        </is>
      </c>
    </row>
    <row r="31">
      <c r="A31" t="inlineStr">
        <is>
          <t>Months 1–3 fixed spend (£/mo)</t>
        </is>
      </c>
      <c r="B31" s="4" t="n">
        <v>1500</v>
      </c>
      <c r="C31" s="2" t="inlineStr">
        <is>
          <t>Soft launch phase</t>
        </is>
      </c>
    </row>
    <row r="32">
      <c r="A32" t="inlineStr">
        <is>
          <t>Months 4–6 fixed spend (£/mo)</t>
        </is>
      </c>
      <c r="B32" s="4" t="n">
        <v>2500</v>
      </c>
      <c r="C32" s="2" t="inlineStr">
        <is>
          <t>Ramp phase — capped by cash buffer from month 4</t>
        </is>
      </c>
    </row>
    <row r="33">
      <c r="A33" t="inlineStr">
        <is>
          <t>Months 7–12 — % of prior month revenue</t>
        </is>
      </c>
      <c r="B33" s="6" t="n">
        <v>0.12</v>
      </c>
      <c r="C33" s="2" t="inlineStr">
        <is>
          <t>Scales with revenue</t>
        </is>
      </c>
    </row>
    <row r="34">
      <c r="A34" t="inlineStr">
        <is>
          <t>Months 13–18 — % of prior month revenue</t>
        </is>
      </c>
      <c r="B34" s="6" t="n">
        <v>0.1</v>
      </c>
      <c r="C34" s="2" t="inlineStr"/>
    </row>
    <row r="35">
      <c r="A35" t="inlineStr">
        <is>
          <t>Months 19+ — % of prior month revenue</t>
        </is>
      </c>
      <c r="B35" s="6" t="n">
        <v>0.08</v>
      </c>
      <c r="C35" s="2" t="inlineStr"/>
    </row>
    <row r="36">
      <c r="A36" t="inlineStr">
        <is>
          <t>Min marketing months 7–12 (£/mo)</t>
        </is>
      </c>
      <c r="B36" s="4" t="n">
        <v>3000</v>
      </c>
      <c r="C36" s="2" t="inlineStr">
        <is>
          <t>Floor spend</t>
        </is>
      </c>
    </row>
    <row r="37">
      <c r="A37" t="inlineStr">
        <is>
          <t>Min marketing months 13–18 (£/mo)</t>
        </is>
      </c>
      <c r="B37" s="4" t="n">
        <v>4000</v>
      </c>
      <c r="C37" s="2" t="inlineStr">
        <is>
          <t>Floor spend</t>
        </is>
      </c>
    </row>
    <row r="38">
      <c r="A38" t="inlineStr">
        <is>
          <t>Min marketing months 19+ (£/mo)</t>
        </is>
      </c>
      <c r="B38" s="4" t="n">
        <v>5000</v>
      </c>
      <c r="C38" s="2" t="inlineStr">
        <is>
          <t>Floor spend</t>
        </is>
      </c>
    </row>
    <row r="39">
      <c r="A39" t="inlineStr">
        <is>
          <t>Cash buffer retained (£)</t>
        </is>
      </c>
      <c r="B39" s="4" t="n">
        <v>2000</v>
      </c>
      <c r="C39" s="2" t="inlineStr">
        <is>
          <t>Min cash kept before marketing cap</t>
        </is>
      </c>
    </row>
    <row r="41">
      <c r="A41" s="3" t="inlineStr">
        <is>
          <t>VAT</t>
        </is>
      </c>
    </row>
    <row r="42">
      <c r="A42" s="2" t="inlineStr">
        <is>
          <t>VAT rate (%)</t>
        </is>
      </c>
      <c r="B42" s="6" t="n">
        <v>0.2</v>
      </c>
      <c r="C42" s="2" t="inlineStr">
        <is>
          <t>Standard rate once registered</t>
        </is>
      </c>
    </row>
    <row r="43">
      <c r="A43" s="2" t="inlineStr">
        <is>
          <t>VAT registration threshold (£)</t>
        </is>
      </c>
      <c r="B43" s="4" t="n">
        <v>90000</v>
      </c>
      <c r="C43" s="2" t="inlineStr">
        <is>
          <t>Rolling 12-month gross turnover</t>
        </is>
      </c>
    </row>
    <row r="44">
      <c r="A44" s="2" t="inlineStr">
        <is>
          <t>Prices are VAT-inclusive</t>
        </is>
      </c>
      <c r="B44" t="inlineStr">
        <is>
          <t>Yes</t>
        </is>
      </c>
      <c r="C44" s="2" t="inlineStr">
        <is>
          <t>B2C VAT-inclusive pricing; VAT paid quarterly to HMRC</t>
        </is>
      </c>
    </row>
    <row r="45">
      <c r="A45" s="2" t="n"/>
    </row>
    <row r="46">
      <c r="A46" s="2" t="n"/>
    </row>
    <row r="47">
      <c r="A47" s="3" t="inlineStr">
        <is>
          <t>GROWTH &amp; PRICING</t>
        </is>
      </c>
    </row>
    <row r="48">
      <c r="A48" t="inlineStr">
        <is>
          <t>Annual price increase / inflation (%)</t>
        </is>
      </c>
      <c r="B48" s="6" t="n">
        <v>0.025</v>
      </c>
      <c r="C48" s="2" t="inlineStr">
        <is>
          <t>Applied each model year to all subs</t>
        </is>
      </c>
    </row>
    <row r="49">
      <c r="A49" t="inlineStr">
        <is>
          <t>Referral mix (% of new customers)</t>
        </is>
      </c>
      <c r="B49" s="6" t="n">
        <v>0.15</v>
      </c>
      <c r="C49" s="2" t="inlineStr">
        <is>
          <t>10–20% industry benchmark</t>
        </is>
      </c>
    </row>
    <row r="50">
      <c r="A50" t="inlineStr">
        <is>
          <t>Referral reward (£ per referral)</t>
        </is>
      </c>
      <c r="B50" s="4" t="n">
        <v>15</v>
      </c>
      <c r="C50" s="2" t="inlineStr">
        <is>
          <t>One-off — no marketing cost</t>
        </is>
      </c>
    </row>
    <row r="51">
      <c r="A51" t="inlineStr">
        <is>
          <t>Launch calendar month (1=Jan … 12=Dec)</t>
        </is>
      </c>
      <c r="B51" s="56" t="n">
        <v>3</v>
      </c>
      <c r="C51" s="2" t="inlineStr">
        <is>
          <t>March = pre-season launch</t>
        </is>
      </c>
    </row>
    <row r="53">
      <c r="A53" s="3" t="inlineStr">
        <is>
          <t>SEASONALITY — acquisition multiplier by calendar month</t>
        </is>
      </c>
    </row>
    <row r="54">
      <c r="A54" s="3" t="inlineStr">
        <is>
          <t>Month</t>
        </is>
      </c>
      <c r="B54" s="3" t="inlineStr">
        <is>
          <t>Multiplier</t>
        </is>
      </c>
      <c r="C54" s="3" t="inlineStr">
        <is>
          <t>Notes</t>
        </is>
      </c>
      <c r="D54" s="3" t="inlineStr">
        <is>
          <t>Churn mult</t>
        </is>
      </c>
      <c r="E54" s="14" t="inlineStr">
        <is>
          <t>Pivot acq</t>
        </is>
      </c>
      <c r="F54" s="14" t="inlineStr">
        <is>
          <t>Pivot churn</t>
        </is>
      </c>
    </row>
    <row r="55">
      <c r="A55" t="n">
        <v>1</v>
      </c>
      <c r="B55" s="57" t="n">
        <v>0.5600000000000001</v>
      </c>
      <c r="C55" s="2" t="inlineStr">
        <is>
          <t>Low | pivot acq ×1.29, churn ×0.79</t>
        </is>
      </c>
      <c r="D55" s="57" t="n">
        <v>1.37</v>
      </c>
      <c r="E55" s="66" t="n">
        <v>0.72</v>
      </c>
      <c r="F55" s="66" t="n">
        <v>1.08</v>
      </c>
    </row>
    <row r="56">
      <c r="A56" t="n">
        <v>2</v>
      </c>
      <c r="B56" s="57" t="n">
        <v>0.66</v>
      </c>
      <c r="C56" s="2" t="inlineStr">
        <is>
          <t>Pre-season | pivot acq ×1.24, churn ×0.82</t>
        </is>
      </c>
      <c r="D56" s="57" t="n">
        <v>1.28</v>
      </c>
      <c r="E56" s="66" t="n">
        <v>0.82</v>
      </c>
      <c r="F56" s="66" t="n">
        <v>1.05</v>
      </c>
    </row>
    <row r="57">
      <c r="A57" t="n">
        <v>3</v>
      </c>
      <c r="B57" s="57" t="n">
        <v>0.87</v>
      </c>
      <c r="C57" s="2" t="inlineStr">
        <is>
          <t>Spring | churn ×1.04</t>
        </is>
      </c>
      <c r="D57" s="57" t="n">
        <v>1.04</v>
      </c>
      <c r="E57" s="66" t="n">
        <v>0.87</v>
      </c>
      <c r="F57" s="66" t="n">
        <v>1.04</v>
      </c>
    </row>
    <row r="58">
      <c r="A58" t="n">
        <v>4</v>
      </c>
      <c r="B58" s="57" t="n">
        <v>1.07</v>
      </c>
      <c r="C58" s="2" t="inlineStr">
        <is>
          <t>Ramp | churn ×0.85</t>
        </is>
      </c>
      <c r="D58" s="57" t="n">
        <v>0.85</v>
      </c>
      <c r="E58" s="66" t="n">
        <v>1.07</v>
      </c>
      <c r="F58" s="66" t="n">
        <v>0.85</v>
      </c>
    </row>
    <row r="59">
      <c r="A59" t="n">
        <v>5</v>
      </c>
      <c r="B59" s="57" t="n">
        <v>1.17</v>
      </c>
      <c r="C59" s="2" t="inlineStr">
        <is>
          <t>Peak | churn ×0.76</t>
        </is>
      </c>
      <c r="D59" s="57" t="n">
        <v>0.76</v>
      </c>
      <c r="E59" s="66" t="n">
        <v>1.17</v>
      </c>
      <c r="F59" s="66" t="n">
        <v>0.76</v>
      </c>
    </row>
    <row r="60">
      <c r="A60" t="n">
        <v>6</v>
      </c>
      <c r="B60" s="57" t="n">
        <v>1.22</v>
      </c>
      <c r="C60" s="2" t="inlineStr">
        <is>
          <t>Peak | churn ×0.71</t>
        </is>
      </c>
      <c r="D60" s="57" t="n">
        <v>0.71</v>
      </c>
      <c r="E60" s="66" t="n">
        <v>1.22</v>
      </c>
      <c r="F60" s="66" t="n">
        <v>0.71</v>
      </c>
    </row>
    <row r="61">
      <c r="A61" t="n">
        <v>7</v>
      </c>
      <c r="B61" s="57" t="n">
        <v>1.22</v>
      </c>
      <c r="C61" s="2" t="inlineStr">
        <is>
          <t>Peak | churn ×0.71</t>
        </is>
      </c>
      <c r="D61" s="57" t="n">
        <v>0.71</v>
      </c>
      <c r="E61" s="66" t="n">
        <v>1.22</v>
      </c>
      <c r="F61" s="66" t="n">
        <v>0.71</v>
      </c>
    </row>
    <row r="62">
      <c r="A62" t="n">
        <v>8</v>
      </c>
      <c r="B62" s="57" t="n">
        <v>1.17</v>
      </c>
      <c r="C62" s="2" t="inlineStr">
        <is>
          <t>Peak | churn ×0.76</t>
        </is>
      </c>
      <c r="D62" s="57" t="n">
        <v>0.76</v>
      </c>
      <c r="E62" s="66" t="n">
        <v>1.17</v>
      </c>
      <c r="F62" s="66" t="n">
        <v>0.76</v>
      </c>
    </row>
    <row r="63">
      <c r="A63" t="n">
        <v>9</v>
      </c>
      <c r="B63" s="57" t="n">
        <v>1.02</v>
      </c>
      <c r="C63" s="2" t="inlineStr">
        <is>
          <t>Shoulder | churn ×0.90</t>
        </is>
      </c>
      <c r="D63" s="57" t="n">
        <v>0.9</v>
      </c>
      <c r="E63" s="66" t="n">
        <v>1.02</v>
      </c>
      <c r="F63" s="66" t="n">
        <v>0.9</v>
      </c>
    </row>
    <row r="64">
      <c r="A64" t="n">
        <v>10</v>
      </c>
      <c r="B64" s="57" t="n">
        <v>0.82</v>
      </c>
      <c r="C64" s="2" t="inlineStr">
        <is>
          <t>Wind-down | pivot acq ×1.22, churn ×0.94</t>
        </is>
      </c>
      <c r="D64" s="57" t="n">
        <v>1.04</v>
      </c>
      <c r="E64" s="66" t="n">
        <v>1</v>
      </c>
      <c r="F64" s="66" t="n">
        <v>0.98</v>
      </c>
    </row>
    <row r="65">
      <c r="A65" t="n">
        <v>11</v>
      </c>
      <c r="B65" s="57" t="n">
        <v>0.61</v>
      </c>
      <c r="C65" s="2" t="inlineStr">
        <is>
          <t>Low | pivot acq ×1.72, churn ×0.77</t>
        </is>
      </c>
      <c r="D65" s="57" t="n">
        <v>1.23</v>
      </c>
      <c r="E65" s="66" t="n">
        <v>1.05</v>
      </c>
      <c r="F65" s="66" t="n">
        <v>0.95</v>
      </c>
    </row>
    <row r="66">
      <c r="A66" t="n">
        <v>12</v>
      </c>
      <c r="B66" s="57" t="n">
        <v>0.5600000000000001</v>
      </c>
      <c r="C66" s="2" t="inlineStr">
        <is>
          <t>Low | pivot acq ×1.39, churn ×0.79</t>
        </is>
      </c>
      <c r="D66" s="57" t="n">
        <v>1.37</v>
      </c>
      <c r="E66" s="66" t="n">
        <v>0.78</v>
      </c>
      <c r="F66" s="66" t="n">
        <v>1.08</v>
      </c>
    </row>
    <row r="67">
      <c r="A67" s="3" t="inlineStr">
        <is>
          <t>WINTER PIVOT SEASONALITY (property care — gutter, leaf, patio)</t>
        </is>
      </c>
    </row>
    <row r="68">
      <c r="A68" s="2" t="inlineStr">
        <is>
          <t>Used by Sens - Winter Pivot scenario. Oct–Nov boosted for leaf/gutter; winter churn reduced (customers stay on year-round plan).</t>
        </is>
      </c>
    </row>
    <row r="69">
      <c r="A69" s="2" t="inlineStr">
        <is>
          <t>Start on Headlines tab.</t>
        </is>
      </c>
    </row>
    <row r="70">
      <c r="A70" s="2" t="inlineStr">
        <is>
          <t>Edit yellow cells — all tabs recalculate.</t>
        </is>
      </c>
    </row>
    <row r="71">
      <c r="A71" s="2" t="inlineStr">
        <is>
          <t>Seasonality affects paid acquisition by calendar month.</t>
        </is>
      </c>
    </row>
    <row r="72">
      <c r="A72" s="2" t="inlineStr">
        <is>
          <t>VAT applies once rolling 12-mo gross exceeds threshold.</t>
        </is>
      </c>
    </row>
  </sheetData>
  <mergeCells count="6">
    <mergeCell ref="A1:D1"/>
    <mergeCell ref="A13:C13"/>
    <mergeCell ref="A17:C17"/>
    <mergeCell ref="A21:C21"/>
    <mergeCell ref="A7:C7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Summary</t>
        </is>
      </c>
    </row>
    <row r="3">
      <c r="A3" s="8" t="inlineStr">
        <is>
          <t>Year</t>
        </is>
      </c>
      <c r="B3" s="8" t="inlineStr">
        <is>
          <t>Cust</t>
        </is>
      </c>
      <c r="C3" s="8" t="inlineStr">
        <is>
          <t>MRR</t>
        </is>
      </c>
      <c r="D3" s="8" t="inlineStr">
        <is>
          <t>ARR</t>
        </is>
      </c>
      <c r="E3" s="8" t="inlineStr">
        <is>
          <t>Paid</t>
        </is>
      </c>
      <c r="F3" s="8" t="inlineStr">
        <is>
          <t>Referrals</t>
        </is>
      </c>
      <c r="G3" s="8" t="inlineStr">
        <is>
          <t>Gross</t>
        </is>
      </c>
      <c r="H3" s="8" t="inlineStr">
        <is>
          <t>Net</t>
        </is>
      </c>
      <c r="I3" s="8" t="inlineStr">
        <is>
          <t>VAcc</t>
        </is>
      </c>
      <c r="J3" s="8" t="inlineStr">
        <is>
          <t>VPay</t>
        </is>
      </c>
      <c r="K3" s="8" t="inlineStr">
        <is>
          <t>VBal</t>
        </is>
      </c>
      <c r="L3" s="8" t="inlineStr">
        <is>
          <t>Prov</t>
        </is>
      </c>
      <c r="M3" s="8" t="inlineStr">
        <is>
          <t>Fees</t>
        </is>
      </c>
      <c r="N3" s="8" t="inlineStr">
        <is>
          <t>Ops</t>
        </is>
      </c>
      <c r="O3" s="8" t="inlineStr">
        <is>
          <t>Fixed</t>
        </is>
      </c>
      <c r="P3" s="8" t="inlineStr">
        <is>
          <t>Ref£</t>
        </is>
      </c>
      <c r="Q3" s="8" t="inlineStr">
        <is>
          <t>Mkt</t>
        </is>
      </c>
      <c r="R3" s="8" t="inlineStr">
        <is>
          <t>Profit</t>
        </is>
      </c>
      <c r="S3" s="8" t="inlineStr">
        <is>
          <t>Cash</t>
        </is>
      </c>
      <c r="T3" s="8" t="inlineStr">
        <is>
          <t>Margin</t>
        </is>
      </c>
      <c r="U3" s="8" t="inlineStr">
        <is>
          <t>Prov#</t>
        </is>
      </c>
      <c r="V3" s="8" t="inlineStr">
        <is>
          <t>MRRGr</t>
        </is>
      </c>
      <c r="W3" s="8" t="inlineStr">
        <is>
          <t>Churn</t>
        </is>
      </c>
      <c r="X3" s="8" t="inlineStr">
        <is>
          <t>CumPft</t>
        </is>
      </c>
    </row>
    <row r="4">
      <c r="A4" t="inlineStr">
        <is>
          <t>Year 1</t>
        </is>
      </c>
      <c r="B4" s="19">
        <f>Model!U16</f>
        <v/>
      </c>
      <c r="C4" s="9">
        <f>Model!V16</f>
        <v/>
      </c>
      <c r="D4" s="9">
        <f>Model!W16</f>
        <v/>
      </c>
      <c r="E4" s="19">
        <f>SUM(Model!H5:H16)</f>
        <v/>
      </c>
      <c r="F4" s="19">
        <f>SUM(Model!I5:I16)</f>
        <v/>
      </c>
      <c r="G4" s="9">
        <f>SUM(Model!AA5:AA16)</f>
        <v/>
      </c>
      <c r="H4" s="9">
        <f>SUM(Model!AD5:AD16)</f>
        <v/>
      </c>
      <c r="I4" s="9">
        <f>SUM(Model!AE5:AE16)</f>
        <v/>
      </c>
      <c r="J4" s="9">
        <f>SUM(Model!AF5:AF16)</f>
        <v/>
      </c>
      <c r="K4" s="9">
        <f>Model!AG16</f>
        <v/>
      </c>
      <c r="L4" s="9">
        <f>SUM(Model!AH5:AH16)</f>
        <v/>
      </c>
      <c r="M4" s="9">
        <f>SUM(Model!AI5:AI16)</f>
        <v/>
      </c>
      <c r="N4" s="9">
        <f>SUM(Model!AJ5:AJ16)</f>
        <v/>
      </c>
      <c r="O4" s="9">
        <f>SUM(Model!AK5:AK16)</f>
        <v/>
      </c>
      <c r="P4" s="9">
        <f>SUM(Model!AL5:AL16)</f>
        <v/>
      </c>
      <c r="Q4" s="9">
        <f>SUM(Model!AM5:AM16)</f>
        <v/>
      </c>
      <c r="R4" s="9">
        <f>SUM(Model!AN5:AN16)</f>
        <v/>
      </c>
      <c r="S4" s="9">
        <f>Model!AO16</f>
        <v/>
      </c>
      <c r="T4" s="13">
        <f>IF(G4&gt;0,(H4-L4-M4-N4-O4)/G4,0)</f>
        <v/>
      </c>
      <c r="U4" s="19">
        <f>ROUNDUP(B4/140,0)</f>
        <v/>
      </c>
      <c r="V4" s="12" t="inlineStr">
        <is>
          <t>—</t>
        </is>
      </c>
      <c r="W4" s="11">
        <f>AVERAGE(Model!AQ6:AQ16)</f>
        <v/>
      </c>
      <c r="X4" s="9">
        <f>SUM($R$4:R4)</f>
        <v/>
      </c>
    </row>
    <row r="5">
      <c r="A5" t="inlineStr">
        <is>
          <t>Year 2</t>
        </is>
      </c>
      <c r="B5" s="19">
        <f>Model!U28</f>
        <v/>
      </c>
      <c r="C5" s="9">
        <f>Model!V28</f>
        <v/>
      </c>
      <c r="D5" s="9">
        <f>Model!W28</f>
        <v/>
      </c>
      <c r="E5" s="19">
        <f>SUM(Model!H17:H28)</f>
        <v/>
      </c>
      <c r="F5" s="19">
        <f>SUM(Model!I17:I28)</f>
        <v/>
      </c>
      <c r="G5" s="9">
        <f>SUM(Model!AA17:AA28)</f>
        <v/>
      </c>
      <c r="H5" s="9">
        <f>SUM(Model!AD17:AD28)</f>
        <v/>
      </c>
      <c r="I5" s="9">
        <f>SUM(Model!AE17:AE28)</f>
        <v/>
      </c>
      <c r="J5" s="9">
        <f>SUM(Model!AF17:AF28)</f>
        <v/>
      </c>
      <c r="K5" s="9">
        <f>Model!AG28</f>
        <v/>
      </c>
      <c r="L5" s="9">
        <f>SUM(Model!AH17:AH28)</f>
        <v/>
      </c>
      <c r="M5" s="9">
        <f>SUM(Model!AI17:AI28)</f>
        <v/>
      </c>
      <c r="N5" s="9">
        <f>SUM(Model!AJ17:AJ28)</f>
        <v/>
      </c>
      <c r="O5" s="9">
        <f>SUM(Model!AK17:AK28)</f>
        <v/>
      </c>
      <c r="P5" s="9">
        <f>SUM(Model!AL17:AL28)</f>
        <v/>
      </c>
      <c r="Q5" s="9">
        <f>SUM(Model!AM17:AM28)</f>
        <v/>
      </c>
      <c r="R5" s="9">
        <f>SUM(Model!AN17:AN28)</f>
        <v/>
      </c>
      <c r="S5" s="9">
        <f>Model!AO28</f>
        <v/>
      </c>
      <c r="T5" s="13">
        <f>IF(G5&gt;0,(H5-L5-M5-N5-O5)/G5,0)</f>
        <v/>
      </c>
      <c r="U5" s="19">
        <f>ROUNDUP(B5/140,0)</f>
        <v/>
      </c>
      <c r="V5" s="13">
        <f>(C5-C4)/C4</f>
        <v/>
      </c>
      <c r="W5" s="11">
        <f>AVERAGE(Model!AQ18:AQ28)</f>
        <v/>
      </c>
      <c r="X5" s="9">
        <f>SUM($R$4:R5)</f>
        <v/>
      </c>
    </row>
    <row r="6">
      <c r="A6" t="inlineStr">
        <is>
          <t>Year 3</t>
        </is>
      </c>
      <c r="B6" s="19">
        <f>Model!U40</f>
        <v/>
      </c>
      <c r="C6" s="9">
        <f>Model!V40</f>
        <v/>
      </c>
      <c r="D6" s="9">
        <f>Model!W40</f>
        <v/>
      </c>
      <c r="E6" s="19">
        <f>SUM(Model!H29:H40)</f>
        <v/>
      </c>
      <c r="F6" s="19">
        <f>SUM(Model!I29:I40)</f>
        <v/>
      </c>
      <c r="G6" s="9">
        <f>SUM(Model!AA29:AA40)</f>
        <v/>
      </c>
      <c r="H6" s="9">
        <f>SUM(Model!AD29:AD40)</f>
        <v/>
      </c>
      <c r="I6" s="9">
        <f>SUM(Model!AE29:AE40)</f>
        <v/>
      </c>
      <c r="J6" s="9">
        <f>SUM(Model!AF29:AF40)</f>
        <v/>
      </c>
      <c r="K6" s="9">
        <f>Model!AG40</f>
        <v/>
      </c>
      <c r="L6" s="9">
        <f>SUM(Model!AH29:AH40)</f>
        <v/>
      </c>
      <c r="M6" s="9">
        <f>SUM(Model!AI29:AI40)</f>
        <v/>
      </c>
      <c r="N6" s="9">
        <f>SUM(Model!AJ29:AJ40)</f>
        <v/>
      </c>
      <c r="O6" s="9">
        <f>SUM(Model!AK29:AK40)</f>
        <v/>
      </c>
      <c r="P6" s="9">
        <f>SUM(Model!AL29:AL40)</f>
        <v/>
      </c>
      <c r="Q6" s="9">
        <f>SUM(Model!AM29:AM40)</f>
        <v/>
      </c>
      <c r="R6" s="9">
        <f>SUM(Model!AN29:AN40)</f>
        <v/>
      </c>
      <c r="S6" s="9">
        <f>Model!AO40</f>
        <v/>
      </c>
      <c r="T6" s="13">
        <f>IF(G6&gt;0,(H6-L6-M6-N6-O6)/G6,0)</f>
        <v/>
      </c>
      <c r="U6" s="19">
        <f>ROUNDUP(B6/140,0)</f>
        <v/>
      </c>
      <c r="V6" s="13">
        <f>(C6-C5)/C5</f>
        <v/>
      </c>
      <c r="W6" s="11">
        <f>AVERAGE(Model!AQ30:AQ40)</f>
        <v/>
      </c>
      <c r="X6" s="9">
        <f>SUM($R$4:R6)</f>
        <v/>
      </c>
    </row>
    <row r="7">
      <c r="A7" t="inlineStr">
        <is>
          <t>Year 4</t>
        </is>
      </c>
      <c r="B7" s="19">
        <f>Model!U52</f>
        <v/>
      </c>
      <c r="C7" s="9">
        <f>Model!V52</f>
        <v/>
      </c>
      <c r="D7" s="9">
        <f>Model!W52</f>
        <v/>
      </c>
      <c r="E7" s="19">
        <f>SUM(Model!H41:H52)</f>
        <v/>
      </c>
      <c r="F7" s="19">
        <f>SUM(Model!I41:I52)</f>
        <v/>
      </c>
      <c r="G7" s="9">
        <f>SUM(Model!AA41:AA52)</f>
        <v/>
      </c>
      <c r="H7" s="9">
        <f>SUM(Model!AD41:AD52)</f>
        <v/>
      </c>
      <c r="I7" s="9">
        <f>SUM(Model!AE41:AE52)</f>
        <v/>
      </c>
      <c r="J7" s="9">
        <f>SUM(Model!AF41:AF52)</f>
        <v/>
      </c>
      <c r="K7" s="9">
        <f>Model!AG52</f>
        <v/>
      </c>
      <c r="L7" s="9">
        <f>SUM(Model!AH41:AH52)</f>
        <v/>
      </c>
      <c r="M7" s="9">
        <f>SUM(Model!AI41:AI52)</f>
        <v/>
      </c>
      <c r="N7" s="9">
        <f>SUM(Model!AJ41:AJ52)</f>
        <v/>
      </c>
      <c r="O7" s="9">
        <f>SUM(Model!AK41:AK52)</f>
        <v/>
      </c>
      <c r="P7" s="9">
        <f>SUM(Model!AL41:AL52)</f>
        <v/>
      </c>
      <c r="Q7" s="9">
        <f>SUM(Model!AM41:AM52)</f>
        <v/>
      </c>
      <c r="R7" s="9">
        <f>SUM(Model!AN41:AN52)</f>
        <v/>
      </c>
      <c r="S7" s="9">
        <f>Model!AO52</f>
        <v/>
      </c>
      <c r="T7" s="13">
        <f>IF(G7&gt;0,(H7-L7-M7-N7-O7)/G7,0)</f>
        <v/>
      </c>
      <c r="U7" s="19">
        <f>ROUNDUP(B7/140,0)</f>
        <v/>
      </c>
      <c r="V7" s="13">
        <f>(C7-C6)/C6</f>
        <v/>
      </c>
      <c r="W7" s="11">
        <f>AVERAGE(Model!AQ42:AQ52)</f>
        <v/>
      </c>
      <c r="X7" s="9">
        <f>SUM($R$4:R7)</f>
        <v/>
      </c>
    </row>
    <row r="8">
      <c r="A8" t="inlineStr">
        <is>
          <t>Year 5</t>
        </is>
      </c>
      <c r="B8" s="19">
        <f>Model!U64</f>
        <v/>
      </c>
      <c r="C8" s="9">
        <f>Model!V64</f>
        <v/>
      </c>
      <c r="D8" s="9">
        <f>Model!W64</f>
        <v/>
      </c>
      <c r="E8" s="19">
        <f>SUM(Model!H53:H64)</f>
        <v/>
      </c>
      <c r="F8" s="19">
        <f>SUM(Model!I53:I64)</f>
        <v/>
      </c>
      <c r="G8" s="9">
        <f>SUM(Model!AA53:AA64)</f>
        <v/>
      </c>
      <c r="H8" s="9">
        <f>SUM(Model!AD53:AD64)</f>
        <v/>
      </c>
      <c r="I8" s="9">
        <f>SUM(Model!AE53:AE64)</f>
        <v/>
      </c>
      <c r="J8" s="9">
        <f>SUM(Model!AF53:AF64)</f>
        <v/>
      </c>
      <c r="K8" s="9">
        <f>Model!AG64</f>
        <v/>
      </c>
      <c r="L8" s="9">
        <f>SUM(Model!AH53:AH64)</f>
        <v/>
      </c>
      <c r="M8" s="9">
        <f>SUM(Model!AI53:AI64)</f>
        <v/>
      </c>
      <c r="N8" s="9">
        <f>SUM(Model!AJ53:AJ64)</f>
        <v/>
      </c>
      <c r="O8" s="9">
        <f>SUM(Model!AK53:AK64)</f>
        <v/>
      </c>
      <c r="P8" s="9">
        <f>SUM(Model!AL53:AL64)</f>
        <v/>
      </c>
      <c r="Q8" s="9">
        <f>SUM(Model!AM53:AM64)</f>
        <v/>
      </c>
      <c r="R8" s="9">
        <f>SUM(Model!AN53:AN64)</f>
        <v/>
      </c>
      <c r="S8" s="9">
        <f>Model!AO64</f>
        <v/>
      </c>
      <c r="T8" s="13">
        <f>IF(G8&gt;0,(H8-L8-M8-N8-O8)/G8,0)</f>
        <v/>
      </c>
      <c r="U8" s="19">
        <f>ROUNDUP(B8/140,0)</f>
        <v/>
      </c>
      <c r="V8" s="13">
        <f>(C8-C7)/C7</f>
        <v/>
      </c>
      <c r="W8" s="11">
        <f>AVERAGE(Model!AQ54:AQ64)</f>
        <v/>
      </c>
      <c r="X8" s="9">
        <f>SUM($R$4:R8)</f>
        <v/>
      </c>
    </row>
    <row r="10">
      <c r="A10" s="14" t="inlineStr">
        <is>
          <t>VAT registration</t>
        </is>
      </c>
      <c r="B10">
        <f>IFERROR("Month "&amp;MATCH(TRUE,Model!AC5:Model!AC64,0),"Not in 60 mo")</f>
        <v/>
      </c>
    </row>
    <row r="11">
      <c r="A11" s="14" t="inlineStr">
        <is>
          <t>VAT payments</t>
        </is>
      </c>
      <c r="B11" t="inlineStr">
        <is>
          <t>Calendar: Jan=Q4 prior yr, Apr=Q1, Jul=Q2, Oct=Q3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24-Month Forecast</t>
        </is>
      </c>
    </row>
    <row r="3">
      <c r="A3" s="8" t="inlineStr">
        <is>
          <t>Month</t>
        </is>
      </c>
      <c r="B3" s="8" t="inlineStr">
        <is>
          <t>CalMo</t>
        </is>
      </c>
      <c r="C3" s="8" t="inlineStr">
        <is>
          <t>Paid</t>
        </is>
      </c>
      <c r="D3" s="8" t="inlineStr">
        <is>
          <t>Referral</t>
        </is>
      </c>
      <c r="E3" s="8" t="inlineStr">
        <is>
          <t>Total</t>
        </is>
      </c>
      <c r="F3" s="8" t="inlineStr">
        <is>
          <t>Cust</t>
        </is>
      </c>
      <c r="G3" s="8" t="inlineStr">
        <is>
          <t>EffChurn</t>
        </is>
      </c>
      <c r="H3" s="8" t="inlineStr">
        <is>
          <t>MRR</t>
        </is>
      </c>
      <c r="I3" s="8" t="inlineStr">
        <is>
          <t>ARR</t>
        </is>
      </c>
      <c r="J3" s="8" t="inlineStr">
        <is>
          <t>Gross</t>
        </is>
      </c>
      <c r="K3" s="8" t="inlineStr">
        <is>
          <t>Net</t>
        </is>
      </c>
      <c r="L3" s="8" t="inlineStr">
        <is>
          <t>VAcc</t>
        </is>
      </c>
      <c r="M3" s="8" t="inlineStr">
        <is>
          <t>VPay</t>
        </is>
      </c>
      <c r="N3" s="8" t="inlineStr">
        <is>
          <t>VBal</t>
        </is>
      </c>
      <c r="O3" s="8" t="inlineStr">
        <is>
          <t>Prov</t>
        </is>
      </c>
      <c r="P3" s="8" t="inlineStr">
        <is>
          <t>Fees</t>
        </is>
      </c>
      <c r="Q3" s="8" t="inlineStr">
        <is>
          <t>Ops</t>
        </is>
      </c>
      <c r="R3" s="8" t="inlineStr">
        <is>
          <t>Fixed</t>
        </is>
      </c>
      <c r="S3" s="8" t="inlineStr">
        <is>
          <t>Ref£</t>
        </is>
      </c>
      <c r="T3" s="8" t="inlineStr">
        <is>
          <t>Mkt</t>
        </is>
      </c>
      <c r="U3" s="8" t="inlineStr">
        <is>
          <t>Pft</t>
        </is>
      </c>
      <c r="V3" s="8" t="inlineStr">
        <is>
          <t>Cash</t>
        </is>
      </c>
      <c r="W3" s="8" t="inlineStr">
        <is>
          <t>Churn</t>
        </is>
      </c>
    </row>
    <row r="4">
      <c r="A4" t="inlineStr">
        <is>
          <t>Month 1</t>
        </is>
      </c>
      <c r="B4" s="19">
        <f>Model!B5</f>
        <v/>
      </c>
      <c r="C4" s="19">
        <f>Model!H5</f>
        <v/>
      </c>
      <c r="D4" s="19">
        <f>Model!I5</f>
        <v/>
      </c>
      <c r="E4" s="19">
        <f>Model!J5</f>
        <v/>
      </c>
      <c r="F4" s="19">
        <f>Model!U5</f>
        <v/>
      </c>
      <c r="G4" s="11">
        <f>Model!F5</f>
        <v/>
      </c>
      <c r="H4" s="9">
        <f>Model!V5</f>
        <v/>
      </c>
      <c r="I4" s="9">
        <f>Model!W5</f>
        <v/>
      </c>
      <c r="J4" s="9">
        <f>Model!AA5</f>
        <v/>
      </c>
      <c r="K4" s="9">
        <f>Model!AD5</f>
        <v/>
      </c>
      <c r="L4" s="9">
        <f>Model!AE5</f>
        <v/>
      </c>
      <c r="M4" s="9">
        <f>Model!AF5</f>
        <v/>
      </c>
      <c r="N4" s="9">
        <f>Model!AG5</f>
        <v/>
      </c>
      <c r="O4" s="9">
        <f>Model!AH5</f>
        <v/>
      </c>
      <c r="P4" s="9">
        <f>Model!AI5</f>
        <v/>
      </c>
      <c r="Q4" s="9">
        <f>Model!AJ5</f>
        <v/>
      </c>
      <c r="R4" s="9">
        <f>Model!AK5</f>
        <v/>
      </c>
      <c r="S4" s="9">
        <f>Model!AL5</f>
        <v/>
      </c>
      <c r="T4" s="9">
        <f>Model!AM5</f>
        <v/>
      </c>
      <c r="U4" s="9">
        <f>Model!AN5</f>
        <v/>
      </c>
      <c r="V4" s="9">
        <f>Model!AO5</f>
        <v/>
      </c>
      <c r="W4" s="11">
        <f>Model!AQ5</f>
        <v/>
      </c>
    </row>
    <row r="5">
      <c r="A5" t="inlineStr">
        <is>
          <t>Month 2</t>
        </is>
      </c>
      <c r="B5" s="19">
        <f>Model!B6</f>
        <v/>
      </c>
      <c r="C5" s="19">
        <f>Model!H6</f>
        <v/>
      </c>
      <c r="D5" s="19">
        <f>Model!I6</f>
        <v/>
      </c>
      <c r="E5" s="19">
        <f>Model!J6</f>
        <v/>
      </c>
      <c r="F5" s="19">
        <f>Model!U6</f>
        <v/>
      </c>
      <c r="G5" s="11">
        <f>Model!F6</f>
        <v/>
      </c>
      <c r="H5" s="9">
        <f>Model!V6</f>
        <v/>
      </c>
      <c r="I5" s="9">
        <f>Model!W6</f>
        <v/>
      </c>
      <c r="J5" s="9">
        <f>Model!AA6</f>
        <v/>
      </c>
      <c r="K5" s="9">
        <f>Model!AD6</f>
        <v/>
      </c>
      <c r="L5" s="9">
        <f>Model!AE6</f>
        <v/>
      </c>
      <c r="M5" s="9">
        <f>Model!AF6</f>
        <v/>
      </c>
      <c r="N5" s="9">
        <f>Model!AG6</f>
        <v/>
      </c>
      <c r="O5" s="9">
        <f>Model!AH6</f>
        <v/>
      </c>
      <c r="P5" s="9">
        <f>Model!AI6</f>
        <v/>
      </c>
      <c r="Q5" s="9">
        <f>Model!AJ6</f>
        <v/>
      </c>
      <c r="R5" s="9">
        <f>Model!AK6</f>
        <v/>
      </c>
      <c r="S5" s="9">
        <f>Model!AL6</f>
        <v/>
      </c>
      <c r="T5" s="9">
        <f>Model!AM6</f>
        <v/>
      </c>
      <c r="U5" s="9">
        <f>Model!AN6</f>
        <v/>
      </c>
      <c r="V5" s="9">
        <f>Model!AO6</f>
        <v/>
      </c>
      <c r="W5" s="11">
        <f>Model!AQ6</f>
        <v/>
      </c>
    </row>
    <row r="6">
      <c r="A6" t="inlineStr">
        <is>
          <t>Month 3</t>
        </is>
      </c>
      <c r="B6" s="19">
        <f>Model!B7</f>
        <v/>
      </c>
      <c r="C6" s="19">
        <f>Model!H7</f>
        <v/>
      </c>
      <c r="D6" s="19">
        <f>Model!I7</f>
        <v/>
      </c>
      <c r="E6" s="19">
        <f>Model!J7</f>
        <v/>
      </c>
      <c r="F6" s="19">
        <f>Model!U7</f>
        <v/>
      </c>
      <c r="G6" s="11">
        <f>Model!F7</f>
        <v/>
      </c>
      <c r="H6" s="9">
        <f>Model!V7</f>
        <v/>
      </c>
      <c r="I6" s="9">
        <f>Model!W7</f>
        <v/>
      </c>
      <c r="J6" s="9">
        <f>Model!AA7</f>
        <v/>
      </c>
      <c r="K6" s="9">
        <f>Model!AD7</f>
        <v/>
      </c>
      <c r="L6" s="9">
        <f>Model!AE7</f>
        <v/>
      </c>
      <c r="M6" s="9">
        <f>Model!AF7</f>
        <v/>
      </c>
      <c r="N6" s="9">
        <f>Model!AG7</f>
        <v/>
      </c>
      <c r="O6" s="9">
        <f>Model!AH7</f>
        <v/>
      </c>
      <c r="P6" s="9">
        <f>Model!AI7</f>
        <v/>
      </c>
      <c r="Q6" s="9">
        <f>Model!AJ7</f>
        <v/>
      </c>
      <c r="R6" s="9">
        <f>Model!AK7</f>
        <v/>
      </c>
      <c r="S6" s="9">
        <f>Model!AL7</f>
        <v/>
      </c>
      <c r="T6" s="9">
        <f>Model!AM7</f>
        <v/>
      </c>
      <c r="U6" s="9">
        <f>Model!AN7</f>
        <v/>
      </c>
      <c r="V6" s="9">
        <f>Model!AO7</f>
        <v/>
      </c>
      <c r="W6" s="11">
        <f>Model!AQ7</f>
        <v/>
      </c>
    </row>
    <row r="7">
      <c r="A7" t="inlineStr">
        <is>
          <t>Month 4</t>
        </is>
      </c>
      <c r="B7" s="19">
        <f>Model!B8</f>
        <v/>
      </c>
      <c r="C7" s="19">
        <f>Model!H8</f>
        <v/>
      </c>
      <c r="D7" s="19">
        <f>Model!I8</f>
        <v/>
      </c>
      <c r="E7" s="19">
        <f>Model!J8</f>
        <v/>
      </c>
      <c r="F7" s="19">
        <f>Model!U8</f>
        <v/>
      </c>
      <c r="G7" s="11">
        <f>Model!F8</f>
        <v/>
      </c>
      <c r="H7" s="9">
        <f>Model!V8</f>
        <v/>
      </c>
      <c r="I7" s="9">
        <f>Model!W8</f>
        <v/>
      </c>
      <c r="J7" s="9">
        <f>Model!AA8</f>
        <v/>
      </c>
      <c r="K7" s="9">
        <f>Model!AD8</f>
        <v/>
      </c>
      <c r="L7" s="9">
        <f>Model!AE8</f>
        <v/>
      </c>
      <c r="M7" s="9">
        <f>Model!AF8</f>
        <v/>
      </c>
      <c r="N7" s="9">
        <f>Model!AG8</f>
        <v/>
      </c>
      <c r="O7" s="9">
        <f>Model!AH8</f>
        <v/>
      </c>
      <c r="P7" s="9">
        <f>Model!AI8</f>
        <v/>
      </c>
      <c r="Q7" s="9">
        <f>Model!AJ8</f>
        <v/>
      </c>
      <c r="R7" s="9">
        <f>Model!AK8</f>
        <v/>
      </c>
      <c r="S7" s="9">
        <f>Model!AL8</f>
        <v/>
      </c>
      <c r="T7" s="9">
        <f>Model!AM8</f>
        <v/>
      </c>
      <c r="U7" s="9">
        <f>Model!AN8</f>
        <v/>
      </c>
      <c r="V7" s="9">
        <f>Model!AO8</f>
        <v/>
      </c>
      <c r="W7" s="11">
        <f>Model!AQ8</f>
        <v/>
      </c>
    </row>
    <row r="8">
      <c r="A8" t="inlineStr">
        <is>
          <t>Month 5</t>
        </is>
      </c>
      <c r="B8" s="19">
        <f>Model!B9</f>
        <v/>
      </c>
      <c r="C8" s="19">
        <f>Model!H9</f>
        <v/>
      </c>
      <c r="D8" s="19">
        <f>Model!I9</f>
        <v/>
      </c>
      <c r="E8" s="19">
        <f>Model!J9</f>
        <v/>
      </c>
      <c r="F8" s="19">
        <f>Model!U9</f>
        <v/>
      </c>
      <c r="G8" s="11">
        <f>Model!F9</f>
        <v/>
      </c>
      <c r="H8" s="9">
        <f>Model!V9</f>
        <v/>
      </c>
      <c r="I8" s="9">
        <f>Model!W9</f>
        <v/>
      </c>
      <c r="J8" s="9">
        <f>Model!AA9</f>
        <v/>
      </c>
      <c r="K8" s="9">
        <f>Model!AD9</f>
        <v/>
      </c>
      <c r="L8" s="9">
        <f>Model!AE9</f>
        <v/>
      </c>
      <c r="M8" s="9">
        <f>Model!AF9</f>
        <v/>
      </c>
      <c r="N8" s="9">
        <f>Model!AG9</f>
        <v/>
      </c>
      <c r="O8" s="9">
        <f>Model!AH9</f>
        <v/>
      </c>
      <c r="P8" s="9">
        <f>Model!AI9</f>
        <v/>
      </c>
      <c r="Q8" s="9">
        <f>Model!AJ9</f>
        <v/>
      </c>
      <c r="R8" s="9">
        <f>Model!AK9</f>
        <v/>
      </c>
      <c r="S8" s="9">
        <f>Model!AL9</f>
        <v/>
      </c>
      <c r="T8" s="9">
        <f>Model!AM9</f>
        <v/>
      </c>
      <c r="U8" s="9">
        <f>Model!AN9</f>
        <v/>
      </c>
      <c r="V8" s="9">
        <f>Model!AO9</f>
        <v/>
      </c>
      <c r="W8" s="11">
        <f>Model!AQ9</f>
        <v/>
      </c>
    </row>
    <row r="9">
      <c r="A9" t="inlineStr">
        <is>
          <t>Month 6</t>
        </is>
      </c>
      <c r="B9" s="19">
        <f>Model!B10</f>
        <v/>
      </c>
      <c r="C9" s="19">
        <f>Model!H10</f>
        <v/>
      </c>
      <c r="D9" s="19">
        <f>Model!I10</f>
        <v/>
      </c>
      <c r="E9" s="19">
        <f>Model!J10</f>
        <v/>
      </c>
      <c r="F9" s="19">
        <f>Model!U10</f>
        <v/>
      </c>
      <c r="G9" s="11">
        <f>Model!F10</f>
        <v/>
      </c>
      <c r="H9" s="9">
        <f>Model!V10</f>
        <v/>
      </c>
      <c r="I9" s="9">
        <f>Model!W10</f>
        <v/>
      </c>
      <c r="J9" s="9">
        <f>Model!AA10</f>
        <v/>
      </c>
      <c r="K9" s="9">
        <f>Model!AD10</f>
        <v/>
      </c>
      <c r="L9" s="9">
        <f>Model!AE10</f>
        <v/>
      </c>
      <c r="M9" s="9">
        <f>Model!AF10</f>
        <v/>
      </c>
      <c r="N9" s="9">
        <f>Model!AG10</f>
        <v/>
      </c>
      <c r="O9" s="9">
        <f>Model!AH10</f>
        <v/>
      </c>
      <c r="P9" s="9">
        <f>Model!AI10</f>
        <v/>
      </c>
      <c r="Q9" s="9">
        <f>Model!AJ10</f>
        <v/>
      </c>
      <c r="R9" s="9">
        <f>Model!AK10</f>
        <v/>
      </c>
      <c r="S9" s="9">
        <f>Model!AL10</f>
        <v/>
      </c>
      <c r="T9" s="9">
        <f>Model!AM10</f>
        <v/>
      </c>
      <c r="U9" s="9">
        <f>Model!AN10</f>
        <v/>
      </c>
      <c r="V9" s="9">
        <f>Model!AO10</f>
        <v/>
      </c>
      <c r="W9" s="11">
        <f>Model!AQ10</f>
        <v/>
      </c>
    </row>
    <row r="10">
      <c r="A10" t="inlineStr">
        <is>
          <t>Month 7</t>
        </is>
      </c>
      <c r="B10" s="19">
        <f>Model!B11</f>
        <v/>
      </c>
      <c r="C10" s="19">
        <f>Model!H11</f>
        <v/>
      </c>
      <c r="D10" s="19">
        <f>Model!I11</f>
        <v/>
      </c>
      <c r="E10" s="19">
        <f>Model!J11</f>
        <v/>
      </c>
      <c r="F10" s="19">
        <f>Model!U11</f>
        <v/>
      </c>
      <c r="G10" s="11">
        <f>Model!F11</f>
        <v/>
      </c>
      <c r="H10" s="9">
        <f>Model!V11</f>
        <v/>
      </c>
      <c r="I10" s="9">
        <f>Model!W11</f>
        <v/>
      </c>
      <c r="J10" s="9">
        <f>Model!AA11</f>
        <v/>
      </c>
      <c r="K10" s="9">
        <f>Model!AD11</f>
        <v/>
      </c>
      <c r="L10" s="9">
        <f>Model!AE11</f>
        <v/>
      </c>
      <c r="M10" s="9">
        <f>Model!AF11</f>
        <v/>
      </c>
      <c r="N10" s="9">
        <f>Model!AG11</f>
        <v/>
      </c>
      <c r="O10" s="9">
        <f>Model!AH11</f>
        <v/>
      </c>
      <c r="P10" s="9">
        <f>Model!AI11</f>
        <v/>
      </c>
      <c r="Q10" s="9">
        <f>Model!AJ11</f>
        <v/>
      </c>
      <c r="R10" s="9">
        <f>Model!AK11</f>
        <v/>
      </c>
      <c r="S10" s="9">
        <f>Model!AL11</f>
        <v/>
      </c>
      <c r="T10" s="9">
        <f>Model!AM11</f>
        <v/>
      </c>
      <c r="U10" s="9">
        <f>Model!AN11</f>
        <v/>
      </c>
      <c r="V10" s="9">
        <f>Model!AO11</f>
        <v/>
      </c>
      <c r="W10" s="11">
        <f>Model!AQ11</f>
        <v/>
      </c>
    </row>
    <row r="11">
      <c r="A11" t="inlineStr">
        <is>
          <t>Month 8</t>
        </is>
      </c>
      <c r="B11" s="19">
        <f>Model!B12</f>
        <v/>
      </c>
      <c r="C11" s="19">
        <f>Model!H12</f>
        <v/>
      </c>
      <c r="D11" s="19">
        <f>Model!I12</f>
        <v/>
      </c>
      <c r="E11" s="19">
        <f>Model!J12</f>
        <v/>
      </c>
      <c r="F11" s="19">
        <f>Model!U12</f>
        <v/>
      </c>
      <c r="G11" s="11">
        <f>Model!F12</f>
        <v/>
      </c>
      <c r="H11" s="9">
        <f>Model!V12</f>
        <v/>
      </c>
      <c r="I11" s="9">
        <f>Model!W12</f>
        <v/>
      </c>
      <c r="J11" s="9">
        <f>Model!AA12</f>
        <v/>
      </c>
      <c r="K11" s="9">
        <f>Model!AD12</f>
        <v/>
      </c>
      <c r="L11" s="9">
        <f>Model!AE12</f>
        <v/>
      </c>
      <c r="M11" s="9">
        <f>Model!AF12</f>
        <v/>
      </c>
      <c r="N11" s="9">
        <f>Model!AG12</f>
        <v/>
      </c>
      <c r="O11" s="9">
        <f>Model!AH12</f>
        <v/>
      </c>
      <c r="P11" s="9">
        <f>Model!AI12</f>
        <v/>
      </c>
      <c r="Q11" s="9">
        <f>Model!AJ12</f>
        <v/>
      </c>
      <c r="R11" s="9">
        <f>Model!AK12</f>
        <v/>
      </c>
      <c r="S11" s="9">
        <f>Model!AL12</f>
        <v/>
      </c>
      <c r="T11" s="9">
        <f>Model!AM12</f>
        <v/>
      </c>
      <c r="U11" s="9">
        <f>Model!AN12</f>
        <v/>
      </c>
      <c r="V11" s="9">
        <f>Model!AO12</f>
        <v/>
      </c>
      <c r="W11" s="11">
        <f>Model!AQ12</f>
        <v/>
      </c>
    </row>
    <row r="12">
      <c r="A12" t="inlineStr">
        <is>
          <t>Month 9</t>
        </is>
      </c>
      <c r="B12" s="19">
        <f>Model!B13</f>
        <v/>
      </c>
      <c r="C12" s="19">
        <f>Model!H13</f>
        <v/>
      </c>
      <c r="D12" s="19">
        <f>Model!I13</f>
        <v/>
      </c>
      <c r="E12" s="19">
        <f>Model!J13</f>
        <v/>
      </c>
      <c r="F12" s="19">
        <f>Model!U13</f>
        <v/>
      </c>
      <c r="G12" s="11">
        <f>Model!F13</f>
        <v/>
      </c>
      <c r="H12" s="9">
        <f>Model!V13</f>
        <v/>
      </c>
      <c r="I12" s="9">
        <f>Model!W13</f>
        <v/>
      </c>
      <c r="J12" s="9">
        <f>Model!AA13</f>
        <v/>
      </c>
      <c r="K12" s="9">
        <f>Model!AD13</f>
        <v/>
      </c>
      <c r="L12" s="9">
        <f>Model!AE13</f>
        <v/>
      </c>
      <c r="M12" s="9">
        <f>Model!AF13</f>
        <v/>
      </c>
      <c r="N12" s="9">
        <f>Model!AG13</f>
        <v/>
      </c>
      <c r="O12" s="9">
        <f>Model!AH13</f>
        <v/>
      </c>
      <c r="P12" s="9">
        <f>Model!AI13</f>
        <v/>
      </c>
      <c r="Q12" s="9">
        <f>Model!AJ13</f>
        <v/>
      </c>
      <c r="R12" s="9">
        <f>Model!AK13</f>
        <v/>
      </c>
      <c r="S12" s="9">
        <f>Model!AL13</f>
        <v/>
      </c>
      <c r="T12" s="9">
        <f>Model!AM13</f>
        <v/>
      </c>
      <c r="U12" s="9">
        <f>Model!AN13</f>
        <v/>
      </c>
      <c r="V12" s="9">
        <f>Model!AO13</f>
        <v/>
      </c>
      <c r="W12" s="11">
        <f>Model!AQ13</f>
        <v/>
      </c>
    </row>
    <row r="13">
      <c r="A13" t="inlineStr">
        <is>
          <t>Month 10</t>
        </is>
      </c>
      <c r="B13" s="19">
        <f>Model!B14</f>
        <v/>
      </c>
      <c r="C13" s="19">
        <f>Model!H14</f>
        <v/>
      </c>
      <c r="D13" s="19">
        <f>Model!I14</f>
        <v/>
      </c>
      <c r="E13" s="19">
        <f>Model!J14</f>
        <v/>
      </c>
      <c r="F13" s="19">
        <f>Model!U14</f>
        <v/>
      </c>
      <c r="G13" s="11">
        <f>Model!F14</f>
        <v/>
      </c>
      <c r="H13" s="9">
        <f>Model!V14</f>
        <v/>
      </c>
      <c r="I13" s="9">
        <f>Model!W14</f>
        <v/>
      </c>
      <c r="J13" s="9">
        <f>Model!AA14</f>
        <v/>
      </c>
      <c r="K13" s="9">
        <f>Model!AD14</f>
        <v/>
      </c>
      <c r="L13" s="9">
        <f>Model!AE14</f>
        <v/>
      </c>
      <c r="M13" s="9">
        <f>Model!AF14</f>
        <v/>
      </c>
      <c r="N13" s="9">
        <f>Model!AG14</f>
        <v/>
      </c>
      <c r="O13" s="9">
        <f>Model!AH14</f>
        <v/>
      </c>
      <c r="P13" s="9">
        <f>Model!AI14</f>
        <v/>
      </c>
      <c r="Q13" s="9">
        <f>Model!AJ14</f>
        <v/>
      </c>
      <c r="R13" s="9">
        <f>Model!AK14</f>
        <v/>
      </c>
      <c r="S13" s="9">
        <f>Model!AL14</f>
        <v/>
      </c>
      <c r="T13" s="9">
        <f>Model!AM14</f>
        <v/>
      </c>
      <c r="U13" s="9">
        <f>Model!AN14</f>
        <v/>
      </c>
      <c r="V13" s="9">
        <f>Model!AO14</f>
        <v/>
      </c>
      <c r="W13" s="11">
        <f>Model!AQ14</f>
        <v/>
      </c>
    </row>
    <row r="14">
      <c r="A14" t="inlineStr">
        <is>
          <t>Month 11</t>
        </is>
      </c>
      <c r="B14" s="19">
        <f>Model!B15</f>
        <v/>
      </c>
      <c r="C14" s="19">
        <f>Model!H15</f>
        <v/>
      </c>
      <c r="D14" s="19">
        <f>Model!I15</f>
        <v/>
      </c>
      <c r="E14" s="19">
        <f>Model!J15</f>
        <v/>
      </c>
      <c r="F14" s="19">
        <f>Model!U15</f>
        <v/>
      </c>
      <c r="G14" s="11">
        <f>Model!F15</f>
        <v/>
      </c>
      <c r="H14" s="9">
        <f>Model!V15</f>
        <v/>
      </c>
      <c r="I14" s="9">
        <f>Model!W15</f>
        <v/>
      </c>
      <c r="J14" s="9">
        <f>Model!AA15</f>
        <v/>
      </c>
      <c r="K14" s="9">
        <f>Model!AD15</f>
        <v/>
      </c>
      <c r="L14" s="9">
        <f>Model!AE15</f>
        <v/>
      </c>
      <c r="M14" s="9">
        <f>Model!AF15</f>
        <v/>
      </c>
      <c r="N14" s="9">
        <f>Model!AG15</f>
        <v/>
      </c>
      <c r="O14" s="9">
        <f>Model!AH15</f>
        <v/>
      </c>
      <c r="P14" s="9">
        <f>Model!AI15</f>
        <v/>
      </c>
      <c r="Q14" s="9">
        <f>Model!AJ15</f>
        <v/>
      </c>
      <c r="R14" s="9">
        <f>Model!AK15</f>
        <v/>
      </c>
      <c r="S14" s="9">
        <f>Model!AL15</f>
        <v/>
      </c>
      <c r="T14" s="9">
        <f>Model!AM15</f>
        <v/>
      </c>
      <c r="U14" s="9">
        <f>Model!AN15</f>
        <v/>
      </c>
      <c r="V14" s="9">
        <f>Model!AO15</f>
        <v/>
      </c>
      <c r="W14" s="11">
        <f>Model!AQ15</f>
        <v/>
      </c>
    </row>
    <row r="15">
      <c r="A15" t="inlineStr">
        <is>
          <t>Month 12</t>
        </is>
      </c>
      <c r="B15" s="19">
        <f>Model!B16</f>
        <v/>
      </c>
      <c r="C15" s="19">
        <f>Model!H16</f>
        <v/>
      </c>
      <c r="D15" s="19">
        <f>Model!I16</f>
        <v/>
      </c>
      <c r="E15" s="19">
        <f>Model!J16</f>
        <v/>
      </c>
      <c r="F15" s="19">
        <f>Model!U16</f>
        <v/>
      </c>
      <c r="G15" s="11">
        <f>Model!F16</f>
        <v/>
      </c>
      <c r="H15" s="9">
        <f>Model!V16</f>
        <v/>
      </c>
      <c r="I15" s="9">
        <f>Model!W16</f>
        <v/>
      </c>
      <c r="J15" s="9">
        <f>Model!AA16</f>
        <v/>
      </c>
      <c r="K15" s="9">
        <f>Model!AD16</f>
        <v/>
      </c>
      <c r="L15" s="9">
        <f>Model!AE16</f>
        <v/>
      </c>
      <c r="M15" s="9">
        <f>Model!AF16</f>
        <v/>
      </c>
      <c r="N15" s="9">
        <f>Model!AG16</f>
        <v/>
      </c>
      <c r="O15" s="9">
        <f>Model!AH16</f>
        <v/>
      </c>
      <c r="P15" s="9">
        <f>Model!AI16</f>
        <v/>
      </c>
      <c r="Q15" s="9">
        <f>Model!AJ16</f>
        <v/>
      </c>
      <c r="R15" s="9">
        <f>Model!AK16</f>
        <v/>
      </c>
      <c r="S15" s="9">
        <f>Model!AL16</f>
        <v/>
      </c>
      <c r="T15" s="9">
        <f>Model!AM16</f>
        <v/>
      </c>
      <c r="U15" s="9">
        <f>Model!AN16</f>
        <v/>
      </c>
      <c r="V15" s="9">
        <f>Model!AO16</f>
        <v/>
      </c>
      <c r="W15" s="11">
        <f>Model!AQ16</f>
        <v/>
      </c>
    </row>
    <row r="16">
      <c r="A16" t="inlineStr">
        <is>
          <t>Month 13</t>
        </is>
      </c>
      <c r="B16" s="19">
        <f>Model!B17</f>
        <v/>
      </c>
      <c r="C16" s="19">
        <f>Model!H17</f>
        <v/>
      </c>
      <c r="D16" s="19">
        <f>Model!I17</f>
        <v/>
      </c>
      <c r="E16" s="19">
        <f>Model!J17</f>
        <v/>
      </c>
      <c r="F16" s="19">
        <f>Model!U17</f>
        <v/>
      </c>
      <c r="G16" s="11">
        <f>Model!F17</f>
        <v/>
      </c>
      <c r="H16" s="9">
        <f>Model!V17</f>
        <v/>
      </c>
      <c r="I16" s="9">
        <f>Model!W17</f>
        <v/>
      </c>
      <c r="J16" s="9">
        <f>Model!AA17</f>
        <v/>
      </c>
      <c r="K16" s="9">
        <f>Model!AD17</f>
        <v/>
      </c>
      <c r="L16" s="9">
        <f>Model!AE17</f>
        <v/>
      </c>
      <c r="M16" s="9">
        <f>Model!AF17</f>
        <v/>
      </c>
      <c r="N16" s="9">
        <f>Model!AG17</f>
        <v/>
      </c>
      <c r="O16" s="9">
        <f>Model!AH17</f>
        <v/>
      </c>
      <c r="P16" s="9">
        <f>Model!AI17</f>
        <v/>
      </c>
      <c r="Q16" s="9">
        <f>Model!AJ17</f>
        <v/>
      </c>
      <c r="R16" s="9">
        <f>Model!AK17</f>
        <v/>
      </c>
      <c r="S16" s="9">
        <f>Model!AL17</f>
        <v/>
      </c>
      <c r="T16" s="9">
        <f>Model!AM17</f>
        <v/>
      </c>
      <c r="U16" s="9">
        <f>Model!AN17</f>
        <v/>
      </c>
      <c r="V16" s="9">
        <f>Model!AO17</f>
        <v/>
      </c>
      <c r="W16" s="11">
        <f>Model!AQ17</f>
        <v/>
      </c>
    </row>
    <row r="17">
      <c r="A17" t="inlineStr">
        <is>
          <t>Month 14</t>
        </is>
      </c>
      <c r="B17" s="19">
        <f>Model!B18</f>
        <v/>
      </c>
      <c r="C17" s="19">
        <f>Model!H18</f>
        <v/>
      </c>
      <c r="D17" s="19">
        <f>Model!I18</f>
        <v/>
      </c>
      <c r="E17" s="19">
        <f>Model!J18</f>
        <v/>
      </c>
      <c r="F17" s="19">
        <f>Model!U18</f>
        <v/>
      </c>
      <c r="G17" s="11">
        <f>Model!F18</f>
        <v/>
      </c>
      <c r="H17" s="9">
        <f>Model!V18</f>
        <v/>
      </c>
      <c r="I17" s="9">
        <f>Model!W18</f>
        <v/>
      </c>
      <c r="J17" s="9">
        <f>Model!AA18</f>
        <v/>
      </c>
      <c r="K17" s="9">
        <f>Model!AD18</f>
        <v/>
      </c>
      <c r="L17" s="9">
        <f>Model!AE18</f>
        <v/>
      </c>
      <c r="M17" s="9">
        <f>Model!AF18</f>
        <v/>
      </c>
      <c r="N17" s="9">
        <f>Model!AG18</f>
        <v/>
      </c>
      <c r="O17" s="9">
        <f>Model!AH18</f>
        <v/>
      </c>
      <c r="P17" s="9">
        <f>Model!AI18</f>
        <v/>
      </c>
      <c r="Q17" s="9">
        <f>Model!AJ18</f>
        <v/>
      </c>
      <c r="R17" s="9">
        <f>Model!AK18</f>
        <v/>
      </c>
      <c r="S17" s="9">
        <f>Model!AL18</f>
        <v/>
      </c>
      <c r="T17" s="9">
        <f>Model!AM18</f>
        <v/>
      </c>
      <c r="U17" s="9">
        <f>Model!AN18</f>
        <v/>
      </c>
      <c r="V17" s="9">
        <f>Model!AO18</f>
        <v/>
      </c>
      <c r="W17" s="11">
        <f>Model!AQ18</f>
        <v/>
      </c>
    </row>
    <row r="18">
      <c r="A18" t="inlineStr">
        <is>
          <t>Month 15</t>
        </is>
      </c>
      <c r="B18" s="19">
        <f>Model!B19</f>
        <v/>
      </c>
      <c r="C18" s="19">
        <f>Model!H19</f>
        <v/>
      </c>
      <c r="D18" s="19">
        <f>Model!I19</f>
        <v/>
      </c>
      <c r="E18" s="19">
        <f>Model!J19</f>
        <v/>
      </c>
      <c r="F18" s="19">
        <f>Model!U19</f>
        <v/>
      </c>
      <c r="G18" s="11">
        <f>Model!F19</f>
        <v/>
      </c>
      <c r="H18" s="9">
        <f>Model!V19</f>
        <v/>
      </c>
      <c r="I18" s="9">
        <f>Model!W19</f>
        <v/>
      </c>
      <c r="J18" s="9">
        <f>Model!AA19</f>
        <v/>
      </c>
      <c r="K18" s="9">
        <f>Model!AD19</f>
        <v/>
      </c>
      <c r="L18" s="9">
        <f>Model!AE19</f>
        <v/>
      </c>
      <c r="M18" s="9">
        <f>Model!AF19</f>
        <v/>
      </c>
      <c r="N18" s="9">
        <f>Model!AG19</f>
        <v/>
      </c>
      <c r="O18" s="9">
        <f>Model!AH19</f>
        <v/>
      </c>
      <c r="P18" s="9">
        <f>Model!AI19</f>
        <v/>
      </c>
      <c r="Q18" s="9">
        <f>Model!AJ19</f>
        <v/>
      </c>
      <c r="R18" s="9">
        <f>Model!AK19</f>
        <v/>
      </c>
      <c r="S18" s="9">
        <f>Model!AL19</f>
        <v/>
      </c>
      <c r="T18" s="9">
        <f>Model!AM19</f>
        <v/>
      </c>
      <c r="U18" s="9">
        <f>Model!AN19</f>
        <v/>
      </c>
      <c r="V18" s="9">
        <f>Model!AO19</f>
        <v/>
      </c>
      <c r="W18" s="11">
        <f>Model!AQ19</f>
        <v/>
      </c>
    </row>
    <row r="19">
      <c r="A19" t="inlineStr">
        <is>
          <t>Month 16</t>
        </is>
      </c>
      <c r="B19" s="19">
        <f>Model!B20</f>
        <v/>
      </c>
      <c r="C19" s="19">
        <f>Model!H20</f>
        <v/>
      </c>
      <c r="D19" s="19">
        <f>Model!I20</f>
        <v/>
      </c>
      <c r="E19" s="19">
        <f>Model!J20</f>
        <v/>
      </c>
      <c r="F19" s="19">
        <f>Model!U20</f>
        <v/>
      </c>
      <c r="G19" s="11">
        <f>Model!F20</f>
        <v/>
      </c>
      <c r="H19" s="9">
        <f>Model!V20</f>
        <v/>
      </c>
      <c r="I19" s="9">
        <f>Model!W20</f>
        <v/>
      </c>
      <c r="J19" s="9">
        <f>Model!AA20</f>
        <v/>
      </c>
      <c r="K19" s="9">
        <f>Model!AD20</f>
        <v/>
      </c>
      <c r="L19" s="9">
        <f>Model!AE20</f>
        <v/>
      </c>
      <c r="M19" s="9">
        <f>Model!AF20</f>
        <v/>
      </c>
      <c r="N19" s="9">
        <f>Model!AG20</f>
        <v/>
      </c>
      <c r="O19" s="9">
        <f>Model!AH20</f>
        <v/>
      </c>
      <c r="P19" s="9">
        <f>Model!AI20</f>
        <v/>
      </c>
      <c r="Q19" s="9">
        <f>Model!AJ20</f>
        <v/>
      </c>
      <c r="R19" s="9">
        <f>Model!AK20</f>
        <v/>
      </c>
      <c r="S19" s="9">
        <f>Model!AL20</f>
        <v/>
      </c>
      <c r="T19" s="9">
        <f>Model!AM20</f>
        <v/>
      </c>
      <c r="U19" s="9">
        <f>Model!AN20</f>
        <v/>
      </c>
      <c r="V19" s="9">
        <f>Model!AO20</f>
        <v/>
      </c>
      <c r="W19" s="11">
        <f>Model!AQ20</f>
        <v/>
      </c>
    </row>
    <row r="20">
      <c r="A20" t="inlineStr">
        <is>
          <t>Month 17</t>
        </is>
      </c>
      <c r="B20" s="19">
        <f>Model!B21</f>
        <v/>
      </c>
      <c r="C20" s="19">
        <f>Model!H21</f>
        <v/>
      </c>
      <c r="D20" s="19">
        <f>Model!I21</f>
        <v/>
      </c>
      <c r="E20" s="19">
        <f>Model!J21</f>
        <v/>
      </c>
      <c r="F20" s="19">
        <f>Model!U21</f>
        <v/>
      </c>
      <c r="G20" s="11">
        <f>Model!F21</f>
        <v/>
      </c>
      <c r="H20" s="9">
        <f>Model!V21</f>
        <v/>
      </c>
      <c r="I20" s="9">
        <f>Model!W21</f>
        <v/>
      </c>
      <c r="J20" s="9">
        <f>Model!AA21</f>
        <v/>
      </c>
      <c r="K20" s="9">
        <f>Model!AD21</f>
        <v/>
      </c>
      <c r="L20" s="9">
        <f>Model!AE21</f>
        <v/>
      </c>
      <c r="M20" s="9">
        <f>Model!AF21</f>
        <v/>
      </c>
      <c r="N20" s="9">
        <f>Model!AG21</f>
        <v/>
      </c>
      <c r="O20" s="9">
        <f>Model!AH21</f>
        <v/>
      </c>
      <c r="P20" s="9">
        <f>Model!AI21</f>
        <v/>
      </c>
      <c r="Q20" s="9">
        <f>Model!AJ21</f>
        <v/>
      </c>
      <c r="R20" s="9">
        <f>Model!AK21</f>
        <v/>
      </c>
      <c r="S20" s="9">
        <f>Model!AL21</f>
        <v/>
      </c>
      <c r="T20" s="9">
        <f>Model!AM21</f>
        <v/>
      </c>
      <c r="U20" s="9">
        <f>Model!AN21</f>
        <v/>
      </c>
      <c r="V20" s="9">
        <f>Model!AO21</f>
        <v/>
      </c>
      <c r="W20" s="11">
        <f>Model!AQ21</f>
        <v/>
      </c>
    </row>
    <row r="21">
      <c r="A21" t="inlineStr">
        <is>
          <t>Month 18</t>
        </is>
      </c>
      <c r="B21" s="19">
        <f>Model!B22</f>
        <v/>
      </c>
      <c r="C21" s="19">
        <f>Model!H22</f>
        <v/>
      </c>
      <c r="D21" s="19">
        <f>Model!I22</f>
        <v/>
      </c>
      <c r="E21" s="19">
        <f>Model!J22</f>
        <v/>
      </c>
      <c r="F21" s="19">
        <f>Model!U22</f>
        <v/>
      </c>
      <c r="G21" s="11">
        <f>Model!F22</f>
        <v/>
      </c>
      <c r="H21" s="9">
        <f>Model!V22</f>
        <v/>
      </c>
      <c r="I21" s="9">
        <f>Model!W22</f>
        <v/>
      </c>
      <c r="J21" s="9">
        <f>Model!AA22</f>
        <v/>
      </c>
      <c r="K21" s="9">
        <f>Model!AD22</f>
        <v/>
      </c>
      <c r="L21" s="9">
        <f>Model!AE22</f>
        <v/>
      </c>
      <c r="M21" s="9">
        <f>Model!AF22</f>
        <v/>
      </c>
      <c r="N21" s="9">
        <f>Model!AG22</f>
        <v/>
      </c>
      <c r="O21" s="9">
        <f>Model!AH22</f>
        <v/>
      </c>
      <c r="P21" s="9">
        <f>Model!AI22</f>
        <v/>
      </c>
      <c r="Q21" s="9">
        <f>Model!AJ22</f>
        <v/>
      </c>
      <c r="R21" s="9">
        <f>Model!AK22</f>
        <v/>
      </c>
      <c r="S21" s="9">
        <f>Model!AL22</f>
        <v/>
      </c>
      <c r="T21" s="9">
        <f>Model!AM22</f>
        <v/>
      </c>
      <c r="U21" s="9">
        <f>Model!AN22</f>
        <v/>
      </c>
      <c r="V21" s="9">
        <f>Model!AO22</f>
        <v/>
      </c>
      <c r="W21" s="11">
        <f>Model!AQ22</f>
        <v/>
      </c>
    </row>
    <row r="22">
      <c r="A22" t="inlineStr">
        <is>
          <t>Month 19</t>
        </is>
      </c>
      <c r="B22" s="19">
        <f>Model!B23</f>
        <v/>
      </c>
      <c r="C22" s="19">
        <f>Model!H23</f>
        <v/>
      </c>
      <c r="D22" s="19">
        <f>Model!I23</f>
        <v/>
      </c>
      <c r="E22" s="19">
        <f>Model!J23</f>
        <v/>
      </c>
      <c r="F22" s="19">
        <f>Model!U23</f>
        <v/>
      </c>
      <c r="G22" s="11">
        <f>Model!F23</f>
        <v/>
      </c>
      <c r="H22" s="9">
        <f>Model!V23</f>
        <v/>
      </c>
      <c r="I22" s="9">
        <f>Model!W23</f>
        <v/>
      </c>
      <c r="J22" s="9">
        <f>Model!AA23</f>
        <v/>
      </c>
      <c r="K22" s="9">
        <f>Model!AD23</f>
        <v/>
      </c>
      <c r="L22" s="9">
        <f>Model!AE23</f>
        <v/>
      </c>
      <c r="M22" s="9">
        <f>Model!AF23</f>
        <v/>
      </c>
      <c r="N22" s="9">
        <f>Model!AG23</f>
        <v/>
      </c>
      <c r="O22" s="9">
        <f>Model!AH23</f>
        <v/>
      </c>
      <c r="P22" s="9">
        <f>Model!AI23</f>
        <v/>
      </c>
      <c r="Q22" s="9">
        <f>Model!AJ23</f>
        <v/>
      </c>
      <c r="R22" s="9">
        <f>Model!AK23</f>
        <v/>
      </c>
      <c r="S22" s="9">
        <f>Model!AL23</f>
        <v/>
      </c>
      <c r="T22" s="9">
        <f>Model!AM23</f>
        <v/>
      </c>
      <c r="U22" s="9">
        <f>Model!AN23</f>
        <v/>
      </c>
      <c r="V22" s="9">
        <f>Model!AO23</f>
        <v/>
      </c>
      <c r="W22" s="11">
        <f>Model!AQ23</f>
        <v/>
      </c>
    </row>
    <row r="23">
      <c r="A23" t="inlineStr">
        <is>
          <t>Month 20</t>
        </is>
      </c>
      <c r="B23" s="19">
        <f>Model!B24</f>
        <v/>
      </c>
      <c r="C23" s="19">
        <f>Model!H24</f>
        <v/>
      </c>
      <c r="D23" s="19">
        <f>Model!I24</f>
        <v/>
      </c>
      <c r="E23" s="19">
        <f>Model!J24</f>
        <v/>
      </c>
      <c r="F23" s="19">
        <f>Model!U24</f>
        <v/>
      </c>
      <c r="G23" s="11">
        <f>Model!F24</f>
        <v/>
      </c>
      <c r="H23" s="9">
        <f>Model!V24</f>
        <v/>
      </c>
      <c r="I23" s="9">
        <f>Model!W24</f>
        <v/>
      </c>
      <c r="J23" s="9">
        <f>Model!AA24</f>
        <v/>
      </c>
      <c r="K23" s="9">
        <f>Model!AD24</f>
        <v/>
      </c>
      <c r="L23" s="9">
        <f>Model!AE24</f>
        <v/>
      </c>
      <c r="M23" s="9">
        <f>Model!AF24</f>
        <v/>
      </c>
      <c r="N23" s="9">
        <f>Model!AG24</f>
        <v/>
      </c>
      <c r="O23" s="9">
        <f>Model!AH24</f>
        <v/>
      </c>
      <c r="P23" s="9">
        <f>Model!AI24</f>
        <v/>
      </c>
      <c r="Q23" s="9">
        <f>Model!AJ24</f>
        <v/>
      </c>
      <c r="R23" s="9">
        <f>Model!AK24</f>
        <v/>
      </c>
      <c r="S23" s="9">
        <f>Model!AL24</f>
        <v/>
      </c>
      <c r="T23" s="9">
        <f>Model!AM24</f>
        <v/>
      </c>
      <c r="U23" s="9">
        <f>Model!AN24</f>
        <v/>
      </c>
      <c r="V23" s="9">
        <f>Model!AO24</f>
        <v/>
      </c>
      <c r="W23" s="11">
        <f>Model!AQ24</f>
        <v/>
      </c>
    </row>
    <row r="24">
      <c r="A24" t="inlineStr">
        <is>
          <t>Month 21</t>
        </is>
      </c>
      <c r="B24" s="19">
        <f>Model!B25</f>
        <v/>
      </c>
      <c r="C24" s="19">
        <f>Model!H25</f>
        <v/>
      </c>
      <c r="D24" s="19">
        <f>Model!I25</f>
        <v/>
      </c>
      <c r="E24" s="19">
        <f>Model!J25</f>
        <v/>
      </c>
      <c r="F24" s="19">
        <f>Model!U25</f>
        <v/>
      </c>
      <c r="G24" s="11">
        <f>Model!F25</f>
        <v/>
      </c>
      <c r="H24" s="9">
        <f>Model!V25</f>
        <v/>
      </c>
      <c r="I24" s="9">
        <f>Model!W25</f>
        <v/>
      </c>
      <c r="J24" s="9">
        <f>Model!AA25</f>
        <v/>
      </c>
      <c r="K24" s="9">
        <f>Model!AD25</f>
        <v/>
      </c>
      <c r="L24" s="9">
        <f>Model!AE25</f>
        <v/>
      </c>
      <c r="M24" s="9">
        <f>Model!AF25</f>
        <v/>
      </c>
      <c r="N24" s="9">
        <f>Model!AG25</f>
        <v/>
      </c>
      <c r="O24" s="9">
        <f>Model!AH25</f>
        <v/>
      </c>
      <c r="P24" s="9">
        <f>Model!AI25</f>
        <v/>
      </c>
      <c r="Q24" s="9">
        <f>Model!AJ25</f>
        <v/>
      </c>
      <c r="R24" s="9">
        <f>Model!AK25</f>
        <v/>
      </c>
      <c r="S24" s="9">
        <f>Model!AL25</f>
        <v/>
      </c>
      <c r="T24" s="9">
        <f>Model!AM25</f>
        <v/>
      </c>
      <c r="U24" s="9">
        <f>Model!AN25</f>
        <v/>
      </c>
      <c r="V24" s="9">
        <f>Model!AO25</f>
        <v/>
      </c>
      <c r="W24" s="11">
        <f>Model!AQ25</f>
        <v/>
      </c>
    </row>
    <row r="25">
      <c r="A25" t="inlineStr">
        <is>
          <t>Month 22</t>
        </is>
      </c>
      <c r="B25" s="19">
        <f>Model!B26</f>
        <v/>
      </c>
      <c r="C25" s="19">
        <f>Model!H26</f>
        <v/>
      </c>
      <c r="D25" s="19">
        <f>Model!I26</f>
        <v/>
      </c>
      <c r="E25" s="19">
        <f>Model!J26</f>
        <v/>
      </c>
      <c r="F25" s="19">
        <f>Model!U26</f>
        <v/>
      </c>
      <c r="G25" s="11">
        <f>Model!F26</f>
        <v/>
      </c>
      <c r="H25" s="9">
        <f>Model!V26</f>
        <v/>
      </c>
      <c r="I25" s="9">
        <f>Model!W26</f>
        <v/>
      </c>
      <c r="J25" s="9">
        <f>Model!AA26</f>
        <v/>
      </c>
      <c r="K25" s="9">
        <f>Model!AD26</f>
        <v/>
      </c>
      <c r="L25" s="9">
        <f>Model!AE26</f>
        <v/>
      </c>
      <c r="M25" s="9">
        <f>Model!AF26</f>
        <v/>
      </c>
      <c r="N25" s="9">
        <f>Model!AG26</f>
        <v/>
      </c>
      <c r="O25" s="9">
        <f>Model!AH26</f>
        <v/>
      </c>
      <c r="P25" s="9">
        <f>Model!AI26</f>
        <v/>
      </c>
      <c r="Q25" s="9">
        <f>Model!AJ26</f>
        <v/>
      </c>
      <c r="R25" s="9">
        <f>Model!AK26</f>
        <v/>
      </c>
      <c r="S25" s="9">
        <f>Model!AL26</f>
        <v/>
      </c>
      <c r="T25" s="9">
        <f>Model!AM26</f>
        <v/>
      </c>
      <c r="U25" s="9">
        <f>Model!AN26</f>
        <v/>
      </c>
      <c r="V25" s="9">
        <f>Model!AO26</f>
        <v/>
      </c>
      <c r="W25" s="11">
        <f>Model!AQ26</f>
        <v/>
      </c>
    </row>
    <row r="26">
      <c r="A26" t="inlineStr">
        <is>
          <t>Month 23</t>
        </is>
      </c>
      <c r="B26" s="19">
        <f>Model!B27</f>
        <v/>
      </c>
      <c r="C26" s="19">
        <f>Model!H27</f>
        <v/>
      </c>
      <c r="D26" s="19">
        <f>Model!I27</f>
        <v/>
      </c>
      <c r="E26" s="19">
        <f>Model!J27</f>
        <v/>
      </c>
      <c r="F26" s="19">
        <f>Model!U27</f>
        <v/>
      </c>
      <c r="G26" s="11">
        <f>Model!F27</f>
        <v/>
      </c>
      <c r="H26" s="9">
        <f>Model!V27</f>
        <v/>
      </c>
      <c r="I26" s="9">
        <f>Model!W27</f>
        <v/>
      </c>
      <c r="J26" s="9">
        <f>Model!AA27</f>
        <v/>
      </c>
      <c r="K26" s="9">
        <f>Model!AD27</f>
        <v/>
      </c>
      <c r="L26" s="9">
        <f>Model!AE27</f>
        <v/>
      </c>
      <c r="M26" s="9">
        <f>Model!AF27</f>
        <v/>
      </c>
      <c r="N26" s="9">
        <f>Model!AG27</f>
        <v/>
      </c>
      <c r="O26" s="9">
        <f>Model!AH27</f>
        <v/>
      </c>
      <c r="P26" s="9">
        <f>Model!AI27</f>
        <v/>
      </c>
      <c r="Q26" s="9">
        <f>Model!AJ27</f>
        <v/>
      </c>
      <c r="R26" s="9">
        <f>Model!AK27</f>
        <v/>
      </c>
      <c r="S26" s="9">
        <f>Model!AL27</f>
        <v/>
      </c>
      <c r="T26" s="9">
        <f>Model!AM27</f>
        <v/>
      </c>
      <c r="U26" s="9">
        <f>Model!AN27</f>
        <v/>
      </c>
      <c r="V26" s="9">
        <f>Model!AO27</f>
        <v/>
      </c>
      <c r="W26" s="11">
        <f>Model!AQ27</f>
        <v/>
      </c>
    </row>
    <row r="27">
      <c r="A27" t="inlineStr">
        <is>
          <t>Month 24</t>
        </is>
      </c>
      <c r="B27" s="19">
        <f>Model!B28</f>
        <v/>
      </c>
      <c r="C27" s="19">
        <f>Model!H28</f>
        <v/>
      </c>
      <c r="D27" s="19">
        <f>Model!I28</f>
        <v/>
      </c>
      <c r="E27" s="19">
        <f>Model!J28</f>
        <v/>
      </c>
      <c r="F27" s="19">
        <f>Model!U28</f>
        <v/>
      </c>
      <c r="G27" s="11">
        <f>Model!F28</f>
        <v/>
      </c>
      <c r="H27" s="9">
        <f>Model!V28</f>
        <v/>
      </c>
      <c r="I27" s="9">
        <f>Model!W28</f>
        <v/>
      </c>
      <c r="J27" s="9">
        <f>Model!AA28</f>
        <v/>
      </c>
      <c r="K27" s="9">
        <f>Model!AD28</f>
        <v/>
      </c>
      <c r="L27" s="9">
        <f>Model!AE28</f>
        <v/>
      </c>
      <c r="M27" s="9">
        <f>Model!AF28</f>
        <v/>
      </c>
      <c r="N27" s="9">
        <f>Model!AG28</f>
        <v/>
      </c>
      <c r="O27" s="9">
        <f>Model!AH28</f>
        <v/>
      </c>
      <c r="P27" s="9">
        <f>Model!AI28</f>
        <v/>
      </c>
      <c r="Q27" s="9">
        <f>Model!AJ28</f>
        <v/>
      </c>
      <c r="R27" s="9">
        <f>Model!AK28</f>
        <v/>
      </c>
      <c r="S27" s="9">
        <f>Model!AL28</f>
        <v/>
      </c>
      <c r="T27" s="9">
        <f>Model!AM28</f>
        <v/>
      </c>
      <c r="U27" s="9">
        <f>Model!AN28</f>
        <v/>
      </c>
      <c r="V27" s="9">
        <f>Model!AO28</f>
        <v/>
      </c>
      <c r="W27" s="11">
        <f>Model!AQ28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</cols>
  <sheetData>
    <row r="1">
      <c r="A1" s="1" t="inlineStr">
        <is>
          <t>Unit Economics (calculated from Inputs)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</row>
    <row r="4">
      <c r="A4" t="inlineStr">
        <is>
          <t>Blended ARPU (MRR per customer)</t>
        </is>
      </c>
      <c r="B4" s="10">
        <f>EssentialMix*(1-AnnualMix)*PriceEssMonthly+(1-EssentialMix)*(1-AnnualMix)*PricePremMonthly+EssentialMix*AnnualMix*PriceEssAnnual/12+(1-EssentialMix)*AnnualMix*PricePremAnnual/12</f>
        <v/>
      </c>
      <c r="C4" t="inlineStr">
        <is>
          <t>£/mo</t>
        </is>
      </c>
    </row>
    <row r="5">
      <c r="A5" t="inlineStr">
        <is>
          <t xml:space="preserve">  Monthly plan ARPU</t>
        </is>
      </c>
      <c r="B5" s="10">
        <f>EssentialMix*PriceEssMonthly+(1-EssentialMix)*PricePremMonthly</f>
        <v/>
      </c>
      <c r="C5" t="inlineStr">
        <is>
          <t>£/mo</t>
        </is>
      </c>
    </row>
    <row r="6">
      <c r="A6" t="inlineStr">
        <is>
          <t xml:space="preserve">  Annual plan ARPU (normalised)</t>
        </is>
      </c>
      <c r="B6" s="10">
        <f>EssentialMix*PriceEssAnnual/12+(1-EssentialMix)*PricePremAnnual/12</f>
        <v/>
      </c>
      <c r="C6" t="inlineStr">
        <is>
          <t>£/mo</t>
        </is>
      </c>
    </row>
    <row r="8">
      <c r="A8" t="inlineStr">
        <is>
          <t>Provider cost per customer</t>
        </is>
      </c>
      <c r="B8" s="10">
        <f>B4*ProviderShare</f>
        <v/>
      </c>
      <c r="C8" t="inlineStr">
        <is>
          <t>£/mo</t>
        </is>
      </c>
    </row>
    <row r="9">
      <c r="A9" t="inlineStr">
        <is>
          <t>Payment fees per customer</t>
        </is>
      </c>
      <c r="B9" s="10">
        <f>B4*PaymentFee</f>
        <v/>
      </c>
      <c r="C9" t="inlineStr">
        <is>
          <t>£/mo</t>
        </is>
      </c>
    </row>
    <row r="10">
      <c r="A10" t="inlineStr">
        <is>
          <t>Ops + AI per customer</t>
        </is>
      </c>
      <c r="B10" s="10">
        <f>OpsAI</f>
        <v/>
      </c>
      <c r="C10" t="inlineStr">
        <is>
          <t>£/mo</t>
        </is>
      </c>
    </row>
    <row r="12">
      <c r="A12" t="inlineStr">
        <is>
          <t>Gross margin per customer (pre-marketing)</t>
        </is>
      </c>
      <c r="B12" s="10">
        <f>B4*(1-ProviderShare-PaymentFee)-OpsAI</f>
        <v/>
      </c>
      <c r="C12" t="inlineStr">
        <is>
          <t>£/mo</t>
        </is>
      </c>
    </row>
    <row r="13">
      <c r="A13" t="inlineStr">
        <is>
          <t>CAC</t>
        </is>
      </c>
      <c r="B13" s="10">
        <f>CAC</f>
        <v/>
      </c>
      <c r="C13" t="inlineStr">
        <is>
          <t>£</t>
        </is>
      </c>
    </row>
    <row r="14">
      <c r="A14" t="inlineStr">
        <is>
          <t>Months to recover CAC</t>
        </is>
      </c>
      <c r="B14" s="17">
        <f>B13/B12</f>
        <v/>
      </c>
      <c r="C14" t="inlineStr">
        <is>
          <t>months</t>
        </is>
      </c>
    </row>
    <row r="16">
      <c r="A16" t="inlineStr">
        <is>
          <t>Customer lifetime — monthly plan (post min term)</t>
        </is>
      </c>
      <c r="B16" s="17">
        <f>1/MonthlyChurn</f>
        <v/>
      </c>
      <c r="C16" t="inlineStr">
        <is>
          <t>months</t>
        </is>
      </c>
    </row>
    <row r="17">
      <c r="A17" t="inlineStr">
        <is>
          <t>Expected annual renewals — annual plan</t>
        </is>
      </c>
      <c r="B17" s="17">
        <f>1/AnnualChurn</f>
        <v/>
      </c>
      <c r="C17" t="inlineStr">
        <is>
          <t>renewals</t>
        </is>
      </c>
    </row>
    <row r="18">
      <c r="A18" t="inlineStr">
        <is>
          <t>LTV — monthly plan (simplified)</t>
        </is>
      </c>
      <c r="B18" s="10">
        <f>B5*(1-ProviderShare-PaymentFee)*(1/MonthlyChurn)</f>
        <v/>
      </c>
      <c r="C18" t="inlineStr">
        <is>
          <t>£</t>
        </is>
      </c>
    </row>
    <row r="19">
      <c r="A19" t="inlineStr">
        <is>
          <t>LTV — annual plan (simplified)</t>
        </is>
      </c>
      <c r="B19" s="10">
        <f>B6*12*(1-ProviderShare-PaymentFee)*(1/AnnualChurn)</f>
        <v/>
      </c>
      <c r="C19" t="inlineStr">
        <is>
          <t>£</t>
        </is>
      </c>
    </row>
    <row r="20">
      <c r="A20" t="inlineStr">
        <is>
          <t>LTV:CAC — monthly plan</t>
        </is>
      </c>
      <c r="B20" s="17">
        <f>B18/CAC</f>
        <v/>
      </c>
      <c r="C20" t="inlineStr">
        <is>
          <t>x</t>
        </is>
      </c>
    </row>
    <row r="21">
      <c r="A21" t="inlineStr">
        <is>
          <t>LTV:CAC — blended</t>
        </is>
      </c>
      <c r="B21" s="17">
        <f>B4*(1-ProviderShare-PaymentFee)*((1-AnnualMix)/MonthlyChurn+AnnualMix*12/AnnualChurn)/CAC</f>
        <v/>
      </c>
      <c r="C21" t="inlineStr">
        <is>
          <t>x</t>
        </is>
      </c>
    </row>
    <row r="22">
      <c r="A22" t="inlineStr">
        <is>
          <t>Inflated ARPU (Year 2 prices)</t>
        </is>
      </c>
      <c r="B22" s="55">
        <f>B4*(1+InflationRate)</f>
        <v/>
      </c>
      <c r="C22" t="inlineStr">
        <is>
          <t>£/mo</t>
        </is>
      </c>
    </row>
    <row r="23">
      <c r="A23" t="inlineStr">
        <is>
          <t>Effective CAC (paid customers only)</t>
        </is>
      </c>
      <c r="B23" s="55">
        <f>CAC</f>
        <v/>
      </c>
      <c r="C23" t="inlineStr">
        <is>
          <t>£</t>
        </is>
      </c>
    </row>
    <row r="24">
      <c r="A24" t="inlineStr">
        <is>
          <t>Blended CAC (incl. referrals)</t>
        </is>
      </c>
      <c r="B24" s="55">
        <f>CAC*(1-ReferralMix)</f>
        <v/>
      </c>
      <c r="C24" t="inlineStr">
        <is>
          <t>£/customer</t>
        </is>
      </c>
    </row>
    <row r="25">
      <c r="A25" t="inlineStr">
        <is>
          <t>Monthly fixed platform cost</t>
        </is>
      </c>
      <c r="B25" s="55">
        <f>MonthlyFixed</f>
        <v/>
      </c>
      <c r="C25" t="inlineStr">
        <is>
          <t>£/mo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Scenario Comparison — Conservative / Base / Aggressive (full model engine)</t>
        </is>
      </c>
    </row>
    <row r="2">
      <c r="A2" s="2" t="inlineStr">
        <is>
          <t>Edit yellow cells in Conservative &amp; Aggressive columns. Base uses live Inputs (£70 CAC). Marketing spend: Inputs rows 31–39.</t>
        </is>
      </c>
    </row>
    <row r="4">
      <c r="A4" s="3" t="inlineStr">
        <is>
          <t>Parameter</t>
        </is>
      </c>
      <c r="B4" s="3" t="inlineStr">
        <is>
          <t>Conservative</t>
        </is>
      </c>
      <c r="C4" s="3" t="inlineStr">
        <is>
          <t>Base (live Inputs)</t>
        </is>
      </c>
      <c r="D4" s="3" t="inlineStr">
        <is>
          <t>Aggressive</t>
        </is>
      </c>
    </row>
    <row r="5">
      <c r="A5" t="inlineStr">
        <is>
          <t>Monthly churn (post min term)</t>
        </is>
      </c>
      <c r="B5" s="7" t="n">
        <v>0.07000000000000001</v>
      </c>
      <c r="C5" s="7">
        <f>MonthlyChurn</f>
        <v/>
      </c>
      <c r="D5" s="7" t="n">
        <v>0.04</v>
      </c>
    </row>
    <row r="6">
      <c r="A6" t="inlineStr">
        <is>
          <t>Annual churn (at renewal)</t>
        </is>
      </c>
      <c r="B6" s="6" t="n">
        <v>0.25</v>
      </c>
      <c r="C6" s="6">
        <f>AnnualChurn</f>
        <v/>
      </c>
      <c r="D6" s="6" t="n">
        <v>0.15</v>
      </c>
    </row>
    <row r="7">
      <c r="A7" t="inlineStr">
        <is>
          <t>Annual plan mix</t>
        </is>
      </c>
      <c r="B7" s="6" t="n">
        <v>0.15</v>
      </c>
      <c r="C7" s="6">
        <f>AnnualMix</f>
        <v/>
      </c>
      <c r="D7" s="6" t="n">
        <v>0.3</v>
      </c>
    </row>
    <row r="8">
      <c r="A8" t="inlineStr">
        <is>
          <t>CAC (£)</t>
        </is>
      </c>
      <c r="B8" s="4" t="n">
        <v>110</v>
      </c>
      <c r="C8" s="4">
        <f>CAC</f>
        <v/>
      </c>
      <c r="D8" s="4" t="n">
        <v>40</v>
      </c>
    </row>
    <row r="11">
      <c r="A11" s="3" t="inlineStr">
        <is>
          <t>OUTPUT METRICS</t>
        </is>
      </c>
    </row>
    <row r="12">
      <c r="A12" s="14" t="inlineStr">
        <is>
          <t>Metric</t>
        </is>
      </c>
      <c r="B12" s="14" t="inlineStr">
        <is>
          <t>Conservative</t>
        </is>
      </c>
      <c r="C12" s="14" t="inlineStr">
        <is>
          <t>Base</t>
        </is>
      </c>
      <c r="D12" s="14" t="inlineStr">
        <is>
          <t>Aggressive</t>
        </is>
      </c>
    </row>
    <row r="13">
      <c r="A13" t="inlineStr">
        <is>
          <t>End Year 1 — Customers</t>
        </is>
      </c>
      <c r="B13" s="19">
        <f>'Scenario Engine'!U$16</f>
        <v/>
      </c>
      <c r="C13" s="19">
        <f>'Scenario Engine'!BM$16</f>
        <v/>
      </c>
      <c r="D13" s="19">
        <f>'Scenario Engine'!DE$16</f>
        <v/>
      </c>
    </row>
    <row r="14">
      <c r="A14" t="inlineStr">
        <is>
          <t>End Year 1 — MRR (£)</t>
        </is>
      </c>
      <c r="B14" s="9">
        <f>'Scenario Engine'!V$16</f>
        <v/>
      </c>
      <c r="C14" s="9">
        <f>'Scenario Engine'!BN$16</f>
        <v/>
      </c>
      <c r="D14" s="9">
        <f>'Scenario Engine'!DF$16</f>
        <v/>
      </c>
    </row>
    <row r="15">
      <c r="A15" t="inlineStr">
        <is>
          <t>End Year 1 — ARR (£)</t>
        </is>
      </c>
      <c r="B15" s="9">
        <f>'Scenario Engine'!W$16</f>
        <v/>
      </c>
      <c r="C15" s="9">
        <f>'Scenario Engine'!BO$16</f>
        <v/>
      </c>
      <c r="D15" s="9">
        <f>'Scenario Engine'!DG$16</f>
        <v/>
      </c>
    </row>
    <row r="16">
      <c r="A16" t="inlineStr">
        <is>
          <t>End Year 1 — Cash Balance (£)</t>
        </is>
      </c>
      <c r="B16" s="9">
        <f>'Scenario Engine'!AO$16</f>
        <v/>
      </c>
      <c r="C16" s="9">
        <f>'Scenario Engine'!CG$16</f>
        <v/>
      </c>
      <c r="D16" s="9">
        <f>'Scenario Engine'!DY$16</f>
        <v/>
      </c>
    </row>
    <row r="17">
      <c r="A17" t="inlineStr">
        <is>
          <t>Year 1 — Gross Revenue (£)</t>
        </is>
      </c>
      <c r="B17" s="9">
        <f>SUM('Scenario Engine'!AA$5:'Scenario Engine'!AA$16)</f>
        <v/>
      </c>
      <c r="C17" s="9">
        <f>SUM('Scenario Engine'!BS$5:'Scenario Engine'!BS$16)</f>
        <v/>
      </c>
      <c r="D17" s="9">
        <f>SUM('Scenario Engine'!DK$5:'Scenario Engine'!DK$16)</f>
        <v/>
      </c>
    </row>
    <row r="18">
      <c r="A18" t="inlineStr">
        <is>
          <t>Year 1 — Net Revenue (£)</t>
        </is>
      </c>
      <c r="B18" s="9">
        <f>SUM('Scenario Engine'!AD$5:'Scenario Engine'!AD$16)</f>
        <v/>
      </c>
      <c r="C18" s="9">
        <f>SUM('Scenario Engine'!BV$5:'Scenario Engine'!BV$16)</f>
        <v/>
      </c>
      <c r="D18" s="9">
        <f>SUM('Scenario Engine'!DN$5:'Scenario Engine'!DN$16)</f>
        <v/>
      </c>
    </row>
    <row r="19">
      <c r="A19" t="inlineStr">
        <is>
          <t>Year 1 — Profit (£)</t>
        </is>
      </c>
      <c r="B19" s="9">
        <f>SUM('Scenario Engine'!AN$5:'Scenario Engine'!AN$16)</f>
        <v/>
      </c>
      <c r="C19" s="9">
        <f>SUM('Scenario Engine'!CF$5:'Scenario Engine'!CF$16)</f>
        <v/>
      </c>
      <c r="D19" s="9">
        <f>SUM('Scenario Engine'!DX$5:'Scenario Engine'!DX$16)</f>
        <v/>
      </c>
    </row>
    <row r="20">
      <c r="A20" t="inlineStr">
        <is>
          <t>End Year 2 — Customers</t>
        </is>
      </c>
      <c r="B20" s="19">
        <f>'Scenario Engine'!U$28</f>
        <v/>
      </c>
      <c r="C20" s="19">
        <f>'Scenario Engine'!BM$28</f>
        <v/>
      </c>
      <c r="D20" s="19">
        <f>'Scenario Engine'!DE$28</f>
        <v/>
      </c>
    </row>
    <row r="21">
      <c r="A21" t="inlineStr">
        <is>
          <t>End Year 2 — MRR (£)</t>
        </is>
      </c>
      <c r="B21" s="9">
        <f>'Scenario Engine'!V$28</f>
        <v/>
      </c>
      <c r="C21" s="9">
        <f>'Scenario Engine'!BN$28</f>
        <v/>
      </c>
      <c r="D21" s="9">
        <f>'Scenario Engine'!DF$28</f>
        <v/>
      </c>
    </row>
    <row r="22">
      <c r="A22" t="inlineStr">
        <is>
          <t>End Year 2 — ARR (£)</t>
        </is>
      </c>
      <c r="B22" s="9">
        <f>'Scenario Engine'!W$28</f>
        <v/>
      </c>
      <c r="C22" s="9">
        <f>'Scenario Engine'!BO$28</f>
        <v/>
      </c>
      <c r="D22" s="9">
        <f>'Scenario Engine'!DG$28</f>
        <v/>
      </c>
    </row>
    <row r="23">
      <c r="A23" t="inlineStr">
        <is>
          <t>End Year 2 — Cash Balance (£)</t>
        </is>
      </c>
      <c r="B23" s="9">
        <f>'Scenario Engine'!AO$28</f>
        <v/>
      </c>
      <c r="C23" s="9">
        <f>'Scenario Engine'!CG$28</f>
        <v/>
      </c>
      <c r="D23" s="9">
        <f>'Scenario Engine'!DY$28</f>
        <v/>
      </c>
    </row>
    <row r="24">
      <c r="A24" t="inlineStr">
        <is>
          <t>Year 2 — Gross Revenue (£)</t>
        </is>
      </c>
      <c r="B24" s="9">
        <f>SUM('Scenario Engine'!AA$17:'Scenario Engine'!AA$28)</f>
        <v/>
      </c>
      <c r="C24" s="9">
        <f>SUM('Scenario Engine'!BS$17:'Scenario Engine'!BS$28)</f>
        <v/>
      </c>
      <c r="D24" s="9">
        <f>SUM('Scenario Engine'!DK$17:'Scenario Engine'!DK$28)</f>
        <v/>
      </c>
    </row>
    <row r="25">
      <c r="A25" t="inlineStr">
        <is>
          <t>End Year 5 — Customers</t>
        </is>
      </c>
      <c r="B25" s="19">
        <f>'Scenario Engine'!U$64</f>
        <v/>
      </c>
      <c r="C25" s="19">
        <f>'Scenario Engine'!BM$64</f>
        <v/>
      </c>
      <c r="D25" s="19">
        <f>'Scenario Engine'!DE$64</f>
        <v/>
      </c>
    </row>
    <row r="26">
      <c r="A26" t="inlineStr">
        <is>
          <t>End Year 5 — MRR (£)</t>
        </is>
      </c>
      <c r="B26" s="9">
        <f>'Scenario Engine'!V$64</f>
        <v/>
      </c>
      <c r="C26" s="9">
        <f>'Scenario Engine'!BN$64</f>
        <v/>
      </c>
      <c r="D26" s="9">
        <f>'Scenario Engine'!DF$64</f>
        <v/>
      </c>
    </row>
    <row r="27">
      <c r="A27" t="inlineStr">
        <is>
          <t>End Year 5 — ARR (£)</t>
        </is>
      </c>
      <c r="B27" s="9">
        <f>'Scenario Engine'!W$64</f>
        <v/>
      </c>
      <c r="C27" s="9">
        <f>'Scenario Engine'!BO$64</f>
        <v/>
      </c>
      <c r="D27" s="9">
        <f>'Scenario Engine'!DG$64</f>
        <v/>
      </c>
    </row>
    <row r="28">
      <c r="A28" t="inlineStr">
        <is>
          <t>End Year 5 — Cash Balance (£)</t>
        </is>
      </c>
      <c r="B28" s="9">
        <f>'Scenario Engine'!AO$64</f>
        <v/>
      </c>
      <c r="C28" s="9">
        <f>'Scenario Engine'!CG$64</f>
        <v/>
      </c>
      <c r="D28" s="9">
        <f>'Scenario Engine'!DY$64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 Sensitivity — full model (seasonal churn, VAT, referrals)</t>
        </is>
      </c>
    </row>
    <row r="2">
      <c r="A2" s="2" t="inlineStr">
        <is>
          <t>Edit churn in column A (yellow). Live model outputs in section below for comparison.</t>
        </is>
      </c>
    </row>
    <row r="4">
      <c r="A4" s="3" t="inlineStr">
        <is>
          <t>Current Monthly Churn (Inputs)</t>
        </is>
      </c>
      <c r="B4" s="16">
        <f>MonthlyChurn</f>
        <v/>
      </c>
    </row>
    <row r="5">
      <c r="A5" s="3" t="inlineStr">
        <is>
          <t>Live Y1 MRR</t>
        </is>
      </c>
      <c r="B5" s="21">
        <f>Model!V16</f>
        <v/>
      </c>
    </row>
    <row r="6">
      <c r="A6" t="inlineStr">
        <is>
          <t>Live Y2 MRR</t>
        </is>
      </c>
      <c r="B6" s="9">
        <f>Model!V28</f>
        <v/>
      </c>
    </row>
    <row r="7">
      <c r="A7" t="inlineStr">
        <is>
          <t>Live Y2 ARR</t>
        </is>
      </c>
      <c r="B7" s="9">
        <f>Model!W28</f>
        <v/>
      </c>
    </row>
    <row r="8">
      <c r="A8" t="inlineStr">
        <is>
          <t>Live Y5 ARR</t>
        </is>
      </c>
      <c r="B8" s="9">
        <f>Model!W64</f>
        <v/>
      </c>
    </row>
    <row r="9">
      <c r="A9" t="inlineStr">
        <is>
          <t>Live Y5 Cash</t>
        </is>
      </c>
      <c r="B9" s="9">
        <f>Model!AO64</f>
        <v/>
      </c>
    </row>
    <row r="12">
      <c r="A12" s="60" t="inlineStr">
        <is>
          <t>Monthly Churn</t>
        </is>
      </c>
      <c r="B12" s="60" t="inlineStr">
        <is>
          <t>Y1 MRR</t>
        </is>
      </c>
      <c r="C12" s="60" t="inlineStr">
        <is>
          <t>Y1 Cust</t>
        </is>
      </c>
      <c r="D12" s="60" t="inlineStr">
        <is>
          <t>Y2 MRR</t>
        </is>
      </c>
      <c r="E12" s="60" t="inlineStr">
        <is>
          <t>Y2 ARR</t>
        </is>
      </c>
      <c r="F12" s="60" t="inlineStr">
        <is>
          <t>Y2 Cash</t>
        </is>
      </c>
      <c r="G12" s="60" t="inlineStr">
        <is>
          <t>Y5 ARR</t>
        </is>
      </c>
    </row>
    <row r="13">
      <c r="A13" s="61" t="n">
        <v>0.03</v>
      </c>
      <c r="B13" s="62">
        <f>'Scenario Engine'!EX$16</f>
        <v/>
      </c>
      <c r="C13" s="63">
        <f>'Scenario Engine'!EW$16</f>
        <v/>
      </c>
      <c r="D13" s="62">
        <f>'Scenario Engine'!EX$28</f>
        <v/>
      </c>
      <c r="E13" s="62">
        <f>'Scenario Engine'!EY$28</f>
        <v/>
      </c>
      <c r="F13" s="62">
        <f>'Scenario Engine'!FQ$28</f>
        <v/>
      </c>
      <c r="G13" s="62">
        <f>'Scenario Engine'!EY$64</f>
        <v/>
      </c>
    </row>
    <row r="14">
      <c r="A14" s="7" t="n">
        <v>0.035</v>
      </c>
      <c r="B14" s="9">
        <f>'Scenario Engine'!GP$16</f>
        <v/>
      </c>
      <c r="C14" s="19">
        <f>'Scenario Engine'!GO$16</f>
        <v/>
      </c>
      <c r="D14" s="9">
        <f>'Scenario Engine'!GP$28</f>
        <v/>
      </c>
      <c r="E14" s="9">
        <f>'Scenario Engine'!GQ$28</f>
        <v/>
      </c>
      <c r="F14" s="9">
        <f>'Scenario Engine'!HI$28</f>
        <v/>
      </c>
      <c r="G14" s="9">
        <f>'Scenario Engine'!GQ$64</f>
        <v/>
      </c>
    </row>
    <row r="15">
      <c r="A15" s="7" t="n">
        <v>0.04</v>
      </c>
      <c r="B15" s="9">
        <f>'Scenario Engine'!IH$16</f>
        <v/>
      </c>
      <c r="C15" s="19">
        <f>'Scenario Engine'!IG$16</f>
        <v/>
      </c>
      <c r="D15" s="9">
        <f>'Scenario Engine'!IH$28</f>
        <v/>
      </c>
      <c r="E15" s="9">
        <f>'Scenario Engine'!II$28</f>
        <v/>
      </c>
      <c r="F15" s="9">
        <f>'Scenario Engine'!JA$28</f>
        <v/>
      </c>
      <c r="G15" s="9">
        <f>'Scenario Engine'!II$64</f>
        <v/>
      </c>
    </row>
    <row r="16">
      <c r="A16" s="7" t="n">
        <v>0.045</v>
      </c>
      <c r="B16" s="9">
        <f>'Scenario Engine'!JZ$16</f>
        <v/>
      </c>
      <c r="C16" s="19">
        <f>'Scenario Engine'!JY$16</f>
        <v/>
      </c>
      <c r="D16" s="9">
        <f>'Scenario Engine'!JZ$28</f>
        <v/>
      </c>
      <c r="E16" s="9">
        <f>'Scenario Engine'!KA$28</f>
        <v/>
      </c>
      <c r="F16" s="9">
        <f>'Scenario Engine'!KS$28</f>
        <v/>
      </c>
      <c r="G16" s="9">
        <f>'Scenario Engine'!KA$64</f>
        <v/>
      </c>
    </row>
    <row r="17">
      <c r="A17" s="7" t="n">
        <v>0.05</v>
      </c>
      <c r="B17" s="9">
        <f>'Scenario Engine'!LR$16</f>
        <v/>
      </c>
      <c r="C17" s="19">
        <f>'Scenario Engine'!LQ$16</f>
        <v/>
      </c>
      <c r="D17" s="9">
        <f>'Scenario Engine'!LR$28</f>
        <v/>
      </c>
      <c r="E17" s="9">
        <f>'Scenario Engine'!LS$28</f>
        <v/>
      </c>
      <c r="F17" s="9">
        <f>'Scenario Engine'!MK$28</f>
        <v/>
      </c>
      <c r="G17" s="9">
        <f>'Scenario Engine'!LS$64</f>
        <v/>
      </c>
    </row>
    <row r="18">
      <c r="A18" s="7" t="n">
        <v>0.055</v>
      </c>
      <c r="B18" s="9">
        <f>'Scenario Engine'!NJ$16</f>
        <v/>
      </c>
      <c r="C18" s="19">
        <f>'Scenario Engine'!NI$16</f>
        <v/>
      </c>
      <c r="D18" s="9">
        <f>'Scenario Engine'!NJ$28</f>
        <v/>
      </c>
      <c r="E18" s="9">
        <f>'Scenario Engine'!NK$28</f>
        <v/>
      </c>
      <c r="F18" s="9">
        <f>'Scenario Engine'!OC$28</f>
        <v/>
      </c>
      <c r="G18" s="9">
        <f>'Scenario Engine'!NK$64</f>
        <v/>
      </c>
    </row>
    <row r="19">
      <c r="A19" s="7" t="n">
        <v>0.06</v>
      </c>
      <c r="B19" s="9">
        <f>'Scenario Engine'!PB$16</f>
        <v/>
      </c>
      <c r="C19" s="19">
        <f>'Scenario Engine'!PA$16</f>
        <v/>
      </c>
      <c r="D19" s="9">
        <f>'Scenario Engine'!PB$28</f>
        <v/>
      </c>
      <c r="E19" s="9">
        <f>'Scenario Engine'!PC$28</f>
        <v/>
      </c>
      <c r="F19" s="9">
        <f>'Scenario Engine'!PU$28</f>
        <v/>
      </c>
      <c r="G19" s="9">
        <f>'Scenario Engine'!PC$64</f>
        <v/>
      </c>
    </row>
    <row r="20">
      <c r="A20" s="7" t="n">
        <v>0.065</v>
      </c>
      <c r="B20" s="9">
        <f>'Scenario Engine'!QT$16</f>
        <v/>
      </c>
      <c r="C20" s="19">
        <f>'Scenario Engine'!QS$16</f>
        <v/>
      </c>
      <c r="D20" s="9">
        <f>'Scenario Engine'!QT$28</f>
        <v/>
      </c>
      <c r="E20" s="9">
        <f>'Scenario Engine'!QU$28</f>
        <v/>
      </c>
      <c r="F20" s="9">
        <f>'Scenario Engine'!RM$28</f>
        <v/>
      </c>
      <c r="G20" s="9">
        <f>'Scenario Engine'!QU$64</f>
        <v/>
      </c>
    </row>
    <row r="21">
      <c r="A21" s="7" t="n">
        <v>0.07000000000000001</v>
      </c>
      <c r="B21" s="9">
        <f>'Scenario Engine'!SL$16</f>
        <v/>
      </c>
      <c r="C21" s="19">
        <f>'Scenario Engine'!SK$16</f>
        <v/>
      </c>
      <c r="D21" s="9">
        <f>'Scenario Engine'!SL$28</f>
        <v/>
      </c>
      <c r="E21" s="9">
        <f>'Scenario Engine'!SM$28</f>
        <v/>
      </c>
      <c r="F21" s="9">
        <f>'Scenario Engine'!TE$28</f>
        <v/>
      </c>
      <c r="G21" s="9">
        <f>'Scenario Engine'!SM$64</f>
        <v/>
      </c>
    </row>
    <row r="22">
      <c r="A22" s="7" t="n">
        <v>0.07000000000000001</v>
      </c>
      <c r="B22" s="9">
        <f>'Scenario Engine'!KZ$16</f>
        <v/>
      </c>
      <c r="C22" s="19">
        <f>'Scenario Engine'!KY$16</f>
        <v/>
      </c>
      <c r="D22" s="9">
        <f>'Scenario Engine'!KZ$28</f>
        <v/>
      </c>
      <c r="E22" s="9">
        <f>'Scenario Engine'!LA$28</f>
        <v/>
      </c>
      <c r="F22" s="9">
        <f>'Scenario Engine'!LK$28</f>
        <v/>
      </c>
      <c r="G22" s="9">
        <f>'Scenario Engine'!LA$64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Plan Mix Sensitivity — full model engine</t>
        </is>
      </c>
    </row>
    <row r="2">
      <c r="A2" s="2" t="inlineStr">
        <is>
          <t>Edit mix % in column A (yellow).</t>
        </is>
      </c>
    </row>
    <row r="4">
      <c r="A4" s="3" t="inlineStr">
        <is>
          <t>Current (Inputs)</t>
        </is>
      </c>
      <c r="B4" s="20">
        <f>AnnualMix</f>
        <v/>
      </c>
    </row>
    <row r="7">
      <c r="A7" s="30" t="inlineStr">
        <is>
          <t>Annual Mix</t>
        </is>
      </c>
      <c r="B7" s="30" t="inlineStr">
        <is>
          <t>Y1 MRR</t>
        </is>
      </c>
      <c r="C7" s="30" t="inlineStr">
        <is>
          <t>Blended ARPU</t>
        </is>
      </c>
      <c r="D7" s="30" t="inlineStr">
        <is>
          <t>Y2 MRR</t>
        </is>
      </c>
      <c r="E7" s="30" t="inlineStr">
        <is>
          <t>Y2 ARR</t>
        </is>
      </c>
      <c r="F7" s="30" t="inlineStr">
        <is>
          <t>Y5 ARR</t>
        </is>
      </c>
      <c r="G7" s="30" t="inlineStr">
        <is>
          <t>Y5 Cash</t>
        </is>
      </c>
    </row>
    <row r="9">
      <c r="A9" s="6" t="n">
        <v>0.1</v>
      </c>
      <c r="B9" s="9">
        <f>'Scenario Engine'!UD$16</f>
        <v/>
      </c>
      <c r="C9" s="10">
        <f>IF('Scenario Engine'!UC$16&gt;0,'Scenario Engine'!UD$16/'Scenario Engine'!UC$16,0)</f>
        <v/>
      </c>
      <c r="D9" s="9">
        <f>'Scenario Engine'!UD$28</f>
        <v/>
      </c>
      <c r="E9" s="9">
        <f>'Scenario Engine'!UE$28</f>
        <v/>
      </c>
      <c r="F9" s="9">
        <f>'Scenario Engine'!UE$64</f>
        <v/>
      </c>
      <c r="G9" s="9">
        <f>'Scenario Engine'!UW$64</f>
        <v/>
      </c>
    </row>
    <row r="10">
      <c r="A10" s="6" t="n">
        <v>0.15</v>
      </c>
      <c r="B10" s="9">
        <f>'Scenario Engine'!VV$16</f>
        <v/>
      </c>
      <c r="C10" s="10">
        <f>IF('Scenario Engine'!VU$16&gt;0,'Scenario Engine'!VV$16/'Scenario Engine'!VU$16,0)</f>
        <v/>
      </c>
      <c r="D10" s="9">
        <f>'Scenario Engine'!VV$28</f>
        <v/>
      </c>
      <c r="E10" s="9">
        <f>'Scenario Engine'!VW$28</f>
        <v/>
      </c>
      <c r="F10" s="9">
        <f>'Scenario Engine'!VW$64</f>
        <v/>
      </c>
      <c r="G10" s="9">
        <f>'Scenario Engine'!WO$64</f>
        <v/>
      </c>
    </row>
    <row r="11">
      <c r="A11" s="6" t="n">
        <v>0.2</v>
      </c>
      <c r="B11" s="9">
        <f>'Scenario Engine'!XN$16</f>
        <v/>
      </c>
      <c r="C11" s="10">
        <f>IF('Scenario Engine'!XM$16&gt;0,'Scenario Engine'!XN$16/'Scenario Engine'!XM$16,0)</f>
        <v/>
      </c>
      <c r="D11" s="9">
        <f>'Scenario Engine'!XN$28</f>
        <v/>
      </c>
      <c r="E11" s="9">
        <f>'Scenario Engine'!XO$28</f>
        <v/>
      </c>
      <c r="F11" s="9">
        <f>'Scenario Engine'!XO$64</f>
        <v/>
      </c>
      <c r="G11" s="9">
        <f>'Scenario Engine'!YG$64</f>
        <v/>
      </c>
    </row>
    <row r="12">
      <c r="A12" s="6" t="n">
        <v>0.25</v>
      </c>
      <c r="B12" s="9">
        <f>'Scenario Engine'!ZF$16</f>
        <v/>
      </c>
      <c r="C12" s="10">
        <f>IF('Scenario Engine'!ZE$16&gt;0,'Scenario Engine'!ZF$16/'Scenario Engine'!ZE$16,0)</f>
        <v/>
      </c>
      <c r="D12" s="9">
        <f>'Scenario Engine'!ZF$28</f>
        <v/>
      </c>
      <c r="E12" s="9">
        <f>'Scenario Engine'!ZG$28</f>
        <v/>
      </c>
      <c r="F12" s="9">
        <f>'Scenario Engine'!ZG$64</f>
        <v/>
      </c>
      <c r="G12" s="9">
        <f>'Scenario Engine'!ZY$64</f>
        <v/>
      </c>
    </row>
    <row r="13">
      <c r="A13" s="6" t="n">
        <v>0.3</v>
      </c>
      <c r="B13" s="9">
        <f>'Scenario Engine'!AAX$16</f>
        <v/>
      </c>
      <c r="C13" s="10">
        <f>IF('Scenario Engine'!AAW$16&gt;0,'Scenario Engine'!AAX$16/'Scenario Engine'!AAW$16,0)</f>
        <v/>
      </c>
      <c r="D13" s="9">
        <f>'Scenario Engine'!AAX$28</f>
        <v/>
      </c>
      <c r="E13" s="9">
        <f>'Scenario Engine'!AAY$28</f>
        <v/>
      </c>
      <c r="F13" s="9">
        <f>'Scenario Engine'!AAY$64</f>
        <v/>
      </c>
      <c r="G13" s="9">
        <f>'Scenario Engine'!ABQ$64</f>
        <v/>
      </c>
    </row>
    <row r="14">
      <c r="A14" s="6" t="n">
        <v>0.35</v>
      </c>
      <c r="B14" s="9">
        <f>'Scenario Engine'!ACP$16</f>
        <v/>
      </c>
      <c r="C14" s="10">
        <f>IF('Scenario Engine'!ACO$16&gt;0,'Scenario Engine'!ACP$16/'Scenario Engine'!ACO$16,0)</f>
        <v/>
      </c>
      <c r="D14" s="9">
        <f>'Scenario Engine'!ACP$28</f>
        <v/>
      </c>
      <c r="E14" s="9">
        <f>'Scenario Engine'!ACQ$28</f>
        <v/>
      </c>
      <c r="F14" s="9">
        <f>'Scenario Engine'!ACQ$64</f>
        <v/>
      </c>
      <c r="G14" s="9">
        <f>'Scenario Engine'!ADI$64</f>
        <v/>
      </c>
    </row>
    <row r="15">
      <c r="A15" s="6" t="n">
        <v>0.4</v>
      </c>
      <c r="B15" s="9">
        <f>'Scenario Engine'!AEH$16</f>
        <v/>
      </c>
      <c r="C15" s="10">
        <f>IF('Scenario Engine'!AEG$16&gt;0,'Scenario Engine'!AEH$16/'Scenario Engine'!AEG$16,0)</f>
        <v/>
      </c>
      <c r="D15" s="9">
        <f>'Scenario Engine'!AEH$28</f>
        <v/>
      </c>
      <c r="E15" s="9">
        <f>'Scenario Engine'!AEI$28</f>
        <v/>
      </c>
      <c r="F15" s="9">
        <f>'Scenario Engine'!AEI$64</f>
        <v/>
      </c>
      <c r="G15" s="9">
        <f>'Scenario Engine'!AFA$64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 Sensitivity — full model engine (home services benchmarks)</t>
        </is>
      </c>
    </row>
    <row r="2">
      <c r="A2" s="2" t="inlineStr">
        <is>
          <t>Edit CAC in column A (yellow). Sweep spans optimistic (£40) to conservative (£120).</t>
        </is>
      </c>
    </row>
    <row r="4">
      <c r="A4" s="3" t="inlineStr">
        <is>
          <t>Current (Inputs)</t>
        </is>
      </c>
      <c r="B4" s="21">
        <f>CAC</f>
        <v/>
      </c>
    </row>
    <row r="7">
      <c r="A7" s="30" t="inlineStr">
        <is>
          <t>CAC (£)</t>
        </is>
      </c>
      <c r="B7" s="30" t="inlineStr">
        <is>
          <t>Y1 New Cust</t>
        </is>
      </c>
      <c r="C7" s="30" t="inlineStr">
        <is>
          <t>Y1 End Cust</t>
        </is>
      </c>
      <c r="D7" s="30" t="inlineStr">
        <is>
          <t>Y1 MRR</t>
        </is>
      </c>
      <c r="E7" s="30" t="inlineStr">
        <is>
          <t>Y2 MRR</t>
        </is>
      </c>
      <c r="F7" s="30" t="inlineStr">
        <is>
          <t>Y2 Cash</t>
        </is>
      </c>
      <c r="G7" s="30" t="inlineStr">
        <is>
          <t>Y5 Cash</t>
        </is>
      </c>
    </row>
    <row r="9">
      <c r="A9" s="4" t="n">
        <v>40</v>
      </c>
      <c r="B9" s="19">
        <f>SUM('Scenario Engine'!AFL$5:'Scenario Engine'!AFL$16)</f>
        <v/>
      </c>
      <c r="C9" s="19">
        <f>'Scenario Engine'!AFY$16</f>
        <v/>
      </c>
      <c r="D9" s="9">
        <f>'Scenario Engine'!AFZ$16</f>
        <v/>
      </c>
      <c r="E9" s="9">
        <f>'Scenario Engine'!AFZ$28</f>
        <v/>
      </c>
      <c r="F9" s="9">
        <f>'Scenario Engine'!AGS$28</f>
        <v/>
      </c>
      <c r="G9" s="9">
        <f>'Scenario Engine'!AGS$64</f>
        <v/>
      </c>
    </row>
    <row r="10">
      <c r="A10" s="4" t="n">
        <v>50</v>
      </c>
      <c r="B10" s="19">
        <f>SUM('Scenario Engine'!AHD$5:'Scenario Engine'!AHD$16)</f>
        <v/>
      </c>
      <c r="C10" s="19">
        <f>'Scenario Engine'!AHQ$16</f>
        <v/>
      </c>
      <c r="D10" s="9">
        <f>'Scenario Engine'!AHR$16</f>
        <v/>
      </c>
      <c r="E10" s="9">
        <f>'Scenario Engine'!AHR$28</f>
        <v/>
      </c>
      <c r="F10" s="9">
        <f>'Scenario Engine'!AIK$28</f>
        <v/>
      </c>
      <c r="G10" s="9">
        <f>'Scenario Engine'!AIK$64</f>
        <v/>
      </c>
    </row>
    <row r="11">
      <c r="A11" s="4" t="n">
        <v>60</v>
      </c>
      <c r="B11" s="19">
        <f>SUM('Scenario Engine'!AIV$5:'Scenario Engine'!AIV$16)</f>
        <v/>
      </c>
      <c r="C11" s="19">
        <f>'Scenario Engine'!AJI$16</f>
        <v/>
      </c>
      <c r="D11" s="9">
        <f>'Scenario Engine'!AJJ$16</f>
        <v/>
      </c>
      <c r="E11" s="9">
        <f>'Scenario Engine'!AJJ$28</f>
        <v/>
      </c>
      <c r="F11" s="9">
        <f>'Scenario Engine'!AKC$28</f>
        <v/>
      </c>
      <c r="G11" s="9">
        <f>'Scenario Engine'!AKC$64</f>
        <v/>
      </c>
    </row>
    <row r="12">
      <c r="A12" s="4" t="n">
        <v>70</v>
      </c>
      <c r="B12" s="19">
        <f>SUM('Scenario Engine'!AKN$5:'Scenario Engine'!AKN$16)</f>
        <v/>
      </c>
      <c r="C12" s="19">
        <f>'Scenario Engine'!ALA$16</f>
        <v/>
      </c>
      <c r="D12" s="9">
        <f>'Scenario Engine'!ALB$16</f>
        <v/>
      </c>
      <c r="E12" s="9">
        <f>'Scenario Engine'!ALB$28</f>
        <v/>
      </c>
      <c r="F12" s="9">
        <f>'Scenario Engine'!ALU$28</f>
        <v/>
      </c>
      <c r="G12" s="9">
        <f>'Scenario Engine'!ALU$64</f>
        <v/>
      </c>
    </row>
    <row r="13">
      <c r="A13" s="4" t="n">
        <v>80</v>
      </c>
      <c r="B13" s="19">
        <f>SUM('Scenario Engine'!AMF$5:'Scenario Engine'!AMF$16)</f>
        <v/>
      </c>
      <c r="C13" s="19">
        <f>'Scenario Engine'!AMS$16</f>
        <v/>
      </c>
      <c r="D13" s="9">
        <f>'Scenario Engine'!AMT$16</f>
        <v/>
      </c>
      <c r="E13" s="9">
        <f>'Scenario Engine'!AMT$28</f>
        <v/>
      </c>
      <c r="F13" s="9">
        <f>'Scenario Engine'!ANM$28</f>
        <v/>
      </c>
      <c r="G13" s="9">
        <f>'Scenario Engine'!ANM$64</f>
        <v/>
      </c>
    </row>
    <row r="14">
      <c r="A14" s="4" t="n">
        <v>100</v>
      </c>
      <c r="B14" s="19">
        <f>SUM('Scenario Engine'!ANX$5:'Scenario Engine'!ANX$16)</f>
        <v/>
      </c>
      <c r="C14" s="19">
        <f>'Scenario Engine'!AOK$16</f>
        <v/>
      </c>
      <c r="D14" s="9">
        <f>'Scenario Engine'!AOL$16</f>
        <v/>
      </c>
      <c r="E14" s="9">
        <f>'Scenario Engine'!AOL$28</f>
        <v/>
      </c>
      <c r="F14" s="9">
        <f>'Scenario Engine'!APE$28</f>
        <v/>
      </c>
      <c r="G14" s="9">
        <f>'Scenario Engine'!APE$64</f>
        <v/>
      </c>
    </row>
    <row r="15">
      <c r="A15" s="4" t="n">
        <v>120</v>
      </c>
      <c r="B15" s="19">
        <f>SUM('Scenario Engine'!APP$5:'Scenario Engine'!APP$16)</f>
        <v/>
      </c>
      <c r="C15" s="19">
        <f>'Scenario Engine'!AQC$16</f>
        <v/>
      </c>
      <c r="D15" s="9">
        <f>'Scenario Engine'!AQD$16</f>
        <v/>
      </c>
      <c r="E15" s="9">
        <f>'Scenario Engine'!AQD$28</f>
        <v/>
      </c>
      <c r="F15" s="9">
        <f>'Scenario Engine'!AQW$28</f>
        <v/>
      </c>
      <c r="G15" s="9">
        <f>'Scenario Engine'!AQW$64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Winter Pivot — Property Care Scenario (gutter, leaf, patio)</t>
        </is>
      </c>
    </row>
    <row r="2">
      <c r="A2" s="2" t="inlineStr">
        <is>
          <t>Compares base garden seasonality vs year-round property care. Edit yellow cells. Pivot seasonality: Inputs cols E &amp; F.</t>
        </is>
      </c>
    </row>
    <row r="4">
      <c r="A4" s="3" t="inlineStr">
        <is>
          <t>SCENARIO ASSUMPTIONS</t>
        </is>
      </c>
    </row>
    <row r="5">
      <c r="A5" t="inlineStr">
        <is>
          <t>Positioning</t>
        </is>
      </c>
      <c r="B5" t="inlineStr">
        <is>
          <t>Year-round property care subscription (mowing pauses Dec–Feb; gutter, leaf &amp; patio included on Premium)</t>
        </is>
      </c>
    </row>
    <row r="6">
      <c r="A6" t="inlineStr">
        <is>
          <t>Essential tier mix</t>
        </is>
      </c>
      <c r="B6" s="67" t="n">
        <v>0.65</v>
      </c>
    </row>
    <row r="7">
      <c r="A7" t="inlineStr">
        <is>
          <t>Premium price uplift (£/mo)</t>
        </is>
      </c>
      <c r="B7" s="68" t="n">
        <v>10</v>
      </c>
    </row>
    <row r="8">
      <c r="A8" t="inlineStr">
        <is>
          <t>Same as base</t>
        </is>
      </c>
      <c r="B8" t="inlineStr">
        <is>
          <t>CAC, churn rates, marketing &amp; pricing otherwise from Inputs</t>
        </is>
      </c>
    </row>
    <row r="11">
      <c r="A11" s="3" t="inlineStr">
        <is>
          <t>SEASONALITY COMPARISON (calendar month)</t>
        </is>
      </c>
    </row>
    <row r="12">
      <c r="A12" s="22" t="inlineStr">
        <is>
          <t>Month</t>
        </is>
      </c>
      <c r="B12" s="22" t="inlineStr">
        <is>
          <t>Base acq</t>
        </is>
      </c>
      <c r="C12" s="22" t="inlineStr">
        <is>
          <t>Pivot acq</t>
        </is>
      </c>
      <c r="D12" s="22" t="inlineStr">
        <is>
          <t>Δ acq</t>
        </is>
      </c>
      <c r="E12" s="22" t="inlineStr">
        <is>
          <t>Base churn×</t>
        </is>
      </c>
      <c r="F12" s="22" t="inlineStr">
        <is>
          <t>Pivot churn×</t>
        </is>
      </c>
      <c r="G12" s="22" t="inlineStr">
        <is>
          <t>Δ churn</t>
        </is>
      </c>
    </row>
    <row r="13">
      <c r="A13" s="12" t="inlineStr">
        <is>
          <t>Jan</t>
        </is>
      </c>
      <c r="B13" s="59">
        <f>Inputs!B55</f>
        <v/>
      </c>
      <c r="C13" s="59">
        <f>Inputs!E55</f>
        <v/>
      </c>
      <c r="D13" s="12">
        <f>C13-B13</f>
        <v/>
      </c>
      <c r="E13" s="59">
        <f>Inputs!D55</f>
        <v/>
      </c>
      <c r="F13" s="59">
        <f>Inputs!F55</f>
        <v/>
      </c>
      <c r="G13" s="12">
        <f>F13-E13</f>
        <v/>
      </c>
    </row>
    <row r="14">
      <c r="A14" s="12" t="inlineStr">
        <is>
          <t>Feb</t>
        </is>
      </c>
      <c r="B14" s="59">
        <f>Inputs!B56</f>
        <v/>
      </c>
      <c r="C14" s="59">
        <f>Inputs!E56</f>
        <v/>
      </c>
      <c r="D14" s="12">
        <f>C14-B14</f>
        <v/>
      </c>
      <c r="E14" s="59">
        <f>Inputs!D56</f>
        <v/>
      </c>
      <c r="F14" s="59">
        <f>Inputs!F56</f>
        <v/>
      </c>
      <c r="G14" s="12">
        <f>F14-E14</f>
        <v/>
      </c>
    </row>
    <row r="15">
      <c r="A15" s="12" t="inlineStr">
        <is>
          <t>Mar</t>
        </is>
      </c>
      <c r="B15" s="59">
        <f>Inputs!B57</f>
        <v/>
      </c>
      <c r="C15" s="59">
        <f>Inputs!E57</f>
        <v/>
      </c>
      <c r="D15" s="12">
        <f>C15-B15</f>
        <v/>
      </c>
      <c r="E15" s="59">
        <f>Inputs!D57</f>
        <v/>
      </c>
      <c r="F15" s="59">
        <f>Inputs!F57</f>
        <v/>
      </c>
      <c r="G15" s="12">
        <f>F15-E15</f>
        <v/>
      </c>
    </row>
    <row r="16">
      <c r="A16" s="12" t="inlineStr">
        <is>
          <t>Apr</t>
        </is>
      </c>
      <c r="B16" s="59">
        <f>Inputs!B58</f>
        <v/>
      </c>
      <c r="C16" s="59">
        <f>Inputs!E58</f>
        <v/>
      </c>
      <c r="D16" s="12">
        <f>C16-B16</f>
        <v/>
      </c>
      <c r="E16" s="59">
        <f>Inputs!D58</f>
        <v/>
      </c>
      <c r="F16" s="59">
        <f>Inputs!F58</f>
        <v/>
      </c>
      <c r="G16" s="12">
        <f>F16-E16</f>
        <v/>
      </c>
    </row>
    <row r="17">
      <c r="A17" s="12" t="inlineStr">
        <is>
          <t>May</t>
        </is>
      </c>
      <c r="B17" s="59">
        <f>Inputs!B59</f>
        <v/>
      </c>
      <c r="C17" s="59">
        <f>Inputs!E59</f>
        <v/>
      </c>
      <c r="D17" s="12">
        <f>C17-B17</f>
        <v/>
      </c>
      <c r="E17" s="59">
        <f>Inputs!D59</f>
        <v/>
      </c>
      <c r="F17" s="59">
        <f>Inputs!F59</f>
        <v/>
      </c>
      <c r="G17" s="12">
        <f>F17-E17</f>
        <v/>
      </c>
    </row>
    <row r="18">
      <c r="A18" s="12" t="inlineStr">
        <is>
          <t>Jun</t>
        </is>
      </c>
      <c r="B18" s="59">
        <f>Inputs!B60</f>
        <v/>
      </c>
      <c r="C18" s="59">
        <f>Inputs!E60</f>
        <v/>
      </c>
      <c r="D18" s="12">
        <f>C18-B18</f>
        <v/>
      </c>
      <c r="E18" s="59">
        <f>Inputs!D60</f>
        <v/>
      </c>
      <c r="F18" s="59">
        <f>Inputs!F60</f>
        <v/>
      </c>
      <c r="G18" s="12">
        <f>F18-E18</f>
        <v/>
      </c>
    </row>
    <row r="19">
      <c r="A19" s="12" t="inlineStr">
        <is>
          <t>Jul</t>
        </is>
      </c>
      <c r="B19" s="59">
        <f>Inputs!B61</f>
        <v/>
      </c>
      <c r="C19" s="59">
        <f>Inputs!E61</f>
        <v/>
      </c>
      <c r="D19" s="12">
        <f>C19-B19</f>
        <v/>
      </c>
      <c r="E19" s="59">
        <f>Inputs!D61</f>
        <v/>
      </c>
      <c r="F19" s="59">
        <f>Inputs!F61</f>
        <v/>
      </c>
      <c r="G19" s="12">
        <f>F19-E19</f>
        <v/>
      </c>
    </row>
    <row r="20">
      <c r="A20" s="12" t="inlineStr">
        <is>
          <t>Aug</t>
        </is>
      </c>
      <c r="B20" s="59">
        <f>Inputs!B62</f>
        <v/>
      </c>
      <c r="C20" s="59">
        <f>Inputs!E62</f>
        <v/>
      </c>
      <c r="D20" s="12">
        <f>C20-B20</f>
        <v/>
      </c>
      <c r="E20" s="59">
        <f>Inputs!D62</f>
        <v/>
      </c>
      <c r="F20" s="59">
        <f>Inputs!F62</f>
        <v/>
      </c>
      <c r="G20" s="12">
        <f>F20-E20</f>
        <v/>
      </c>
    </row>
    <row r="21">
      <c r="A21" s="12" t="inlineStr">
        <is>
          <t>Sep</t>
        </is>
      </c>
      <c r="B21" s="59">
        <f>Inputs!B63</f>
        <v/>
      </c>
      <c r="C21" s="59">
        <f>Inputs!E63</f>
        <v/>
      </c>
      <c r="D21" s="12">
        <f>C21-B21</f>
        <v/>
      </c>
      <c r="E21" s="59">
        <f>Inputs!D63</f>
        <v/>
      </c>
      <c r="F21" s="59">
        <f>Inputs!F63</f>
        <v/>
      </c>
      <c r="G21" s="12">
        <f>F21-E21</f>
        <v/>
      </c>
    </row>
    <row r="22">
      <c r="A22" s="12" t="inlineStr">
        <is>
          <t>Oct</t>
        </is>
      </c>
      <c r="B22" s="59">
        <f>Inputs!B64</f>
        <v/>
      </c>
      <c r="C22" s="59">
        <f>Inputs!E64</f>
        <v/>
      </c>
      <c r="D22" s="12">
        <f>C22-B22</f>
        <v/>
      </c>
      <c r="E22" s="59">
        <f>Inputs!D64</f>
        <v/>
      </c>
      <c r="F22" s="59">
        <f>Inputs!F64</f>
        <v/>
      </c>
      <c r="G22" s="12">
        <f>F22-E22</f>
        <v/>
      </c>
    </row>
    <row r="23">
      <c r="A23" s="12" t="inlineStr">
        <is>
          <t>Nov</t>
        </is>
      </c>
      <c r="B23" s="59">
        <f>Inputs!B65</f>
        <v/>
      </c>
      <c r="C23" s="59">
        <f>Inputs!E65</f>
        <v/>
      </c>
      <c r="D23" s="12">
        <f>C23-B23</f>
        <v/>
      </c>
      <c r="E23" s="59">
        <f>Inputs!D65</f>
        <v/>
      </c>
      <c r="F23" s="59">
        <f>Inputs!F65</f>
        <v/>
      </c>
      <c r="G23" s="12">
        <f>F23-E23</f>
        <v/>
      </c>
    </row>
    <row r="24">
      <c r="A24" s="12" t="inlineStr">
        <is>
          <t>Dec</t>
        </is>
      </c>
      <c r="B24" s="59">
        <f>Inputs!B66</f>
        <v/>
      </c>
      <c r="C24" s="59">
        <f>Inputs!E66</f>
        <v/>
      </c>
      <c r="D24" s="12">
        <f>C24-B24</f>
        <v/>
      </c>
      <c r="E24" s="59">
        <f>Inputs!D66</f>
        <v/>
      </c>
      <c r="F24" s="59">
        <f>Inputs!F66</f>
        <v/>
      </c>
      <c r="G24" s="12">
        <f>F24-E24</f>
        <v/>
      </c>
    </row>
    <row r="27">
      <c r="A27" s="3" t="inlineStr">
        <is>
          <t>OUTPUT COMPARISON — Base vs Winter Pivot (full model engine)</t>
        </is>
      </c>
    </row>
    <row r="28">
      <c r="A28" s="2" t="inlineStr">
        <is>
          <t>Base = standard seasonality (Inputs cols B &amp; D). Winter Pivot = cols E &amp; F + Premium property care bundle.</t>
        </is>
      </c>
    </row>
    <row r="30">
      <c r="A30" s="69" t="inlineStr">
        <is>
          <t>Metric</t>
        </is>
      </c>
      <c r="B30" s="69" t="inlineStr">
        <is>
          <t>Base</t>
        </is>
      </c>
      <c r="C30" s="69" t="inlineStr">
        <is>
          <t>Winter Pivot</t>
        </is>
      </c>
      <c r="D30" s="69" t="inlineStr">
        <is>
          <t>Delta</t>
        </is>
      </c>
    </row>
    <row r="31">
      <c r="A31" t="inlineStr">
        <is>
          <t>End Year 1 — Customers</t>
        </is>
      </c>
      <c r="B31" s="70">
        <f>'Scenario Engine'!BM$16</f>
        <v/>
      </c>
      <c r="C31" s="70">
        <f>'Scenario Engine'!ARU$16</f>
        <v/>
      </c>
      <c r="D31" s="70">
        <f>C31-B31</f>
        <v/>
      </c>
    </row>
    <row r="32">
      <c r="A32" t="inlineStr">
        <is>
          <t>End Year 1 — MRR (£)</t>
        </is>
      </c>
      <c r="B32" s="21">
        <f>'Scenario Engine'!BN$16</f>
        <v/>
      </c>
      <c r="C32" s="21">
        <f>'Scenario Engine'!ARV$16</f>
        <v/>
      </c>
      <c r="D32" s="21">
        <f>C32-B32</f>
        <v/>
      </c>
    </row>
    <row r="33">
      <c r="A33" t="inlineStr">
        <is>
          <t>End Year 1 — ARR (£)</t>
        </is>
      </c>
      <c r="B33" s="21">
        <f>'Scenario Engine'!BO$16</f>
        <v/>
      </c>
      <c r="C33" s="21">
        <f>'Scenario Engine'!ARW$16</f>
        <v/>
      </c>
      <c r="D33" s="21">
        <f>C33-B33</f>
        <v/>
      </c>
    </row>
    <row r="34">
      <c r="A34" t="inlineStr">
        <is>
          <t>End Year 1 — Cash (£)</t>
        </is>
      </c>
      <c r="B34" s="21">
        <f>'Scenario Engine'!CG$16</f>
        <v/>
      </c>
      <c r="C34" s="21">
        <f>'Scenario Engine'!ASO$16</f>
        <v/>
      </c>
      <c r="D34" s="21">
        <f>C34-B34</f>
        <v/>
      </c>
    </row>
    <row r="35">
      <c r="A35" t="inlineStr">
        <is>
          <t>Year 1 — Gross Revenue (£)</t>
        </is>
      </c>
      <c r="B35" s="21">
        <f>SUM('Scenario Engine'!BS$5:'Scenario Engine'!BS$16)</f>
        <v/>
      </c>
      <c r="C35" s="21">
        <f>SUM('Scenario Engine'!ASA$5:'Scenario Engine'!ASA$16)</f>
        <v/>
      </c>
      <c r="D35" s="21">
        <f>C35-B35</f>
        <v/>
      </c>
    </row>
    <row r="36">
      <c r="A36" t="inlineStr">
        <is>
          <t>Year 1 — Profit (£)</t>
        </is>
      </c>
      <c r="B36" s="21">
        <f>SUM('Scenario Engine'!CF$5:'Scenario Engine'!CF$16)</f>
        <v/>
      </c>
      <c r="C36" s="21">
        <f>SUM('Scenario Engine'!ASN$5:'Scenario Engine'!ASN$16)</f>
        <v/>
      </c>
      <c r="D36" s="21">
        <f>C36-B36</f>
        <v/>
      </c>
    </row>
    <row r="37">
      <c r="A37" t="inlineStr">
        <is>
          <t>End Year 2 — Customers</t>
        </is>
      </c>
      <c r="B37" s="70">
        <f>'Scenario Engine'!BM$28</f>
        <v/>
      </c>
      <c r="C37" s="70">
        <f>'Scenario Engine'!ARU$28</f>
        <v/>
      </c>
      <c r="D37" s="70">
        <f>C37-B37</f>
        <v/>
      </c>
    </row>
    <row r="38">
      <c r="A38" t="inlineStr">
        <is>
          <t>End Year 2 — MRR (£)</t>
        </is>
      </c>
      <c r="B38" s="21">
        <f>'Scenario Engine'!BN$28</f>
        <v/>
      </c>
      <c r="C38" s="21">
        <f>'Scenario Engine'!ARV$28</f>
        <v/>
      </c>
      <c r="D38" s="21">
        <f>C38-B38</f>
        <v/>
      </c>
    </row>
    <row r="39">
      <c r="A39" t="inlineStr">
        <is>
          <t>End Year 2 — Cash (£)</t>
        </is>
      </c>
      <c r="B39" s="21">
        <f>'Scenario Engine'!CG$28</f>
        <v/>
      </c>
      <c r="C39" s="21">
        <f>'Scenario Engine'!ASO$28</f>
        <v/>
      </c>
      <c r="D39" s="21">
        <f>C39-B39</f>
        <v/>
      </c>
    </row>
    <row r="40">
      <c r="A40" t="inlineStr">
        <is>
          <t>End Year 5 — Customers</t>
        </is>
      </c>
      <c r="B40" s="70">
        <f>'Scenario Engine'!BM$64</f>
        <v/>
      </c>
      <c r="C40" s="70">
        <f>'Scenario Engine'!ARU$64</f>
        <v/>
      </c>
      <c r="D40" s="70">
        <f>C40-B40</f>
        <v/>
      </c>
    </row>
    <row r="41">
      <c r="A41" t="inlineStr">
        <is>
          <t>End Year 5 — MRR (£)</t>
        </is>
      </c>
      <c r="B41" s="21">
        <f>'Scenario Engine'!BN$64</f>
        <v/>
      </c>
      <c r="C41" s="21">
        <f>'Scenario Engine'!ARV$64</f>
        <v/>
      </c>
      <c r="D41" s="21">
        <f>C41-B41</f>
        <v/>
      </c>
    </row>
    <row r="42">
      <c r="A42" t="inlineStr">
        <is>
          <t>End Year 5 — Cash (£)</t>
        </is>
      </c>
      <c r="B42" s="21">
        <f>'Scenario Engine'!CG$64</f>
        <v/>
      </c>
      <c r="C42" s="21">
        <f>'Scenario Engine'!ASO$64</f>
        <v/>
      </c>
      <c r="D42" s="21">
        <f>C42-B42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60-Month Model — hover row 4 headers for column descriptions</t>
        </is>
      </c>
    </row>
    <row r="2">
      <c r="A2" s="2" t="inlineStr">
        <is>
          <t>Hover any column header in row 4 for a full description.</t>
        </is>
      </c>
    </row>
    <row r="4">
      <c r="A4" s="22" t="inlineStr">
        <is>
          <t>Mo</t>
        </is>
      </c>
      <c r="B4" s="22" t="inlineStr">
        <is>
          <t>Cal</t>
        </is>
      </c>
      <c r="C4" s="22" t="inlineStr">
        <is>
          <t>CY</t>
        </is>
      </c>
      <c r="D4" s="22" t="inlineStr">
        <is>
          <t>Acq</t>
        </is>
      </c>
      <c r="E4" s="22" t="inlineStr">
        <is>
          <t>Infl</t>
        </is>
      </c>
      <c r="F4" s="22" t="inlineStr">
        <is>
          <t>ECh</t>
        </is>
      </c>
      <c r="G4" s="22" t="inlineStr">
        <is>
          <t>Mkt</t>
        </is>
      </c>
      <c r="H4" s="22" t="inlineStr">
        <is>
          <t>Paid</t>
        </is>
      </c>
      <c r="I4" s="22" t="inlineStr">
        <is>
          <t>Ref</t>
        </is>
      </c>
      <c r="J4" s="22" t="inlineStr">
        <is>
          <t>Tot</t>
        </is>
      </c>
      <c r="K4" s="22" t="inlineStr">
        <is>
          <t>NMo</t>
        </is>
      </c>
      <c r="L4" s="22" t="inlineStr">
        <is>
          <t>NAn</t>
        </is>
      </c>
      <c r="M4" s="22" t="inlineStr">
        <is>
          <t>NEsM</t>
        </is>
      </c>
      <c r="N4" s="22" t="inlineStr">
        <is>
          <t>NPrM</t>
        </is>
      </c>
      <c r="O4" s="22" t="inlineStr">
        <is>
          <t>NEsA</t>
        </is>
      </c>
      <c r="P4" s="22" t="inlineStr">
        <is>
          <t>NPrA</t>
        </is>
      </c>
      <c r="Q4" s="22" t="inlineStr">
        <is>
          <t>AEsM</t>
        </is>
      </c>
      <c r="R4" s="22" t="inlineStr">
        <is>
          <t>APrM</t>
        </is>
      </c>
      <c r="S4" s="22" t="inlineStr">
        <is>
          <t>AEsA</t>
        </is>
      </c>
      <c r="T4" s="22" t="inlineStr">
        <is>
          <t>APrA</t>
        </is>
      </c>
      <c r="U4" s="22" t="inlineStr">
        <is>
          <t>Cust</t>
        </is>
      </c>
      <c r="V4" s="22" t="inlineStr">
        <is>
          <t>MRR</t>
        </is>
      </c>
      <c r="W4" s="22" t="inlineStr">
        <is>
          <t>ARR</t>
        </is>
      </c>
      <c r="X4" s="22" t="inlineStr">
        <is>
          <t>Mo$</t>
        </is>
      </c>
      <c r="Y4" s="22" t="inlineStr">
        <is>
          <t>NwAn</t>
        </is>
      </c>
      <c r="Z4" s="22" t="inlineStr">
        <is>
          <t>Ren</t>
        </is>
      </c>
      <c r="AA4" s="22" t="inlineStr">
        <is>
          <t>Gross</t>
        </is>
      </c>
      <c r="AB4" s="22" t="inlineStr">
        <is>
          <t>R12</t>
        </is>
      </c>
      <c r="AC4" s="22" t="inlineStr">
        <is>
          <t>VAT</t>
        </is>
      </c>
      <c r="AD4" s="22" t="inlineStr">
        <is>
          <t>Net</t>
        </is>
      </c>
      <c r="AE4" s="22" t="inlineStr">
        <is>
          <t>VAcc</t>
        </is>
      </c>
      <c r="AF4" s="22" t="inlineStr">
        <is>
          <t>VPay</t>
        </is>
      </c>
      <c r="AG4" s="22" t="inlineStr">
        <is>
          <t>VBal</t>
        </is>
      </c>
      <c r="AH4" s="22" t="inlineStr">
        <is>
          <t>Prov</t>
        </is>
      </c>
      <c r="AI4" s="22" t="inlineStr">
        <is>
          <t>Fee</t>
        </is>
      </c>
      <c r="AJ4" s="22" t="inlineStr">
        <is>
          <t>Ops</t>
        </is>
      </c>
      <c r="AK4" s="22" t="inlineStr">
        <is>
          <t>Fix</t>
        </is>
      </c>
      <c r="AL4" s="22" t="inlineStr">
        <is>
          <t>Ref$</t>
        </is>
      </c>
      <c r="AM4" s="22" t="inlineStr">
        <is>
          <t>Mkt</t>
        </is>
      </c>
      <c r="AN4" s="22" t="inlineStr">
        <is>
          <t>Pft</t>
        </is>
      </c>
      <c r="AO4" s="22" t="inlineStr">
        <is>
          <t>Cash</t>
        </is>
      </c>
      <c r="AP4" s="22" t="inlineStr">
        <is>
          <t>ARPU</t>
        </is>
      </c>
      <c r="AQ4" s="22" t="inlineStr">
        <is>
          <t>Chrn</t>
        </is>
      </c>
    </row>
    <row r="5">
      <c r="A5" s="12" t="n">
        <v>1</v>
      </c>
      <c r="B5" s="12">
        <f>MOD(A5-1+LaunchMonth-1,12)+1</f>
        <v/>
      </c>
      <c r="C5" s="12">
        <f>INT((A5-1+LaunchMonth-1)/12)+1</f>
        <v/>
      </c>
      <c r="D5" s="12">
        <f>VLOOKUP(B5,SeasonTable,2,FALSE)</f>
        <v/>
      </c>
      <c r="E5" s="12">
        <f>(1+InflationRate)^INT((A5-1)/12)</f>
        <v/>
      </c>
      <c r="F5" s="11">
        <f>MonthlyChurn*VLOOKUP(B5,ChurnSeasonTable,4,FALSE)</f>
        <v/>
      </c>
      <c r="G5" s="12">
        <f>MktFixed1_3</f>
        <v/>
      </c>
      <c r="H5" s="12">
        <f>IF(G5&gt;0,MAX(1,ROUND(G5/CAC*D5,0)),0)</f>
        <v/>
      </c>
      <c r="I5" s="12">
        <f>IF(H5&gt;0,ROUND(H5*ReferralMix/(1-ReferralMix),0),0)</f>
        <v/>
      </c>
      <c r="J5" s="12">
        <f>H5+I5</f>
        <v/>
      </c>
      <c r="K5" s="12">
        <f>ROUND(J5*(1-AnnualMix),0)</f>
        <v/>
      </c>
      <c r="L5" s="12">
        <f>J5-K5</f>
        <v/>
      </c>
      <c r="M5" s="12">
        <f>ROUND(K5*EssentialMix,0)</f>
        <v/>
      </c>
      <c r="N5" s="12">
        <f>K5-M5</f>
        <v/>
      </c>
      <c r="O5" s="12">
        <f>ROUND(L5*EssentialMix,0)</f>
        <v/>
      </c>
      <c r="P5" s="12">
        <f>L5-O5</f>
        <v/>
      </c>
      <c r="Q5" s="12">
        <f>M5</f>
        <v/>
      </c>
      <c r="R5" s="12">
        <f>N5</f>
        <v/>
      </c>
      <c r="S5" s="12">
        <f>O5</f>
        <v/>
      </c>
      <c r="T5" s="12">
        <f>P5</f>
        <v/>
      </c>
      <c r="U5" s="12">
        <f>Q5+R5+S5+T5</f>
        <v/>
      </c>
      <c r="V5" s="9">
        <f>Q5*PriceEssMonthly*E5+R5*PricePremMonthly*E5+S5*PriceEssAnnual*E5/12+T5*PricePremAnnual*E5/12</f>
        <v/>
      </c>
      <c r="W5" s="9">
        <f>V5*12</f>
        <v/>
      </c>
      <c r="X5" s="12">
        <f>Q5*PriceEssMonthly*E5+R5*PricePremMonthly*E5</f>
        <v/>
      </c>
      <c r="Y5" s="12">
        <f>O5*PriceEssAnnual*E5+P5*PricePremAnnual*E5</f>
        <v/>
      </c>
      <c r="Z5" s="12">
        <f>0+0</f>
        <v/>
      </c>
      <c r="AA5" s="9">
        <f>X5+Y5+Z5</f>
        <v/>
      </c>
      <c r="AB5" s="12">
        <f>SUM(AA$5:AA5)</f>
        <v/>
      </c>
      <c r="AC5" s="12">
        <f>AB5&gt;=VATThreshold</f>
        <v/>
      </c>
      <c r="AD5" s="9">
        <f>IF(AC5,AA5/(1+VATRate),AA5)</f>
        <v/>
      </c>
      <c r="AE5" s="12">
        <f>AA5-AD5</f>
        <v/>
      </c>
      <c r="AF5" s="12">
        <f>IF(AC5=0,0,IF(B5=1,SUMPRODUCT(--(($C$5:$C5=$C5-1)*($B$5:$B5&gt;=10)*($B$5:$B5&lt;=12)),$AE$5:$AE5),IF(B5=4,SUMPRODUCT(--(($C$5:$C5=$C5)*($B$5:$B5&gt;=1)*($B$5:$B5&lt;=3)),$AE$5:$AE5),IF(B5=7,SUMPRODUCT(--(($C$5:$C5=$C5)*($B$5:$B5&gt;=4)*($B$5:$B5&lt;=6)),$AE$5:$AE5),IF(B5=10,SUMPRODUCT(--(($C$5:$C5=$C5)*($B$5:$B5&gt;=7)*($B$5:$B5&lt;=9)),$AE$5:$AE5),0)))))</f>
        <v/>
      </c>
      <c r="AG5" s="12">
        <f>AE5-AF5</f>
        <v/>
      </c>
      <c r="AH5" s="12">
        <f>IF(ProviderDelay&gt;=1,0,AD5*ProviderShare)</f>
        <v/>
      </c>
      <c r="AI5" s="12">
        <f>AA5*PaymentFee</f>
        <v/>
      </c>
      <c r="AJ5" s="12">
        <f>U5*OpsAI</f>
        <v/>
      </c>
      <c r="AK5" s="12">
        <f>MonthlyFixed</f>
        <v/>
      </c>
      <c r="AL5" s="12">
        <f>I5*ReferralReward</f>
        <v/>
      </c>
      <c r="AM5" s="12">
        <f>G5</f>
        <v/>
      </c>
      <c r="AN5" s="9">
        <f>AD5-AH5-AI5-AJ5-AK5-AL5-AM5</f>
        <v/>
      </c>
      <c r="AO5" s="9">
        <f>InitialInvestment+AA5-(AH5+AI5+AJ5+AK5+AL5+AM5+AF5)</f>
        <v/>
      </c>
      <c r="AP5" s="12">
        <f>IF(U5&gt;0,V5/U5,0)</f>
        <v/>
      </c>
      <c r="AQ5" s="11" t="n">
        <v>0</v>
      </c>
    </row>
    <row r="6">
      <c r="A6" s="12" t="n">
        <v>2</v>
      </c>
      <c r="B6" s="12">
        <f>MOD(A6-1+LaunchMonth-1,12)+1</f>
        <v/>
      </c>
      <c r="C6" s="12">
        <f>INT((A6-1+LaunchMonth-1)/12)+1</f>
        <v/>
      </c>
      <c r="D6" s="12">
        <f>VLOOKUP(B6,SeasonTable,2,FALSE)</f>
        <v/>
      </c>
      <c r="E6" s="12">
        <f>(1+InflationRate)^INT((A6-1)/12)</f>
        <v/>
      </c>
      <c r="F6" s="11">
        <f>MonthlyChurn*VLOOKUP(B6,ChurnSeasonTable,4,FALSE)</f>
        <v/>
      </c>
      <c r="G6" s="12">
        <f>MktFixed1_3</f>
        <v/>
      </c>
      <c r="H6" s="12">
        <f>IF(G6&gt;0,MAX(1,ROUND(G6/CAC*D6,0)),0)</f>
        <v/>
      </c>
      <c r="I6" s="12">
        <f>IF(H6&gt;0,ROUND(H6*ReferralMix/(1-ReferralMix),0),0)</f>
        <v/>
      </c>
      <c r="J6" s="12">
        <f>H6+I6</f>
        <v/>
      </c>
      <c r="K6" s="12">
        <f>ROUND(J6*(1-AnnualMix),0)</f>
        <v/>
      </c>
      <c r="L6" s="12">
        <f>J6-K6</f>
        <v/>
      </c>
      <c r="M6" s="12">
        <f>ROUND(K6*EssentialMix,0)</f>
        <v/>
      </c>
      <c r="N6" s="12">
        <f>K6-M6</f>
        <v/>
      </c>
      <c r="O6" s="12">
        <f>ROUND(L6*EssentialMix,0)</f>
        <v/>
      </c>
      <c r="P6" s="12">
        <f>L6-O6</f>
        <v/>
      </c>
      <c r="Q6" s="12">
        <f>M6+M5</f>
        <v/>
      </c>
      <c r="R6" s="12">
        <f>N6+N5</f>
        <v/>
      </c>
      <c r="S6" s="12">
        <f>SUM(O$5:O6)</f>
        <v/>
      </c>
      <c r="T6" s="12">
        <f>SUM(P$5:P6)</f>
        <v/>
      </c>
      <c r="U6" s="12">
        <f>Q6+R6+S6+T6</f>
        <v/>
      </c>
      <c r="V6" s="9">
        <f>Q6*PriceEssMonthly*E6+R6*PricePremMonthly*E6+S6*PriceEssAnnual*E6/12+T6*PricePremAnnual*E6/12</f>
        <v/>
      </c>
      <c r="W6" s="9">
        <f>V6*12</f>
        <v/>
      </c>
      <c r="X6" s="12">
        <f>Q6*PriceEssMonthly*E6+R6*PricePremMonthly*E6</f>
        <v/>
      </c>
      <c r="Y6" s="12">
        <f>O6*PriceEssAnnual*E6+P6*PricePremAnnual*E6</f>
        <v/>
      </c>
      <c r="Z6" s="12">
        <f>0+0</f>
        <v/>
      </c>
      <c r="AA6" s="9">
        <f>X6+Y6+Z6</f>
        <v/>
      </c>
      <c r="AB6" s="12">
        <f>SUM(AA$5:AA6)</f>
        <v/>
      </c>
      <c r="AC6" s="12">
        <f>OR(AC5,AB6&gt;=VATThreshold)</f>
        <v/>
      </c>
      <c r="AD6" s="9">
        <f>IF(AC6,AA6/(1+VATRate),AA6)</f>
        <v/>
      </c>
      <c r="AE6" s="12">
        <f>AA6-AD6</f>
        <v/>
      </c>
      <c r="AF6" s="12">
        <f>IF(AC6=0,0,IF(B6=1,SUMPRODUCT(--(($C$5:$C6=$C6-1)*($B$5:$B6&gt;=10)*($B$5:$B6&lt;=12)),$AE$5:$AE6),IF(B6=4,SUMPRODUCT(--(($C$5:$C6=$C6)*($B$5:$B6&gt;=1)*($B$5:$B6&lt;=3)),$AE$5:$AE6),IF(B6=7,SUMPRODUCT(--(($C$5:$C6=$C6)*($B$5:$B6&gt;=4)*($B$5:$B6&lt;=6)),$AE$5:$AE6),IF(B6=10,SUMPRODUCT(--(($C$5:$C6=$C6)*($B$5:$B6&gt;=7)*($B$5:$B6&lt;=9)),$AE$5:$AE6),0)))))</f>
        <v/>
      </c>
      <c r="AG6" s="12">
        <f>AG5+AE6-AF6</f>
        <v/>
      </c>
      <c r="AH6" s="12">
        <f>IF(ProviderDelay&gt;=1,AD5*ProviderShare,AD6*ProviderShare)</f>
        <v/>
      </c>
      <c r="AI6" s="12">
        <f>AA6*PaymentFee</f>
        <v/>
      </c>
      <c r="AJ6" s="12">
        <f>U6*OpsAI</f>
        <v/>
      </c>
      <c r="AK6" s="12">
        <f>MonthlyFixed</f>
        <v/>
      </c>
      <c r="AL6" s="12">
        <f>I6*ReferralReward</f>
        <v/>
      </c>
      <c r="AM6" s="12">
        <f>G6</f>
        <v/>
      </c>
      <c r="AN6" s="9">
        <f>AD6-AH6-AI6-AJ6-AK6-AL6-AM6</f>
        <v/>
      </c>
      <c r="AO6" s="9">
        <f>AO5+AA6-(AH6+AI6+AJ6+AK6+AL6+AM6+AF6)</f>
        <v/>
      </c>
      <c r="AP6" s="12">
        <f>IF(U6&gt;0,V6/U6,0)</f>
        <v/>
      </c>
      <c r="AQ6" s="11">
        <f>IF(U5&gt;0,MAX(0,(U5+J6-U6)/U5),0)</f>
        <v/>
      </c>
    </row>
    <row r="7">
      <c r="A7" s="12" t="n">
        <v>3</v>
      </c>
      <c r="B7" s="12">
        <f>MOD(A7-1+LaunchMonth-1,12)+1</f>
        <v/>
      </c>
      <c r="C7" s="12">
        <f>INT((A7-1+LaunchMonth-1)/12)+1</f>
        <v/>
      </c>
      <c r="D7" s="12">
        <f>VLOOKUP(B7,SeasonTable,2,FALSE)</f>
        <v/>
      </c>
      <c r="E7" s="12">
        <f>(1+InflationRate)^INT((A7-1)/12)</f>
        <v/>
      </c>
      <c r="F7" s="11">
        <f>MonthlyChurn*VLOOKUP(B7,ChurnSeasonTable,4,FALSE)</f>
        <v/>
      </c>
      <c r="G7" s="12">
        <f>MktFixed1_3</f>
        <v/>
      </c>
      <c r="H7" s="12">
        <f>IF(G7&gt;0,MAX(1,ROUND(G7/CAC*D7,0)),0)</f>
        <v/>
      </c>
      <c r="I7" s="12">
        <f>IF(H7&gt;0,ROUND(H7*ReferralMix/(1-ReferralMix),0),0)</f>
        <v/>
      </c>
      <c r="J7" s="12">
        <f>H7+I7</f>
        <v/>
      </c>
      <c r="K7" s="12">
        <f>ROUND(J7*(1-AnnualMix),0)</f>
        <v/>
      </c>
      <c r="L7" s="12">
        <f>J7-K7</f>
        <v/>
      </c>
      <c r="M7" s="12">
        <f>ROUND(K7*EssentialMix,0)</f>
        <v/>
      </c>
      <c r="N7" s="12">
        <f>K7-M7</f>
        <v/>
      </c>
      <c r="O7" s="12">
        <f>ROUND(L7*EssentialMix,0)</f>
        <v/>
      </c>
      <c r="P7" s="12">
        <f>L7-O7</f>
        <v/>
      </c>
      <c r="Q7" s="12">
        <f>M7+M6+M5</f>
        <v/>
      </c>
      <c r="R7" s="12">
        <f>N7+N6+N5</f>
        <v/>
      </c>
      <c r="S7" s="12">
        <f>SUM(O$5:O7)</f>
        <v/>
      </c>
      <c r="T7" s="12">
        <f>SUM(P$5:P7)</f>
        <v/>
      </c>
      <c r="U7" s="12">
        <f>Q7+R7+S7+T7</f>
        <v/>
      </c>
      <c r="V7" s="9">
        <f>Q7*PriceEssMonthly*E7+R7*PricePremMonthly*E7+S7*PriceEssAnnual*E7/12+T7*PricePremAnnual*E7/12</f>
        <v/>
      </c>
      <c r="W7" s="9">
        <f>V7*12</f>
        <v/>
      </c>
      <c r="X7" s="12">
        <f>Q7*PriceEssMonthly*E7+R7*PricePremMonthly*E7</f>
        <v/>
      </c>
      <c r="Y7" s="12">
        <f>O7*PriceEssAnnual*E7+P7*PricePremAnnual*E7</f>
        <v/>
      </c>
      <c r="Z7" s="12">
        <f>0+0</f>
        <v/>
      </c>
      <c r="AA7" s="9">
        <f>X7+Y7+Z7</f>
        <v/>
      </c>
      <c r="AB7" s="12">
        <f>SUM(AA$5:AA7)</f>
        <v/>
      </c>
      <c r="AC7" s="12">
        <f>OR(AC6,AB7&gt;=VATThreshold)</f>
        <v/>
      </c>
      <c r="AD7" s="9">
        <f>IF(AC7,AA7/(1+VATRate),AA7)</f>
        <v/>
      </c>
      <c r="AE7" s="12">
        <f>AA7-AD7</f>
        <v/>
      </c>
      <c r="AF7" s="12">
        <f>IF(AC7=0,0,IF(B7=1,SUMPRODUCT(--(($C$5:$C7=$C7-1)*($B$5:$B7&gt;=10)*($B$5:$B7&lt;=12)),$AE$5:$AE7),IF(B7=4,SUMPRODUCT(--(($C$5:$C7=$C7)*($B$5:$B7&gt;=1)*($B$5:$B7&lt;=3)),$AE$5:$AE7),IF(B7=7,SUMPRODUCT(--(($C$5:$C7=$C7)*($B$5:$B7&gt;=4)*($B$5:$B7&lt;=6)),$AE$5:$AE7),IF(B7=10,SUMPRODUCT(--(($C$5:$C7=$C7)*($B$5:$B7&gt;=7)*($B$5:$B7&lt;=9)),$AE$5:$AE7),0)))))</f>
        <v/>
      </c>
      <c r="AG7" s="12">
        <f>AG6+AE7-AF7</f>
        <v/>
      </c>
      <c r="AH7" s="12">
        <f>IF(ProviderDelay&gt;=1,AD6*ProviderShare,AD7*ProviderShare)</f>
        <v/>
      </c>
      <c r="AI7" s="12">
        <f>AA7*PaymentFee</f>
        <v/>
      </c>
      <c r="AJ7" s="12">
        <f>U7*OpsAI</f>
        <v/>
      </c>
      <c r="AK7" s="12">
        <f>MonthlyFixed</f>
        <v/>
      </c>
      <c r="AL7" s="12">
        <f>I7*ReferralReward</f>
        <v/>
      </c>
      <c r="AM7" s="12">
        <f>G7</f>
        <v/>
      </c>
      <c r="AN7" s="9">
        <f>AD7-AH7-AI7-AJ7-AK7-AL7-AM7</f>
        <v/>
      </c>
      <c r="AO7" s="9">
        <f>AO6+AA7-(AH7+AI7+AJ7+AK7+AL7+AM7+AF7)</f>
        <v/>
      </c>
      <c r="AP7" s="12">
        <f>IF(U7&gt;0,V7/U7,0)</f>
        <v/>
      </c>
      <c r="AQ7" s="11">
        <f>IF(U6&gt;0,MAX(0,(U6+J7-U7)/U6),0)</f>
        <v/>
      </c>
    </row>
    <row r="8">
      <c r="A8" s="12" t="n">
        <v>4</v>
      </c>
      <c r="B8" s="12">
        <f>MOD(A8-1+LaunchMonth-1,12)+1</f>
        <v/>
      </c>
      <c r="C8" s="12">
        <f>INT((A8-1+LaunchMonth-1)/12)+1</f>
        <v/>
      </c>
      <c r="D8" s="12">
        <f>VLOOKUP(B8,SeasonTable,2,FALSE)</f>
        <v/>
      </c>
      <c r="E8" s="12">
        <f>(1+InflationRate)^INT((A8-1)/12)</f>
        <v/>
      </c>
      <c r="F8" s="11">
        <f>MonthlyChurn*VLOOKUP(B8,ChurnSeasonTable,4,FALSE)</f>
        <v/>
      </c>
      <c r="G8" s="12">
        <f>MIN(MktFixed4_6,MAX(0,AO7-CashBuffer))</f>
        <v/>
      </c>
      <c r="H8" s="12">
        <f>IF(G8&gt;0,MAX(1,ROUND(G8/CAC*D8,0)),0)</f>
        <v/>
      </c>
      <c r="I8" s="12">
        <f>IF(H8&gt;0,ROUND(H8*ReferralMix/(1-ReferralMix),0),0)</f>
        <v/>
      </c>
      <c r="J8" s="12">
        <f>H8+I8</f>
        <v/>
      </c>
      <c r="K8" s="12">
        <f>ROUND(J8*(1-AnnualMix),0)</f>
        <v/>
      </c>
      <c r="L8" s="12">
        <f>J8-K8</f>
        <v/>
      </c>
      <c r="M8" s="12">
        <f>ROUND(K8*EssentialMix,0)</f>
        <v/>
      </c>
      <c r="N8" s="12">
        <f>K8-M8</f>
        <v/>
      </c>
      <c r="O8" s="12">
        <f>ROUND(L8*EssentialMix,0)</f>
        <v/>
      </c>
      <c r="P8" s="12">
        <f>L8-O8</f>
        <v/>
      </c>
      <c r="Q8" s="12">
        <f>M8+M7+M6+MAX(0,Q7-M7-M6)*(1-F8)</f>
        <v/>
      </c>
      <c r="R8" s="12">
        <f>N8+N7+N6+MAX(0,R7-N7-N6)*(1-F8)</f>
        <v/>
      </c>
      <c r="S8" s="12">
        <f>SUM(O$5:O8)</f>
        <v/>
      </c>
      <c r="T8" s="12">
        <f>SUM(P$5:P8)</f>
        <v/>
      </c>
      <c r="U8" s="12">
        <f>Q8+R8+S8+T8</f>
        <v/>
      </c>
      <c r="V8" s="9">
        <f>Q8*PriceEssMonthly*E8+R8*PricePremMonthly*E8+S8*PriceEssAnnual*E8/12+T8*PricePremAnnual*E8/12</f>
        <v/>
      </c>
      <c r="W8" s="9">
        <f>V8*12</f>
        <v/>
      </c>
      <c r="X8" s="12">
        <f>Q8*PriceEssMonthly*E8+R8*PricePremMonthly*E8</f>
        <v/>
      </c>
      <c r="Y8" s="12">
        <f>O8*PriceEssAnnual*E8+P8*PricePremAnnual*E8</f>
        <v/>
      </c>
      <c r="Z8" s="12">
        <f>0+0</f>
        <v/>
      </c>
      <c r="AA8" s="9">
        <f>X8+Y8+Z8</f>
        <v/>
      </c>
      <c r="AB8" s="12">
        <f>SUM(AA$5:AA8)</f>
        <v/>
      </c>
      <c r="AC8" s="12">
        <f>OR(AC7,AB8&gt;=VATThreshold)</f>
        <v/>
      </c>
      <c r="AD8" s="9">
        <f>IF(AC8,AA8/(1+VATRate),AA8)</f>
        <v/>
      </c>
      <c r="AE8" s="12">
        <f>AA8-AD8</f>
        <v/>
      </c>
      <c r="AF8" s="12">
        <f>IF(AC8=0,0,IF(B8=1,SUMPRODUCT(--(($C$5:$C8=$C8-1)*($B$5:$B8&gt;=10)*($B$5:$B8&lt;=12)),$AE$5:$AE8),IF(B8=4,SUMPRODUCT(--(($C$5:$C8=$C8)*($B$5:$B8&gt;=1)*($B$5:$B8&lt;=3)),$AE$5:$AE8),IF(B8=7,SUMPRODUCT(--(($C$5:$C8=$C8)*($B$5:$B8&gt;=4)*($B$5:$B8&lt;=6)),$AE$5:$AE8),IF(B8=10,SUMPRODUCT(--(($C$5:$C8=$C8)*($B$5:$B8&gt;=7)*($B$5:$B8&lt;=9)),$AE$5:$AE8),0)))))</f>
        <v/>
      </c>
      <c r="AG8" s="12">
        <f>AG7+AE8-AF8</f>
        <v/>
      </c>
      <c r="AH8" s="12">
        <f>IF(ProviderDelay&gt;=1,AD7*ProviderShare,AD8*ProviderShare)</f>
        <v/>
      </c>
      <c r="AI8" s="12">
        <f>AA8*PaymentFee</f>
        <v/>
      </c>
      <c r="AJ8" s="12">
        <f>U8*OpsAI</f>
        <v/>
      </c>
      <c r="AK8" s="12">
        <f>MonthlyFixed</f>
        <v/>
      </c>
      <c r="AL8" s="12">
        <f>I8*ReferralReward</f>
        <v/>
      </c>
      <c r="AM8" s="12">
        <f>G8</f>
        <v/>
      </c>
      <c r="AN8" s="9">
        <f>AD8-AH8-AI8-AJ8-AK8-AL8-AM8</f>
        <v/>
      </c>
      <c r="AO8" s="9">
        <f>AO7+AA8-(AH8+AI8+AJ8+AK8+AL8+AM8+AF8)</f>
        <v/>
      </c>
      <c r="AP8" s="12">
        <f>IF(U8&gt;0,V8/U8,0)</f>
        <v/>
      </c>
      <c r="AQ8" s="11">
        <f>IF(U7&gt;0,MAX(0,(U7+J8-U8)/U7),0)</f>
        <v/>
      </c>
    </row>
    <row r="9">
      <c r="A9" s="12" t="n">
        <v>5</v>
      </c>
      <c r="B9" s="12">
        <f>MOD(A9-1+LaunchMonth-1,12)+1</f>
        <v/>
      </c>
      <c r="C9" s="12">
        <f>INT((A9-1+LaunchMonth-1)/12)+1</f>
        <v/>
      </c>
      <c r="D9" s="12">
        <f>VLOOKUP(B9,SeasonTable,2,FALSE)</f>
        <v/>
      </c>
      <c r="E9" s="12">
        <f>(1+InflationRate)^INT((A9-1)/12)</f>
        <v/>
      </c>
      <c r="F9" s="11">
        <f>MonthlyChurn*VLOOKUP(B9,ChurnSeasonTable,4,FALSE)</f>
        <v/>
      </c>
      <c r="G9" s="12">
        <f>MIN(MktFixed4_6,MAX(0,AO8-CashBuffer))</f>
        <v/>
      </c>
      <c r="H9" s="12">
        <f>IF(G9&gt;0,MAX(1,ROUND(G9/CAC*D9,0)),0)</f>
        <v/>
      </c>
      <c r="I9" s="12">
        <f>IF(H9&gt;0,ROUND(H9*ReferralMix/(1-ReferralMix),0),0)</f>
        <v/>
      </c>
      <c r="J9" s="12">
        <f>H9+I9</f>
        <v/>
      </c>
      <c r="K9" s="12">
        <f>ROUND(J9*(1-AnnualMix),0)</f>
        <v/>
      </c>
      <c r="L9" s="12">
        <f>J9-K9</f>
        <v/>
      </c>
      <c r="M9" s="12">
        <f>ROUND(K9*EssentialMix,0)</f>
        <v/>
      </c>
      <c r="N9" s="12">
        <f>K9-M9</f>
        <v/>
      </c>
      <c r="O9" s="12">
        <f>ROUND(L9*EssentialMix,0)</f>
        <v/>
      </c>
      <c r="P9" s="12">
        <f>L9-O9</f>
        <v/>
      </c>
      <c r="Q9" s="12">
        <f>M9+M8+M7+MAX(0,Q8-M8-M7)*(1-F9)</f>
        <v/>
      </c>
      <c r="R9" s="12">
        <f>N9+N8+N7+MAX(0,R8-N8-N7)*(1-F9)</f>
        <v/>
      </c>
      <c r="S9" s="12">
        <f>SUM(O$5:O9)</f>
        <v/>
      </c>
      <c r="T9" s="12">
        <f>SUM(P$5:P9)</f>
        <v/>
      </c>
      <c r="U9" s="12">
        <f>Q9+R9+S9+T9</f>
        <v/>
      </c>
      <c r="V9" s="9">
        <f>Q9*PriceEssMonthly*E9+R9*PricePremMonthly*E9+S9*PriceEssAnnual*E9/12+T9*PricePremAnnual*E9/12</f>
        <v/>
      </c>
      <c r="W9" s="9">
        <f>V9*12</f>
        <v/>
      </c>
      <c r="X9" s="12">
        <f>Q9*PriceEssMonthly*E9+R9*PricePremMonthly*E9</f>
        <v/>
      </c>
      <c r="Y9" s="12">
        <f>O9*PriceEssAnnual*E9+P9*PricePremAnnual*E9</f>
        <v/>
      </c>
      <c r="Z9" s="12">
        <f>0+0</f>
        <v/>
      </c>
      <c r="AA9" s="9">
        <f>X9+Y9+Z9</f>
        <v/>
      </c>
      <c r="AB9" s="12">
        <f>SUM(AA$5:AA9)</f>
        <v/>
      </c>
      <c r="AC9" s="12">
        <f>OR(AC8,AB9&gt;=VATThreshold)</f>
        <v/>
      </c>
      <c r="AD9" s="9">
        <f>IF(AC9,AA9/(1+VATRate),AA9)</f>
        <v/>
      </c>
      <c r="AE9" s="12">
        <f>AA9-AD9</f>
        <v/>
      </c>
      <c r="AF9" s="12">
        <f>IF(AC9=0,0,IF(B9=1,SUMPRODUCT(--(($C$5:$C9=$C9-1)*($B$5:$B9&gt;=10)*($B$5:$B9&lt;=12)),$AE$5:$AE9),IF(B9=4,SUMPRODUCT(--(($C$5:$C9=$C9)*($B$5:$B9&gt;=1)*($B$5:$B9&lt;=3)),$AE$5:$AE9),IF(B9=7,SUMPRODUCT(--(($C$5:$C9=$C9)*($B$5:$B9&gt;=4)*($B$5:$B9&lt;=6)),$AE$5:$AE9),IF(B9=10,SUMPRODUCT(--(($C$5:$C9=$C9)*($B$5:$B9&gt;=7)*($B$5:$B9&lt;=9)),$AE$5:$AE9),0)))))</f>
        <v/>
      </c>
      <c r="AG9" s="12">
        <f>AG8+AE9-AF9</f>
        <v/>
      </c>
      <c r="AH9" s="12">
        <f>IF(ProviderDelay&gt;=1,AD8*ProviderShare,AD9*ProviderShare)</f>
        <v/>
      </c>
      <c r="AI9" s="12">
        <f>AA9*PaymentFee</f>
        <v/>
      </c>
      <c r="AJ9" s="12">
        <f>U9*OpsAI</f>
        <v/>
      </c>
      <c r="AK9" s="12">
        <f>MonthlyFixed</f>
        <v/>
      </c>
      <c r="AL9" s="12">
        <f>I9*ReferralReward</f>
        <v/>
      </c>
      <c r="AM9" s="12">
        <f>G9</f>
        <v/>
      </c>
      <c r="AN9" s="9">
        <f>AD9-AH9-AI9-AJ9-AK9-AL9-AM9</f>
        <v/>
      </c>
      <c r="AO9" s="9">
        <f>AO8+AA9-(AH9+AI9+AJ9+AK9+AL9+AM9+AF9)</f>
        <v/>
      </c>
      <c r="AP9" s="12">
        <f>IF(U9&gt;0,V9/U9,0)</f>
        <v/>
      </c>
      <c r="AQ9" s="11">
        <f>IF(U8&gt;0,MAX(0,(U8+J9-U9)/U8),0)</f>
        <v/>
      </c>
    </row>
    <row r="10">
      <c r="A10" s="12" t="n">
        <v>6</v>
      </c>
      <c r="B10" s="12">
        <f>MOD(A10-1+LaunchMonth-1,12)+1</f>
        <v/>
      </c>
      <c r="C10" s="12">
        <f>INT((A10-1+LaunchMonth-1)/12)+1</f>
        <v/>
      </c>
      <c r="D10" s="12">
        <f>VLOOKUP(B10,SeasonTable,2,FALSE)</f>
        <v/>
      </c>
      <c r="E10" s="12">
        <f>(1+InflationRate)^INT((A10-1)/12)</f>
        <v/>
      </c>
      <c r="F10" s="11">
        <f>MonthlyChurn*VLOOKUP(B10,ChurnSeasonTable,4,FALSE)</f>
        <v/>
      </c>
      <c r="G10" s="12">
        <f>MIN(MktFixed4_6,MAX(0,AO9-CashBuffer))</f>
        <v/>
      </c>
      <c r="H10" s="12">
        <f>IF(G10&gt;0,MAX(1,ROUND(G10/CAC*D10,0)),0)</f>
        <v/>
      </c>
      <c r="I10" s="12">
        <f>IF(H10&gt;0,ROUND(H10*ReferralMix/(1-ReferralMix),0),0)</f>
        <v/>
      </c>
      <c r="J10" s="12">
        <f>H10+I10</f>
        <v/>
      </c>
      <c r="K10" s="12">
        <f>ROUND(J10*(1-AnnualMix),0)</f>
        <v/>
      </c>
      <c r="L10" s="12">
        <f>J10-K10</f>
        <v/>
      </c>
      <c r="M10" s="12">
        <f>ROUND(K10*EssentialMix,0)</f>
        <v/>
      </c>
      <c r="N10" s="12">
        <f>K10-M10</f>
        <v/>
      </c>
      <c r="O10" s="12">
        <f>ROUND(L10*EssentialMix,0)</f>
        <v/>
      </c>
      <c r="P10" s="12">
        <f>L10-O10</f>
        <v/>
      </c>
      <c r="Q10" s="12">
        <f>M10+M9+M8+MAX(0,Q9-M9-M8)*(1-F10)</f>
        <v/>
      </c>
      <c r="R10" s="12">
        <f>N10+N9+N8+MAX(0,R9-N9-N8)*(1-F10)</f>
        <v/>
      </c>
      <c r="S10" s="12">
        <f>SUM(O$5:O10)</f>
        <v/>
      </c>
      <c r="T10" s="12">
        <f>SUM(P$5:P10)</f>
        <v/>
      </c>
      <c r="U10" s="12">
        <f>Q10+R10+S10+T10</f>
        <v/>
      </c>
      <c r="V10" s="9">
        <f>Q10*PriceEssMonthly*E10+R10*PricePremMonthly*E10+S10*PriceEssAnnual*E10/12+T10*PricePremAnnual*E10/12</f>
        <v/>
      </c>
      <c r="W10" s="9">
        <f>V10*12</f>
        <v/>
      </c>
      <c r="X10" s="12">
        <f>Q10*PriceEssMonthly*E10+R10*PricePremMonthly*E10</f>
        <v/>
      </c>
      <c r="Y10" s="12">
        <f>O10*PriceEssAnnual*E10+P10*PricePremAnnual*E10</f>
        <v/>
      </c>
      <c r="Z10" s="12">
        <f>0+0</f>
        <v/>
      </c>
      <c r="AA10" s="9">
        <f>X10+Y10+Z10</f>
        <v/>
      </c>
      <c r="AB10" s="12">
        <f>SUM(AA$5:AA10)</f>
        <v/>
      </c>
      <c r="AC10" s="12">
        <f>OR(AC9,AB10&gt;=VATThreshold)</f>
        <v/>
      </c>
      <c r="AD10" s="9">
        <f>IF(AC10,AA10/(1+VATRate),AA10)</f>
        <v/>
      </c>
      <c r="AE10" s="12">
        <f>AA10-AD10</f>
        <v/>
      </c>
      <c r="AF10" s="12">
        <f>IF(AC10=0,0,IF(B10=1,SUMPRODUCT(--(($C$5:$C10=$C10-1)*($B$5:$B10&gt;=10)*($B$5:$B10&lt;=12)),$AE$5:$AE10),IF(B10=4,SUMPRODUCT(--(($C$5:$C10=$C10)*($B$5:$B10&gt;=1)*($B$5:$B10&lt;=3)),$AE$5:$AE10),IF(B10=7,SUMPRODUCT(--(($C$5:$C10=$C10)*($B$5:$B10&gt;=4)*($B$5:$B10&lt;=6)),$AE$5:$AE10),IF(B10=10,SUMPRODUCT(--(($C$5:$C10=$C10)*($B$5:$B10&gt;=7)*($B$5:$B10&lt;=9)),$AE$5:$AE10),0)))))</f>
        <v/>
      </c>
      <c r="AG10" s="12">
        <f>AG9+AE10-AF10</f>
        <v/>
      </c>
      <c r="AH10" s="12">
        <f>IF(ProviderDelay&gt;=1,AD9*ProviderShare,AD10*ProviderShare)</f>
        <v/>
      </c>
      <c r="AI10" s="12">
        <f>AA10*PaymentFee</f>
        <v/>
      </c>
      <c r="AJ10" s="12">
        <f>U10*OpsAI</f>
        <v/>
      </c>
      <c r="AK10" s="12">
        <f>MonthlyFixed</f>
        <v/>
      </c>
      <c r="AL10" s="12">
        <f>I10*ReferralReward</f>
        <v/>
      </c>
      <c r="AM10" s="12">
        <f>G10</f>
        <v/>
      </c>
      <c r="AN10" s="9">
        <f>AD10-AH10-AI10-AJ10-AK10-AL10-AM10</f>
        <v/>
      </c>
      <c r="AO10" s="9">
        <f>AO9+AA10-(AH10+AI10+AJ10+AK10+AL10+AM10+AF10)</f>
        <v/>
      </c>
      <c r="AP10" s="12">
        <f>IF(U10&gt;0,V10/U10,0)</f>
        <v/>
      </c>
      <c r="AQ10" s="11">
        <f>IF(U9&gt;0,MAX(0,(U9+J10-U10)/U9),0)</f>
        <v/>
      </c>
    </row>
    <row r="11">
      <c r="A11" s="12" t="n">
        <v>7</v>
      </c>
      <c r="B11" s="12">
        <f>MOD(A11-1+LaunchMonth-1,12)+1</f>
        <v/>
      </c>
      <c r="C11" s="12">
        <f>INT((A11-1+LaunchMonth-1)/12)+1</f>
        <v/>
      </c>
      <c r="D11" s="12">
        <f>VLOOKUP(B11,SeasonTable,2,FALSE)</f>
        <v/>
      </c>
      <c r="E11" s="12">
        <f>(1+InflationRate)^INT((A11-1)/12)</f>
        <v/>
      </c>
      <c r="F11" s="11">
        <f>MonthlyChurn*VLOOKUP(B11,ChurnSeasonTable,4,FALSE)</f>
        <v/>
      </c>
      <c r="G11" s="12">
        <f>MIN(MAX(MktMin7_12,AA10*MktPct7_12),MAX(0,AO10-CashBuffer))</f>
        <v/>
      </c>
      <c r="H11" s="12">
        <f>IF(G11&gt;0,MAX(1,ROUND(G11/CAC*D11,0)),0)</f>
        <v/>
      </c>
      <c r="I11" s="12">
        <f>IF(H11&gt;0,ROUND(H11*ReferralMix/(1-ReferralMix),0),0)</f>
        <v/>
      </c>
      <c r="J11" s="12">
        <f>H11+I11</f>
        <v/>
      </c>
      <c r="K11" s="12">
        <f>ROUND(J11*(1-AnnualMix),0)</f>
        <v/>
      </c>
      <c r="L11" s="12">
        <f>J11-K11</f>
        <v/>
      </c>
      <c r="M11" s="12">
        <f>ROUND(K11*EssentialMix,0)</f>
        <v/>
      </c>
      <c r="N11" s="12">
        <f>K11-M11</f>
        <v/>
      </c>
      <c r="O11" s="12">
        <f>ROUND(L11*EssentialMix,0)</f>
        <v/>
      </c>
      <c r="P11" s="12">
        <f>L11-O11</f>
        <v/>
      </c>
      <c r="Q11" s="12">
        <f>M11+M10+M9+MAX(0,Q10-M10-M9)*(1-F11)</f>
        <v/>
      </c>
      <c r="R11" s="12">
        <f>N11+N10+N9+MAX(0,R10-N10-N9)*(1-F11)</f>
        <v/>
      </c>
      <c r="S11" s="12">
        <f>SUM(O$5:O11)</f>
        <v/>
      </c>
      <c r="T11" s="12">
        <f>SUM(P$5:P11)</f>
        <v/>
      </c>
      <c r="U11" s="12">
        <f>Q11+R11+S11+T11</f>
        <v/>
      </c>
      <c r="V11" s="9">
        <f>Q11*PriceEssMonthly*E11+R11*PricePremMonthly*E11+S11*PriceEssAnnual*E11/12+T11*PricePremAnnual*E11/12</f>
        <v/>
      </c>
      <c r="W11" s="9">
        <f>V11*12</f>
        <v/>
      </c>
      <c r="X11" s="12">
        <f>Q11*PriceEssMonthly*E11+R11*PricePremMonthly*E11</f>
        <v/>
      </c>
      <c r="Y11" s="12">
        <f>O11*PriceEssAnnual*E11+P11*PricePremAnnual*E11</f>
        <v/>
      </c>
      <c r="Z11" s="12">
        <f>0+0</f>
        <v/>
      </c>
      <c r="AA11" s="9">
        <f>X11+Y11+Z11</f>
        <v/>
      </c>
      <c r="AB11" s="12">
        <f>SUM(AA$5:AA11)</f>
        <v/>
      </c>
      <c r="AC11" s="12">
        <f>OR(AC10,AB11&gt;=VATThreshold)</f>
        <v/>
      </c>
      <c r="AD11" s="9">
        <f>IF(AC11,AA11/(1+VATRate),AA11)</f>
        <v/>
      </c>
      <c r="AE11" s="12">
        <f>AA11-AD11</f>
        <v/>
      </c>
      <c r="AF11" s="12">
        <f>IF(AC11=0,0,IF(B11=1,SUMPRODUCT(--(($C$5:$C11=$C11-1)*($B$5:$B11&gt;=10)*($B$5:$B11&lt;=12)),$AE$5:$AE11),IF(B11=4,SUMPRODUCT(--(($C$5:$C11=$C11)*($B$5:$B11&gt;=1)*($B$5:$B11&lt;=3)),$AE$5:$AE11),IF(B11=7,SUMPRODUCT(--(($C$5:$C11=$C11)*($B$5:$B11&gt;=4)*($B$5:$B11&lt;=6)),$AE$5:$AE11),IF(B11=10,SUMPRODUCT(--(($C$5:$C11=$C11)*($B$5:$B11&gt;=7)*($B$5:$B11&lt;=9)),$AE$5:$AE11),0)))))</f>
        <v/>
      </c>
      <c r="AG11" s="12">
        <f>AG10+AE11-AF11</f>
        <v/>
      </c>
      <c r="AH11" s="12">
        <f>IF(ProviderDelay&gt;=1,AD10*ProviderShare,AD11*ProviderShare)</f>
        <v/>
      </c>
      <c r="AI11" s="12">
        <f>AA11*PaymentFee</f>
        <v/>
      </c>
      <c r="AJ11" s="12">
        <f>U11*OpsAI</f>
        <v/>
      </c>
      <c r="AK11" s="12">
        <f>MonthlyFixed</f>
        <v/>
      </c>
      <c r="AL11" s="12">
        <f>I11*ReferralReward</f>
        <v/>
      </c>
      <c r="AM11" s="12">
        <f>G11</f>
        <v/>
      </c>
      <c r="AN11" s="9">
        <f>AD11-AH11-AI11-AJ11-AK11-AL11-AM11</f>
        <v/>
      </c>
      <c r="AO11" s="9">
        <f>AO10+AA11-(AH11+AI11+AJ11+AK11+AL11+AM11+AF11)</f>
        <v/>
      </c>
      <c r="AP11" s="12">
        <f>IF(U11&gt;0,V11/U11,0)</f>
        <v/>
      </c>
      <c r="AQ11" s="11">
        <f>IF(U10&gt;0,MAX(0,(U10+J11-U11)/U10),0)</f>
        <v/>
      </c>
    </row>
    <row r="12">
      <c r="A12" s="12" t="n">
        <v>8</v>
      </c>
      <c r="B12" s="12">
        <f>MOD(A12-1+LaunchMonth-1,12)+1</f>
        <v/>
      </c>
      <c r="C12" s="12">
        <f>INT((A12-1+LaunchMonth-1)/12)+1</f>
        <v/>
      </c>
      <c r="D12" s="12">
        <f>VLOOKUP(B12,SeasonTable,2,FALSE)</f>
        <v/>
      </c>
      <c r="E12" s="12">
        <f>(1+InflationRate)^INT((A12-1)/12)</f>
        <v/>
      </c>
      <c r="F12" s="11">
        <f>MonthlyChurn*VLOOKUP(B12,ChurnSeasonTable,4,FALSE)</f>
        <v/>
      </c>
      <c r="G12" s="12">
        <f>MIN(MAX(MktMin7_12,AA11*MktPct7_12),MAX(0,AO11-CashBuffer))</f>
        <v/>
      </c>
      <c r="H12" s="12">
        <f>IF(G12&gt;0,MAX(1,ROUND(G12/CAC*D12,0)),0)</f>
        <v/>
      </c>
      <c r="I12" s="12">
        <f>IF(H12&gt;0,ROUND(H12*ReferralMix/(1-ReferralMix),0),0)</f>
        <v/>
      </c>
      <c r="J12" s="12">
        <f>H12+I12</f>
        <v/>
      </c>
      <c r="K12" s="12">
        <f>ROUND(J12*(1-AnnualMix),0)</f>
        <v/>
      </c>
      <c r="L12" s="12">
        <f>J12-K12</f>
        <v/>
      </c>
      <c r="M12" s="12">
        <f>ROUND(K12*EssentialMix,0)</f>
        <v/>
      </c>
      <c r="N12" s="12">
        <f>K12-M12</f>
        <v/>
      </c>
      <c r="O12" s="12">
        <f>ROUND(L12*EssentialMix,0)</f>
        <v/>
      </c>
      <c r="P12" s="12">
        <f>L12-O12</f>
        <v/>
      </c>
      <c r="Q12" s="12">
        <f>M12+M11+M10+MAX(0,Q11-M11-M10)*(1-F12)</f>
        <v/>
      </c>
      <c r="R12" s="12">
        <f>N12+N11+N10+MAX(0,R11-N11-N10)*(1-F12)</f>
        <v/>
      </c>
      <c r="S12" s="12">
        <f>SUM(O$5:O12)</f>
        <v/>
      </c>
      <c r="T12" s="12">
        <f>SUM(P$5:P12)</f>
        <v/>
      </c>
      <c r="U12" s="12">
        <f>Q12+R12+S12+T12</f>
        <v/>
      </c>
      <c r="V12" s="9">
        <f>Q12*PriceEssMonthly*E12+R12*PricePremMonthly*E12+S12*PriceEssAnnual*E12/12+T12*PricePremAnnual*E12/12</f>
        <v/>
      </c>
      <c r="W12" s="9">
        <f>V12*12</f>
        <v/>
      </c>
      <c r="X12" s="12">
        <f>Q12*PriceEssMonthly*E12+R12*PricePremMonthly*E12</f>
        <v/>
      </c>
      <c r="Y12" s="12">
        <f>O12*PriceEssAnnual*E12+P12*PricePremAnnual*E12</f>
        <v/>
      </c>
      <c r="Z12" s="12">
        <f>0+0</f>
        <v/>
      </c>
      <c r="AA12" s="9">
        <f>X12+Y12+Z12</f>
        <v/>
      </c>
      <c r="AB12" s="12">
        <f>SUM(AA$5:AA12)</f>
        <v/>
      </c>
      <c r="AC12" s="12">
        <f>OR(AC11,AB12&gt;=VATThreshold)</f>
        <v/>
      </c>
      <c r="AD12" s="9">
        <f>IF(AC12,AA12/(1+VATRate),AA12)</f>
        <v/>
      </c>
      <c r="AE12" s="12">
        <f>AA12-AD12</f>
        <v/>
      </c>
      <c r="AF12" s="12">
        <f>IF(AC12=0,0,IF(B12=1,SUMPRODUCT(--(($C$5:$C12=$C12-1)*($B$5:$B12&gt;=10)*($B$5:$B12&lt;=12)),$AE$5:$AE12),IF(B12=4,SUMPRODUCT(--(($C$5:$C12=$C12)*($B$5:$B12&gt;=1)*($B$5:$B12&lt;=3)),$AE$5:$AE12),IF(B12=7,SUMPRODUCT(--(($C$5:$C12=$C12)*($B$5:$B12&gt;=4)*($B$5:$B12&lt;=6)),$AE$5:$AE12),IF(B12=10,SUMPRODUCT(--(($C$5:$C12=$C12)*($B$5:$B12&gt;=7)*($B$5:$B12&lt;=9)),$AE$5:$AE12),0)))))</f>
        <v/>
      </c>
      <c r="AG12" s="12">
        <f>AG11+AE12-AF12</f>
        <v/>
      </c>
      <c r="AH12" s="12">
        <f>IF(ProviderDelay&gt;=1,AD11*ProviderShare,AD12*ProviderShare)</f>
        <v/>
      </c>
      <c r="AI12" s="12">
        <f>AA12*PaymentFee</f>
        <v/>
      </c>
      <c r="AJ12" s="12">
        <f>U12*OpsAI</f>
        <v/>
      </c>
      <c r="AK12" s="12">
        <f>MonthlyFixed</f>
        <v/>
      </c>
      <c r="AL12" s="12">
        <f>I12*ReferralReward</f>
        <v/>
      </c>
      <c r="AM12" s="12">
        <f>G12</f>
        <v/>
      </c>
      <c r="AN12" s="9">
        <f>AD12-AH12-AI12-AJ12-AK12-AL12-AM12</f>
        <v/>
      </c>
      <c r="AO12" s="9">
        <f>AO11+AA12-(AH12+AI12+AJ12+AK12+AL12+AM12+AF12)</f>
        <v/>
      </c>
      <c r="AP12" s="12">
        <f>IF(U12&gt;0,V12/U12,0)</f>
        <v/>
      </c>
      <c r="AQ12" s="11">
        <f>IF(U11&gt;0,MAX(0,(U11+J12-U12)/U11),0)</f>
        <v/>
      </c>
    </row>
    <row r="13">
      <c r="A13" s="12" t="n">
        <v>9</v>
      </c>
      <c r="B13" s="12">
        <f>MOD(A13-1+LaunchMonth-1,12)+1</f>
        <v/>
      </c>
      <c r="C13" s="12">
        <f>INT((A13-1+LaunchMonth-1)/12)+1</f>
        <v/>
      </c>
      <c r="D13" s="12">
        <f>VLOOKUP(B13,SeasonTable,2,FALSE)</f>
        <v/>
      </c>
      <c r="E13" s="12">
        <f>(1+InflationRate)^INT((A13-1)/12)</f>
        <v/>
      </c>
      <c r="F13" s="11">
        <f>MonthlyChurn*VLOOKUP(B13,ChurnSeasonTable,4,FALSE)</f>
        <v/>
      </c>
      <c r="G13" s="12">
        <f>MIN(MAX(MktMin7_12,AA12*MktPct7_12),MAX(0,AO12-CashBuffer))</f>
        <v/>
      </c>
      <c r="H13" s="12">
        <f>IF(G13&gt;0,MAX(1,ROUND(G13/CAC*D13,0)),0)</f>
        <v/>
      </c>
      <c r="I13" s="12">
        <f>IF(H13&gt;0,ROUND(H13*ReferralMix/(1-ReferralMix),0),0)</f>
        <v/>
      </c>
      <c r="J13" s="12">
        <f>H13+I13</f>
        <v/>
      </c>
      <c r="K13" s="12">
        <f>ROUND(J13*(1-AnnualMix),0)</f>
        <v/>
      </c>
      <c r="L13" s="12">
        <f>J13-K13</f>
        <v/>
      </c>
      <c r="M13" s="12">
        <f>ROUND(K13*EssentialMix,0)</f>
        <v/>
      </c>
      <c r="N13" s="12">
        <f>K13-M13</f>
        <v/>
      </c>
      <c r="O13" s="12">
        <f>ROUND(L13*EssentialMix,0)</f>
        <v/>
      </c>
      <c r="P13" s="12">
        <f>L13-O13</f>
        <v/>
      </c>
      <c r="Q13" s="12">
        <f>M13+M12+M11+MAX(0,Q12-M12-M11)*(1-F13)</f>
        <v/>
      </c>
      <c r="R13" s="12">
        <f>N13+N12+N11+MAX(0,R12-N12-N11)*(1-F13)</f>
        <v/>
      </c>
      <c r="S13" s="12">
        <f>SUM(O$5:O13)</f>
        <v/>
      </c>
      <c r="T13" s="12">
        <f>SUM(P$5:P13)</f>
        <v/>
      </c>
      <c r="U13" s="12">
        <f>Q13+R13+S13+T13</f>
        <v/>
      </c>
      <c r="V13" s="9">
        <f>Q13*PriceEssMonthly*E13+R13*PricePremMonthly*E13+S13*PriceEssAnnual*E13/12+T13*PricePremAnnual*E13/12</f>
        <v/>
      </c>
      <c r="W13" s="9">
        <f>V13*12</f>
        <v/>
      </c>
      <c r="X13" s="12">
        <f>Q13*PriceEssMonthly*E13+R13*PricePremMonthly*E13</f>
        <v/>
      </c>
      <c r="Y13" s="12">
        <f>O13*PriceEssAnnual*E13+P13*PricePremAnnual*E13</f>
        <v/>
      </c>
      <c r="Z13" s="12">
        <f>0+0</f>
        <v/>
      </c>
      <c r="AA13" s="9">
        <f>X13+Y13+Z13</f>
        <v/>
      </c>
      <c r="AB13" s="12">
        <f>SUM(AA$5:AA13)</f>
        <v/>
      </c>
      <c r="AC13" s="12">
        <f>OR(AC12,AB13&gt;=VATThreshold)</f>
        <v/>
      </c>
      <c r="AD13" s="9">
        <f>IF(AC13,AA13/(1+VATRate),AA13)</f>
        <v/>
      </c>
      <c r="AE13" s="12">
        <f>AA13-AD13</f>
        <v/>
      </c>
      <c r="AF13" s="12">
        <f>IF(AC13=0,0,IF(B13=1,SUMPRODUCT(--(($C$5:$C13=$C13-1)*($B$5:$B13&gt;=10)*($B$5:$B13&lt;=12)),$AE$5:$AE13),IF(B13=4,SUMPRODUCT(--(($C$5:$C13=$C13)*($B$5:$B13&gt;=1)*($B$5:$B13&lt;=3)),$AE$5:$AE13),IF(B13=7,SUMPRODUCT(--(($C$5:$C13=$C13)*($B$5:$B13&gt;=4)*($B$5:$B13&lt;=6)),$AE$5:$AE13),IF(B13=10,SUMPRODUCT(--(($C$5:$C13=$C13)*($B$5:$B13&gt;=7)*($B$5:$B13&lt;=9)),$AE$5:$AE13),0)))))</f>
        <v/>
      </c>
      <c r="AG13" s="12">
        <f>AG12+AE13-AF13</f>
        <v/>
      </c>
      <c r="AH13" s="12">
        <f>IF(ProviderDelay&gt;=1,AD12*ProviderShare,AD13*ProviderShare)</f>
        <v/>
      </c>
      <c r="AI13" s="12">
        <f>AA13*PaymentFee</f>
        <v/>
      </c>
      <c r="AJ13" s="12">
        <f>U13*OpsAI</f>
        <v/>
      </c>
      <c r="AK13" s="12">
        <f>MonthlyFixed</f>
        <v/>
      </c>
      <c r="AL13" s="12">
        <f>I13*ReferralReward</f>
        <v/>
      </c>
      <c r="AM13" s="12">
        <f>G13</f>
        <v/>
      </c>
      <c r="AN13" s="9">
        <f>AD13-AH13-AI13-AJ13-AK13-AL13-AM13</f>
        <v/>
      </c>
      <c r="AO13" s="9">
        <f>AO12+AA13-(AH13+AI13+AJ13+AK13+AL13+AM13+AF13)</f>
        <v/>
      </c>
      <c r="AP13" s="12">
        <f>IF(U13&gt;0,V13/U13,0)</f>
        <v/>
      </c>
      <c r="AQ13" s="11">
        <f>IF(U12&gt;0,MAX(0,(U12+J13-U13)/U12),0)</f>
        <v/>
      </c>
    </row>
    <row r="14">
      <c r="A14" s="12" t="n">
        <v>10</v>
      </c>
      <c r="B14" s="12">
        <f>MOD(A14-1+LaunchMonth-1,12)+1</f>
        <v/>
      </c>
      <c r="C14" s="12">
        <f>INT((A14-1+LaunchMonth-1)/12)+1</f>
        <v/>
      </c>
      <c r="D14" s="12">
        <f>VLOOKUP(B14,SeasonTable,2,FALSE)</f>
        <v/>
      </c>
      <c r="E14" s="12">
        <f>(1+InflationRate)^INT((A14-1)/12)</f>
        <v/>
      </c>
      <c r="F14" s="11">
        <f>MonthlyChurn*VLOOKUP(B14,ChurnSeasonTable,4,FALSE)</f>
        <v/>
      </c>
      <c r="G14" s="12">
        <f>MIN(MAX(MktMin7_12,AA13*MktPct7_12),MAX(0,AO13-CashBuffer))</f>
        <v/>
      </c>
      <c r="H14" s="12">
        <f>IF(G14&gt;0,MAX(1,ROUND(G14/CAC*D14,0)),0)</f>
        <v/>
      </c>
      <c r="I14" s="12">
        <f>IF(H14&gt;0,ROUND(H14*ReferralMix/(1-ReferralMix),0),0)</f>
        <v/>
      </c>
      <c r="J14" s="12">
        <f>H14+I14</f>
        <v/>
      </c>
      <c r="K14" s="12">
        <f>ROUND(J14*(1-AnnualMix),0)</f>
        <v/>
      </c>
      <c r="L14" s="12">
        <f>J14-K14</f>
        <v/>
      </c>
      <c r="M14" s="12">
        <f>ROUND(K14*EssentialMix,0)</f>
        <v/>
      </c>
      <c r="N14" s="12">
        <f>K14-M14</f>
        <v/>
      </c>
      <c r="O14" s="12">
        <f>ROUND(L14*EssentialMix,0)</f>
        <v/>
      </c>
      <c r="P14" s="12">
        <f>L14-O14</f>
        <v/>
      </c>
      <c r="Q14" s="12">
        <f>M14+M13+M12+MAX(0,Q13-M13-M12)*(1-F14)</f>
        <v/>
      </c>
      <c r="R14" s="12">
        <f>N14+N13+N12+MAX(0,R13-N13-N12)*(1-F14)</f>
        <v/>
      </c>
      <c r="S14" s="12">
        <f>SUM(O$5:O14)</f>
        <v/>
      </c>
      <c r="T14" s="12">
        <f>SUM(P$5:P14)</f>
        <v/>
      </c>
      <c r="U14" s="12">
        <f>Q14+R14+S14+T14</f>
        <v/>
      </c>
      <c r="V14" s="9">
        <f>Q14*PriceEssMonthly*E14+R14*PricePremMonthly*E14+S14*PriceEssAnnual*E14/12+T14*PricePremAnnual*E14/12</f>
        <v/>
      </c>
      <c r="W14" s="9">
        <f>V14*12</f>
        <v/>
      </c>
      <c r="X14" s="12">
        <f>Q14*PriceEssMonthly*E14+R14*PricePremMonthly*E14</f>
        <v/>
      </c>
      <c r="Y14" s="12">
        <f>O14*PriceEssAnnual*E14+P14*PricePremAnnual*E14</f>
        <v/>
      </c>
      <c r="Z14" s="12">
        <f>0+0</f>
        <v/>
      </c>
      <c r="AA14" s="9">
        <f>X14+Y14+Z14</f>
        <v/>
      </c>
      <c r="AB14" s="12">
        <f>SUM(AA$5:AA14)</f>
        <v/>
      </c>
      <c r="AC14" s="12">
        <f>OR(AC13,AB14&gt;=VATThreshold)</f>
        <v/>
      </c>
      <c r="AD14" s="9">
        <f>IF(AC14,AA14/(1+VATRate),AA14)</f>
        <v/>
      </c>
      <c r="AE14" s="12">
        <f>AA14-AD14</f>
        <v/>
      </c>
      <c r="AF14" s="12">
        <f>IF(AC14=0,0,IF(B14=1,SUMPRODUCT(--(($C$5:$C14=$C14-1)*($B$5:$B14&gt;=10)*($B$5:$B14&lt;=12)),$AE$5:$AE14),IF(B14=4,SUMPRODUCT(--(($C$5:$C14=$C14)*($B$5:$B14&gt;=1)*($B$5:$B14&lt;=3)),$AE$5:$AE14),IF(B14=7,SUMPRODUCT(--(($C$5:$C14=$C14)*($B$5:$B14&gt;=4)*($B$5:$B14&lt;=6)),$AE$5:$AE14),IF(B14=10,SUMPRODUCT(--(($C$5:$C14=$C14)*($B$5:$B14&gt;=7)*($B$5:$B14&lt;=9)),$AE$5:$AE14),0)))))</f>
        <v/>
      </c>
      <c r="AG14" s="12">
        <f>AG13+AE14-AF14</f>
        <v/>
      </c>
      <c r="AH14" s="12">
        <f>IF(ProviderDelay&gt;=1,AD13*ProviderShare,AD14*ProviderShare)</f>
        <v/>
      </c>
      <c r="AI14" s="12">
        <f>AA14*PaymentFee</f>
        <v/>
      </c>
      <c r="AJ14" s="12">
        <f>U14*OpsAI</f>
        <v/>
      </c>
      <c r="AK14" s="12">
        <f>MonthlyFixed</f>
        <v/>
      </c>
      <c r="AL14" s="12">
        <f>I14*ReferralReward</f>
        <v/>
      </c>
      <c r="AM14" s="12">
        <f>G14</f>
        <v/>
      </c>
      <c r="AN14" s="9">
        <f>AD14-AH14-AI14-AJ14-AK14-AL14-AM14</f>
        <v/>
      </c>
      <c r="AO14" s="9">
        <f>AO13+AA14-(AH14+AI14+AJ14+AK14+AL14+AM14+AF14)</f>
        <v/>
      </c>
      <c r="AP14" s="12">
        <f>IF(U14&gt;0,V14/U14,0)</f>
        <v/>
      </c>
      <c r="AQ14" s="11">
        <f>IF(U13&gt;0,MAX(0,(U13+J14-U14)/U13),0)</f>
        <v/>
      </c>
    </row>
    <row r="15">
      <c r="A15" s="12" t="n">
        <v>11</v>
      </c>
      <c r="B15" s="12">
        <f>MOD(A15-1+LaunchMonth-1,12)+1</f>
        <v/>
      </c>
      <c r="C15" s="12">
        <f>INT((A15-1+LaunchMonth-1)/12)+1</f>
        <v/>
      </c>
      <c r="D15" s="12">
        <f>VLOOKUP(B15,SeasonTable,2,FALSE)</f>
        <v/>
      </c>
      <c r="E15" s="12">
        <f>(1+InflationRate)^INT((A15-1)/12)</f>
        <v/>
      </c>
      <c r="F15" s="11">
        <f>MonthlyChurn*VLOOKUP(B15,ChurnSeasonTable,4,FALSE)</f>
        <v/>
      </c>
      <c r="G15" s="12">
        <f>MIN(MAX(MktMin7_12,AA14*MktPct7_12),MAX(0,AO14-CashBuffer))</f>
        <v/>
      </c>
      <c r="H15" s="12">
        <f>IF(G15&gt;0,MAX(1,ROUND(G15/CAC*D15,0)),0)</f>
        <v/>
      </c>
      <c r="I15" s="12">
        <f>IF(H15&gt;0,ROUND(H15*ReferralMix/(1-ReferralMix),0),0)</f>
        <v/>
      </c>
      <c r="J15" s="12">
        <f>H15+I15</f>
        <v/>
      </c>
      <c r="K15" s="12">
        <f>ROUND(J15*(1-AnnualMix),0)</f>
        <v/>
      </c>
      <c r="L15" s="12">
        <f>J15-K15</f>
        <v/>
      </c>
      <c r="M15" s="12">
        <f>ROUND(K15*EssentialMix,0)</f>
        <v/>
      </c>
      <c r="N15" s="12">
        <f>K15-M15</f>
        <v/>
      </c>
      <c r="O15" s="12">
        <f>ROUND(L15*EssentialMix,0)</f>
        <v/>
      </c>
      <c r="P15" s="12">
        <f>L15-O15</f>
        <v/>
      </c>
      <c r="Q15" s="12">
        <f>M15+M14+M13+MAX(0,Q14-M14-M13)*(1-F15)</f>
        <v/>
      </c>
      <c r="R15" s="12">
        <f>N15+N14+N13+MAX(0,R14-N14-N13)*(1-F15)</f>
        <v/>
      </c>
      <c r="S15" s="12">
        <f>SUM(O$5:O15)</f>
        <v/>
      </c>
      <c r="T15" s="12">
        <f>SUM(P$5:P15)</f>
        <v/>
      </c>
      <c r="U15" s="12">
        <f>Q15+R15+S15+T15</f>
        <v/>
      </c>
      <c r="V15" s="9">
        <f>Q15*PriceEssMonthly*E15+R15*PricePremMonthly*E15+S15*PriceEssAnnual*E15/12+T15*PricePremAnnual*E15/12</f>
        <v/>
      </c>
      <c r="W15" s="9">
        <f>V15*12</f>
        <v/>
      </c>
      <c r="X15" s="12">
        <f>Q15*PriceEssMonthly*E15+R15*PricePremMonthly*E15</f>
        <v/>
      </c>
      <c r="Y15" s="12">
        <f>O15*PriceEssAnnual*E15+P15*PricePremAnnual*E15</f>
        <v/>
      </c>
      <c r="Z15" s="12">
        <f>0+0</f>
        <v/>
      </c>
      <c r="AA15" s="9">
        <f>X15+Y15+Z15</f>
        <v/>
      </c>
      <c r="AB15" s="12">
        <f>SUM(AA$5:AA15)</f>
        <v/>
      </c>
      <c r="AC15" s="12">
        <f>OR(AC14,AB15&gt;=VATThreshold)</f>
        <v/>
      </c>
      <c r="AD15" s="9">
        <f>IF(AC15,AA15/(1+VATRate),AA15)</f>
        <v/>
      </c>
      <c r="AE15" s="12">
        <f>AA15-AD15</f>
        <v/>
      </c>
      <c r="AF15" s="12">
        <f>IF(AC15=0,0,IF(B15=1,SUMPRODUCT(--(($C$5:$C15=$C15-1)*($B$5:$B15&gt;=10)*($B$5:$B15&lt;=12)),$AE$5:$AE15),IF(B15=4,SUMPRODUCT(--(($C$5:$C15=$C15)*($B$5:$B15&gt;=1)*($B$5:$B15&lt;=3)),$AE$5:$AE15),IF(B15=7,SUMPRODUCT(--(($C$5:$C15=$C15)*($B$5:$B15&gt;=4)*($B$5:$B15&lt;=6)),$AE$5:$AE15),IF(B15=10,SUMPRODUCT(--(($C$5:$C15=$C15)*($B$5:$B15&gt;=7)*($B$5:$B15&lt;=9)),$AE$5:$AE15),0)))))</f>
        <v/>
      </c>
      <c r="AG15" s="12">
        <f>AG14+AE15-AF15</f>
        <v/>
      </c>
      <c r="AH15" s="12">
        <f>IF(ProviderDelay&gt;=1,AD14*ProviderShare,AD15*ProviderShare)</f>
        <v/>
      </c>
      <c r="AI15" s="12">
        <f>AA15*PaymentFee</f>
        <v/>
      </c>
      <c r="AJ15" s="12">
        <f>U15*OpsAI</f>
        <v/>
      </c>
      <c r="AK15" s="12">
        <f>MonthlyFixed</f>
        <v/>
      </c>
      <c r="AL15" s="12">
        <f>I15*ReferralReward</f>
        <v/>
      </c>
      <c r="AM15" s="12">
        <f>G15</f>
        <v/>
      </c>
      <c r="AN15" s="9">
        <f>AD15-AH15-AI15-AJ15-AK15-AL15-AM15</f>
        <v/>
      </c>
      <c r="AO15" s="9">
        <f>AO14+AA15-(AH15+AI15+AJ15+AK15+AL15+AM15+AF15)</f>
        <v/>
      </c>
      <c r="AP15" s="12">
        <f>IF(U15&gt;0,V15/U15,0)</f>
        <v/>
      </c>
      <c r="AQ15" s="11">
        <f>IF(U14&gt;0,MAX(0,(U14+J15-U15)/U14),0)</f>
        <v/>
      </c>
    </row>
    <row r="16">
      <c r="A16" s="12" t="n">
        <v>12</v>
      </c>
      <c r="B16" s="12">
        <f>MOD(A16-1+LaunchMonth-1,12)+1</f>
        <v/>
      </c>
      <c r="C16" s="12">
        <f>INT((A16-1+LaunchMonth-1)/12)+1</f>
        <v/>
      </c>
      <c r="D16" s="12">
        <f>VLOOKUP(B16,SeasonTable,2,FALSE)</f>
        <v/>
      </c>
      <c r="E16" s="12">
        <f>(1+InflationRate)^INT((A16-1)/12)</f>
        <v/>
      </c>
      <c r="F16" s="11">
        <f>MonthlyChurn*VLOOKUP(B16,ChurnSeasonTable,4,FALSE)</f>
        <v/>
      </c>
      <c r="G16" s="12">
        <f>MIN(MAX(MktMin7_12,AA15*MktPct7_12),MAX(0,AO15-CashBuffer))</f>
        <v/>
      </c>
      <c r="H16" s="12">
        <f>IF(G16&gt;0,MAX(1,ROUND(G16/CAC*D16,0)),0)</f>
        <v/>
      </c>
      <c r="I16" s="12">
        <f>IF(H16&gt;0,ROUND(H16*ReferralMix/(1-ReferralMix),0),0)</f>
        <v/>
      </c>
      <c r="J16" s="12">
        <f>H16+I16</f>
        <v/>
      </c>
      <c r="K16" s="12">
        <f>ROUND(J16*(1-AnnualMix),0)</f>
        <v/>
      </c>
      <c r="L16" s="12">
        <f>J16-K16</f>
        <v/>
      </c>
      <c r="M16" s="12">
        <f>ROUND(K16*EssentialMix,0)</f>
        <v/>
      </c>
      <c r="N16" s="12">
        <f>K16-M16</f>
        <v/>
      </c>
      <c r="O16" s="12">
        <f>ROUND(L16*EssentialMix,0)</f>
        <v/>
      </c>
      <c r="P16" s="12">
        <f>L16-O16</f>
        <v/>
      </c>
      <c r="Q16" s="12">
        <f>M16+M15+M14+MAX(0,Q15-M15-M14)*(1-F16)</f>
        <v/>
      </c>
      <c r="R16" s="12">
        <f>N16+N15+N14+MAX(0,R15-N15-N14)*(1-F16)</f>
        <v/>
      </c>
      <c r="S16" s="12">
        <f>SUM(O$5:O16)</f>
        <v/>
      </c>
      <c r="T16" s="12">
        <f>SUM(P$5:P16)</f>
        <v/>
      </c>
      <c r="U16" s="12">
        <f>Q16+R16+S16+T16</f>
        <v/>
      </c>
      <c r="V16" s="9">
        <f>Q16*PriceEssMonthly*E16+R16*PricePremMonthly*E16+S16*PriceEssAnnual*E16/12+T16*PricePremAnnual*E16/12</f>
        <v/>
      </c>
      <c r="W16" s="9">
        <f>V16*12</f>
        <v/>
      </c>
      <c r="X16" s="12">
        <f>Q16*PriceEssMonthly*E16+R16*PricePremMonthly*E16</f>
        <v/>
      </c>
      <c r="Y16" s="12">
        <f>O16*PriceEssAnnual*E16+P16*PricePremAnnual*E16</f>
        <v/>
      </c>
      <c r="Z16" s="12">
        <f>0+0</f>
        <v/>
      </c>
      <c r="AA16" s="9">
        <f>X16+Y16+Z16</f>
        <v/>
      </c>
      <c r="AB16" s="12">
        <f>SUM(AA5:AA16)</f>
        <v/>
      </c>
      <c r="AC16" s="12">
        <f>OR(AC15,AB16&gt;=VATThreshold)</f>
        <v/>
      </c>
      <c r="AD16" s="9">
        <f>IF(AC16,AA16/(1+VATRate),AA16)</f>
        <v/>
      </c>
      <c r="AE16" s="12">
        <f>AA16-AD16</f>
        <v/>
      </c>
      <c r="AF16" s="12">
        <f>IF(AC16=0,0,IF(B16=1,SUMPRODUCT(--(($C$5:$C16=$C16-1)*($B$5:$B16&gt;=10)*($B$5:$B16&lt;=12)),$AE$5:$AE16),IF(B16=4,SUMPRODUCT(--(($C$5:$C16=$C16)*($B$5:$B16&gt;=1)*($B$5:$B16&lt;=3)),$AE$5:$AE16),IF(B16=7,SUMPRODUCT(--(($C$5:$C16=$C16)*($B$5:$B16&gt;=4)*($B$5:$B16&lt;=6)),$AE$5:$AE16),IF(B16=10,SUMPRODUCT(--(($C$5:$C16=$C16)*($B$5:$B16&gt;=7)*($B$5:$B16&lt;=9)),$AE$5:$AE16),0)))))</f>
        <v/>
      </c>
      <c r="AG16" s="12">
        <f>AG15+AE16-AF16</f>
        <v/>
      </c>
      <c r="AH16" s="12">
        <f>IF(ProviderDelay&gt;=1,AD15*ProviderShare,AD16*ProviderShare)</f>
        <v/>
      </c>
      <c r="AI16" s="12">
        <f>AA16*PaymentFee</f>
        <v/>
      </c>
      <c r="AJ16" s="12">
        <f>U16*OpsAI</f>
        <v/>
      </c>
      <c r="AK16" s="12">
        <f>MonthlyFixed</f>
        <v/>
      </c>
      <c r="AL16" s="12">
        <f>I16*ReferralReward</f>
        <v/>
      </c>
      <c r="AM16" s="12">
        <f>G16</f>
        <v/>
      </c>
      <c r="AN16" s="9">
        <f>AD16-AH16-AI16-AJ16-AK16-AL16-AM16</f>
        <v/>
      </c>
      <c r="AO16" s="9">
        <f>AO15+AA16-(AH16+AI16+AJ16+AK16+AL16+AM16+AF16)</f>
        <v/>
      </c>
      <c r="AP16" s="12">
        <f>IF(U16&gt;0,V16/U16,0)</f>
        <v/>
      </c>
      <c r="AQ16" s="11">
        <f>IF(U15&gt;0,MAX(0,(U15+J16-U16)/U15),0)</f>
        <v/>
      </c>
    </row>
    <row r="17">
      <c r="A17" s="12" t="n">
        <v>13</v>
      </c>
      <c r="B17" s="12">
        <f>MOD(A17-1+LaunchMonth-1,12)+1</f>
        <v/>
      </c>
      <c r="C17" s="12">
        <f>INT((A17-1+LaunchMonth-1)/12)+1</f>
        <v/>
      </c>
      <c r="D17" s="12">
        <f>VLOOKUP(B17,SeasonTable,2,FALSE)</f>
        <v/>
      </c>
      <c r="E17" s="12">
        <f>(1+InflationRate)^INT((A17-1)/12)</f>
        <v/>
      </c>
      <c r="F17" s="11">
        <f>MonthlyChurn*VLOOKUP(B17,ChurnSeasonTable,4,FALSE)</f>
        <v/>
      </c>
      <c r="G17" s="12">
        <f>MIN(MAX(MktMin13_18,AA16*MktPct13_18),MAX(0,AO16-CashBuffer))</f>
        <v/>
      </c>
      <c r="H17" s="12">
        <f>IF(G17&gt;0,MAX(1,ROUND(G17/CAC*D17,0)),0)</f>
        <v/>
      </c>
      <c r="I17" s="12">
        <f>IF(H17&gt;0,ROUND(H17*ReferralMix/(1-ReferralMix),0),0)</f>
        <v/>
      </c>
      <c r="J17" s="12">
        <f>H17+I17</f>
        <v/>
      </c>
      <c r="K17" s="12">
        <f>ROUND(J17*(1-AnnualMix),0)</f>
        <v/>
      </c>
      <c r="L17" s="12">
        <f>J17-K17</f>
        <v/>
      </c>
      <c r="M17" s="12">
        <f>ROUND(K17*EssentialMix,0)</f>
        <v/>
      </c>
      <c r="N17" s="12">
        <f>K17-M17</f>
        <v/>
      </c>
      <c r="O17" s="12">
        <f>ROUND(L17*EssentialMix,0)</f>
        <v/>
      </c>
      <c r="P17" s="12">
        <f>L17-O17</f>
        <v/>
      </c>
      <c r="Q17" s="12">
        <f>M17+M16+M15+MAX(0,Q16-M16-M15)*(1-F17)</f>
        <v/>
      </c>
      <c r="R17" s="12">
        <f>N17+N16+N15+MAX(0,R16-N16-N15)*(1-F17)</f>
        <v/>
      </c>
      <c r="S17" s="12">
        <f>S16+O17-O5*(AnnualChurn*VLOOKUP(B17,ChurnSeasonTable,4,FALSE))*POWER(1-(AnnualChurn*VLOOKUP(B17,ChurnSeasonTable,4,FALSE)),0)</f>
        <v/>
      </c>
      <c r="T17" s="12">
        <f>T16+P17-P5*(AnnualChurn*VLOOKUP(B17,ChurnSeasonTable,4,FALSE))*POWER(1-(AnnualChurn*VLOOKUP(B17,ChurnSeasonTable,4,FALSE)),0)</f>
        <v/>
      </c>
      <c r="U17" s="12">
        <f>Q17+R17+S17+T17</f>
        <v/>
      </c>
      <c r="V17" s="9">
        <f>Q17*PriceEssMonthly*E17+R17*PricePremMonthly*E17+S17*PriceEssAnnual*E17/12+T17*PricePremAnnual*E17/12</f>
        <v/>
      </c>
      <c r="W17" s="9">
        <f>V17*12</f>
        <v/>
      </c>
      <c r="X17" s="12">
        <f>Q17*PriceEssMonthly*E17+R17*PricePremMonthly*E17</f>
        <v/>
      </c>
      <c r="Y17" s="12">
        <f>O17*PriceEssAnnual*E17+P17*PricePremAnnual*E17</f>
        <v/>
      </c>
      <c r="Z17" s="12">
        <f>O5*POWER(1-(AnnualChurn*VLOOKUP(B17,ChurnSeasonTable,4,FALSE)),1)*PriceEssAnnual*E17+P5*POWER(1-(AnnualChurn*VLOOKUP(B17,ChurnSeasonTable,4,FALSE)),1)*PricePremAnnual*E17</f>
        <v/>
      </c>
      <c r="AA17" s="9">
        <f>X17+Y17+Z17</f>
        <v/>
      </c>
      <c r="AB17" s="12">
        <f>SUM(AA6:AA17)</f>
        <v/>
      </c>
      <c r="AC17" s="12">
        <f>OR(AC16,AB17&gt;=VATThreshold)</f>
        <v/>
      </c>
      <c r="AD17" s="9">
        <f>IF(AC17,AA17/(1+VATRate),AA17)</f>
        <v/>
      </c>
      <c r="AE17" s="12">
        <f>AA17-AD17</f>
        <v/>
      </c>
      <c r="AF17" s="12">
        <f>IF(AC17=0,0,IF(B17=1,SUMPRODUCT(--(($C$5:$C17=$C17-1)*($B$5:$B17&gt;=10)*($B$5:$B17&lt;=12)),$AE$5:$AE17),IF(B17=4,SUMPRODUCT(--(($C$5:$C17=$C17)*($B$5:$B17&gt;=1)*($B$5:$B17&lt;=3)),$AE$5:$AE17),IF(B17=7,SUMPRODUCT(--(($C$5:$C17=$C17)*($B$5:$B17&gt;=4)*($B$5:$B17&lt;=6)),$AE$5:$AE17),IF(B17=10,SUMPRODUCT(--(($C$5:$C17=$C17)*($B$5:$B17&gt;=7)*($B$5:$B17&lt;=9)),$AE$5:$AE17),0)))))</f>
        <v/>
      </c>
      <c r="AG17" s="12">
        <f>AG16+AE17-AF17</f>
        <v/>
      </c>
      <c r="AH17" s="12">
        <f>IF(ProviderDelay&gt;=1,AD16*ProviderShare,AD17*ProviderShare)</f>
        <v/>
      </c>
      <c r="AI17" s="12">
        <f>AA17*PaymentFee</f>
        <v/>
      </c>
      <c r="AJ17" s="12">
        <f>U17*OpsAI</f>
        <v/>
      </c>
      <c r="AK17" s="12">
        <f>MonthlyFixed</f>
        <v/>
      </c>
      <c r="AL17" s="12">
        <f>I17*ReferralReward</f>
        <v/>
      </c>
      <c r="AM17" s="12">
        <f>G17</f>
        <v/>
      </c>
      <c r="AN17" s="9">
        <f>AD17-AH17-AI17-AJ17-AK17-AL17-AM17</f>
        <v/>
      </c>
      <c r="AO17" s="9">
        <f>AO16+AA17-(AH17+AI17+AJ17+AK17+AL17+AM17+AF17)</f>
        <v/>
      </c>
      <c r="AP17" s="12">
        <f>IF(U17&gt;0,V17/U17,0)</f>
        <v/>
      </c>
      <c r="AQ17" s="11">
        <f>IF(U16&gt;0,MAX(0,(U16+J17-U17)/U16),0)</f>
        <v/>
      </c>
    </row>
    <row r="18">
      <c r="A18" s="12" t="n">
        <v>14</v>
      </c>
      <c r="B18" s="12">
        <f>MOD(A18-1+LaunchMonth-1,12)+1</f>
        <v/>
      </c>
      <c r="C18" s="12">
        <f>INT((A18-1+LaunchMonth-1)/12)+1</f>
        <v/>
      </c>
      <c r="D18" s="12">
        <f>VLOOKUP(B18,SeasonTable,2,FALSE)</f>
        <v/>
      </c>
      <c r="E18" s="12">
        <f>(1+InflationRate)^INT((A18-1)/12)</f>
        <v/>
      </c>
      <c r="F18" s="11">
        <f>MonthlyChurn*VLOOKUP(B18,ChurnSeasonTable,4,FALSE)</f>
        <v/>
      </c>
      <c r="G18" s="12">
        <f>MIN(MAX(MktMin13_18,AA17*MktPct13_18),MAX(0,AO17-CashBuffer))</f>
        <v/>
      </c>
      <c r="H18" s="12">
        <f>IF(G18&gt;0,MAX(1,ROUND(G18/CAC*D18,0)),0)</f>
        <v/>
      </c>
      <c r="I18" s="12">
        <f>IF(H18&gt;0,ROUND(H18*ReferralMix/(1-ReferralMix),0),0)</f>
        <v/>
      </c>
      <c r="J18" s="12">
        <f>H18+I18</f>
        <v/>
      </c>
      <c r="K18" s="12">
        <f>ROUND(J18*(1-AnnualMix),0)</f>
        <v/>
      </c>
      <c r="L18" s="12">
        <f>J18-K18</f>
        <v/>
      </c>
      <c r="M18" s="12">
        <f>ROUND(K18*EssentialMix,0)</f>
        <v/>
      </c>
      <c r="N18" s="12">
        <f>K18-M18</f>
        <v/>
      </c>
      <c r="O18" s="12">
        <f>ROUND(L18*EssentialMix,0)</f>
        <v/>
      </c>
      <c r="P18" s="12">
        <f>L18-O18</f>
        <v/>
      </c>
      <c r="Q18" s="12">
        <f>M18+M17+M16+MAX(0,Q17-M17-M16)*(1-F18)</f>
        <v/>
      </c>
      <c r="R18" s="12">
        <f>N18+N17+N16+MAX(0,R17-N17-N16)*(1-F18)</f>
        <v/>
      </c>
      <c r="S18" s="12">
        <f>S17+O18-O6*(AnnualChurn*VLOOKUP(B18,ChurnSeasonTable,4,FALSE))*POWER(1-(AnnualChurn*VLOOKUP(B18,ChurnSeasonTable,4,FALSE)),0)</f>
        <v/>
      </c>
      <c r="T18" s="12">
        <f>T17+P18-P6*(AnnualChurn*VLOOKUP(B18,ChurnSeasonTable,4,FALSE))*POWER(1-(AnnualChurn*VLOOKUP(B18,ChurnSeasonTable,4,FALSE)),0)</f>
        <v/>
      </c>
      <c r="U18" s="12">
        <f>Q18+R18+S18+T18</f>
        <v/>
      </c>
      <c r="V18" s="9">
        <f>Q18*PriceEssMonthly*E18+R18*PricePremMonthly*E18+S18*PriceEssAnnual*E18/12+T18*PricePremAnnual*E18/12</f>
        <v/>
      </c>
      <c r="W18" s="9">
        <f>V18*12</f>
        <v/>
      </c>
      <c r="X18" s="12">
        <f>Q18*PriceEssMonthly*E18+R18*PricePremMonthly*E18</f>
        <v/>
      </c>
      <c r="Y18" s="12">
        <f>O18*PriceEssAnnual*E18+P18*PricePremAnnual*E18</f>
        <v/>
      </c>
      <c r="Z18" s="12">
        <f>O6*POWER(1-(AnnualChurn*VLOOKUP(B18,ChurnSeasonTable,4,FALSE)),1)*PriceEssAnnual*E18+P6*POWER(1-(AnnualChurn*VLOOKUP(B18,ChurnSeasonTable,4,FALSE)),1)*PricePremAnnual*E18</f>
        <v/>
      </c>
      <c r="AA18" s="9">
        <f>X18+Y18+Z18</f>
        <v/>
      </c>
      <c r="AB18" s="12">
        <f>SUM(AA7:AA18)</f>
        <v/>
      </c>
      <c r="AC18" s="12">
        <f>OR(AC17,AB18&gt;=VATThreshold)</f>
        <v/>
      </c>
      <c r="AD18" s="9">
        <f>IF(AC18,AA18/(1+VATRate),AA18)</f>
        <v/>
      </c>
      <c r="AE18" s="12">
        <f>AA18-AD18</f>
        <v/>
      </c>
      <c r="AF18" s="12">
        <f>IF(AC18=0,0,IF(B18=1,SUMPRODUCT(--(($C$5:$C18=$C18-1)*($B$5:$B18&gt;=10)*($B$5:$B18&lt;=12)),$AE$5:$AE18),IF(B18=4,SUMPRODUCT(--(($C$5:$C18=$C18)*($B$5:$B18&gt;=1)*($B$5:$B18&lt;=3)),$AE$5:$AE18),IF(B18=7,SUMPRODUCT(--(($C$5:$C18=$C18)*($B$5:$B18&gt;=4)*($B$5:$B18&lt;=6)),$AE$5:$AE18),IF(B18=10,SUMPRODUCT(--(($C$5:$C18=$C18)*($B$5:$B18&gt;=7)*($B$5:$B18&lt;=9)),$AE$5:$AE18),0)))))</f>
        <v/>
      </c>
      <c r="AG18" s="12">
        <f>AG17+AE18-AF18</f>
        <v/>
      </c>
      <c r="AH18" s="12">
        <f>IF(ProviderDelay&gt;=1,AD17*ProviderShare,AD18*ProviderShare)</f>
        <v/>
      </c>
      <c r="AI18" s="12">
        <f>AA18*PaymentFee</f>
        <v/>
      </c>
      <c r="AJ18" s="12">
        <f>U18*OpsAI</f>
        <v/>
      </c>
      <c r="AK18" s="12">
        <f>MonthlyFixed</f>
        <v/>
      </c>
      <c r="AL18" s="12">
        <f>I18*ReferralReward</f>
        <v/>
      </c>
      <c r="AM18" s="12">
        <f>G18</f>
        <v/>
      </c>
      <c r="AN18" s="9">
        <f>AD18-AH18-AI18-AJ18-AK18-AL18-AM18</f>
        <v/>
      </c>
      <c r="AO18" s="9">
        <f>AO17+AA18-(AH18+AI18+AJ18+AK18+AL18+AM18+AF18)</f>
        <v/>
      </c>
      <c r="AP18" s="12">
        <f>IF(U18&gt;0,V18/U18,0)</f>
        <v/>
      </c>
      <c r="AQ18" s="11">
        <f>IF(U17&gt;0,MAX(0,(U17+J18-U18)/U17),0)</f>
        <v/>
      </c>
    </row>
    <row r="19">
      <c r="A19" s="12" t="n">
        <v>15</v>
      </c>
      <c r="B19" s="12">
        <f>MOD(A19-1+LaunchMonth-1,12)+1</f>
        <v/>
      </c>
      <c r="C19" s="12">
        <f>INT((A19-1+LaunchMonth-1)/12)+1</f>
        <v/>
      </c>
      <c r="D19" s="12">
        <f>VLOOKUP(B19,SeasonTable,2,FALSE)</f>
        <v/>
      </c>
      <c r="E19" s="12">
        <f>(1+InflationRate)^INT((A19-1)/12)</f>
        <v/>
      </c>
      <c r="F19" s="11">
        <f>MonthlyChurn*VLOOKUP(B19,ChurnSeasonTable,4,FALSE)</f>
        <v/>
      </c>
      <c r="G19" s="12">
        <f>MIN(MAX(MktMin13_18,AA18*MktPct13_18),MAX(0,AO18-CashBuffer))</f>
        <v/>
      </c>
      <c r="H19" s="12">
        <f>IF(G19&gt;0,MAX(1,ROUND(G19/CAC*D19,0)),0)</f>
        <v/>
      </c>
      <c r="I19" s="12">
        <f>IF(H19&gt;0,ROUND(H19*ReferralMix/(1-ReferralMix),0),0)</f>
        <v/>
      </c>
      <c r="J19" s="12">
        <f>H19+I19</f>
        <v/>
      </c>
      <c r="K19" s="12">
        <f>ROUND(J19*(1-AnnualMix),0)</f>
        <v/>
      </c>
      <c r="L19" s="12">
        <f>J19-K19</f>
        <v/>
      </c>
      <c r="M19" s="12">
        <f>ROUND(K19*EssentialMix,0)</f>
        <v/>
      </c>
      <c r="N19" s="12">
        <f>K19-M19</f>
        <v/>
      </c>
      <c r="O19" s="12">
        <f>ROUND(L19*EssentialMix,0)</f>
        <v/>
      </c>
      <c r="P19" s="12">
        <f>L19-O19</f>
        <v/>
      </c>
      <c r="Q19" s="12">
        <f>M19+M18+M17+MAX(0,Q18-M18-M17)*(1-F19)</f>
        <v/>
      </c>
      <c r="R19" s="12">
        <f>N19+N18+N17+MAX(0,R18-N18-N17)*(1-F19)</f>
        <v/>
      </c>
      <c r="S19" s="12">
        <f>S18+O19-O7*(AnnualChurn*VLOOKUP(B19,ChurnSeasonTable,4,FALSE))*POWER(1-(AnnualChurn*VLOOKUP(B19,ChurnSeasonTable,4,FALSE)),0)</f>
        <v/>
      </c>
      <c r="T19" s="12">
        <f>T18+P19-P7*(AnnualChurn*VLOOKUP(B19,ChurnSeasonTable,4,FALSE))*POWER(1-(AnnualChurn*VLOOKUP(B19,ChurnSeasonTable,4,FALSE)),0)</f>
        <v/>
      </c>
      <c r="U19" s="12">
        <f>Q19+R19+S19+T19</f>
        <v/>
      </c>
      <c r="V19" s="9">
        <f>Q19*PriceEssMonthly*E19+R19*PricePremMonthly*E19+S19*PriceEssAnnual*E19/12+T19*PricePremAnnual*E19/12</f>
        <v/>
      </c>
      <c r="W19" s="9">
        <f>V19*12</f>
        <v/>
      </c>
      <c r="X19" s="12">
        <f>Q19*PriceEssMonthly*E19+R19*PricePremMonthly*E19</f>
        <v/>
      </c>
      <c r="Y19" s="12">
        <f>O19*PriceEssAnnual*E19+P19*PricePremAnnual*E19</f>
        <v/>
      </c>
      <c r="Z19" s="12">
        <f>O7*POWER(1-(AnnualChurn*VLOOKUP(B19,ChurnSeasonTable,4,FALSE)),1)*PriceEssAnnual*E19+P7*POWER(1-(AnnualChurn*VLOOKUP(B19,ChurnSeasonTable,4,FALSE)),1)*PricePremAnnual*E19</f>
        <v/>
      </c>
      <c r="AA19" s="9">
        <f>X19+Y19+Z19</f>
        <v/>
      </c>
      <c r="AB19" s="12">
        <f>SUM(AA8:AA19)</f>
        <v/>
      </c>
      <c r="AC19" s="12">
        <f>OR(AC18,AB19&gt;=VATThreshold)</f>
        <v/>
      </c>
      <c r="AD19" s="9">
        <f>IF(AC19,AA19/(1+VATRate),AA19)</f>
        <v/>
      </c>
      <c r="AE19" s="12">
        <f>AA19-AD19</f>
        <v/>
      </c>
      <c r="AF19" s="12">
        <f>IF(AC19=0,0,IF(B19=1,SUMPRODUCT(--(($C$5:$C19=$C19-1)*($B$5:$B19&gt;=10)*($B$5:$B19&lt;=12)),$AE$5:$AE19),IF(B19=4,SUMPRODUCT(--(($C$5:$C19=$C19)*($B$5:$B19&gt;=1)*($B$5:$B19&lt;=3)),$AE$5:$AE19),IF(B19=7,SUMPRODUCT(--(($C$5:$C19=$C19)*($B$5:$B19&gt;=4)*($B$5:$B19&lt;=6)),$AE$5:$AE19),IF(B19=10,SUMPRODUCT(--(($C$5:$C19=$C19)*($B$5:$B19&gt;=7)*($B$5:$B19&lt;=9)),$AE$5:$AE19),0)))))</f>
        <v/>
      </c>
      <c r="AG19" s="12">
        <f>AG18+AE19-AF19</f>
        <v/>
      </c>
      <c r="AH19" s="12">
        <f>IF(ProviderDelay&gt;=1,AD18*ProviderShare,AD19*ProviderShare)</f>
        <v/>
      </c>
      <c r="AI19" s="12">
        <f>AA19*PaymentFee</f>
        <v/>
      </c>
      <c r="AJ19" s="12">
        <f>U19*OpsAI</f>
        <v/>
      </c>
      <c r="AK19" s="12">
        <f>MonthlyFixed</f>
        <v/>
      </c>
      <c r="AL19" s="12">
        <f>I19*ReferralReward</f>
        <v/>
      </c>
      <c r="AM19" s="12">
        <f>G19</f>
        <v/>
      </c>
      <c r="AN19" s="9">
        <f>AD19-AH19-AI19-AJ19-AK19-AL19-AM19</f>
        <v/>
      </c>
      <c r="AO19" s="9">
        <f>AO18+AA19-(AH19+AI19+AJ19+AK19+AL19+AM19+AF19)</f>
        <v/>
      </c>
      <c r="AP19" s="12">
        <f>IF(U19&gt;0,V19/U19,0)</f>
        <v/>
      </c>
      <c r="AQ19" s="11">
        <f>IF(U18&gt;0,MAX(0,(U18+J19-U19)/U18),0)</f>
        <v/>
      </c>
    </row>
    <row r="20">
      <c r="A20" s="12" t="n">
        <v>16</v>
      </c>
      <c r="B20" s="12">
        <f>MOD(A20-1+LaunchMonth-1,12)+1</f>
        <v/>
      </c>
      <c r="C20" s="12">
        <f>INT((A20-1+LaunchMonth-1)/12)+1</f>
        <v/>
      </c>
      <c r="D20" s="12">
        <f>VLOOKUP(B20,SeasonTable,2,FALSE)</f>
        <v/>
      </c>
      <c r="E20" s="12">
        <f>(1+InflationRate)^INT((A20-1)/12)</f>
        <v/>
      </c>
      <c r="F20" s="11">
        <f>MonthlyChurn*VLOOKUP(B20,ChurnSeasonTable,4,FALSE)</f>
        <v/>
      </c>
      <c r="G20" s="12">
        <f>MIN(MAX(MktMin13_18,AA19*MktPct13_18),MAX(0,AO19-CashBuffer))</f>
        <v/>
      </c>
      <c r="H20" s="12">
        <f>IF(G20&gt;0,MAX(1,ROUND(G20/CAC*D20,0)),0)</f>
        <v/>
      </c>
      <c r="I20" s="12">
        <f>IF(H20&gt;0,ROUND(H20*ReferralMix/(1-ReferralMix),0),0)</f>
        <v/>
      </c>
      <c r="J20" s="12">
        <f>H20+I20</f>
        <v/>
      </c>
      <c r="K20" s="12">
        <f>ROUND(J20*(1-AnnualMix),0)</f>
        <v/>
      </c>
      <c r="L20" s="12">
        <f>J20-K20</f>
        <v/>
      </c>
      <c r="M20" s="12">
        <f>ROUND(K20*EssentialMix,0)</f>
        <v/>
      </c>
      <c r="N20" s="12">
        <f>K20-M20</f>
        <v/>
      </c>
      <c r="O20" s="12">
        <f>ROUND(L20*EssentialMix,0)</f>
        <v/>
      </c>
      <c r="P20" s="12">
        <f>L20-O20</f>
        <v/>
      </c>
      <c r="Q20" s="12">
        <f>M20+M19+M18+MAX(0,Q19-M19-M18)*(1-F20)</f>
        <v/>
      </c>
      <c r="R20" s="12">
        <f>N20+N19+N18+MAX(0,R19-N19-N18)*(1-F20)</f>
        <v/>
      </c>
      <c r="S20" s="12">
        <f>S19+O20-O8*(AnnualChurn*VLOOKUP(B20,ChurnSeasonTable,4,FALSE))*POWER(1-(AnnualChurn*VLOOKUP(B20,ChurnSeasonTable,4,FALSE)),0)</f>
        <v/>
      </c>
      <c r="T20" s="12">
        <f>T19+P20-P8*(AnnualChurn*VLOOKUP(B20,ChurnSeasonTable,4,FALSE))*POWER(1-(AnnualChurn*VLOOKUP(B20,ChurnSeasonTable,4,FALSE)),0)</f>
        <v/>
      </c>
      <c r="U20" s="12">
        <f>Q20+R20+S20+T20</f>
        <v/>
      </c>
      <c r="V20" s="9">
        <f>Q20*PriceEssMonthly*E20+R20*PricePremMonthly*E20+S20*PriceEssAnnual*E20/12+T20*PricePremAnnual*E20/12</f>
        <v/>
      </c>
      <c r="W20" s="9">
        <f>V20*12</f>
        <v/>
      </c>
      <c r="X20" s="12">
        <f>Q20*PriceEssMonthly*E20+R20*PricePremMonthly*E20</f>
        <v/>
      </c>
      <c r="Y20" s="12">
        <f>O20*PriceEssAnnual*E20+P20*PricePremAnnual*E20</f>
        <v/>
      </c>
      <c r="Z20" s="12">
        <f>O8*POWER(1-(AnnualChurn*VLOOKUP(B20,ChurnSeasonTable,4,FALSE)),1)*PriceEssAnnual*E20+P8*POWER(1-(AnnualChurn*VLOOKUP(B20,ChurnSeasonTable,4,FALSE)),1)*PricePremAnnual*E20</f>
        <v/>
      </c>
      <c r="AA20" s="9">
        <f>X20+Y20+Z20</f>
        <v/>
      </c>
      <c r="AB20" s="12">
        <f>SUM(AA9:AA20)</f>
        <v/>
      </c>
      <c r="AC20" s="12">
        <f>OR(AC19,AB20&gt;=VATThreshold)</f>
        <v/>
      </c>
      <c r="AD20" s="9">
        <f>IF(AC20,AA20/(1+VATRate),AA20)</f>
        <v/>
      </c>
      <c r="AE20" s="12">
        <f>AA20-AD20</f>
        <v/>
      </c>
      <c r="AF20" s="12">
        <f>IF(AC20=0,0,IF(B20=1,SUMPRODUCT(--(($C$5:$C20=$C20-1)*($B$5:$B20&gt;=10)*($B$5:$B20&lt;=12)),$AE$5:$AE20),IF(B20=4,SUMPRODUCT(--(($C$5:$C20=$C20)*($B$5:$B20&gt;=1)*($B$5:$B20&lt;=3)),$AE$5:$AE20),IF(B20=7,SUMPRODUCT(--(($C$5:$C20=$C20)*($B$5:$B20&gt;=4)*($B$5:$B20&lt;=6)),$AE$5:$AE20),IF(B20=10,SUMPRODUCT(--(($C$5:$C20=$C20)*($B$5:$B20&gt;=7)*($B$5:$B20&lt;=9)),$AE$5:$AE20),0)))))</f>
        <v/>
      </c>
      <c r="AG20" s="12">
        <f>AG19+AE20-AF20</f>
        <v/>
      </c>
      <c r="AH20" s="12">
        <f>IF(ProviderDelay&gt;=1,AD19*ProviderShare,AD20*ProviderShare)</f>
        <v/>
      </c>
      <c r="AI20" s="12">
        <f>AA20*PaymentFee</f>
        <v/>
      </c>
      <c r="AJ20" s="12">
        <f>U20*OpsAI</f>
        <v/>
      </c>
      <c r="AK20" s="12">
        <f>MonthlyFixed</f>
        <v/>
      </c>
      <c r="AL20" s="12">
        <f>I20*ReferralReward</f>
        <v/>
      </c>
      <c r="AM20" s="12">
        <f>G20</f>
        <v/>
      </c>
      <c r="AN20" s="9">
        <f>AD20-AH20-AI20-AJ20-AK20-AL20-AM20</f>
        <v/>
      </c>
      <c r="AO20" s="9">
        <f>AO19+AA20-(AH20+AI20+AJ20+AK20+AL20+AM20+AF20)</f>
        <v/>
      </c>
      <c r="AP20" s="12">
        <f>IF(U20&gt;0,V20/U20,0)</f>
        <v/>
      </c>
      <c r="AQ20" s="11">
        <f>IF(U19&gt;0,MAX(0,(U19+J20-U20)/U19),0)</f>
        <v/>
      </c>
    </row>
    <row r="21">
      <c r="A21" s="12" t="n">
        <v>17</v>
      </c>
      <c r="B21" s="12">
        <f>MOD(A21-1+LaunchMonth-1,12)+1</f>
        <v/>
      </c>
      <c r="C21" s="12">
        <f>INT((A21-1+LaunchMonth-1)/12)+1</f>
        <v/>
      </c>
      <c r="D21" s="12">
        <f>VLOOKUP(B21,SeasonTable,2,FALSE)</f>
        <v/>
      </c>
      <c r="E21" s="12">
        <f>(1+InflationRate)^INT((A21-1)/12)</f>
        <v/>
      </c>
      <c r="F21" s="11">
        <f>MonthlyChurn*VLOOKUP(B21,ChurnSeasonTable,4,FALSE)</f>
        <v/>
      </c>
      <c r="G21" s="12">
        <f>MIN(MAX(MktMin13_18,AA20*MktPct13_18),MAX(0,AO20-CashBuffer))</f>
        <v/>
      </c>
      <c r="H21" s="12">
        <f>IF(G21&gt;0,MAX(1,ROUND(G21/CAC*D21,0)),0)</f>
        <v/>
      </c>
      <c r="I21" s="12">
        <f>IF(H21&gt;0,ROUND(H21*ReferralMix/(1-ReferralMix),0),0)</f>
        <v/>
      </c>
      <c r="J21" s="12">
        <f>H21+I21</f>
        <v/>
      </c>
      <c r="K21" s="12">
        <f>ROUND(J21*(1-AnnualMix),0)</f>
        <v/>
      </c>
      <c r="L21" s="12">
        <f>J21-K21</f>
        <v/>
      </c>
      <c r="M21" s="12">
        <f>ROUND(K21*EssentialMix,0)</f>
        <v/>
      </c>
      <c r="N21" s="12">
        <f>K21-M21</f>
        <v/>
      </c>
      <c r="O21" s="12">
        <f>ROUND(L21*EssentialMix,0)</f>
        <v/>
      </c>
      <c r="P21" s="12">
        <f>L21-O21</f>
        <v/>
      </c>
      <c r="Q21" s="12">
        <f>M21+M20+M19+MAX(0,Q20-M20-M19)*(1-F21)</f>
        <v/>
      </c>
      <c r="R21" s="12">
        <f>N21+N20+N19+MAX(0,R20-N20-N19)*(1-F21)</f>
        <v/>
      </c>
      <c r="S21" s="12">
        <f>S20+O21-O9*(AnnualChurn*VLOOKUP(B21,ChurnSeasonTable,4,FALSE))*POWER(1-(AnnualChurn*VLOOKUP(B21,ChurnSeasonTable,4,FALSE)),0)</f>
        <v/>
      </c>
      <c r="T21" s="12">
        <f>T20+P21-P9*(AnnualChurn*VLOOKUP(B21,ChurnSeasonTable,4,FALSE))*POWER(1-(AnnualChurn*VLOOKUP(B21,ChurnSeasonTable,4,FALSE)),0)</f>
        <v/>
      </c>
      <c r="U21" s="12">
        <f>Q21+R21+S21+T21</f>
        <v/>
      </c>
      <c r="V21" s="9">
        <f>Q21*PriceEssMonthly*E21+R21*PricePremMonthly*E21+S21*PriceEssAnnual*E21/12+T21*PricePremAnnual*E21/12</f>
        <v/>
      </c>
      <c r="W21" s="9">
        <f>V21*12</f>
        <v/>
      </c>
      <c r="X21" s="12">
        <f>Q21*PriceEssMonthly*E21+R21*PricePremMonthly*E21</f>
        <v/>
      </c>
      <c r="Y21" s="12">
        <f>O21*PriceEssAnnual*E21+P21*PricePremAnnual*E21</f>
        <v/>
      </c>
      <c r="Z21" s="12">
        <f>O9*POWER(1-(AnnualChurn*VLOOKUP(B21,ChurnSeasonTable,4,FALSE)),1)*PriceEssAnnual*E21+P9*POWER(1-(AnnualChurn*VLOOKUP(B21,ChurnSeasonTable,4,FALSE)),1)*PricePremAnnual*E21</f>
        <v/>
      </c>
      <c r="AA21" s="9">
        <f>X21+Y21+Z21</f>
        <v/>
      </c>
      <c r="AB21" s="12">
        <f>SUM(AA10:AA21)</f>
        <v/>
      </c>
      <c r="AC21" s="12">
        <f>OR(AC20,AB21&gt;=VATThreshold)</f>
        <v/>
      </c>
      <c r="AD21" s="9">
        <f>IF(AC21,AA21/(1+VATRate),AA21)</f>
        <v/>
      </c>
      <c r="AE21" s="12">
        <f>AA21-AD21</f>
        <v/>
      </c>
      <c r="AF21" s="12">
        <f>IF(AC21=0,0,IF(B21=1,SUMPRODUCT(--(($C$5:$C21=$C21-1)*($B$5:$B21&gt;=10)*($B$5:$B21&lt;=12)),$AE$5:$AE21),IF(B21=4,SUMPRODUCT(--(($C$5:$C21=$C21)*($B$5:$B21&gt;=1)*($B$5:$B21&lt;=3)),$AE$5:$AE21),IF(B21=7,SUMPRODUCT(--(($C$5:$C21=$C21)*($B$5:$B21&gt;=4)*($B$5:$B21&lt;=6)),$AE$5:$AE21),IF(B21=10,SUMPRODUCT(--(($C$5:$C21=$C21)*($B$5:$B21&gt;=7)*($B$5:$B21&lt;=9)),$AE$5:$AE21),0)))))</f>
        <v/>
      </c>
      <c r="AG21" s="12">
        <f>AG20+AE21-AF21</f>
        <v/>
      </c>
      <c r="AH21" s="12">
        <f>IF(ProviderDelay&gt;=1,AD20*ProviderShare,AD21*ProviderShare)</f>
        <v/>
      </c>
      <c r="AI21" s="12">
        <f>AA21*PaymentFee</f>
        <v/>
      </c>
      <c r="AJ21" s="12">
        <f>U21*OpsAI</f>
        <v/>
      </c>
      <c r="AK21" s="12">
        <f>MonthlyFixed</f>
        <v/>
      </c>
      <c r="AL21" s="12">
        <f>I21*ReferralReward</f>
        <v/>
      </c>
      <c r="AM21" s="12">
        <f>G21</f>
        <v/>
      </c>
      <c r="AN21" s="9">
        <f>AD21-AH21-AI21-AJ21-AK21-AL21-AM21</f>
        <v/>
      </c>
      <c r="AO21" s="9">
        <f>AO20+AA21-(AH21+AI21+AJ21+AK21+AL21+AM21+AF21)</f>
        <v/>
      </c>
      <c r="AP21" s="12">
        <f>IF(U21&gt;0,V21/U21,0)</f>
        <v/>
      </c>
      <c r="AQ21" s="11">
        <f>IF(U20&gt;0,MAX(0,(U20+J21-U21)/U20),0)</f>
        <v/>
      </c>
    </row>
    <row r="22">
      <c r="A22" s="12" t="n">
        <v>18</v>
      </c>
      <c r="B22" s="12">
        <f>MOD(A22-1+LaunchMonth-1,12)+1</f>
        <v/>
      </c>
      <c r="C22" s="12">
        <f>INT((A22-1+LaunchMonth-1)/12)+1</f>
        <v/>
      </c>
      <c r="D22" s="12">
        <f>VLOOKUP(B22,SeasonTable,2,FALSE)</f>
        <v/>
      </c>
      <c r="E22" s="12">
        <f>(1+InflationRate)^INT((A22-1)/12)</f>
        <v/>
      </c>
      <c r="F22" s="11">
        <f>MonthlyChurn*VLOOKUP(B22,ChurnSeasonTable,4,FALSE)</f>
        <v/>
      </c>
      <c r="G22" s="12">
        <f>MIN(MAX(MktMin13_18,AA21*MktPct13_18),MAX(0,AO21-CashBuffer))</f>
        <v/>
      </c>
      <c r="H22" s="12">
        <f>IF(G22&gt;0,MAX(1,ROUND(G22/CAC*D22,0)),0)</f>
        <v/>
      </c>
      <c r="I22" s="12">
        <f>IF(H22&gt;0,ROUND(H22*ReferralMix/(1-ReferralMix),0),0)</f>
        <v/>
      </c>
      <c r="J22" s="12">
        <f>H22+I22</f>
        <v/>
      </c>
      <c r="K22" s="12">
        <f>ROUND(J22*(1-AnnualMix),0)</f>
        <v/>
      </c>
      <c r="L22" s="12">
        <f>J22-K22</f>
        <v/>
      </c>
      <c r="M22" s="12">
        <f>ROUND(K22*EssentialMix,0)</f>
        <v/>
      </c>
      <c r="N22" s="12">
        <f>K22-M22</f>
        <v/>
      </c>
      <c r="O22" s="12">
        <f>ROUND(L22*EssentialMix,0)</f>
        <v/>
      </c>
      <c r="P22" s="12">
        <f>L22-O22</f>
        <v/>
      </c>
      <c r="Q22" s="12">
        <f>M22+M21+M20+MAX(0,Q21-M21-M20)*(1-F22)</f>
        <v/>
      </c>
      <c r="R22" s="12">
        <f>N22+N21+N20+MAX(0,R21-N21-N20)*(1-F22)</f>
        <v/>
      </c>
      <c r="S22" s="12">
        <f>S21+O22-O10*(AnnualChurn*VLOOKUP(B22,ChurnSeasonTable,4,FALSE))*POWER(1-(AnnualChurn*VLOOKUP(B22,ChurnSeasonTable,4,FALSE)),0)</f>
        <v/>
      </c>
      <c r="T22" s="12">
        <f>T21+P22-P10*(AnnualChurn*VLOOKUP(B22,ChurnSeasonTable,4,FALSE))*POWER(1-(AnnualChurn*VLOOKUP(B22,ChurnSeasonTable,4,FALSE)),0)</f>
        <v/>
      </c>
      <c r="U22" s="12">
        <f>Q22+R22+S22+T22</f>
        <v/>
      </c>
      <c r="V22" s="9">
        <f>Q22*PriceEssMonthly*E22+R22*PricePremMonthly*E22+S22*PriceEssAnnual*E22/12+T22*PricePremAnnual*E22/12</f>
        <v/>
      </c>
      <c r="W22" s="9">
        <f>V22*12</f>
        <v/>
      </c>
      <c r="X22" s="12">
        <f>Q22*PriceEssMonthly*E22+R22*PricePremMonthly*E22</f>
        <v/>
      </c>
      <c r="Y22" s="12">
        <f>O22*PriceEssAnnual*E22+P22*PricePremAnnual*E22</f>
        <v/>
      </c>
      <c r="Z22" s="12">
        <f>O10*POWER(1-(AnnualChurn*VLOOKUP(B22,ChurnSeasonTable,4,FALSE)),1)*PriceEssAnnual*E22+P10*POWER(1-(AnnualChurn*VLOOKUP(B22,ChurnSeasonTable,4,FALSE)),1)*PricePremAnnual*E22</f>
        <v/>
      </c>
      <c r="AA22" s="9">
        <f>X22+Y22+Z22</f>
        <v/>
      </c>
      <c r="AB22" s="12">
        <f>SUM(AA11:AA22)</f>
        <v/>
      </c>
      <c r="AC22" s="12">
        <f>OR(AC21,AB22&gt;=VATThreshold)</f>
        <v/>
      </c>
      <c r="AD22" s="9">
        <f>IF(AC22,AA22/(1+VATRate),AA22)</f>
        <v/>
      </c>
      <c r="AE22" s="12">
        <f>AA22-AD22</f>
        <v/>
      </c>
      <c r="AF22" s="12">
        <f>IF(AC22=0,0,IF(B22=1,SUMPRODUCT(--(($C$5:$C22=$C22-1)*($B$5:$B22&gt;=10)*($B$5:$B22&lt;=12)),$AE$5:$AE22),IF(B22=4,SUMPRODUCT(--(($C$5:$C22=$C22)*($B$5:$B22&gt;=1)*($B$5:$B22&lt;=3)),$AE$5:$AE22),IF(B22=7,SUMPRODUCT(--(($C$5:$C22=$C22)*($B$5:$B22&gt;=4)*($B$5:$B22&lt;=6)),$AE$5:$AE22),IF(B22=10,SUMPRODUCT(--(($C$5:$C22=$C22)*($B$5:$B22&gt;=7)*($B$5:$B22&lt;=9)),$AE$5:$AE22),0)))))</f>
        <v/>
      </c>
      <c r="AG22" s="12">
        <f>AG21+AE22-AF22</f>
        <v/>
      </c>
      <c r="AH22" s="12">
        <f>IF(ProviderDelay&gt;=1,AD21*ProviderShare,AD22*ProviderShare)</f>
        <v/>
      </c>
      <c r="AI22" s="12">
        <f>AA22*PaymentFee</f>
        <v/>
      </c>
      <c r="AJ22" s="12">
        <f>U22*OpsAI</f>
        <v/>
      </c>
      <c r="AK22" s="12">
        <f>MonthlyFixed</f>
        <v/>
      </c>
      <c r="AL22" s="12">
        <f>I22*ReferralReward</f>
        <v/>
      </c>
      <c r="AM22" s="12">
        <f>G22</f>
        <v/>
      </c>
      <c r="AN22" s="9">
        <f>AD22-AH22-AI22-AJ22-AK22-AL22-AM22</f>
        <v/>
      </c>
      <c r="AO22" s="9">
        <f>AO21+AA22-(AH22+AI22+AJ22+AK22+AL22+AM22+AF22)</f>
        <v/>
      </c>
      <c r="AP22" s="12">
        <f>IF(U22&gt;0,V22/U22,0)</f>
        <v/>
      </c>
      <c r="AQ22" s="11">
        <f>IF(U21&gt;0,MAX(0,(U21+J22-U22)/U21),0)</f>
        <v/>
      </c>
    </row>
    <row r="23">
      <c r="A23" s="12" t="n">
        <v>19</v>
      </c>
      <c r="B23" s="12">
        <f>MOD(A23-1+LaunchMonth-1,12)+1</f>
        <v/>
      </c>
      <c r="C23" s="12">
        <f>INT((A23-1+LaunchMonth-1)/12)+1</f>
        <v/>
      </c>
      <c r="D23" s="12">
        <f>VLOOKUP(B23,SeasonTable,2,FALSE)</f>
        <v/>
      </c>
      <c r="E23" s="12">
        <f>(1+InflationRate)^INT((A23-1)/12)</f>
        <v/>
      </c>
      <c r="F23" s="11">
        <f>MonthlyChurn*VLOOKUP(B23,ChurnSeasonTable,4,FALSE)</f>
        <v/>
      </c>
      <c r="G23" s="12">
        <f>MIN(MAX(MktMin19plus,AA22*MktPct19plus),MAX(0,AO22-CashBuffer))</f>
        <v/>
      </c>
      <c r="H23" s="12">
        <f>IF(G23&gt;0,MAX(1,ROUND(G23/CAC*D23,0)),0)</f>
        <v/>
      </c>
      <c r="I23" s="12">
        <f>IF(H23&gt;0,ROUND(H23*ReferralMix/(1-ReferralMix),0),0)</f>
        <v/>
      </c>
      <c r="J23" s="12">
        <f>H23+I23</f>
        <v/>
      </c>
      <c r="K23" s="12">
        <f>ROUND(J23*(1-AnnualMix),0)</f>
        <v/>
      </c>
      <c r="L23" s="12">
        <f>J23-K23</f>
        <v/>
      </c>
      <c r="M23" s="12">
        <f>ROUND(K23*EssentialMix,0)</f>
        <v/>
      </c>
      <c r="N23" s="12">
        <f>K23-M23</f>
        <v/>
      </c>
      <c r="O23" s="12">
        <f>ROUND(L23*EssentialMix,0)</f>
        <v/>
      </c>
      <c r="P23" s="12">
        <f>L23-O23</f>
        <v/>
      </c>
      <c r="Q23" s="12">
        <f>M23+M22+M21+MAX(0,Q22-M22-M21)*(1-F23)</f>
        <v/>
      </c>
      <c r="R23" s="12">
        <f>N23+N22+N21+MAX(0,R22-N22-N21)*(1-F23)</f>
        <v/>
      </c>
      <c r="S23" s="12">
        <f>S22+O23-O11*(AnnualChurn*VLOOKUP(B23,ChurnSeasonTable,4,FALSE))*POWER(1-(AnnualChurn*VLOOKUP(B23,ChurnSeasonTable,4,FALSE)),0)</f>
        <v/>
      </c>
      <c r="T23" s="12">
        <f>T22+P23-P11*(AnnualChurn*VLOOKUP(B23,ChurnSeasonTable,4,FALSE))*POWER(1-(AnnualChurn*VLOOKUP(B23,ChurnSeasonTable,4,FALSE)),0)</f>
        <v/>
      </c>
      <c r="U23" s="12">
        <f>Q23+R23+S23+T23</f>
        <v/>
      </c>
      <c r="V23" s="9">
        <f>Q23*PriceEssMonthly*E23+R23*PricePremMonthly*E23+S23*PriceEssAnnual*E23/12+T23*PricePremAnnual*E23/12</f>
        <v/>
      </c>
      <c r="W23" s="9">
        <f>V23*12</f>
        <v/>
      </c>
      <c r="X23" s="12">
        <f>Q23*PriceEssMonthly*E23+R23*PricePremMonthly*E23</f>
        <v/>
      </c>
      <c r="Y23" s="12">
        <f>O23*PriceEssAnnual*E23+P23*PricePremAnnual*E23</f>
        <v/>
      </c>
      <c r="Z23" s="12">
        <f>O11*POWER(1-(AnnualChurn*VLOOKUP(B23,ChurnSeasonTable,4,FALSE)),1)*PriceEssAnnual*E23+P11*POWER(1-(AnnualChurn*VLOOKUP(B23,ChurnSeasonTable,4,FALSE)),1)*PricePremAnnual*E23</f>
        <v/>
      </c>
      <c r="AA23" s="9">
        <f>X23+Y23+Z23</f>
        <v/>
      </c>
      <c r="AB23" s="12">
        <f>SUM(AA12:AA23)</f>
        <v/>
      </c>
      <c r="AC23" s="12">
        <f>OR(AC22,AB23&gt;=VATThreshold)</f>
        <v/>
      </c>
      <c r="AD23" s="9">
        <f>IF(AC23,AA23/(1+VATRate),AA23)</f>
        <v/>
      </c>
      <c r="AE23" s="12">
        <f>AA23-AD23</f>
        <v/>
      </c>
      <c r="AF23" s="12">
        <f>IF(AC23=0,0,IF(B23=1,SUMPRODUCT(--(($C$5:$C23=$C23-1)*($B$5:$B23&gt;=10)*($B$5:$B23&lt;=12)),$AE$5:$AE23),IF(B23=4,SUMPRODUCT(--(($C$5:$C23=$C23)*($B$5:$B23&gt;=1)*($B$5:$B23&lt;=3)),$AE$5:$AE23),IF(B23=7,SUMPRODUCT(--(($C$5:$C23=$C23)*($B$5:$B23&gt;=4)*($B$5:$B23&lt;=6)),$AE$5:$AE23),IF(B23=10,SUMPRODUCT(--(($C$5:$C23=$C23)*($B$5:$B23&gt;=7)*($B$5:$B23&lt;=9)),$AE$5:$AE23),0)))))</f>
        <v/>
      </c>
      <c r="AG23" s="12">
        <f>AG22+AE23-AF23</f>
        <v/>
      </c>
      <c r="AH23" s="12">
        <f>IF(ProviderDelay&gt;=1,AD22*ProviderShare,AD23*ProviderShare)</f>
        <v/>
      </c>
      <c r="AI23" s="12">
        <f>AA23*PaymentFee</f>
        <v/>
      </c>
      <c r="AJ23" s="12">
        <f>U23*OpsAI</f>
        <v/>
      </c>
      <c r="AK23" s="12">
        <f>MonthlyFixed</f>
        <v/>
      </c>
      <c r="AL23" s="12">
        <f>I23*ReferralReward</f>
        <v/>
      </c>
      <c r="AM23" s="12">
        <f>G23</f>
        <v/>
      </c>
      <c r="AN23" s="9">
        <f>AD23-AH23-AI23-AJ23-AK23-AL23-AM23</f>
        <v/>
      </c>
      <c r="AO23" s="9">
        <f>AO22+AA23-(AH23+AI23+AJ23+AK23+AL23+AM23+AF23)</f>
        <v/>
      </c>
      <c r="AP23" s="12">
        <f>IF(U23&gt;0,V23/U23,0)</f>
        <v/>
      </c>
      <c r="AQ23" s="11">
        <f>IF(U22&gt;0,MAX(0,(U22+J23-U23)/U22),0)</f>
        <v/>
      </c>
    </row>
    <row r="24">
      <c r="A24" s="12" t="n">
        <v>20</v>
      </c>
      <c r="B24" s="12">
        <f>MOD(A24-1+LaunchMonth-1,12)+1</f>
        <v/>
      </c>
      <c r="C24" s="12">
        <f>INT((A24-1+LaunchMonth-1)/12)+1</f>
        <v/>
      </c>
      <c r="D24" s="12">
        <f>VLOOKUP(B24,SeasonTable,2,FALSE)</f>
        <v/>
      </c>
      <c r="E24" s="12">
        <f>(1+InflationRate)^INT((A24-1)/12)</f>
        <v/>
      </c>
      <c r="F24" s="11">
        <f>MonthlyChurn*VLOOKUP(B24,ChurnSeasonTable,4,FALSE)</f>
        <v/>
      </c>
      <c r="G24" s="12">
        <f>MIN(MAX(MktMin19plus,AA23*MktPct19plus),MAX(0,AO23-CashBuffer))</f>
        <v/>
      </c>
      <c r="H24" s="12">
        <f>IF(G24&gt;0,MAX(1,ROUND(G24/CAC*D24,0)),0)</f>
        <v/>
      </c>
      <c r="I24" s="12">
        <f>IF(H24&gt;0,ROUND(H24*ReferralMix/(1-ReferralMix),0),0)</f>
        <v/>
      </c>
      <c r="J24" s="12">
        <f>H24+I24</f>
        <v/>
      </c>
      <c r="K24" s="12">
        <f>ROUND(J24*(1-AnnualMix),0)</f>
        <v/>
      </c>
      <c r="L24" s="12">
        <f>J24-K24</f>
        <v/>
      </c>
      <c r="M24" s="12">
        <f>ROUND(K24*EssentialMix,0)</f>
        <v/>
      </c>
      <c r="N24" s="12">
        <f>K24-M24</f>
        <v/>
      </c>
      <c r="O24" s="12">
        <f>ROUND(L24*EssentialMix,0)</f>
        <v/>
      </c>
      <c r="P24" s="12">
        <f>L24-O24</f>
        <v/>
      </c>
      <c r="Q24" s="12">
        <f>M24+M23+M22+MAX(0,Q23-M23-M22)*(1-F24)</f>
        <v/>
      </c>
      <c r="R24" s="12">
        <f>N24+N23+N22+MAX(0,R23-N23-N22)*(1-F24)</f>
        <v/>
      </c>
      <c r="S24" s="12">
        <f>S23+O24-O12*(AnnualChurn*VLOOKUP(B24,ChurnSeasonTable,4,FALSE))*POWER(1-(AnnualChurn*VLOOKUP(B24,ChurnSeasonTable,4,FALSE)),0)</f>
        <v/>
      </c>
      <c r="T24" s="12">
        <f>T23+P24-P12*(AnnualChurn*VLOOKUP(B24,ChurnSeasonTable,4,FALSE))*POWER(1-(AnnualChurn*VLOOKUP(B24,ChurnSeasonTable,4,FALSE)),0)</f>
        <v/>
      </c>
      <c r="U24" s="12">
        <f>Q24+R24+S24+T24</f>
        <v/>
      </c>
      <c r="V24" s="9">
        <f>Q24*PriceEssMonthly*E24+R24*PricePremMonthly*E24+S24*PriceEssAnnual*E24/12+T24*PricePremAnnual*E24/12</f>
        <v/>
      </c>
      <c r="W24" s="9">
        <f>V24*12</f>
        <v/>
      </c>
      <c r="X24" s="12">
        <f>Q24*PriceEssMonthly*E24+R24*PricePremMonthly*E24</f>
        <v/>
      </c>
      <c r="Y24" s="12">
        <f>O24*PriceEssAnnual*E24+P24*PricePremAnnual*E24</f>
        <v/>
      </c>
      <c r="Z24" s="12">
        <f>O12*POWER(1-(AnnualChurn*VLOOKUP(B24,ChurnSeasonTable,4,FALSE)),1)*PriceEssAnnual*E24+P12*POWER(1-(AnnualChurn*VLOOKUP(B24,ChurnSeasonTable,4,FALSE)),1)*PricePremAnnual*E24</f>
        <v/>
      </c>
      <c r="AA24" s="9">
        <f>X24+Y24+Z24</f>
        <v/>
      </c>
      <c r="AB24" s="12">
        <f>SUM(AA13:AA24)</f>
        <v/>
      </c>
      <c r="AC24" s="12">
        <f>OR(AC23,AB24&gt;=VATThreshold)</f>
        <v/>
      </c>
      <c r="AD24" s="9">
        <f>IF(AC24,AA24/(1+VATRate),AA24)</f>
        <v/>
      </c>
      <c r="AE24" s="12">
        <f>AA24-AD24</f>
        <v/>
      </c>
      <c r="AF24" s="12">
        <f>IF(AC24=0,0,IF(B24=1,SUMPRODUCT(--(($C$5:$C24=$C24-1)*($B$5:$B24&gt;=10)*($B$5:$B24&lt;=12)),$AE$5:$AE24),IF(B24=4,SUMPRODUCT(--(($C$5:$C24=$C24)*($B$5:$B24&gt;=1)*($B$5:$B24&lt;=3)),$AE$5:$AE24),IF(B24=7,SUMPRODUCT(--(($C$5:$C24=$C24)*($B$5:$B24&gt;=4)*($B$5:$B24&lt;=6)),$AE$5:$AE24),IF(B24=10,SUMPRODUCT(--(($C$5:$C24=$C24)*($B$5:$B24&gt;=7)*($B$5:$B24&lt;=9)),$AE$5:$AE24),0)))))</f>
        <v/>
      </c>
      <c r="AG24" s="12">
        <f>AG23+AE24-AF24</f>
        <v/>
      </c>
      <c r="AH24" s="12">
        <f>IF(ProviderDelay&gt;=1,AD23*ProviderShare,AD24*ProviderShare)</f>
        <v/>
      </c>
      <c r="AI24" s="12">
        <f>AA24*PaymentFee</f>
        <v/>
      </c>
      <c r="AJ24" s="12">
        <f>U24*OpsAI</f>
        <v/>
      </c>
      <c r="AK24" s="12">
        <f>MonthlyFixed</f>
        <v/>
      </c>
      <c r="AL24" s="12">
        <f>I24*ReferralReward</f>
        <v/>
      </c>
      <c r="AM24" s="12">
        <f>G24</f>
        <v/>
      </c>
      <c r="AN24" s="9">
        <f>AD24-AH24-AI24-AJ24-AK24-AL24-AM24</f>
        <v/>
      </c>
      <c r="AO24" s="9">
        <f>AO23+AA24-(AH24+AI24+AJ24+AK24+AL24+AM24+AF24)</f>
        <v/>
      </c>
      <c r="AP24" s="12">
        <f>IF(U24&gt;0,V24/U24,0)</f>
        <v/>
      </c>
      <c r="AQ24" s="11">
        <f>IF(U23&gt;0,MAX(0,(U23+J24-U24)/U23),0)</f>
        <v/>
      </c>
    </row>
    <row r="25">
      <c r="A25" s="12" t="n">
        <v>21</v>
      </c>
      <c r="B25" s="12">
        <f>MOD(A25-1+LaunchMonth-1,12)+1</f>
        <v/>
      </c>
      <c r="C25" s="12">
        <f>INT((A25-1+LaunchMonth-1)/12)+1</f>
        <v/>
      </c>
      <c r="D25" s="12">
        <f>VLOOKUP(B25,SeasonTable,2,FALSE)</f>
        <v/>
      </c>
      <c r="E25" s="12">
        <f>(1+InflationRate)^INT((A25-1)/12)</f>
        <v/>
      </c>
      <c r="F25" s="11">
        <f>MonthlyChurn*VLOOKUP(B25,ChurnSeasonTable,4,FALSE)</f>
        <v/>
      </c>
      <c r="G25" s="12">
        <f>MIN(MAX(MktMin19plus,AA24*MktPct19plus),MAX(0,AO24-CashBuffer))</f>
        <v/>
      </c>
      <c r="H25" s="12">
        <f>IF(G25&gt;0,MAX(1,ROUND(G25/CAC*D25,0)),0)</f>
        <v/>
      </c>
      <c r="I25" s="12">
        <f>IF(H25&gt;0,ROUND(H25*ReferralMix/(1-ReferralMix),0),0)</f>
        <v/>
      </c>
      <c r="J25" s="12">
        <f>H25+I25</f>
        <v/>
      </c>
      <c r="K25" s="12">
        <f>ROUND(J25*(1-AnnualMix),0)</f>
        <v/>
      </c>
      <c r="L25" s="12">
        <f>J25-K25</f>
        <v/>
      </c>
      <c r="M25" s="12">
        <f>ROUND(K25*EssentialMix,0)</f>
        <v/>
      </c>
      <c r="N25" s="12">
        <f>K25-M25</f>
        <v/>
      </c>
      <c r="O25" s="12">
        <f>ROUND(L25*EssentialMix,0)</f>
        <v/>
      </c>
      <c r="P25" s="12">
        <f>L25-O25</f>
        <v/>
      </c>
      <c r="Q25" s="12">
        <f>M25+M24+M23+MAX(0,Q24-M24-M23)*(1-F25)</f>
        <v/>
      </c>
      <c r="R25" s="12">
        <f>N25+N24+N23+MAX(0,R24-N24-N23)*(1-F25)</f>
        <v/>
      </c>
      <c r="S25" s="12">
        <f>S24+O25-O13*(AnnualChurn*VLOOKUP(B25,ChurnSeasonTable,4,FALSE))*POWER(1-(AnnualChurn*VLOOKUP(B25,ChurnSeasonTable,4,FALSE)),0)</f>
        <v/>
      </c>
      <c r="T25" s="12">
        <f>T24+P25-P13*(AnnualChurn*VLOOKUP(B25,ChurnSeasonTable,4,FALSE))*POWER(1-(AnnualChurn*VLOOKUP(B25,ChurnSeasonTable,4,FALSE)),0)</f>
        <v/>
      </c>
      <c r="U25" s="12">
        <f>Q25+R25+S25+T25</f>
        <v/>
      </c>
      <c r="V25" s="9">
        <f>Q25*PriceEssMonthly*E25+R25*PricePremMonthly*E25+S25*PriceEssAnnual*E25/12+T25*PricePremAnnual*E25/12</f>
        <v/>
      </c>
      <c r="W25" s="9">
        <f>V25*12</f>
        <v/>
      </c>
      <c r="X25" s="12">
        <f>Q25*PriceEssMonthly*E25+R25*PricePremMonthly*E25</f>
        <v/>
      </c>
      <c r="Y25" s="12">
        <f>O25*PriceEssAnnual*E25+P25*PricePremAnnual*E25</f>
        <v/>
      </c>
      <c r="Z25" s="12">
        <f>O13*POWER(1-(AnnualChurn*VLOOKUP(B25,ChurnSeasonTable,4,FALSE)),1)*PriceEssAnnual*E25+P13*POWER(1-(AnnualChurn*VLOOKUP(B25,ChurnSeasonTable,4,FALSE)),1)*PricePremAnnual*E25</f>
        <v/>
      </c>
      <c r="AA25" s="9">
        <f>X25+Y25+Z25</f>
        <v/>
      </c>
      <c r="AB25" s="12">
        <f>SUM(AA14:AA25)</f>
        <v/>
      </c>
      <c r="AC25" s="12">
        <f>OR(AC24,AB25&gt;=VATThreshold)</f>
        <v/>
      </c>
      <c r="AD25" s="9">
        <f>IF(AC25,AA25/(1+VATRate),AA25)</f>
        <v/>
      </c>
      <c r="AE25" s="12">
        <f>AA25-AD25</f>
        <v/>
      </c>
      <c r="AF25" s="12">
        <f>IF(AC25=0,0,IF(B25=1,SUMPRODUCT(--(($C$5:$C25=$C25-1)*($B$5:$B25&gt;=10)*($B$5:$B25&lt;=12)),$AE$5:$AE25),IF(B25=4,SUMPRODUCT(--(($C$5:$C25=$C25)*($B$5:$B25&gt;=1)*($B$5:$B25&lt;=3)),$AE$5:$AE25),IF(B25=7,SUMPRODUCT(--(($C$5:$C25=$C25)*($B$5:$B25&gt;=4)*($B$5:$B25&lt;=6)),$AE$5:$AE25),IF(B25=10,SUMPRODUCT(--(($C$5:$C25=$C25)*($B$5:$B25&gt;=7)*($B$5:$B25&lt;=9)),$AE$5:$AE25),0)))))</f>
        <v/>
      </c>
      <c r="AG25" s="12">
        <f>AG24+AE25-AF25</f>
        <v/>
      </c>
      <c r="AH25" s="12">
        <f>IF(ProviderDelay&gt;=1,AD24*ProviderShare,AD25*ProviderShare)</f>
        <v/>
      </c>
      <c r="AI25" s="12">
        <f>AA25*PaymentFee</f>
        <v/>
      </c>
      <c r="AJ25" s="12">
        <f>U25*OpsAI</f>
        <v/>
      </c>
      <c r="AK25" s="12">
        <f>MonthlyFixed</f>
        <v/>
      </c>
      <c r="AL25" s="12">
        <f>I25*ReferralReward</f>
        <v/>
      </c>
      <c r="AM25" s="12">
        <f>G25</f>
        <v/>
      </c>
      <c r="AN25" s="9">
        <f>AD25-AH25-AI25-AJ25-AK25-AL25-AM25</f>
        <v/>
      </c>
      <c r="AO25" s="9">
        <f>AO24+AA25-(AH25+AI25+AJ25+AK25+AL25+AM25+AF25)</f>
        <v/>
      </c>
      <c r="AP25" s="12">
        <f>IF(U25&gt;0,V25/U25,0)</f>
        <v/>
      </c>
      <c r="AQ25" s="11">
        <f>IF(U24&gt;0,MAX(0,(U24+J25-U25)/U24),0)</f>
        <v/>
      </c>
    </row>
    <row r="26">
      <c r="A26" s="12" t="n">
        <v>22</v>
      </c>
      <c r="B26" s="12">
        <f>MOD(A26-1+LaunchMonth-1,12)+1</f>
        <v/>
      </c>
      <c r="C26" s="12">
        <f>INT((A26-1+LaunchMonth-1)/12)+1</f>
        <v/>
      </c>
      <c r="D26" s="12">
        <f>VLOOKUP(B26,SeasonTable,2,FALSE)</f>
        <v/>
      </c>
      <c r="E26" s="12">
        <f>(1+InflationRate)^INT((A26-1)/12)</f>
        <v/>
      </c>
      <c r="F26" s="11">
        <f>MonthlyChurn*VLOOKUP(B26,ChurnSeasonTable,4,FALSE)</f>
        <v/>
      </c>
      <c r="G26" s="12">
        <f>MIN(MAX(MktMin19plus,AA25*MktPct19plus),MAX(0,AO25-CashBuffer))</f>
        <v/>
      </c>
      <c r="H26" s="12">
        <f>IF(G26&gt;0,MAX(1,ROUND(G26/CAC*D26,0)),0)</f>
        <v/>
      </c>
      <c r="I26" s="12">
        <f>IF(H26&gt;0,ROUND(H26*ReferralMix/(1-ReferralMix),0),0)</f>
        <v/>
      </c>
      <c r="J26" s="12">
        <f>H26+I26</f>
        <v/>
      </c>
      <c r="K26" s="12">
        <f>ROUND(J26*(1-AnnualMix),0)</f>
        <v/>
      </c>
      <c r="L26" s="12">
        <f>J26-K26</f>
        <v/>
      </c>
      <c r="M26" s="12">
        <f>ROUND(K26*EssentialMix,0)</f>
        <v/>
      </c>
      <c r="N26" s="12">
        <f>K26-M26</f>
        <v/>
      </c>
      <c r="O26" s="12">
        <f>ROUND(L26*EssentialMix,0)</f>
        <v/>
      </c>
      <c r="P26" s="12">
        <f>L26-O26</f>
        <v/>
      </c>
      <c r="Q26" s="12">
        <f>M26+M25+M24+MAX(0,Q25-M25-M24)*(1-F26)</f>
        <v/>
      </c>
      <c r="R26" s="12">
        <f>N26+N25+N24+MAX(0,R25-N25-N24)*(1-F26)</f>
        <v/>
      </c>
      <c r="S26" s="12">
        <f>S25+O26-O14*(AnnualChurn*VLOOKUP(B26,ChurnSeasonTable,4,FALSE))*POWER(1-(AnnualChurn*VLOOKUP(B26,ChurnSeasonTable,4,FALSE)),0)</f>
        <v/>
      </c>
      <c r="T26" s="12">
        <f>T25+P26-P14*(AnnualChurn*VLOOKUP(B26,ChurnSeasonTable,4,FALSE))*POWER(1-(AnnualChurn*VLOOKUP(B26,ChurnSeasonTable,4,FALSE)),0)</f>
        <v/>
      </c>
      <c r="U26" s="12">
        <f>Q26+R26+S26+T26</f>
        <v/>
      </c>
      <c r="V26" s="9">
        <f>Q26*PriceEssMonthly*E26+R26*PricePremMonthly*E26+S26*PriceEssAnnual*E26/12+T26*PricePremAnnual*E26/12</f>
        <v/>
      </c>
      <c r="W26" s="9">
        <f>V26*12</f>
        <v/>
      </c>
      <c r="X26" s="12">
        <f>Q26*PriceEssMonthly*E26+R26*PricePremMonthly*E26</f>
        <v/>
      </c>
      <c r="Y26" s="12">
        <f>O26*PriceEssAnnual*E26+P26*PricePremAnnual*E26</f>
        <v/>
      </c>
      <c r="Z26" s="12">
        <f>O14*POWER(1-(AnnualChurn*VLOOKUP(B26,ChurnSeasonTable,4,FALSE)),1)*PriceEssAnnual*E26+P14*POWER(1-(AnnualChurn*VLOOKUP(B26,ChurnSeasonTable,4,FALSE)),1)*PricePremAnnual*E26</f>
        <v/>
      </c>
      <c r="AA26" s="9">
        <f>X26+Y26+Z26</f>
        <v/>
      </c>
      <c r="AB26" s="12">
        <f>SUM(AA15:AA26)</f>
        <v/>
      </c>
      <c r="AC26" s="12">
        <f>OR(AC25,AB26&gt;=VATThreshold)</f>
        <v/>
      </c>
      <c r="AD26" s="9">
        <f>IF(AC26,AA26/(1+VATRate),AA26)</f>
        <v/>
      </c>
      <c r="AE26" s="12">
        <f>AA26-AD26</f>
        <v/>
      </c>
      <c r="AF26" s="12">
        <f>IF(AC26=0,0,IF(B26=1,SUMPRODUCT(--(($C$5:$C26=$C26-1)*($B$5:$B26&gt;=10)*($B$5:$B26&lt;=12)),$AE$5:$AE26),IF(B26=4,SUMPRODUCT(--(($C$5:$C26=$C26)*($B$5:$B26&gt;=1)*($B$5:$B26&lt;=3)),$AE$5:$AE26),IF(B26=7,SUMPRODUCT(--(($C$5:$C26=$C26)*($B$5:$B26&gt;=4)*($B$5:$B26&lt;=6)),$AE$5:$AE26),IF(B26=10,SUMPRODUCT(--(($C$5:$C26=$C26)*($B$5:$B26&gt;=7)*($B$5:$B26&lt;=9)),$AE$5:$AE26),0)))))</f>
        <v/>
      </c>
      <c r="AG26" s="12">
        <f>AG25+AE26-AF26</f>
        <v/>
      </c>
      <c r="AH26" s="12">
        <f>IF(ProviderDelay&gt;=1,AD25*ProviderShare,AD26*ProviderShare)</f>
        <v/>
      </c>
      <c r="AI26" s="12">
        <f>AA26*PaymentFee</f>
        <v/>
      </c>
      <c r="AJ26" s="12">
        <f>U26*OpsAI</f>
        <v/>
      </c>
      <c r="AK26" s="12">
        <f>MonthlyFixed</f>
        <v/>
      </c>
      <c r="AL26" s="12">
        <f>I26*ReferralReward</f>
        <v/>
      </c>
      <c r="AM26" s="12">
        <f>G26</f>
        <v/>
      </c>
      <c r="AN26" s="9">
        <f>AD26-AH26-AI26-AJ26-AK26-AL26-AM26</f>
        <v/>
      </c>
      <c r="AO26" s="9">
        <f>AO25+AA26-(AH26+AI26+AJ26+AK26+AL26+AM26+AF26)</f>
        <v/>
      </c>
      <c r="AP26" s="12">
        <f>IF(U26&gt;0,V26/U26,0)</f>
        <v/>
      </c>
      <c r="AQ26" s="11">
        <f>IF(U25&gt;0,MAX(0,(U25+J26-U26)/U25),0)</f>
        <v/>
      </c>
    </row>
    <row r="27">
      <c r="A27" s="12" t="n">
        <v>23</v>
      </c>
      <c r="B27" s="12">
        <f>MOD(A27-1+LaunchMonth-1,12)+1</f>
        <v/>
      </c>
      <c r="C27" s="12">
        <f>INT((A27-1+LaunchMonth-1)/12)+1</f>
        <v/>
      </c>
      <c r="D27" s="12">
        <f>VLOOKUP(B27,SeasonTable,2,FALSE)</f>
        <v/>
      </c>
      <c r="E27" s="12">
        <f>(1+InflationRate)^INT((A27-1)/12)</f>
        <v/>
      </c>
      <c r="F27" s="11">
        <f>MonthlyChurn*VLOOKUP(B27,ChurnSeasonTable,4,FALSE)</f>
        <v/>
      </c>
      <c r="G27" s="12">
        <f>MIN(MAX(MktMin19plus,AA26*MktPct19plus),MAX(0,AO26-CashBuffer))</f>
        <v/>
      </c>
      <c r="H27" s="12">
        <f>IF(G27&gt;0,MAX(1,ROUND(G27/CAC*D27,0)),0)</f>
        <v/>
      </c>
      <c r="I27" s="12">
        <f>IF(H27&gt;0,ROUND(H27*ReferralMix/(1-ReferralMix),0),0)</f>
        <v/>
      </c>
      <c r="J27" s="12">
        <f>H27+I27</f>
        <v/>
      </c>
      <c r="K27" s="12">
        <f>ROUND(J27*(1-AnnualMix),0)</f>
        <v/>
      </c>
      <c r="L27" s="12">
        <f>J27-K27</f>
        <v/>
      </c>
      <c r="M27" s="12">
        <f>ROUND(K27*EssentialMix,0)</f>
        <v/>
      </c>
      <c r="N27" s="12">
        <f>K27-M27</f>
        <v/>
      </c>
      <c r="O27" s="12">
        <f>ROUND(L27*EssentialMix,0)</f>
        <v/>
      </c>
      <c r="P27" s="12">
        <f>L27-O27</f>
        <v/>
      </c>
      <c r="Q27" s="12">
        <f>M27+M26+M25+MAX(0,Q26-M26-M25)*(1-F27)</f>
        <v/>
      </c>
      <c r="R27" s="12">
        <f>N27+N26+N25+MAX(0,R26-N26-N25)*(1-F27)</f>
        <v/>
      </c>
      <c r="S27" s="12">
        <f>S26+O27-O15*(AnnualChurn*VLOOKUP(B27,ChurnSeasonTable,4,FALSE))*POWER(1-(AnnualChurn*VLOOKUP(B27,ChurnSeasonTable,4,FALSE)),0)</f>
        <v/>
      </c>
      <c r="T27" s="12">
        <f>T26+P27-P15*(AnnualChurn*VLOOKUP(B27,ChurnSeasonTable,4,FALSE))*POWER(1-(AnnualChurn*VLOOKUP(B27,ChurnSeasonTable,4,FALSE)),0)</f>
        <v/>
      </c>
      <c r="U27" s="12">
        <f>Q27+R27+S27+T27</f>
        <v/>
      </c>
      <c r="V27" s="9">
        <f>Q27*PriceEssMonthly*E27+R27*PricePremMonthly*E27+S27*PriceEssAnnual*E27/12+T27*PricePremAnnual*E27/12</f>
        <v/>
      </c>
      <c r="W27" s="9">
        <f>V27*12</f>
        <v/>
      </c>
      <c r="X27" s="12">
        <f>Q27*PriceEssMonthly*E27+R27*PricePremMonthly*E27</f>
        <v/>
      </c>
      <c r="Y27" s="12">
        <f>O27*PriceEssAnnual*E27+P27*PricePremAnnual*E27</f>
        <v/>
      </c>
      <c r="Z27" s="12">
        <f>O15*POWER(1-(AnnualChurn*VLOOKUP(B27,ChurnSeasonTable,4,FALSE)),1)*PriceEssAnnual*E27+P15*POWER(1-(AnnualChurn*VLOOKUP(B27,ChurnSeasonTable,4,FALSE)),1)*PricePremAnnual*E27</f>
        <v/>
      </c>
      <c r="AA27" s="9">
        <f>X27+Y27+Z27</f>
        <v/>
      </c>
      <c r="AB27" s="12">
        <f>SUM(AA16:AA27)</f>
        <v/>
      </c>
      <c r="AC27" s="12">
        <f>OR(AC26,AB27&gt;=VATThreshold)</f>
        <v/>
      </c>
      <c r="AD27" s="9">
        <f>IF(AC27,AA27/(1+VATRate),AA27)</f>
        <v/>
      </c>
      <c r="AE27" s="12">
        <f>AA27-AD27</f>
        <v/>
      </c>
      <c r="AF27" s="12">
        <f>IF(AC27=0,0,IF(B27=1,SUMPRODUCT(--(($C$5:$C27=$C27-1)*($B$5:$B27&gt;=10)*($B$5:$B27&lt;=12)),$AE$5:$AE27),IF(B27=4,SUMPRODUCT(--(($C$5:$C27=$C27)*($B$5:$B27&gt;=1)*($B$5:$B27&lt;=3)),$AE$5:$AE27),IF(B27=7,SUMPRODUCT(--(($C$5:$C27=$C27)*($B$5:$B27&gt;=4)*($B$5:$B27&lt;=6)),$AE$5:$AE27),IF(B27=10,SUMPRODUCT(--(($C$5:$C27=$C27)*($B$5:$B27&gt;=7)*($B$5:$B27&lt;=9)),$AE$5:$AE27),0)))))</f>
        <v/>
      </c>
      <c r="AG27" s="12">
        <f>AG26+AE27-AF27</f>
        <v/>
      </c>
      <c r="AH27" s="12">
        <f>IF(ProviderDelay&gt;=1,AD26*ProviderShare,AD27*ProviderShare)</f>
        <v/>
      </c>
      <c r="AI27" s="12">
        <f>AA27*PaymentFee</f>
        <v/>
      </c>
      <c r="AJ27" s="12">
        <f>U27*OpsAI</f>
        <v/>
      </c>
      <c r="AK27" s="12">
        <f>MonthlyFixed</f>
        <v/>
      </c>
      <c r="AL27" s="12">
        <f>I27*ReferralReward</f>
        <v/>
      </c>
      <c r="AM27" s="12">
        <f>G27</f>
        <v/>
      </c>
      <c r="AN27" s="9">
        <f>AD27-AH27-AI27-AJ27-AK27-AL27-AM27</f>
        <v/>
      </c>
      <c r="AO27" s="9">
        <f>AO26+AA27-(AH27+AI27+AJ27+AK27+AL27+AM27+AF27)</f>
        <v/>
      </c>
      <c r="AP27" s="12">
        <f>IF(U27&gt;0,V27/U27,0)</f>
        <v/>
      </c>
      <c r="AQ27" s="11">
        <f>IF(U26&gt;0,MAX(0,(U26+J27-U27)/U26),0)</f>
        <v/>
      </c>
    </row>
    <row r="28">
      <c r="A28" s="12" t="n">
        <v>24</v>
      </c>
      <c r="B28" s="12">
        <f>MOD(A28-1+LaunchMonth-1,12)+1</f>
        <v/>
      </c>
      <c r="C28" s="12">
        <f>INT((A28-1+LaunchMonth-1)/12)+1</f>
        <v/>
      </c>
      <c r="D28" s="12">
        <f>VLOOKUP(B28,SeasonTable,2,FALSE)</f>
        <v/>
      </c>
      <c r="E28" s="12">
        <f>(1+InflationRate)^INT((A28-1)/12)</f>
        <v/>
      </c>
      <c r="F28" s="11">
        <f>MonthlyChurn*VLOOKUP(B28,ChurnSeasonTable,4,FALSE)</f>
        <v/>
      </c>
      <c r="G28" s="12">
        <f>MIN(MAX(MktMin19plus,AA27*MktPct19plus),MAX(0,AO27-CashBuffer))</f>
        <v/>
      </c>
      <c r="H28" s="12">
        <f>IF(G28&gt;0,MAX(1,ROUND(G28/CAC*D28,0)),0)</f>
        <v/>
      </c>
      <c r="I28" s="12">
        <f>IF(H28&gt;0,ROUND(H28*ReferralMix/(1-ReferralMix),0),0)</f>
        <v/>
      </c>
      <c r="J28" s="12">
        <f>H28+I28</f>
        <v/>
      </c>
      <c r="K28" s="12">
        <f>ROUND(J28*(1-AnnualMix),0)</f>
        <v/>
      </c>
      <c r="L28" s="12">
        <f>J28-K28</f>
        <v/>
      </c>
      <c r="M28" s="12">
        <f>ROUND(K28*EssentialMix,0)</f>
        <v/>
      </c>
      <c r="N28" s="12">
        <f>K28-M28</f>
        <v/>
      </c>
      <c r="O28" s="12">
        <f>ROUND(L28*EssentialMix,0)</f>
        <v/>
      </c>
      <c r="P28" s="12">
        <f>L28-O28</f>
        <v/>
      </c>
      <c r="Q28" s="12">
        <f>M28+M27+M26+MAX(0,Q27-M27-M26)*(1-F28)</f>
        <v/>
      </c>
      <c r="R28" s="12">
        <f>N28+N27+N26+MAX(0,R27-N27-N26)*(1-F28)</f>
        <v/>
      </c>
      <c r="S28" s="12">
        <f>S27+O28-O16*(AnnualChurn*VLOOKUP(B28,ChurnSeasonTable,4,FALSE))*POWER(1-(AnnualChurn*VLOOKUP(B28,ChurnSeasonTable,4,FALSE)),0)</f>
        <v/>
      </c>
      <c r="T28" s="12">
        <f>T27+P28-P16*(AnnualChurn*VLOOKUP(B28,ChurnSeasonTable,4,FALSE))*POWER(1-(AnnualChurn*VLOOKUP(B28,ChurnSeasonTable,4,FALSE)),0)</f>
        <v/>
      </c>
      <c r="U28" s="12">
        <f>Q28+R28+S28+T28</f>
        <v/>
      </c>
      <c r="V28" s="9">
        <f>Q28*PriceEssMonthly*E28+R28*PricePremMonthly*E28+S28*PriceEssAnnual*E28/12+T28*PricePremAnnual*E28/12</f>
        <v/>
      </c>
      <c r="W28" s="9">
        <f>V28*12</f>
        <v/>
      </c>
      <c r="X28" s="12">
        <f>Q28*PriceEssMonthly*E28+R28*PricePremMonthly*E28</f>
        <v/>
      </c>
      <c r="Y28" s="12">
        <f>O28*PriceEssAnnual*E28+P28*PricePremAnnual*E28</f>
        <v/>
      </c>
      <c r="Z28" s="12">
        <f>O16*POWER(1-(AnnualChurn*VLOOKUP(B28,ChurnSeasonTable,4,FALSE)),1)*PriceEssAnnual*E28+P16*POWER(1-(AnnualChurn*VLOOKUP(B28,ChurnSeasonTable,4,FALSE)),1)*PricePremAnnual*E28</f>
        <v/>
      </c>
      <c r="AA28" s="9">
        <f>X28+Y28+Z28</f>
        <v/>
      </c>
      <c r="AB28" s="12">
        <f>SUM(AA17:AA28)</f>
        <v/>
      </c>
      <c r="AC28" s="12">
        <f>OR(AC27,AB28&gt;=VATThreshold)</f>
        <v/>
      </c>
      <c r="AD28" s="9">
        <f>IF(AC28,AA28/(1+VATRate),AA28)</f>
        <v/>
      </c>
      <c r="AE28" s="12">
        <f>AA28-AD28</f>
        <v/>
      </c>
      <c r="AF28" s="12">
        <f>IF(AC28=0,0,IF(B28=1,SUMPRODUCT(--(($C$5:$C28=$C28-1)*($B$5:$B28&gt;=10)*($B$5:$B28&lt;=12)),$AE$5:$AE28),IF(B28=4,SUMPRODUCT(--(($C$5:$C28=$C28)*($B$5:$B28&gt;=1)*($B$5:$B28&lt;=3)),$AE$5:$AE28),IF(B28=7,SUMPRODUCT(--(($C$5:$C28=$C28)*($B$5:$B28&gt;=4)*($B$5:$B28&lt;=6)),$AE$5:$AE28),IF(B28=10,SUMPRODUCT(--(($C$5:$C28=$C28)*($B$5:$B28&gt;=7)*($B$5:$B28&lt;=9)),$AE$5:$AE28),0)))))</f>
        <v/>
      </c>
      <c r="AG28" s="12">
        <f>AG27+AE28-AF28</f>
        <v/>
      </c>
      <c r="AH28" s="12">
        <f>IF(ProviderDelay&gt;=1,AD27*ProviderShare,AD28*ProviderShare)</f>
        <v/>
      </c>
      <c r="AI28" s="12">
        <f>AA28*PaymentFee</f>
        <v/>
      </c>
      <c r="AJ28" s="12">
        <f>U28*OpsAI</f>
        <v/>
      </c>
      <c r="AK28" s="12">
        <f>MonthlyFixed</f>
        <v/>
      </c>
      <c r="AL28" s="12">
        <f>I28*ReferralReward</f>
        <v/>
      </c>
      <c r="AM28" s="12">
        <f>G28</f>
        <v/>
      </c>
      <c r="AN28" s="9">
        <f>AD28-AH28-AI28-AJ28-AK28-AL28-AM28</f>
        <v/>
      </c>
      <c r="AO28" s="9">
        <f>AO27+AA28-(AH28+AI28+AJ28+AK28+AL28+AM28+AF28)</f>
        <v/>
      </c>
      <c r="AP28" s="12">
        <f>IF(U28&gt;0,V28/U28,0)</f>
        <v/>
      </c>
      <c r="AQ28" s="11">
        <f>IF(U27&gt;0,MAX(0,(U27+J28-U28)/U27),0)</f>
        <v/>
      </c>
    </row>
    <row r="29">
      <c r="A29" s="12" t="n">
        <v>25</v>
      </c>
      <c r="B29" s="12">
        <f>MOD(A29-1+LaunchMonth-1,12)+1</f>
        <v/>
      </c>
      <c r="C29" s="12">
        <f>INT((A29-1+LaunchMonth-1)/12)+1</f>
        <v/>
      </c>
      <c r="D29" s="12">
        <f>VLOOKUP(B29,SeasonTable,2,FALSE)</f>
        <v/>
      </c>
      <c r="E29" s="12">
        <f>(1+InflationRate)^INT((A29-1)/12)</f>
        <v/>
      </c>
      <c r="F29" s="11">
        <f>MonthlyChurn*VLOOKUP(B29,ChurnSeasonTable,4,FALSE)</f>
        <v/>
      </c>
      <c r="G29" s="12">
        <f>MIN(MAX(MktMin19plus,AA28*MktPct19plus),MAX(0,AO28-CashBuffer))</f>
        <v/>
      </c>
      <c r="H29" s="12">
        <f>IF(G29&gt;0,MAX(1,ROUND(G29/CAC*D29,0)),0)</f>
        <v/>
      </c>
      <c r="I29" s="12">
        <f>IF(H29&gt;0,ROUND(H29*ReferralMix/(1-ReferralMix),0),0)</f>
        <v/>
      </c>
      <c r="J29" s="12">
        <f>H29+I29</f>
        <v/>
      </c>
      <c r="K29" s="12">
        <f>ROUND(J29*(1-AnnualMix),0)</f>
        <v/>
      </c>
      <c r="L29" s="12">
        <f>J29-K29</f>
        <v/>
      </c>
      <c r="M29" s="12">
        <f>ROUND(K29*EssentialMix,0)</f>
        <v/>
      </c>
      <c r="N29" s="12">
        <f>K29-M29</f>
        <v/>
      </c>
      <c r="O29" s="12">
        <f>ROUND(L29*EssentialMix,0)</f>
        <v/>
      </c>
      <c r="P29" s="12">
        <f>L29-O29</f>
        <v/>
      </c>
      <c r="Q29" s="12">
        <f>M29+M28+M27+MAX(0,Q28-M28-M27)*(1-F29)</f>
        <v/>
      </c>
      <c r="R29" s="12">
        <f>N29+N28+N27+MAX(0,R28-N28-N27)*(1-F29)</f>
        <v/>
      </c>
      <c r="S29" s="12">
        <f>S28+O29-O17*(AnnualChurn*VLOOKUP(B29,ChurnSeasonTable,4,FALSE))*POWER(1-(AnnualChurn*VLOOKUP(B29,ChurnSeasonTable,4,FALSE)),0)+O5*(AnnualChurn*VLOOKUP(B29,ChurnSeasonTable,4,FALSE))*POWER(1-(AnnualChurn*VLOOKUP(B29,ChurnSeasonTable,4,FALSE)),1)</f>
        <v/>
      </c>
      <c r="T29" s="12">
        <f>T28+P29-P17*(AnnualChurn*VLOOKUP(B29,ChurnSeasonTable,4,FALSE))*POWER(1-(AnnualChurn*VLOOKUP(B29,ChurnSeasonTable,4,FALSE)),0)+P5*(AnnualChurn*VLOOKUP(B29,ChurnSeasonTable,4,FALSE))*POWER(1-(AnnualChurn*VLOOKUP(B29,ChurnSeasonTable,4,FALSE)),1)</f>
        <v/>
      </c>
      <c r="U29" s="12">
        <f>Q29+R29+S29+T29</f>
        <v/>
      </c>
      <c r="V29" s="9">
        <f>Q29*PriceEssMonthly*E29+R29*PricePremMonthly*E29+S29*PriceEssAnnual*E29/12+T29*PricePremAnnual*E29/12</f>
        <v/>
      </c>
      <c r="W29" s="9">
        <f>V29*12</f>
        <v/>
      </c>
      <c r="X29" s="12">
        <f>Q29*PriceEssMonthly*E29+R29*PricePremMonthly*E29</f>
        <v/>
      </c>
      <c r="Y29" s="12">
        <f>O29*PriceEssAnnual*E29+P29*PricePremAnnual*E29</f>
        <v/>
      </c>
      <c r="Z29" s="12">
        <f>O17*POWER(1-(AnnualChurn*VLOOKUP(B29,ChurnSeasonTable,4,FALSE)),1)*PriceEssAnnual*E29+O5*POWER(1-(AnnualChurn*VLOOKUP(B29,ChurnSeasonTable,4,FALSE)),2)*PriceEssAnnual*E29+P17*POWER(1-(AnnualChurn*VLOOKUP(B29,ChurnSeasonTable,4,FALSE)),1)*PricePremAnnual*E29+P5*POWER(1-(AnnualChurn*VLOOKUP(B29,ChurnSeasonTable,4,FALSE)),2)*PricePremAnnual*E29</f>
        <v/>
      </c>
      <c r="AA29" s="9">
        <f>X29+Y29+Z29</f>
        <v/>
      </c>
      <c r="AB29" s="12">
        <f>SUM(AA18:AA29)</f>
        <v/>
      </c>
      <c r="AC29" s="12">
        <f>OR(AC28,AB29&gt;=VATThreshold)</f>
        <v/>
      </c>
      <c r="AD29" s="9">
        <f>IF(AC29,AA29/(1+VATRate),AA29)</f>
        <v/>
      </c>
      <c r="AE29" s="12">
        <f>AA29-AD29</f>
        <v/>
      </c>
      <c r="AF29" s="12">
        <f>IF(AC29=0,0,IF(B29=1,SUMPRODUCT(--(($C$5:$C29=$C29-1)*($B$5:$B29&gt;=10)*($B$5:$B29&lt;=12)),$AE$5:$AE29),IF(B29=4,SUMPRODUCT(--(($C$5:$C29=$C29)*($B$5:$B29&gt;=1)*($B$5:$B29&lt;=3)),$AE$5:$AE29),IF(B29=7,SUMPRODUCT(--(($C$5:$C29=$C29)*($B$5:$B29&gt;=4)*($B$5:$B29&lt;=6)),$AE$5:$AE29),IF(B29=10,SUMPRODUCT(--(($C$5:$C29=$C29)*($B$5:$B29&gt;=7)*($B$5:$B29&lt;=9)),$AE$5:$AE29),0)))))</f>
        <v/>
      </c>
      <c r="AG29" s="12">
        <f>AG28+AE29-AF29</f>
        <v/>
      </c>
      <c r="AH29" s="12">
        <f>IF(ProviderDelay&gt;=1,AD28*ProviderShare,AD29*ProviderShare)</f>
        <v/>
      </c>
      <c r="AI29" s="12">
        <f>AA29*PaymentFee</f>
        <v/>
      </c>
      <c r="AJ29" s="12">
        <f>U29*OpsAI</f>
        <v/>
      </c>
      <c r="AK29" s="12">
        <f>MonthlyFixed</f>
        <v/>
      </c>
      <c r="AL29" s="12">
        <f>I29*ReferralReward</f>
        <v/>
      </c>
      <c r="AM29" s="12">
        <f>G29</f>
        <v/>
      </c>
      <c r="AN29" s="9">
        <f>AD29-AH29-AI29-AJ29-AK29-AL29-AM29</f>
        <v/>
      </c>
      <c r="AO29" s="9">
        <f>AO28+AA29-(AH29+AI29+AJ29+AK29+AL29+AM29+AF29)</f>
        <v/>
      </c>
      <c r="AP29" s="12">
        <f>IF(U29&gt;0,V29/U29,0)</f>
        <v/>
      </c>
      <c r="AQ29" s="11">
        <f>IF(U28&gt;0,MAX(0,(U28+J29-U29)/U28),0)</f>
        <v/>
      </c>
    </row>
    <row r="30">
      <c r="A30" s="12" t="n">
        <v>26</v>
      </c>
      <c r="B30" s="12">
        <f>MOD(A30-1+LaunchMonth-1,12)+1</f>
        <v/>
      </c>
      <c r="C30" s="12">
        <f>INT((A30-1+LaunchMonth-1)/12)+1</f>
        <v/>
      </c>
      <c r="D30" s="12">
        <f>VLOOKUP(B30,SeasonTable,2,FALSE)</f>
        <v/>
      </c>
      <c r="E30" s="12">
        <f>(1+InflationRate)^INT((A30-1)/12)</f>
        <v/>
      </c>
      <c r="F30" s="11">
        <f>MonthlyChurn*VLOOKUP(B30,ChurnSeasonTable,4,FALSE)</f>
        <v/>
      </c>
      <c r="G30" s="12">
        <f>MIN(MAX(MktMin19plus,AA29*MktPct19plus),MAX(0,AO29-CashBuffer))</f>
        <v/>
      </c>
      <c r="H30" s="12">
        <f>IF(G30&gt;0,MAX(1,ROUND(G30/CAC*D30,0)),0)</f>
        <v/>
      </c>
      <c r="I30" s="12">
        <f>IF(H30&gt;0,ROUND(H30*ReferralMix/(1-ReferralMix),0),0)</f>
        <v/>
      </c>
      <c r="J30" s="12">
        <f>H30+I30</f>
        <v/>
      </c>
      <c r="K30" s="12">
        <f>ROUND(J30*(1-AnnualMix),0)</f>
        <v/>
      </c>
      <c r="L30" s="12">
        <f>J30-K30</f>
        <v/>
      </c>
      <c r="M30" s="12">
        <f>ROUND(K30*EssentialMix,0)</f>
        <v/>
      </c>
      <c r="N30" s="12">
        <f>K30-M30</f>
        <v/>
      </c>
      <c r="O30" s="12">
        <f>ROUND(L30*EssentialMix,0)</f>
        <v/>
      </c>
      <c r="P30" s="12">
        <f>L30-O30</f>
        <v/>
      </c>
      <c r="Q30" s="12">
        <f>M30+M29+M28+MAX(0,Q29-M29-M28)*(1-F30)</f>
        <v/>
      </c>
      <c r="R30" s="12">
        <f>N30+N29+N28+MAX(0,R29-N29-N28)*(1-F30)</f>
        <v/>
      </c>
      <c r="S30" s="12">
        <f>S29+O30-O18*(AnnualChurn*VLOOKUP(B30,ChurnSeasonTable,4,FALSE))*POWER(1-(AnnualChurn*VLOOKUP(B30,ChurnSeasonTable,4,FALSE)),0)+O6*(AnnualChurn*VLOOKUP(B30,ChurnSeasonTable,4,FALSE))*POWER(1-(AnnualChurn*VLOOKUP(B30,ChurnSeasonTable,4,FALSE)),1)</f>
        <v/>
      </c>
      <c r="T30" s="12">
        <f>T29+P30-P18*(AnnualChurn*VLOOKUP(B30,ChurnSeasonTable,4,FALSE))*POWER(1-(AnnualChurn*VLOOKUP(B30,ChurnSeasonTable,4,FALSE)),0)+P6*(AnnualChurn*VLOOKUP(B30,ChurnSeasonTable,4,FALSE))*POWER(1-(AnnualChurn*VLOOKUP(B30,ChurnSeasonTable,4,FALSE)),1)</f>
        <v/>
      </c>
      <c r="U30" s="12">
        <f>Q30+R30+S30+T30</f>
        <v/>
      </c>
      <c r="V30" s="9">
        <f>Q30*PriceEssMonthly*E30+R30*PricePremMonthly*E30+S30*PriceEssAnnual*E30/12+T30*PricePremAnnual*E30/12</f>
        <v/>
      </c>
      <c r="W30" s="9">
        <f>V30*12</f>
        <v/>
      </c>
      <c r="X30" s="12">
        <f>Q30*PriceEssMonthly*E30+R30*PricePremMonthly*E30</f>
        <v/>
      </c>
      <c r="Y30" s="12">
        <f>O30*PriceEssAnnual*E30+P30*PricePremAnnual*E30</f>
        <v/>
      </c>
      <c r="Z30" s="12">
        <f>O18*POWER(1-(AnnualChurn*VLOOKUP(B30,ChurnSeasonTable,4,FALSE)),1)*PriceEssAnnual*E30+O6*POWER(1-(AnnualChurn*VLOOKUP(B30,ChurnSeasonTable,4,FALSE)),2)*PriceEssAnnual*E30+P18*POWER(1-(AnnualChurn*VLOOKUP(B30,ChurnSeasonTable,4,FALSE)),1)*PricePremAnnual*E30+P6*POWER(1-(AnnualChurn*VLOOKUP(B30,ChurnSeasonTable,4,FALSE)),2)*PricePremAnnual*E30</f>
        <v/>
      </c>
      <c r="AA30" s="9">
        <f>X30+Y30+Z30</f>
        <v/>
      </c>
      <c r="AB30" s="12">
        <f>SUM(AA19:AA30)</f>
        <v/>
      </c>
      <c r="AC30" s="12">
        <f>OR(AC29,AB30&gt;=VATThreshold)</f>
        <v/>
      </c>
      <c r="AD30" s="9">
        <f>IF(AC30,AA30/(1+VATRate),AA30)</f>
        <v/>
      </c>
      <c r="AE30" s="12">
        <f>AA30-AD30</f>
        <v/>
      </c>
      <c r="AF30" s="12">
        <f>IF(AC30=0,0,IF(B30=1,SUMPRODUCT(--(($C$5:$C30=$C30-1)*($B$5:$B30&gt;=10)*($B$5:$B30&lt;=12)),$AE$5:$AE30),IF(B30=4,SUMPRODUCT(--(($C$5:$C30=$C30)*($B$5:$B30&gt;=1)*($B$5:$B30&lt;=3)),$AE$5:$AE30),IF(B30=7,SUMPRODUCT(--(($C$5:$C30=$C30)*($B$5:$B30&gt;=4)*($B$5:$B30&lt;=6)),$AE$5:$AE30),IF(B30=10,SUMPRODUCT(--(($C$5:$C30=$C30)*($B$5:$B30&gt;=7)*($B$5:$B30&lt;=9)),$AE$5:$AE30),0)))))</f>
        <v/>
      </c>
      <c r="AG30" s="12">
        <f>AG29+AE30-AF30</f>
        <v/>
      </c>
      <c r="AH30" s="12">
        <f>IF(ProviderDelay&gt;=1,AD29*ProviderShare,AD30*ProviderShare)</f>
        <v/>
      </c>
      <c r="AI30" s="12">
        <f>AA30*PaymentFee</f>
        <v/>
      </c>
      <c r="AJ30" s="12">
        <f>U30*OpsAI</f>
        <v/>
      </c>
      <c r="AK30" s="12">
        <f>MonthlyFixed</f>
        <v/>
      </c>
      <c r="AL30" s="12">
        <f>I30*ReferralReward</f>
        <v/>
      </c>
      <c r="AM30" s="12">
        <f>G30</f>
        <v/>
      </c>
      <c r="AN30" s="9">
        <f>AD30-AH30-AI30-AJ30-AK30-AL30-AM30</f>
        <v/>
      </c>
      <c r="AO30" s="9">
        <f>AO29+AA30-(AH30+AI30+AJ30+AK30+AL30+AM30+AF30)</f>
        <v/>
      </c>
      <c r="AP30" s="12">
        <f>IF(U30&gt;0,V30/U30,0)</f>
        <v/>
      </c>
      <c r="AQ30" s="11">
        <f>IF(U29&gt;0,MAX(0,(U29+J30-U30)/U29),0)</f>
        <v/>
      </c>
    </row>
    <row r="31">
      <c r="A31" s="12" t="n">
        <v>27</v>
      </c>
      <c r="B31" s="12">
        <f>MOD(A31-1+LaunchMonth-1,12)+1</f>
        <v/>
      </c>
      <c r="C31" s="12">
        <f>INT((A31-1+LaunchMonth-1)/12)+1</f>
        <v/>
      </c>
      <c r="D31" s="12">
        <f>VLOOKUP(B31,SeasonTable,2,FALSE)</f>
        <v/>
      </c>
      <c r="E31" s="12">
        <f>(1+InflationRate)^INT((A31-1)/12)</f>
        <v/>
      </c>
      <c r="F31" s="11">
        <f>MonthlyChurn*VLOOKUP(B31,ChurnSeasonTable,4,FALSE)</f>
        <v/>
      </c>
      <c r="G31" s="12">
        <f>MIN(MAX(MktMin19plus,AA30*MktPct19plus),MAX(0,AO30-CashBuffer))</f>
        <v/>
      </c>
      <c r="H31" s="12">
        <f>IF(G31&gt;0,MAX(1,ROUND(G31/CAC*D31,0)),0)</f>
        <v/>
      </c>
      <c r="I31" s="12">
        <f>IF(H31&gt;0,ROUND(H31*ReferralMix/(1-ReferralMix),0),0)</f>
        <v/>
      </c>
      <c r="J31" s="12">
        <f>H31+I31</f>
        <v/>
      </c>
      <c r="K31" s="12">
        <f>ROUND(J31*(1-AnnualMix),0)</f>
        <v/>
      </c>
      <c r="L31" s="12">
        <f>J31-K31</f>
        <v/>
      </c>
      <c r="M31" s="12">
        <f>ROUND(K31*EssentialMix,0)</f>
        <v/>
      </c>
      <c r="N31" s="12">
        <f>K31-M31</f>
        <v/>
      </c>
      <c r="O31" s="12">
        <f>ROUND(L31*EssentialMix,0)</f>
        <v/>
      </c>
      <c r="P31" s="12">
        <f>L31-O31</f>
        <v/>
      </c>
      <c r="Q31" s="12">
        <f>M31+M30+M29+MAX(0,Q30-M30-M29)*(1-F31)</f>
        <v/>
      </c>
      <c r="R31" s="12">
        <f>N31+N30+N29+MAX(0,R30-N30-N29)*(1-F31)</f>
        <v/>
      </c>
      <c r="S31" s="12">
        <f>S30+O31-O19*(AnnualChurn*VLOOKUP(B31,ChurnSeasonTable,4,FALSE))*POWER(1-(AnnualChurn*VLOOKUP(B31,ChurnSeasonTable,4,FALSE)),0)+O7*(AnnualChurn*VLOOKUP(B31,ChurnSeasonTable,4,FALSE))*POWER(1-(AnnualChurn*VLOOKUP(B31,ChurnSeasonTable,4,FALSE)),1)</f>
        <v/>
      </c>
      <c r="T31" s="12">
        <f>T30+P31-P19*(AnnualChurn*VLOOKUP(B31,ChurnSeasonTable,4,FALSE))*POWER(1-(AnnualChurn*VLOOKUP(B31,ChurnSeasonTable,4,FALSE)),0)+P7*(AnnualChurn*VLOOKUP(B31,ChurnSeasonTable,4,FALSE))*POWER(1-(AnnualChurn*VLOOKUP(B31,ChurnSeasonTable,4,FALSE)),1)</f>
        <v/>
      </c>
      <c r="U31" s="12">
        <f>Q31+R31+S31+T31</f>
        <v/>
      </c>
      <c r="V31" s="9">
        <f>Q31*PriceEssMonthly*E31+R31*PricePremMonthly*E31+S31*PriceEssAnnual*E31/12+T31*PricePremAnnual*E31/12</f>
        <v/>
      </c>
      <c r="W31" s="9">
        <f>V31*12</f>
        <v/>
      </c>
      <c r="X31" s="12">
        <f>Q31*PriceEssMonthly*E31+R31*PricePremMonthly*E31</f>
        <v/>
      </c>
      <c r="Y31" s="12">
        <f>O31*PriceEssAnnual*E31+P31*PricePremAnnual*E31</f>
        <v/>
      </c>
      <c r="Z31" s="12">
        <f>O19*POWER(1-(AnnualChurn*VLOOKUP(B31,ChurnSeasonTable,4,FALSE)),1)*PriceEssAnnual*E31+O7*POWER(1-(AnnualChurn*VLOOKUP(B31,ChurnSeasonTable,4,FALSE)),2)*PriceEssAnnual*E31+P19*POWER(1-(AnnualChurn*VLOOKUP(B31,ChurnSeasonTable,4,FALSE)),1)*PricePremAnnual*E31+P7*POWER(1-(AnnualChurn*VLOOKUP(B31,ChurnSeasonTable,4,FALSE)),2)*PricePremAnnual*E31</f>
        <v/>
      </c>
      <c r="AA31" s="9">
        <f>X31+Y31+Z31</f>
        <v/>
      </c>
      <c r="AB31" s="12">
        <f>SUM(AA20:AA31)</f>
        <v/>
      </c>
      <c r="AC31" s="12">
        <f>OR(AC30,AB31&gt;=VATThreshold)</f>
        <v/>
      </c>
      <c r="AD31" s="9">
        <f>IF(AC31,AA31/(1+VATRate),AA31)</f>
        <v/>
      </c>
      <c r="AE31" s="12">
        <f>AA31-AD31</f>
        <v/>
      </c>
      <c r="AF31" s="12">
        <f>IF(AC31=0,0,IF(B31=1,SUMPRODUCT(--(($C$5:$C31=$C31-1)*($B$5:$B31&gt;=10)*($B$5:$B31&lt;=12)),$AE$5:$AE31),IF(B31=4,SUMPRODUCT(--(($C$5:$C31=$C31)*($B$5:$B31&gt;=1)*($B$5:$B31&lt;=3)),$AE$5:$AE31),IF(B31=7,SUMPRODUCT(--(($C$5:$C31=$C31)*($B$5:$B31&gt;=4)*($B$5:$B31&lt;=6)),$AE$5:$AE31),IF(B31=10,SUMPRODUCT(--(($C$5:$C31=$C31)*($B$5:$B31&gt;=7)*($B$5:$B31&lt;=9)),$AE$5:$AE31),0)))))</f>
        <v/>
      </c>
      <c r="AG31" s="12">
        <f>AG30+AE31-AF31</f>
        <v/>
      </c>
      <c r="AH31" s="12">
        <f>IF(ProviderDelay&gt;=1,AD30*ProviderShare,AD31*ProviderShare)</f>
        <v/>
      </c>
      <c r="AI31" s="12">
        <f>AA31*PaymentFee</f>
        <v/>
      </c>
      <c r="AJ31" s="12">
        <f>U31*OpsAI</f>
        <v/>
      </c>
      <c r="AK31" s="12">
        <f>MonthlyFixed</f>
        <v/>
      </c>
      <c r="AL31" s="12">
        <f>I31*ReferralReward</f>
        <v/>
      </c>
      <c r="AM31" s="12">
        <f>G31</f>
        <v/>
      </c>
      <c r="AN31" s="9">
        <f>AD31-AH31-AI31-AJ31-AK31-AL31-AM31</f>
        <v/>
      </c>
      <c r="AO31" s="9">
        <f>AO30+AA31-(AH31+AI31+AJ31+AK31+AL31+AM31+AF31)</f>
        <v/>
      </c>
      <c r="AP31" s="12">
        <f>IF(U31&gt;0,V31/U31,0)</f>
        <v/>
      </c>
      <c r="AQ31" s="11">
        <f>IF(U30&gt;0,MAX(0,(U30+J31-U31)/U30),0)</f>
        <v/>
      </c>
    </row>
    <row r="32">
      <c r="A32" s="12" t="n">
        <v>28</v>
      </c>
      <c r="B32" s="12">
        <f>MOD(A32-1+LaunchMonth-1,12)+1</f>
        <v/>
      </c>
      <c r="C32" s="12">
        <f>INT((A32-1+LaunchMonth-1)/12)+1</f>
        <v/>
      </c>
      <c r="D32" s="12">
        <f>VLOOKUP(B32,SeasonTable,2,FALSE)</f>
        <v/>
      </c>
      <c r="E32" s="12">
        <f>(1+InflationRate)^INT((A32-1)/12)</f>
        <v/>
      </c>
      <c r="F32" s="11">
        <f>MonthlyChurn*VLOOKUP(B32,ChurnSeasonTable,4,FALSE)</f>
        <v/>
      </c>
      <c r="G32" s="12">
        <f>MIN(MAX(MktMin19plus,AA31*MktPct19plus),MAX(0,AO31-CashBuffer))</f>
        <v/>
      </c>
      <c r="H32" s="12">
        <f>IF(G32&gt;0,MAX(1,ROUND(G32/CAC*D32,0)),0)</f>
        <v/>
      </c>
      <c r="I32" s="12">
        <f>IF(H32&gt;0,ROUND(H32*ReferralMix/(1-ReferralMix),0),0)</f>
        <v/>
      </c>
      <c r="J32" s="12">
        <f>H32+I32</f>
        <v/>
      </c>
      <c r="K32" s="12">
        <f>ROUND(J32*(1-AnnualMix),0)</f>
        <v/>
      </c>
      <c r="L32" s="12">
        <f>J32-K32</f>
        <v/>
      </c>
      <c r="M32" s="12">
        <f>ROUND(K32*EssentialMix,0)</f>
        <v/>
      </c>
      <c r="N32" s="12">
        <f>K32-M32</f>
        <v/>
      </c>
      <c r="O32" s="12">
        <f>ROUND(L32*EssentialMix,0)</f>
        <v/>
      </c>
      <c r="P32" s="12">
        <f>L32-O32</f>
        <v/>
      </c>
      <c r="Q32" s="12">
        <f>M32+M31+M30+MAX(0,Q31-M31-M30)*(1-F32)</f>
        <v/>
      </c>
      <c r="R32" s="12">
        <f>N32+N31+N30+MAX(0,R31-N31-N30)*(1-F32)</f>
        <v/>
      </c>
      <c r="S32" s="12">
        <f>S31+O32-O20*(AnnualChurn*VLOOKUP(B32,ChurnSeasonTable,4,FALSE))*POWER(1-(AnnualChurn*VLOOKUP(B32,ChurnSeasonTable,4,FALSE)),0)+O8*(AnnualChurn*VLOOKUP(B32,ChurnSeasonTable,4,FALSE))*POWER(1-(AnnualChurn*VLOOKUP(B32,ChurnSeasonTable,4,FALSE)),1)</f>
        <v/>
      </c>
      <c r="T32" s="12">
        <f>T31+P32-P20*(AnnualChurn*VLOOKUP(B32,ChurnSeasonTable,4,FALSE))*POWER(1-(AnnualChurn*VLOOKUP(B32,ChurnSeasonTable,4,FALSE)),0)+P8*(AnnualChurn*VLOOKUP(B32,ChurnSeasonTable,4,FALSE))*POWER(1-(AnnualChurn*VLOOKUP(B32,ChurnSeasonTable,4,FALSE)),1)</f>
        <v/>
      </c>
      <c r="U32" s="12">
        <f>Q32+R32+S32+T32</f>
        <v/>
      </c>
      <c r="V32" s="9">
        <f>Q32*PriceEssMonthly*E32+R32*PricePremMonthly*E32+S32*PriceEssAnnual*E32/12+T32*PricePremAnnual*E32/12</f>
        <v/>
      </c>
      <c r="W32" s="9">
        <f>V32*12</f>
        <v/>
      </c>
      <c r="X32" s="12">
        <f>Q32*PriceEssMonthly*E32+R32*PricePremMonthly*E32</f>
        <v/>
      </c>
      <c r="Y32" s="12">
        <f>O32*PriceEssAnnual*E32+P32*PricePremAnnual*E32</f>
        <v/>
      </c>
      <c r="Z32" s="12">
        <f>O20*POWER(1-(AnnualChurn*VLOOKUP(B32,ChurnSeasonTable,4,FALSE)),1)*PriceEssAnnual*E32+O8*POWER(1-(AnnualChurn*VLOOKUP(B32,ChurnSeasonTable,4,FALSE)),2)*PriceEssAnnual*E32+P20*POWER(1-(AnnualChurn*VLOOKUP(B32,ChurnSeasonTable,4,FALSE)),1)*PricePremAnnual*E32+P8*POWER(1-(AnnualChurn*VLOOKUP(B32,ChurnSeasonTable,4,FALSE)),2)*PricePremAnnual*E32</f>
        <v/>
      </c>
      <c r="AA32" s="9">
        <f>X32+Y32+Z32</f>
        <v/>
      </c>
      <c r="AB32" s="12">
        <f>SUM(AA21:AA32)</f>
        <v/>
      </c>
      <c r="AC32" s="12">
        <f>OR(AC31,AB32&gt;=VATThreshold)</f>
        <v/>
      </c>
      <c r="AD32" s="9">
        <f>IF(AC32,AA32/(1+VATRate),AA32)</f>
        <v/>
      </c>
      <c r="AE32" s="12">
        <f>AA32-AD32</f>
        <v/>
      </c>
      <c r="AF32" s="12">
        <f>IF(AC32=0,0,IF(B32=1,SUMPRODUCT(--(($C$5:$C32=$C32-1)*($B$5:$B32&gt;=10)*($B$5:$B32&lt;=12)),$AE$5:$AE32),IF(B32=4,SUMPRODUCT(--(($C$5:$C32=$C32)*($B$5:$B32&gt;=1)*($B$5:$B32&lt;=3)),$AE$5:$AE32),IF(B32=7,SUMPRODUCT(--(($C$5:$C32=$C32)*($B$5:$B32&gt;=4)*($B$5:$B32&lt;=6)),$AE$5:$AE32),IF(B32=10,SUMPRODUCT(--(($C$5:$C32=$C32)*($B$5:$B32&gt;=7)*($B$5:$B32&lt;=9)),$AE$5:$AE32),0)))))</f>
        <v/>
      </c>
      <c r="AG32" s="12">
        <f>AG31+AE32-AF32</f>
        <v/>
      </c>
      <c r="AH32" s="12">
        <f>IF(ProviderDelay&gt;=1,AD31*ProviderShare,AD32*ProviderShare)</f>
        <v/>
      </c>
      <c r="AI32" s="12">
        <f>AA32*PaymentFee</f>
        <v/>
      </c>
      <c r="AJ32" s="12">
        <f>U32*OpsAI</f>
        <v/>
      </c>
      <c r="AK32" s="12">
        <f>MonthlyFixed</f>
        <v/>
      </c>
      <c r="AL32" s="12">
        <f>I32*ReferralReward</f>
        <v/>
      </c>
      <c r="AM32" s="12">
        <f>G32</f>
        <v/>
      </c>
      <c r="AN32" s="9">
        <f>AD32-AH32-AI32-AJ32-AK32-AL32-AM32</f>
        <v/>
      </c>
      <c r="AO32" s="9">
        <f>AO31+AA32-(AH32+AI32+AJ32+AK32+AL32+AM32+AF32)</f>
        <v/>
      </c>
      <c r="AP32" s="12">
        <f>IF(U32&gt;0,V32/U32,0)</f>
        <v/>
      </c>
      <c r="AQ32" s="11">
        <f>IF(U31&gt;0,MAX(0,(U31+J32-U32)/U31),0)</f>
        <v/>
      </c>
    </row>
    <row r="33">
      <c r="A33" s="12" t="n">
        <v>29</v>
      </c>
      <c r="B33" s="12">
        <f>MOD(A33-1+LaunchMonth-1,12)+1</f>
        <v/>
      </c>
      <c r="C33" s="12">
        <f>INT((A33-1+LaunchMonth-1)/12)+1</f>
        <v/>
      </c>
      <c r="D33" s="12">
        <f>VLOOKUP(B33,SeasonTable,2,FALSE)</f>
        <v/>
      </c>
      <c r="E33" s="12">
        <f>(1+InflationRate)^INT((A33-1)/12)</f>
        <v/>
      </c>
      <c r="F33" s="11">
        <f>MonthlyChurn*VLOOKUP(B33,ChurnSeasonTable,4,FALSE)</f>
        <v/>
      </c>
      <c r="G33" s="12">
        <f>MIN(MAX(MktMin19plus,AA32*MktPct19plus),MAX(0,AO32-CashBuffer))</f>
        <v/>
      </c>
      <c r="H33" s="12">
        <f>IF(G33&gt;0,MAX(1,ROUND(G33/CAC*D33,0)),0)</f>
        <v/>
      </c>
      <c r="I33" s="12">
        <f>IF(H33&gt;0,ROUND(H33*ReferralMix/(1-ReferralMix),0),0)</f>
        <v/>
      </c>
      <c r="J33" s="12">
        <f>H33+I33</f>
        <v/>
      </c>
      <c r="K33" s="12">
        <f>ROUND(J33*(1-AnnualMix),0)</f>
        <v/>
      </c>
      <c r="L33" s="12">
        <f>J33-K33</f>
        <v/>
      </c>
      <c r="M33" s="12">
        <f>ROUND(K33*EssentialMix,0)</f>
        <v/>
      </c>
      <c r="N33" s="12">
        <f>K33-M33</f>
        <v/>
      </c>
      <c r="O33" s="12">
        <f>ROUND(L33*EssentialMix,0)</f>
        <v/>
      </c>
      <c r="P33" s="12">
        <f>L33-O33</f>
        <v/>
      </c>
      <c r="Q33" s="12">
        <f>M33+M32+M31+MAX(0,Q32-M32-M31)*(1-F33)</f>
        <v/>
      </c>
      <c r="R33" s="12">
        <f>N33+N32+N31+MAX(0,R32-N32-N31)*(1-F33)</f>
        <v/>
      </c>
      <c r="S33" s="12">
        <f>S32+O33-O21*(AnnualChurn*VLOOKUP(B33,ChurnSeasonTable,4,FALSE))*POWER(1-(AnnualChurn*VLOOKUP(B33,ChurnSeasonTable,4,FALSE)),0)+O9*(AnnualChurn*VLOOKUP(B33,ChurnSeasonTable,4,FALSE))*POWER(1-(AnnualChurn*VLOOKUP(B33,ChurnSeasonTable,4,FALSE)),1)</f>
        <v/>
      </c>
      <c r="T33" s="12">
        <f>T32+P33-P21*(AnnualChurn*VLOOKUP(B33,ChurnSeasonTable,4,FALSE))*POWER(1-(AnnualChurn*VLOOKUP(B33,ChurnSeasonTable,4,FALSE)),0)+P9*(AnnualChurn*VLOOKUP(B33,ChurnSeasonTable,4,FALSE))*POWER(1-(AnnualChurn*VLOOKUP(B33,ChurnSeasonTable,4,FALSE)),1)</f>
        <v/>
      </c>
      <c r="U33" s="12">
        <f>Q33+R33+S33+T33</f>
        <v/>
      </c>
      <c r="V33" s="9">
        <f>Q33*PriceEssMonthly*E33+R33*PricePremMonthly*E33+S33*PriceEssAnnual*E33/12+T33*PricePremAnnual*E33/12</f>
        <v/>
      </c>
      <c r="W33" s="9">
        <f>V33*12</f>
        <v/>
      </c>
      <c r="X33" s="12">
        <f>Q33*PriceEssMonthly*E33+R33*PricePremMonthly*E33</f>
        <v/>
      </c>
      <c r="Y33" s="12">
        <f>O33*PriceEssAnnual*E33+P33*PricePremAnnual*E33</f>
        <v/>
      </c>
      <c r="Z33" s="12">
        <f>O21*POWER(1-(AnnualChurn*VLOOKUP(B33,ChurnSeasonTable,4,FALSE)),1)*PriceEssAnnual*E33+O9*POWER(1-(AnnualChurn*VLOOKUP(B33,ChurnSeasonTable,4,FALSE)),2)*PriceEssAnnual*E33+P21*POWER(1-(AnnualChurn*VLOOKUP(B33,ChurnSeasonTable,4,FALSE)),1)*PricePremAnnual*E33+P9*POWER(1-(AnnualChurn*VLOOKUP(B33,ChurnSeasonTable,4,FALSE)),2)*PricePremAnnual*E33</f>
        <v/>
      </c>
      <c r="AA33" s="9">
        <f>X33+Y33+Z33</f>
        <v/>
      </c>
      <c r="AB33" s="12">
        <f>SUM(AA22:AA33)</f>
        <v/>
      </c>
      <c r="AC33" s="12">
        <f>OR(AC32,AB33&gt;=VATThreshold)</f>
        <v/>
      </c>
      <c r="AD33" s="9">
        <f>IF(AC33,AA33/(1+VATRate),AA33)</f>
        <v/>
      </c>
      <c r="AE33" s="12">
        <f>AA33-AD33</f>
        <v/>
      </c>
      <c r="AF33" s="12">
        <f>IF(AC33=0,0,IF(B33=1,SUMPRODUCT(--(($C$5:$C33=$C33-1)*($B$5:$B33&gt;=10)*($B$5:$B33&lt;=12)),$AE$5:$AE33),IF(B33=4,SUMPRODUCT(--(($C$5:$C33=$C33)*($B$5:$B33&gt;=1)*($B$5:$B33&lt;=3)),$AE$5:$AE33),IF(B33=7,SUMPRODUCT(--(($C$5:$C33=$C33)*($B$5:$B33&gt;=4)*($B$5:$B33&lt;=6)),$AE$5:$AE33),IF(B33=10,SUMPRODUCT(--(($C$5:$C33=$C33)*($B$5:$B33&gt;=7)*($B$5:$B33&lt;=9)),$AE$5:$AE33),0)))))</f>
        <v/>
      </c>
      <c r="AG33" s="12">
        <f>AG32+AE33-AF33</f>
        <v/>
      </c>
      <c r="AH33" s="12">
        <f>IF(ProviderDelay&gt;=1,AD32*ProviderShare,AD33*ProviderShare)</f>
        <v/>
      </c>
      <c r="AI33" s="12">
        <f>AA33*PaymentFee</f>
        <v/>
      </c>
      <c r="AJ33" s="12">
        <f>U33*OpsAI</f>
        <v/>
      </c>
      <c r="AK33" s="12">
        <f>MonthlyFixed</f>
        <v/>
      </c>
      <c r="AL33" s="12">
        <f>I33*ReferralReward</f>
        <v/>
      </c>
      <c r="AM33" s="12">
        <f>G33</f>
        <v/>
      </c>
      <c r="AN33" s="9">
        <f>AD33-AH33-AI33-AJ33-AK33-AL33-AM33</f>
        <v/>
      </c>
      <c r="AO33" s="9">
        <f>AO32+AA33-(AH33+AI33+AJ33+AK33+AL33+AM33+AF33)</f>
        <v/>
      </c>
      <c r="AP33" s="12">
        <f>IF(U33&gt;0,V33/U33,0)</f>
        <v/>
      </c>
      <c r="AQ33" s="11">
        <f>IF(U32&gt;0,MAX(0,(U32+J33-U33)/U32),0)</f>
        <v/>
      </c>
    </row>
    <row r="34">
      <c r="A34" s="12" t="n">
        <v>30</v>
      </c>
      <c r="B34" s="12">
        <f>MOD(A34-1+LaunchMonth-1,12)+1</f>
        <v/>
      </c>
      <c r="C34" s="12">
        <f>INT((A34-1+LaunchMonth-1)/12)+1</f>
        <v/>
      </c>
      <c r="D34" s="12">
        <f>VLOOKUP(B34,SeasonTable,2,FALSE)</f>
        <v/>
      </c>
      <c r="E34" s="12">
        <f>(1+InflationRate)^INT((A34-1)/12)</f>
        <v/>
      </c>
      <c r="F34" s="11">
        <f>MonthlyChurn*VLOOKUP(B34,ChurnSeasonTable,4,FALSE)</f>
        <v/>
      </c>
      <c r="G34" s="12">
        <f>MIN(MAX(MktMin19plus,AA33*MktPct19plus),MAX(0,AO33-CashBuffer))</f>
        <v/>
      </c>
      <c r="H34" s="12">
        <f>IF(G34&gt;0,MAX(1,ROUND(G34/CAC*D34,0)),0)</f>
        <v/>
      </c>
      <c r="I34" s="12">
        <f>IF(H34&gt;0,ROUND(H34*ReferralMix/(1-ReferralMix),0),0)</f>
        <v/>
      </c>
      <c r="J34" s="12">
        <f>H34+I34</f>
        <v/>
      </c>
      <c r="K34" s="12">
        <f>ROUND(J34*(1-AnnualMix),0)</f>
        <v/>
      </c>
      <c r="L34" s="12">
        <f>J34-K34</f>
        <v/>
      </c>
      <c r="M34" s="12">
        <f>ROUND(K34*EssentialMix,0)</f>
        <v/>
      </c>
      <c r="N34" s="12">
        <f>K34-M34</f>
        <v/>
      </c>
      <c r="O34" s="12">
        <f>ROUND(L34*EssentialMix,0)</f>
        <v/>
      </c>
      <c r="P34" s="12">
        <f>L34-O34</f>
        <v/>
      </c>
      <c r="Q34" s="12">
        <f>M34+M33+M32+MAX(0,Q33-M33-M32)*(1-F34)</f>
        <v/>
      </c>
      <c r="R34" s="12">
        <f>N34+N33+N32+MAX(0,R33-N33-N32)*(1-F34)</f>
        <v/>
      </c>
      <c r="S34" s="12">
        <f>S33+O34-O22*(AnnualChurn*VLOOKUP(B34,ChurnSeasonTable,4,FALSE))*POWER(1-(AnnualChurn*VLOOKUP(B34,ChurnSeasonTable,4,FALSE)),0)+O10*(AnnualChurn*VLOOKUP(B34,ChurnSeasonTable,4,FALSE))*POWER(1-(AnnualChurn*VLOOKUP(B34,ChurnSeasonTable,4,FALSE)),1)</f>
        <v/>
      </c>
      <c r="T34" s="12">
        <f>T33+P34-P22*(AnnualChurn*VLOOKUP(B34,ChurnSeasonTable,4,FALSE))*POWER(1-(AnnualChurn*VLOOKUP(B34,ChurnSeasonTable,4,FALSE)),0)+P10*(AnnualChurn*VLOOKUP(B34,ChurnSeasonTable,4,FALSE))*POWER(1-(AnnualChurn*VLOOKUP(B34,ChurnSeasonTable,4,FALSE)),1)</f>
        <v/>
      </c>
      <c r="U34" s="12">
        <f>Q34+R34+S34+T34</f>
        <v/>
      </c>
      <c r="V34" s="9">
        <f>Q34*PriceEssMonthly*E34+R34*PricePremMonthly*E34+S34*PriceEssAnnual*E34/12+T34*PricePremAnnual*E34/12</f>
        <v/>
      </c>
      <c r="W34" s="9">
        <f>V34*12</f>
        <v/>
      </c>
      <c r="X34" s="12">
        <f>Q34*PriceEssMonthly*E34+R34*PricePremMonthly*E34</f>
        <v/>
      </c>
      <c r="Y34" s="12">
        <f>O34*PriceEssAnnual*E34+P34*PricePremAnnual*E34</f>
        <v/>
      </c>
      <c r="Z34" s="12">
        <f>O22*POWER(1-(AnnualChurn*VLOOKUP(B34,ChurnSeasonTable,4,FALSE)),1)*PriceEssAnnual*E34+O10*POWER(1-(AnnualChurn*VLOOKUP(B34,ChurnSeasonTable,4,FALSE)),2)*PriceEssAnnual*E34+P22*POWER(1-(AnnualChurn*VLOOKUP(B34,ChurnSeasonTable,4,FALSE)),1)*PricePremAnnual*E34+P10*POWER(1-(AnnualChurn*VLOOKUP(B34,ChurnSeasonTable,4,FALSE)),2)*PricePremAnnual*E34</f>
        <v/>
      </c>
      <c r="AA34" s="9">
        <f>X34+Y34+Z34</f>
        <v/>
      </c>
      <c r="AB34" s="12">
        <f>SUM(AA23:AA34)</f>
        <v/>
      </c>
      <c r="AC34" s="12">
        <f>OR(AC33,AB34&gt;=VATThreshold)</f>
        <v/>
      </c>
      <c r="AD34" s="9">
        <f>IF(AC34,AA34/(1+VATRate),AA34)</f>
        <v/>
      </c>
      <c r="AE34" s="12">
        <f>AA34-AD34</f>
        <v/>
      </c>
      <c r="AF34" s="12">
        <f>IF(AC34=0,0,IF(B34=1,SUMPRODUCT(--(($C$5:$C34=$C34-1)*($B$5:$B34&gt;=10)*($B$5:$B34&lt;=12)),$AE$5:$AE34),IF(B34=4,SUMPRODUCT(--(($C$5:$C34=$C34)*($B$5:$B34&gt;=1)*($B$5:$B34&lt;=3)),$AE$5:$AE34),IF(B34=7,SUMPRODUCT(--(($C$5:$C34=$C34)*($B$5:$B34&gt;=4)*($B$5:$B34&lt;=6)),$AE$5:$AE34),IF(B34=10,SUMPRODUCT(--(($C$5:$C34=$C34)*($B$5:$B34&gt;=7)*($B$5:$B34&lt;=9)),$AE$5:$AE34),0)))))</f>
        <v/>
      </c>
      <c r="AG34" s="12">
        <f>AG33+AE34-AF34</f>
        <v/>
      </c>
      <c r="AH34" s="12">
        <f>IF(ProviderDelay&gt;=1,AD33*ProviderShare,AD34*ProviderShare)</f>
        <v/>
      </c>
      <c r="AI34" s="12">
        <f>AA34*PaymentFee</f>
        <v/>
      </c>
      <c r="AJ34" s="12">
        <f>U34*OpsAI</f>
        <v/>
      </c>
      <c r="AK34" s="12">
        <f>MonthlyFixed</f>
        <v/>
      </c>
      <c r="AL34" s="12">
        <f>I34*ReferralReward</f>
        <v/>
      </c>
      <c r="AM34" s="12">
        <f>G34</f>
        <v/>
      </c>
      <c r="AN34" s="9">
        <f>AD34-AH34-AI34-AJ34-AK34-AL34-AM34</f>
        <v/>
      </c>
      <c r="AO34" s="9">
        <f>AO33+AA34-(AH34+AI34+AJ34+AK34+AL34+AM34+AF34)</f>
        <v/>
      </c>
      <c r="AP34" s="12">
        <f>IF(U34&gt;0,V34/U34,0)</f>
        <v/>
      </c>
      <c r="AQ34" s="11">
        <f>IF(U33&gt;0,MAX(0,(U33+J34-U34)/U33),0)</f>
        <v/>
      </c>
    </row>
    <row r="35">
      <c r="A35" s="12" t="n">
        <v>31</v>
      </c>
      <c r="B35" s="12">
        <f>MOD(A35-1+LaunchMonth-1,12)+1</f>
        <v/>
      </c>
      <c r="C35" s="12">
        <f>INT((A35-1+LaunchMonth-1)/12)+1</f>
        <v/>
      </c>
      <c r="D35" s="12">
        <f>VLOOKUP(B35,SeasonTable,2,FALSE)</f>
        <v/>
      </c>
      <c r="E35" s="12">
        <f>(1+InflationRate)^INT((A35-1)/12)</f>
        <v/>
      </c>
      <c r="F35" s="11">
        <f>MonthlyChurn*VLOOKUP(B35,ChurnSeasonTable,4,FALSE)</f>
        <v/>
      </c>
      <c r="G35" s="12">
        <f>MIN(MAX(MktMin19plus,AA34*MktPct19plus),MAX(0,AO34-CashBuffer))</f>
        <v/>
      </c>
      <c r="H35" s="12">
        <f>IF(G35&gt;0,MAX(1,ROUND(G35/CAC*D35,0)),0)</f>
        <v/>
      </c>
      <c r="I35" s="12">
        <f>IF(H35&gt;0,ROUND(H35*ReferralMix/(1-ReferralMix),0),0)</f>
        <v/>
      </c>
      <c r="J35" s="12">
        <f>H35+I35</f>
        <v/>
      </c>
      <c r="K35" s="12">
        <f>ROUND(J35*(1-AnnualMix),0)</f>
        <v/>
      </c>
      <c r="L35" s="12">
        <f>J35-K35</f>
        <v/>
      </c>
      <c r="M35" s="12">
        <f>ROUND(K35*EssentialMix,0)</f>
        <v/>
      </c>
      <c r="N35" s="12">
        <f>K35-M35</f>
        <v/>
      </c>
      <c r="O35" s="12">
        <f>ROUND(L35*EssentialMix,0)</f>
        <v/>
      </c>
      <c r="P35" s="12">
        <f>L35-O35</f>
        <v/>
      </c>
      <c r="Q35" s="12">
        <f>M35+M34+M33+MAX(0,Q34-M34-M33)*(1-F35)</f>
        <v/>
      </c>
      <c r="R35" s="12">
        <f>N35+N34+N33+MAX(0,R34-N34-N33)*(1-F35)</f>
        <v/>
      </c>
      <c r="S35" s="12">
        <f>S34+O35-O23*(AnnualChurn*VLOOKUP(B35,ChurnSeasonTable,4,FALSE))*POWER(1-(AnnualChurn*VLOOKUP(B35,ChurnSeasonTable,4,FALSE)),0)+O11*(AnnualChurn*VLOOKUP(B35,ChurnSeasonTable,4,FALSE))*POWER(1-(AnnualChurn*VLOOKUP(B35,ChurnSeasonTable,4,FALSE)),1)</f>
        <v/>
      </c>
      <c r="T35" s="12">
        <f>T34+P35-P23*(AnnualChurn*VLOOKUP(B35,ChurnSeasonTable,4,FALSE))*POWER(1-(AnnualChurn*VLOOKUP(B35,ChurnSeasonTable,4,FALSE)),0)+P11*(AnnualChurn*VLOOKUP(B35,ChurnSeasonTable,4,FALSE))*POWER(1-(AnnualChurn*VLOOKUP(B35,ChurnSeasonTable,4,FALSE)),1)</f>
        <v/>
      </c>
      <c r="U35" s="12">
        <f>Q35+R35+S35+T35</f>
        <v/>
      </c>
      <c r="V35" s="9">
        <f>Q35*PriceEssMonthly*E35+R35*PricePremMonthly*E35+S35*PriceEssAnnual*E35/12+T35*PricePremAnnual*E35/12</f>
        <v/>
      </c>
      <c r="W35" s="9">
        <f>V35*12</f>
        <v/>
      </c>
      <c r="X35" s="12">
        <f>Q35*PriceEssMonthly*E35+R35*PricePremMonthly*E35</f>
        <v/>
      </c>
      <c r="Y35" s="12">
        <f>O35*PriceEssAnnual*E35+P35*PricePremAnnual*E35</f>
        <v/>
      </c>
      <c r="Z35" s="12">
        <f>O23*POWER(1-(AnnualChurn*VLOOKUP(B35,ChurnSeasonTable,4,FALSE)),1)*PriceEssAnnual*E35+O11*POWER(1-(AnnualChurn*VLOOKUP(B35,ChurnSeasonTable,4,FALSE)),2)*PriceEssAnnual*E35+P23*POWER(1-(AnnualChurn*VLOOKUP(B35,ChurnSeasonTable,4,FALSE)),1)*PricePremAnnual*E35+P11*POWER(1-(AnnualChurn*VLOOKUP(B35,ChurnSeasonTable,4,FALSE)),2)*PricePremAnnual*E35</f>
        <v/>
      </c>
      <c r="AA35" s="9">
        <f>X35+Y35+Z35</f>
        <v/>
      </c>
      <c r="AB35" s="12">
        <f>SUM(AA24:AA35)</f>
        <v/>
      </c>
      <c r="AC35" s="12">
        <f>OR(AC34,AB35&gt;=VATThreshold)</f>
        <v/>
      </c>
      <c r="AD35" s="9">
        <f>IF(AC35,AA35/(1+VATRate),AA35)</f>
        <v/>
      </c>
      <c r="AE35" s="12">
        <f>AA35-AD35</f>
        <v/>
      </c>
      <c r="AF35" s="12">
        <f>IF(AC35=0,0,IF(B35=1,SUMPRODUCT(--(($C$5:$C35=$C35-1)*($B$5:$B35&gt;=10)*($B$5:$B35&lt;=12)),$AE$5:$AE35),IF(B35=4,SUMPRODUCT(--(($C$5:$C35=$C35)*($B$5:$B35&gt;=1)*($B$5:$B35&lt;=3)),$AE$5:$AE35),IF(B35=7,SUMPRODUCT(--(($C$5:$C35=$C35)*($B$5:$B35&gt;=4)*($B$5:$B35&lt;=6)),$AE$5:$AE35),IF(B35=10,SUMPRODUCT(--(($C$5:$C35=$C35)*($B$5:$B35&gt;=7)*($B$5:$B35&lt;=9)),$AE$5:$AE35),0)))))</f>
        <v/>
      </c>
      <c r="AG35" s="12">
        <f>AG34+AE35-AF35</f>
        <v/>
      </c>
      <c r="AH35" s="12">
        <f>IF(ProviderDelay&gt;=1,AD34*ProviderShare,AD35*ProviderShare)</f>
        <v/>
      </c>
      <c r="AI35" s="12">
        <f>AA35*PaymentFee</f>
        <v/>
      </c>
      <c r="AJ35" s="12">
        <f>U35*OpsAI</f>
        <v/>
      </c>
      <c r="AK35" s="12">
        <f>MonthlyFixed</f>
        <v/>
      </c>
      <c r="AL35" s="12">
        <f>I35*ReferralReward</f>
        <v/>
      </c>
      <c r="AM35" s="12">
        <f>G35</f>
        <v/>
      </c>
      <c r="AN35" s="9">
        <f>AD35-AH35-AI35-AJ35-AK35-AL35-AM35</f>
        <v/>
      </c>
      <c r="AO35" s="9">
        <f>AO34+AA35-(AH35+AI35+AJ35+AK35+AL35+AM35+AF35)</f>
        <v/>
      </c>
      <c r="AP35" s="12">
        <f>IF(U35&gt;0,V35/U35,0)</f>
        <v/>
      </c>
      <c r="AQ35" s="11">
        <f>IF(U34&gt;0,MAX(0,(U34+J35-U35)/U34),0)</f>
        <v/>
      </c>
    </row>
    <row r="36">
      <c r="A36" s="12" t="n">
        <v>32</v>
      </c>
      <c r="B36" s="12">
        <f>MOD(A36-1+LaunchMonth-1,12)+1</f>
        <v/>
      </c>
      <c r="C36" s="12">
        <f>INT((A36-1+LaunchMonth-1)/12)+1</f>
        <v/>
      </c>
      <c r="D36" s="12">
        <f>VLOOKUP(B36,SeasonTable,2,FALSE)</f>
        <v/>
      </c>
      <c r="E36" s="12">
        <f>(1+InflationRate)^INT((A36-1)/12)</f>
        <v/>
      </c>
      <c r="F36" s="11">
        <f>MonthlyChurn*VLOOKUP(B36,ChurnSeasonTable,4,FALSE)</f>
        <v/>
      </c>
      <c r="G36" s="12">
        <f>MIN(MAX(MktMin19plus,AA35*MktPct19plus),MAX(0,AO35-CashBuffer))</f>
        <v/>
      </c>
      <c r="H36" s="12">
        <f>IF(G36&gt;0,MAX(1,ROUND(G36/CAC*D36,0)),0)</f>
        <v/>
      </c>
      <c r="I36" s="12">
        <f>IF(H36&gt;0,ROUND(H36*ReferralMix/(1-ReferralMix),0),0)</f>
        <v/>
      </c>
      <c r="J36" s="12">
        <f>H36+I36</f>
        <v/>
      </c>
      <c r="K36" s="12">
        <f>ROUND(J36*(1-AnnualMix),0)</f>
        <v/>
      </c>
      <c r="L36" s="12">
        <f>J36-K36</f>
        <v/>
      </c>
      <c r="M36" s="12">
        <f>ROUND(K36*EssentialMix,0)</f>
        <v/>
      </c>
      <c r="N36" s="12">
        <f>K36-M36</f>
        <v/>
      </c>
      <c r="O36" s="12">
        <f>ROUND(L36*EssentialMix,0)</f>
        <v/>
      </c>
      <c r="P36" s="12">
        <f>L36-O36</f>
        <v/>
      </c>
      <c r="Q36" s="12">
        <f>M36+M35+M34+MAX(0,Q35-M35-M34)*(1-F36)</f>
        <v/>
      </c>
      <c r="R36" s="12">
        <f>N36+N35+N34+MAX(0,R35-N35-N34)*(1-F36)</f>
        <v/>
      </c>
      <c r="S36" s="12">
        <f>S35+O36-O24*(AnnualChurn*VLOOKUP(B36,ChurnSeasonTable,4,FALSE))*POWER(1-(AnnualChurn*VLOOKUP(B36,ChurnSeasonTable,4,FALSE)),0)+O12*(AnnualChurn*VLOOKUP(B36,ChurnSeasonTable,4,FALSE))*POWER(1-(AnnualChurn*VLOOKUP(B36,ChurnSeasonTable,4,FALSE)),1)</f>
        <v/>
      </c>
      <c r="T36" s="12">
        <f>T35+P36-P24*(AnnualChurn*VLOOKUP(B36,ChurnSeasonTable,4,FALSE))*POWER(1-(AnnualChurn*VLOOKUP(B36,ChurnSeasonTable,4,FALSE)),0)+P12*(AnnualChurn*VLOOKUP(B36,ChurnSeasonTable,4,FALSE))*POWER(1-(AnnualChurn*VLOOKUP(B36,ChurnSeasonTable,4,FALSE)),1)</f>
        <v/>
      </c>
      <c r="U36" s="12">
        <f>Q36+R36+S36+T36</f>
        <v/>
      </c>
      <c r="V36" s="9">
        <f>Q36*PriceEssMonthly*E36+R36*PricePremMonthly*E36+S36*PriceEssAnnual*E36/12+T36*PricePremAnnual*E36/12</f>
        <v/>
      </c>
      <c r="W36" s="9">
        <f>V36*12</f>
        <v/>
      </c>
      <c r="X36" s="12">
        <f>Q36*PriceEssMonthly*E36+R36*PricePremMonthly*E36</f>
        <v/>
      </c>
      <c r="Y36" s="12">
        <f>O36*PriceEssAnnual*E36+P36*PricePremAnnual*E36</f>
        <v/>
      </c>
      <c r="Z36" s="12">
        <f>O24*POWER(1-(AnnualChurn*VLOOKUP(B36,ChurnSeasonTable,4,FALSE)),1)*PriceEssAnnual*E36+O12*POWER(1-(AnnualChurn*VLOOKUP(B36,ChurnSeasonTable,4,FALSE)),2)*PriceEssAnnual*E36+P24*POWER(1-(AnnualChurn*VLOOKUP(B36,ChurnSeasonTable,4,FALSE)),1)*PricePremAnnual*E36+P12*POWER(1-(AnnualChurn*VLOOKUP(B36,ChurnSeasonTable,4,FALSE)),2)*PricePremAnnual*E36</f>
        <v/>
      </c>
      <c r="AA36" s="9">
        <f>X36+Y36+Z36</f>
        <v/>
      </c>
      <c r="AB36" s="12">
        <f>SUM(AA25:AA36)</f>
        <v/>
      </c>
      <c r="AC36" s="12">
        <f>OR(AC35,AB36&gt;=VATThreshold)</f>
        <v/>
      </c>
      <c r="AD36" s="9">
        <f>IF(AC36,AA36/(1+VATRate),AA36)</f>
        <v/>
      </c>
      <c r="AE36" s="12">
        <f>AA36-AD36</f>
        <v/>
      </c>
      <c r="AF36" s="12">
        <f>IF(AC36=0,0,IF(B36=1,SUMPRODUCT(--(($C$5:$C36=$C36-1)*($B$5:$B36&gt;=10)*($B$5:$B36&lt;=12)),$AE$5:$AE36),IF(B36=4,SUMPRODUCT(--(($C$5:$C36=$C36)*($B$5:$B36&gt;=1)*($B$5:$B36&lt;=3)),$AE$5:$AE36),IF(B36=7,SUMPRODUCT(--(($C$5:$C36=$C36)*($B$5:$B36&gt;=4)*($B$5:$B36&lt;=6)),$AE$5:$AE36),IF(B36=10,SUMPRODUCT(--(($C$5:$C36=$C36)*($B$5:$B36&gt;=7)*($B$5:$B36&lt;=9)),$AE$5:$AE36),0)))))</f>
        <v/>
      </c>
      <c r="AG36" s="12">
        <f>AG35+AE36-AF36</f>
        <v/>
      </c>
      <c r="AH36" s="12">
        <f>IF(ProviderDelay&gt;=1,AD35*ProviderShare,AD36*ProviderShare)</f>
        <v/>
      </c>
      <c r="AI36" s="12">
        <f>AA36*PaymentFee</f>
        <v/>
      </c>
      <c r="AJ36" s="12">
        <f>U36*OpsAI</f>
        <v/>
      </c>
      <c r="AK36" s="12">
        <f>MonthlyFixed</f>
        <v/>
      </c>
      <c r="AL36" s="12">
        <f>I36*ReferralReward</f>
        <v/>
      </c>
      <c r="AM36" s="12">
        <f>G36</f>
        <v/>
      </c>
      <c r="AN36" s="9">
        <f>AD36-AH36-AI36-AJ36-AK36-AL36-AM36</f>
        <v/>
      </c>
      <c r="AO36" s="9">
        <f>AO35+AA36-(AH36+AI36+AJ36+AK36+AL36+AM36+AF36)</f>
        <v/>
      </c>
      <c r="AP36" s="12">
        <f>IF(U36&gt;0,V36/U36,0)</f>
        <v/>
      </c>
      <c r="AQ36" s="11">
        <f>IF(U35&gt;0,MAX(0,(U35+J36-U36)/U35),0)</f>
        <v/>
      </c>
    </row>
    <row r="37">
      <c r="A37" s="12" t="n">
        <v>33</v>
      </c>
      <c r="B37" s="12">
        <f>MOD(A37-1+LaunchMonth-1,12)+1</f>
        <v/>
      </c>
      <c r="C37" s="12">
        <f>INT((A37-1+LaunchMonth-1)/12)+1</f>
        <v/>
      </c>
      <c r="D37" s="12">
        <f>VLOOKUP(B37,SeasonTable,2,FALSE)</f>
        <v/>
      </c>
      <c r="E37" s="12">
        <f>(1+InflationRate)^INT((A37-1)/12)</f>
        <v/>
      </c>
      <c r="F37" s="11">
        <f>MonthlyChurn*VLOOKUP(B37,ChurnSeasonTable,4,FALSE)</f>
        <v/>
      </c>
      <c r="G37" s="12">
        <f>MIN(MAX(MktMin19plus,AA36*MktPct19plus),MAX(0,AO36-CashBuffer))</f>
        <v/>
      </c>
      <c r="H37" s="12">
        <f>IF(G37&gt;0,MAX(1,ROUND(G37/CAC*D37,0)),0)</f>
        <v/>
      </c>
      <c r="I37" s="12">
        <f>IF(H37&gt;0,ROUND(H37*ReferralMix/(1-ReferralMix),0),0)</f>
        <v/>
      </c>
      <c r="J37" s="12">
        <f>H37+I37</f>
        <v/>
      </c>
      <c r="K37" s="12">
        <f>ROUND(J37*(1-AnnualMix),0)</f>
        <v/>
      </c>
      <c r="L37" s="12">
        <f>J37-K37</f>
        <v/>
      </c>
      <c r="M37" s="12">
        <f>ROUND(K37*EssentialMix,0)</f>
        <v/>
      </c>
      <c r="N37" s="12">
        <f>K37-M37</f>
        <v/>
      </c>
      <c r="O37" s="12">
        <f>ROUND(L37*EssentialMix,0)</f>
        <v/>
      </c>
      <c r="P37" s="12">
        <f>L37-O37</f>
        <v/>
      </c>
      <c r="Q37" s="12">
        <f>M37+M36+M35+MAX(0,Q36-M36-M35)*(1-F37)</f>
        <v/>
      </c>
      <c r="R37" s="12">
        <f>N37+N36+N35+MAX(0,R36-N36-N35)*(1-F37)</f>
        <v/>
      </c>
      <c r="S37" s="12">
        <f>S36+O37-O25*(AnnualChurn*VLOOKUP(B37,ChurnSeasonTable,4,FALSE))*POWER(1-(AnnualChurn*VLOOKUP(B37,ChurnSeasonTable,4,FALSE)),0)+O13*(AnnualChurn*VLOOKUP(B37,ChurnSeasonTable,4,FALSE))*POWER(1-(AnnualChurn*VLOOKUP(B37,ChurnSeasonTable,4,FALSE)),1)</f>
        <v/>
      </c>
      <c r="T37" s="12">
        <f>T36+P37-P25*(AnnualChurn*VLOOKUP(B37,ChurnSeasonTable,4,FALSE))*POWER(1-(AnnualChurn*VLOOKUP(B37,ChurnSeasonTable,4,FALSE)),0)+P13*(AnnualChurn*VLOOKUP(B37,ChurnSeasonTable,4,FALSE))*POWER(1-(AnnualChurn*VLOOKUP(B37,ChurnSeasonTable,4,FALSE)),1)</f>
        <v/>
      </c>
      <c r="U37" s="12">
        <f>Q37+R37+S37+T37</f>
        <v/>
      </c>
      <c r="V37" s="9">
        <f>Q37*PriceEssMonthly*E37+R37*PricePremMonthly*E37+S37*PriceEssAnnual*E37/12+T37*PricePremAnnual*E37/12</f>
        <v/>
      </c>
      <c r="W37" s="9">
        <f>V37*12</f>
        <v/>
      </c>
      <c r="X37" s="12">
        <f>Q37*PriceEssMonthly*E37+R37*PricePremMonthly*E37</f>
        <v/>
      </c>
      <c r="Y37" s="12">
        <f>O37*PriceEssAnnual*E37+P37*PricePremAnnual*E37</f>
        <v/>
      </c>
      <c r="Z37" s="12">
        <f>O25*POWER(1-(AnnualChurn*VLOOKUP(B37,ChurnSeasonTable,4,FALSE)),1)*PriceEssAnnual*E37+O13*POWER(1-(AnnualChurn*VLOOKUP(B37,ChurnSeasonTable,4,FALSE)),2)*PriceEssAnnual*E37+P25*POWER(1-(AnnualChurn*VLOOKUP(B37,ChurnSeasonTable,4,FALSE)),1)*PricePremAnnual*E37+P13*POWER(1-(AnnualChurn*VLOOKUP(B37,ChurnSeasonTable,4,FALSE)),2)*PricePremAnnual*E37</f>
        <v/>
      </c>
      <c r="AA37" s="9">
        <f>X37+Y37+Z37</f>
        <v/>
      </c>
      <c r="AB37" s="12">
        <f>SUM(AA26:AA37)</f>
        <v/>
      </c>
      <c r="AC37" s="12">
        <f>OR(AC36,AB37&gt;=VATThreshold)</f>
        <v/>
      </c>
      <c r="AD37" s="9">
        <f>IF(AC37,AA37/(1+VATRate),AA37)</f>
        <v/>
      </c>
      <c r="AE37" s="12">
        <f>AA37-AD37</f>
        <v/>
      </c>
      <c r="AF37" s="12">
        <f>IF(AC37=0,0,IF(B37=1,SUMPRODUCT(--(($C$5:$C37=$C37-1)*($B$5:$B37&gt;=10)*($B$5:$B37&lt;=12)),$AE$5:$AE37),IF(B37=4,SUMPRODUCT(--(($C$5:$C37=$C37)*($B$5:$B37&gt;=1)*($B$5:$B37&lt;=3)),$AE$5:$AE37),IF(B37=7,SUMPRODUCT(--(($C$5:$C37=$C37)*($B$5:$B37&gt;=4)*($B$5:$B37&lt;=6)),$AE$5:$AE37),IF(B37=10,SUMPRODUCT(--(($C$5:$C37=$C37)*($B$5:$B37&gt;=7)*($B$5:$B37&lt;=9)),$AE$5:$AE37),0)))))</f>
        <v/>
      </c>
      <c r="AG37" s="12">
        <f>AG36+AE37-AF37</f>
        <v/>
      </c>
      <c r="AH37" s="12">
        <f>IF(ProviderDelay&gt;=1,AD36*ProviderShare,AD37*ProviderShare)</f>
        <v/>
      </c>
      <c r="AI37" s="12">
        <f>AA37*PaymentFee</f>
        <v/>
      </c>
      <c r="AJ37" s="12">
        <f>U37*OpsAI</f>
        <v/>
      </c>
      <c r="AK37" s="12">
        <f>MonthlyFixed</f>
        <v/>
      </c>
      <c r="AL37" s="12">
        <f>I37*ReferralReward</f>
        <v/>
      </c>
      <c r="AM37" s="12">
        <f>G37</f>
        <v/>
      </c>
      <c r="AN37" s="9">
        <f>AD37-AH37-AI37-AJ37-AK37-AL37-AM37</f>
        <v/>
      </c>
      <c r="AO37" s="9">
        <f>AO36+AA37-(AH37+AI37+AJ37+AK37+AL37+AM37+AF37)</f>
        <v/>
      </c>
      <c r="AP37" s="12">
        <f>IF(U37&gt;0,V37/U37,0)</f>
        <v/>
      </c>
      <c r="AQ37" s="11">
        <f>IF(U36&gt;0,MAX(0,(U36+J37-U37)/U36),0)</f>
        <v/>
      </c>
    </row>
    <row r="38">
      <c r="A38" s="12" t="n">
        <v>34</v>
      </c>
      <c r="B38" s="12">
        <f>MOD(A38-1+LaunchMonth-1,12)+1</f>
        <v/>
      </c>
      <c r="C38" s="12">
        <f>INT((A38-1+LaunchMonth-1)/12)+1</f>
        <v/>
      </c>
      <c r="D38" s="12">
        <f>VLOOKUP(B38,SeasonTable,2,FALSE)</f>
        <v/>
      </c>
      <c r="E38" s="12">
        <f>(1+InflationRate)^INT((A38-1)/12)</f>
        <v/>
      </c>
      <c r="F38" s="11">
        <f>MonthlyChurn*VLOOKUP(B38,ChurnSeasonTable,4,FALSE)</f>
        <v/>
      </c>
      <c r="G38" s="12">
        <f>MIN(MAX(MktMin19plus,AA37*MktPct19plus),MAX(0,AO37-CashBuffer))</f>
        <v/>
      </c>
      <c r="H38" s="12">
        <f>IF(G38&gt;0,MAX(1,ROUND(G38/CAC*D38,0)),0)</f>
        <v/>
      </c>
      <c r="I38" s="12">
        <f>IF(H38&gt;0,ROUND(H38*ReferralMix/(1-ReferralMix),0),0)</f>
        <v/>
      </c>
      <c r="J38" s="12">
        <f>H38+I38</f>
        <v/>
      </c>
      <c r="K38" s="12">
        <f>ROUND(J38*(1-AnnualMix),0)</f>
        <v/>
      </c>
      <c r="L38" s="12">
        <f>J38-K38</f>
        <v/>
      </c>
      <c r="M38" s="12">
        <f>ROUND(K38*EssentialMix,0)</f>
        <v/>
      </c>
      <c r="N38" s="12">
        <f>K38-M38</f>
        <v/>
      </c>
      <c r="O38" s="12">
        <f>ROUND(L38*EssentialMix,0)</f>
        <v/>
      </c>
      <c r="P38" s="12">
        <f>L38-O38</f>
        <v/>
      </c>
      <c r="Q38" s="12">
        <f>M38+M37+M36+MAX(0,Q37-M37-M36)*(1-F38)</f>
        <v/>
      </c>
      <c r="R38" s="12">
        <f>N38+N37+N36+MAX(0,R37-N37-N36)*(1-F38)</f>
        <v/>
      </c>
      <c r="S38" s="12">
        <f>S37+O38-O26*(AnnualChurn*VLOOKUP(B38,ChurnSeasonTable,4,FALSE))*POWER(1-(AnnualChurn*VLOOKUP(B38,ChurnSeasonTable,4,FALSE)),0)+O14*(AnnualChurn*VLOOKUP(B38,ChurnSeasonTable,4,FALSE))*POWER(1-(AnnualChurn*VLOOKUP(B38,ChurnSeasonTable,4,FALSE)),1)</f>
        <v/>
      </c>
      <c r="T38" s="12">
        <f>T37+P38-P26*(AnnualChurn*VLOOKUP(B38,ChurnSeasonTable,4,FALSE))*POWER(1-(AnnualChurn*VLOOKUP(B38,ChurnSeasonTable,4,FALSE)),0)+P14*(AnnualChurn*VLOOKUP(B38,ChurnSeasonTable,4,FALSE))*POWER(1-(AnnualChurn*VLOOKUP(B38,ChurnSeasonTable,4,FALSE)),1)</f>
        <v/>
      </c>
      <c r="U38" s="12">
        <f>Q38+R38+S38+T38</f>
        <v/>
      </c>
      <c r="V38" s="9">
        <f>Q38*PriceEssMonthly*E38+R38*PricePremMonthly*E38+S38*PriceEssAnnual*E38/12+T38*PricePremAnnual*E38/12</f>
        <v/>
      </c>
      <c r="W38" s="9">
        <f>V38*12</f>
        <v/>
      </c>
      <c r="X38" s="12">
        <f>Q38*PriceEssMonthly*E38+R38*PricePremMonthly*E38</f>
        <v/>
      </c>
      <c r="Y38" s="12">
        <f>O38*PriceEssAnnual*E38+P38*PricePremAnnual*E38</f>
        <v/>
      </c>
      <c r="Z38" s="12">
        <f>O26*POWER(1-(AnnualChurn*VLOOKUP(B38,ChurnSeasonTable,4,FALSE)),1)*PriceEssAnnual*E38+O14*POWER(1-(AnnualChurn*VLOOKUP(B38,ChurnSeasonTable,4,FALSE)),2)*PriceEssAnnual*E38+P26*POWER(1-(AnnualChurn*VLOOKUP(B38,ChurnSeasonTable,4,FALSE)),1)*PricePremAnnual*E38+P14*POWER(1-(AnnualChurn*VLOOKUP(B38,ChurnSeasonTable,4,FALSE)),2)*PricePremAnnual*E38</f>
        <v/>
      </c>
      <c r="AA38" s="9">
        <f>X38+Y38+Z38</f>
        <v/>
      </c>
      <c r="AB38" s="12">
        <f>SUM(AA27:AA38)</f>
        <v/>
      </c>
      <c r="AC38" s="12">
        <f>OR(AC37,AB38&gt;=VATThreshold)</f>
        <v/>
      </c>
      <c r="AD38" s="9">
        <f>IF(AC38,AA38/(1+VATRate),AA38)</f>
        <v/>
      </c>
      <c r="AE38" s="12">
        <f>AA38-AD38</f>
        <v/>
      </c>
      <c r="AF38" s="12">
        <f>IF(AC38=0,0,IF(B38=1,SUMPRODUCT(--(($C$5:$C38=$C38-1)*($B$5:$B38&gt;=10)*($B$5:$B38&lt;=12)),$AE$5:$AE38),IF(B38=4,SUMPRODUCT(--(($C$5:$C38=$C38)*($B$5:$B38&gt;=1)*($B$5:$B38&lt;=3)),$AE$5:$AE38),IF(B38=7,SUMPRODUCT(--(($C$5:$C38=$C38)*($B$5:$B38&gt;=4)*($B$5:$B38&lt;=6)),$AE$5:$AE38),IF(B38=10,SUMPRODUCT(--(($C$5:$C38=$C38)*($B$5:$B38&gt;=7)*($B$5:$B38&lt;=9)),$AE$5:$AE38),0)))))</f>
        <v/>
      </c>
      <c r="AG38" s="12">
        <f>AG37+AE38-AF38</f>
        <v/>
      </c>
      <c r="AH38" s="12">
        <f>IF(ProviderDelay&gt;=1,AD37*ProviderShare,AD38*ProviderShare)</f>
        <v/>
      </c>
      <c r="AI38" s="12">
        <f>AA38*PaymentFee</f>
        <v/>
      </c>
      <c r="AJ38" s="12">
        <f>U38*OpsAI</f>
        <v/>
      </c>
      <c r="AK38" s="12">
        <f>MonthlyFixed</f>
        <v/>
      </c>
      <c r="AL38" s="12">
        <f>I38*ReferralReward</f>
        <v/>
      </c>
      <c r="AM38" s="12">
        <f>G38</f>
        <v/>
      </c>
      <c r="AN38" s="9">
        <f>AD38-AH38-AI38-AJ38-AK38-AL38-AM38</f>
        <v/>
      </c>
      <c r="AO38" s="9">
        <f>AO37+AA38-(AH38+AI38+AJ38+AK38+AL38+AM38+AF38)</f>
        <v/>
      </c>
      <c r="AP38" s="12">
        <f>IF(U38&gt;0,V38/U38,0)</f>
        <v/>
      </c>
      <c r="AQ38" s="11">
        <f>IF(U37&gt;0,MAX(0,(U37+J38-U38)/U37),0)</f>
        <v/>
      </c>
    </row>
    <row r="39">
      <c r="A39" s="12" t="n">
        <v>35</v>
      </c>
      <c r="B39" s="12">
        <f>MOD(A39-1+LaunchMonth-1,12)+1</f>
        <v/>
      </c>
      <c r="C39" s="12">
        <f>INT((A39-1+LaunchMonth-1)/12)+1</f>
        <v/>
      </c>
      <c r="D39" s="12">
        <f>VLOOKUP(B39,SeasonTable,2,FALSE)</f>
        <v/>
      </c>
      <c r="E39" s="12">
        <f>(1+InflationRate)^INT((A39-1)/12)</f>
        <v/>
      </c>
      <c r="F39" s="11">
        <f>MonthlyChurn*VLOOKUP(B39,ChurnSeasonTable,4,FALSE)</f>
        <v/>
      </c>
      <c r="G39" s="12">
        <f>MIN(MAX(MktMin19plus,AA38*MktPct19plus),MAX(0,AO38-CashBuffer))</f>
        <v/>
      </c>
      <c r="H39" s="12">
        <f>IF(G39&gt;0,MAX(1,ROUND(G39/CAC*D39,0)),0)</f>
        <v/>
      </c>
      <c r="I39" s="12">
        <f>IF(H39&gt;0,ROUND(H39*ReferralMix/(1-ReferralMix),0),0)</f>
        <v/>
      </c>
      <c r="J39" s="12">
        <f>H39+I39</f>
        <v/>
      </c>
      <c r="K39" s="12">
        <f>ROUND(J39*(1-AnnualMix),0)</f>
        <v/>
      </c>
      <c r="L39" s="12">
        <f>J39-K39</f>
        <v/>
      </c>
      <c r="M39" s="12">
        <f>ROUND(K39*EssentialMix,0)</f>
        <v/>
      </c>
      <c r="N39" s="12">
        <f>K39-M39</f>
        <v/>
      </c>
      <c r="O39" s="12">
        <f>ROUND(L39*EssentialMix,0)</f>
        <v/>
      </c>
      <c r="P39" s="12">
        <f>L39-O39</f>
        <v/>
      </c>
      <c r="Q39" s="12">
        <f>M39+M38+M37+MAX(0,Q38-M38-M37)*(1-F39)</f>
        <v/>
      </c>
      <c r="R39" s="12">
        <f>N39+N38+N37+MAX(0,R38-N38-N37)*(1-F39)</f>
        <v/>
      </c>
      <c r="S39" s="12">
        <f>S38+O39-O27*(AnnualChurn*VLOOKUP(B39,ChurnSeasonTable,4,FALSE))*POWER(1-(AnnualChurn*VLOOKUP(B39,ChurnSeasonTable,4,FALSE)),0)+O15*(AnnualChurn*VLOOKUP(B39,ChurnSeasonTable,4,FALSE))*POWER(1-(AnnualChurn*VLOOKUP(B39,ChurnSeasonTable,4,FALSE)),1)</f>
        <v/>
      </c>
      <c r="T39" s="12">
        <f>T38+P39-P27*(AnnualChurn*VLOOKUP(B39,ChurnSeasonTable,4,FALSE))*POWER(1-(AnnualChurn*VLOOKUP(B39,ChurnSeasonTable,4,FALSE)),0)+P15*(AnnualChurn*VLOOKUP(B39,ChurnSeasonTable,4,FALSE))*POWER(1-(AnnualChurn*VLOOKUP(B39,ChurnSeasonTable,4,FALSE)),1)</f>
        <v/>
      </c>
      <c r="U39" s="12">
        <f>Q39+R39+S39+T39</f>
        <v/>
      </c>
      <c r="V39" s="9">
        <f>Q39*PriceEssMonthly*E39+R39*PricePremMonthly*E39+S39*PriceEssAnnual*E39/12+T39*PricePremAnnual*E39/12</f>
        <v/>
      </c>
      <c r="W39" s="9">
        <f>V39*12</f>
        <v/>
      </c>
      <c r="X39" s="12">
        <f>Q39*PriceEssMonthly*E39+R39*PricePremMonthly*E39</f>
        <v/>
      </c>
      <c r="Y39" s="12">
        <f>O39*PriceEssAnnual*E39+P39*PricePremAnnual*E39</f>
        <v/>
      </c>
      <c r="Z39" s="12">
        <f>O27*POWER(1-(AnnualChurn*VLOOKUP(B39,ChurnSeasonTable,4,FALSE)),1)*PriceEssAnnual*E39+O15*POWER(1-(AnnualChurn*VLOOKUP(B39,ChurnSeasonTable,4,FALSE)),2)*PriceEssAnnual*E39+P27*POWER(1-(AnnualChurn*VLOOKUP(B39,ChurnSeasonTable,4,FALSE)),1)*PricePremAnnual*E39+P15*POWER(1-(AnnualChurn*VLOOKUP(B39,ChurnSeasonTable,4,FALSE)),2)*PricePremAnnual*E39</f>
        <v/>
      </c>
      <c r="AA39" s="9">
        <f>X39+Y39+Z39</f>
        <v/>
      </c>
      <c r="AB39" s="12">
        <f>SUM(AA28:AA39)</f>
        <v/>
      </c>
      <c r="AC39" s="12">
        <f>OR(AC38,AB39&gt;=VATThreshold)</f>
        <v/>
      </c>
      <c r="AD39" s="9">
        <f>IF(AC39,AA39/(1+VATRate),AA39)</f>
        <v/>
      </c>
      <c r="AE39" s="12">
        <f>AA39-AD39</f>
        <v/>
      </c>
      <c r="AF39" s="12">
        <f>IF(AC39=0,0,IF(B39=1,SUMPRODUCT(--(($C$5:$C39=$C39-1)*($B$5:$B39&gt;=10)*($B$5:$B39&lt;=12)),$AE$5:$AE39),IF(B39=4,SUMPRODUCT(--(($C$5:$C39=$C39)*($B$5:$B39&gt;=1)*($B$5:$B39&lt;=3)),$AE$5:$AE39),IF(B39=7,SUMPRODUCT(--(($C$5:$C39=$C39)*($B$5:$B39&gt;=4)*($B$5:$B39&lt;=6)),$AE$5:$AE39),IF(B39=10,SUMPRODUCT(--(($C$5:$C39=$C39)*($B$5:$B39&gt;=7)*($B$5:$B39&lt;=9)),$AE$5:$AE39),0)))))</f>
        <v/>
      </c>
      <c r="AG39" s="12">
        <f>AG38+AE39-AF39</f>
        <v/>
      </c>
      <c r="AH39" s="12">
        <f>IF(ProviderDelay&gt;=1,AD38*ProviderShare,AD39*ProviderShare)</f>
        <v/>
      </c>
      <c r="AI39" s="12">
        <f>AA39*PaymentFee</f>
        <v/>
      </c>
      <c r="AJ39" s="12">
        <f>U39*OpsAI</f>
        <v/>
      </c>
      <c r="AK39" s="12">
        <f>MonthlyFixed</f>
        <v/>
      </c>
      <c r="AL39" s="12">
        <f>I39*ReferralReward</f>
        <v/>
      </c>
      <c r="AM39" s="12">
        <f>G39</f>
        <v/>
      </c>
      <c r="AN39" s="9">
        <f>AD39-AH39-AI39-AJ39-AK39-AL39-AM39</f>
        <v/>
      </c>
      <c r="AO39" s="9">
        <f>AO38+AA39-(AH39+AI39+AJ39+AK39+AL39+AM39+AF39)</f>
        <v/>
      </c>
      <c r="AP39" s="12">
        <f>IF(U39&gt;0,V39/U39,0)</f>
        <v/>
      </c>
      <c r="AQ39" s="11">
        <f>IF(U38&gt;0,MAX(0,(U38+J39-U39)/U38),0)</f>
        <v/>
      </c>
    </row>
    <row r="40">
      <c r="A40" s="12" t="n">
        <v>36</v>
      </c>
      <c r="B40" s="12">
        <f>MOD(A40-1+LaunchMonth-1,12)+1</f>
        <v/>
      </c>
      <c r="C40" s="12">
        <f>INT((A40-1+LaunchMonth-1)/12)+1</f>
        <v/>
      </c>
      <c r="D40" s="12">
        <f>VLOOKUP(B40,SeasonTable,2,FALSE)</f>
        <v/>
      </c>
      <c r="E40" s="12">
        <f>(1+InflationRate)^INT((A40-1)/12)</f>
        <v/>
      </c>
      <c r="F40" s="11">
        <f>MonthlyChurn*VLOOKUP(B40,ChurnSeasonTable,4,FALSE)</f>
        <v/>
      </c>
      <c r="G40" s="12">
        <f>MIN(MAX(MktMin19plus,AA39*MktPct19plus),MAX(0,AO39-CashBuffer))</f>
        <v/>
      </c>
      <c r="H40" s="12">
        <f>IF(G40&gt;0,MAX(1,ROUND(G40/CAC*D40,0)),0)</f>
        <v/>
      </c>
      <c r="I40" s="12">
        <f>IF(H40&gt;0,ROUND(H40*ReferralMix/(1-ReferralMix),0),0)</f>
        <v/>
      </c>
      <c r="J40" s="12">
        <f>H40+I40</f>
        <v/>
      </c>
      <c r="K40" s="12">
        <f>ROUND(J40*(1-AnnualMix),0)</f>
        <v/>
      </c>
      <c r="L40" s="12">
        <f>J40-K40</f>
        <v/>
      </c>
      <c r="M40" s="12">
        <f>ROUND(K40*EssentialMix,0)</f>
        <v/>
      </c>
      <c r="N40" s="12">
        <f>K40-M40</f>
        <v/>
      </c>
      <c r="O40" s="12">
        <f>ROUND(L40*EssentialMix,0)</f>
        <v/>
      </c>
      <c r="P40" s="12">
        <f>L40-O40</f>
        <v/>
      </c>
      <c r="Q40" s="12">
        <f>M40+M39+M38+MAX(0,Q39-M39-M38)*(1-F40)</f>
        <v/>
      </c>
      <c r="R40" s="12">
        <f>N40+N39+N38+MAX(0,R39-N39-N38)*(1-F40)</f>
        <v/>
      </c>
      <c r="S40" s="12">
        <f>S39+O40-O28*(AnnualChurn*VLOOKUP(B40,ChurnSeasonTable,4,FALSE))*POWER(1-(AnnualChurn*VLOOKUP(B40,ChurnSeasonTable,4,FALSE)),0)+O16*(AnnualChurn*VLOOKUP(B40,ChurnSeasonTable,4,FALSE))*POWER(1-(AnnualChurn*VLOOKUP(B40,ChurnSeasonTable,4,FALSE)),1)</f>
        <v/>
      </c>
      <c r="T40" s="12">
        <f>T39+P40-P28*(AnnualChurn*VLOOKUP(B40,ChurnSeasonTable,4,FALSE))*POWER(1-(AnnualChurn*VLOOKUP(B40,ChurnSeasonTable,4,FALSE)),0)+P16*(AnnualChurn*VLOOKUP(B40,ChurnSeasonTable,4,FALSE))*POWER(1-(AnnualChurn*VLOOKUP(B40,ChurnSeasonTable,4,FALSE)),1)</f>
        <v/>
      </c>
      <c r="U40" s="12">
        <f>Q40+R40+S40+T40</f>
        <v/>
      </c>
      <c r="V40" s="9">
        <f>Q40*PriceEssMonthly*E40+R40*PricePremMonthly*E40+S40*PriceEssAnnual*E40/12+T40*PricePremAnnual*E40/12</f>
        <v/>
      </c>
      <c r="W40" s="9">
        <f>V40*12</f>
        <v/>
      </c>
      <c r="X40" s="12">
        <f>Q40*PriceEssMonthly*E40+R40*PricePremMonthly*E40</f>
        <v/>
      </c>
      <c r="Y40" s="12">
        <f>O40*PriceEssAnnual*E40+P40*PricePremAnnual*E40</f>
        <v/>
      </c>
      <c r="Z40" s="12">
        <f>O28*POWER(1-(AnnualChurn*VLOOKUP(B40,ChurnSeasonTable,4,FALSE)),1)*PriceEssAnnual*E40+O16*POWER(1-(AnnualChurn*VLOOKUP(B40,ChurnSeasonTable,4,FALSE)),2)*PriceEssAnnual*E40+P28*POWER(1-(AnnualChurn*VLOOKUP(B40,ChurnSeasonTable,4,FALSE)),1)*PricePremAnnual*E40+P16*POWER(1-(AnnualChurn*VLOOKUP(B40,ChurnSeasonTable,4,FALSE)),2)*PricePremAnnual*E40</f>
        <v/>
      </c>
      <c r="AA40" s="9">
        <f>X40+Y40+Z40</f>
        <v/>
      </c>
      <c r="AB40" s="12">
        <f>SUM(AA29:AA40)</f>
        <v/>
      </c>
      <c r="AC40" s="12">
        <f>OR(AC39,AB40&gt;=VATThreshold)</f>
        <v/>
      </c>
      <c r="AD40" s="9">
        <f>IF(AC40,AA40/(1+VATRate),AA40)</f>
        <v/>
      </c>
      <c r="AE40" s="12">
        <f>AA40-AD40</f>
        <v/>
      </c>
      <c r="AF40" s="12">
        <f>IF(AC40=0,0,IF(B40=1,SUMPRODUCT(--(($C$5:$C40=$C40-1)*($B$5:$B40&gt;=10)*($B$5:$B40&lt;=12)),$AE$5:$AE40),IF(B40=4,SUMPRODUCT(--(($C$5:$C40=$C40)*($B$5:$B40&gt;=1)*($B$5:$B40&lt;=3)),$AE$5:$AE40),IF(B40=7,SUMPRODUCT(--(($C$5:$C40=$C40)*($B$5:$B40&gt;=4)*($B$5:$B40&lt;=6)),$AE$5:$AE40),IF(B40=10,SUMPRODUCT(--(($C$5:$C40=$C40)*($B$5:$B40&gt;=7)*($B$5:$B40&lt;=9)),$AE$5:$AE40),0)))))</f>
        <v/>
      </c>
      <c r="AG40" s="12">
        <f>AG39+AE40-AF40</f>
        <v/>
      </c>
      <c r="AH40" s="12">
        <f>IF(ProviderDelay&gt;=1,AD39*ProviderShare,AD40*ProviderShare)</f>
        <v/>
      </c>
      <c r="AI40" s="12">
        <f>AA40*PaymentFee</f>
        <v/>
      </c>
      <c r="AJ40" s="12">
        <f>U40*OpsAI</f>
        <v/>
      </c>
      <c r="AK40" s="12">
        <f>MonthlyFixed</f>
        <v/>
      </c>
      <c r="AL40" s="12">
        <f>I40*ReferralReward</f>
        <v/>
      </c>
      <c r="AM40" s="12">
        <f>G40</f>
        <v/>
      </c>
      <c r="AN40" s="9">
        <f>AD40-AH40-AI40-AJ40-AK40-AL40-AM40</f>
        <v/>
      </c>
      <c r="AO40" s="9">
        <f>AO39+AA40-(AH40+AI40+AJ40+AK40+AL40+AM40+AF40)</f>
        <v/>
      </c>
      <c r="AP40" s="12">
        <f>IF(U40&gt;0,V40/U40,0)</f>
        <v/>
      </c>
      <c r="AQ40" s="11">
        <f>IF(U39&gt;0,MAX(0,(U39+J40-U40)/U39),0)</f>
        <v/>
      </c>
    </row>
    <row r="41">
      <c r="A41" s="12" t="n">
        <v>37</v>
      </c>
      <c r="B41" s="12">
        <f>MOD(A41-1+LaunchMonth-1,12)+1</f>
        <v/>
      </c>
      <c r="C41" s="12">
        <f>INT((A41-1+LaunchMonth-1)/12)+1</f>
        <v/>
      </c>
      <c r="D41" s="12">
        <f>VLOOKUP(B41,SeasonTable,2,FALSE)</f>
        <v/>
      </c>
      <c r="E41" s="12">
        <f>(1+InflationRate)^INT((A41-1)/12)</f>
        <v/>
      </c>
      <c r="F41" s="11">
        <f>MonthlyChurn*VLOOKUP(B41,ChurnSeasonTable,4,FALSE)</f>
        <v/>
      </c>
      <c r="G41" s="12">
        <f>MIN(MAX(MktMin19plus,AA40*MktPct19plus),MAX(0,AO40-CashBuffer))</f>
        <v/>
      </c>
      <c r="H41" s="12">
        <f>IF(G41&gt;0,MAX(1,ROUND(G41/CAC*D41,0)),0)</f>
        <v/>
      </c>
      <c r="I41" s="12">
        <f>IF(H41&gt;0,ROUND(H41*ReferralMix/(1-ReferralMix),0),0)</f>
        <v/>
      </c>
      <c r="J41" s="12">
        <f>H41+I41</f>
        <v/>
      </c>
      <c r="K41" s="12">
        <f>ROUND(J41*(1-AnnualMix),0)</f>
        <v/>
      </c>
      <c r="L41" s="12">
        <f>J41-K41</f>
        <v/>
      </c>
      <c r="M41" s="12">
        <f>ROUND(K41*EssentialMix,0)</f>
        <v/>
      </c>
      <c r="N41" s="12">
        <f>K41-M41</f>
        <v/>
      </c>
      <c r="O41" s="12">
        <f>ROUND(L41*EssentialMix,0)</f>
        <v/>
      </c>
      <c r="P41" s="12">
        <f>L41-O41</f>
        <v/>
      </c>
      <c r="Q41" s="12">
        <f>M41+M40+M39+MAX(0,Q40-M40-M39)*(1-F41)</f>
        <v/>
      </c>
      <c r="R41" s="12">
        <f>N41+N40+N39+MAX(0,R40-N40-N39)*(1-F41)</f>
        <v/>
      </c>
      <c r="S41" s="12">
        <f>S40+O41-O29*(AnnualChurn*VLOOKUP(B41,ChurnSeasonTable,4,FALSE))*POWER(1-(AnnualChurn*VLOOKUP(B41,ChurnSeasonTable,4,FALSE)),0)+O17*(AnnualChurn*VLOOKUP(B41,ChurnSeasonTable,4,FALSE))*POWER(1-(AnnualChurn*VLOOKUP(B41,ChurnSeasonTable,4,FALSE)),1)+O5*(AnnualChurn*VLOOKUP(B41,ChurnSeasonTable,4,FALSE))*POWER(1-(AnnualChurn*VLOOKUP(B41,ChurnSeasonTable,4,FALSE)),2)</f>
        <v/>
      </c>
      <c r="T41" s="12">
        <f>T40+P41-P29*(AnnualChurn*VLOOKUP(B41,ChurnSeasonTable,4,FALSE))*POWER(1-(AnnualChurn*VLOOKUP(B41,ChurnSeasonTable,4,FALSE)),0)+P17*(AnnualChurn*VLOOKUP(B41,ChurnSeasonTable,4,FALSE))*POWER(1-(AnnualChurn*VLOOKUP(B41,ChurnSeasonTable,4,FALSE)),1)+P5*(AnnualChurn*VLOOKUP(B41,ChurnSeasonTable,4,FALSE))*POWER(1-(AnnualChurn*VLOOKUP(B41,ChurnSeasonTable,4,FALSE)),2)</f>
        <v/>
      </c>
      <c r="U41" s="12">
        <f>Q41+R41+S41+T41</f>
        <v/>
      </c>
      <c r="V41" s="9">
        <f>Q41*PriceEssMonthly*E41+R41*PricePremMonthly*E41+S41*PriceEssAnnual*E41/12+T41*PricePremAnnual*E41/12</f>
        <v/>
      </c>
      <c r="W41" s="9">
        <f>V41*12</f>
        <v/>
      </c>
      <c r="X41" s="12">
        <f>Q41*PriceEssMonthly*E41+R41*PricePremMonthly*E41</f>
        <v/>
      </c>
      <c r="Y41" s="12">
        <f>O41*PriceEssAnnual*E41+P41*PricePremAnnual*E41</f>
        <v/>
      </c>
      <c r="Z41" s="12">
        <f>O29*POWER(1-(AnnualChurn*VLOOKUP(B41,ChurnSeasonTable,4,FALSE)),1)*PriceEssAnnual*E41+O17*POWER(1-(AnnualChurn*VLOOKUP(B41,ChurnSeasonTable,4,FALSE)),2)*PriceEssAnnual*E41+O5*POWER(1-(AnnualChurn*VLOOKUP(B41,ChurnSeasonTable,4,FALSE)),3)*PriceEssAnnual*E41+P29*POWER(1-(AnnualChurn*VLOOKUP(B41,ChurnSeasonTable,4,FALSE)),1)*PricePremAnnual*E41+P17*POWER(1-(AnnualChurn*VLOOKUP(B41,ChurnSeasonTable,4,FALSE)),2)*PricePremAnnual*E41+P5*POWER(1-(AnnualChurn*VLOOKUP(B41,ChurnSeasonTable,4,FALSE)),3)*PricePremAnnual*E41</f>
        <v/>
      </c>
      <c r="AA41" s="9">
        <f>X41+Y41+Z41</f>
        <v/>
      </c>
      <c r="AB41" s="12">
        <f>SUM(AA30:AA41)</f>
        <v/>
      </c>
      <c r="AC41" s="12">
        <f>OR(AC40,AB41&gt;=VATThreshold)</f>
        <v/>
      </c>
      <c r="AD41" s="9">
        <f>IF(AC41,AA41/(1+VATRate),AA41)</f>
        <v/>
      </c>
      <c r="AE41" s="12">
        <f>AA41-AD41</f>
        <v/>
      </c>
      <c r="AF41" s="12">
        <f>IF(AC41=0,0,IF(B41=1,SUMPRODUCT(--(($C$5:$C41=$C41-1)*($B$5:$B41&gt;=10)*($B$5:$B41&lt;=12)),$AE$5:$AE41),IF(B41=4,SUMPRODUCT(--(($C$5:$C41=$C41)*($B$5:$B41&gt;=1)*($B$5:$B41&lt;=3)),$AE$5:$AE41),IF(B41=7,SUMPRODUCT(--(($C$5:$C41=$C41)*($B$5:$B41&gt;=4)*($B$5:$B41&lt;=6)),$AE$5:$AE41),IF(B41=10,SUMPRODUCT(--(($C$5:$C41=$C41)*($B$5:$B41&gt;=7)*($B$5:$B41&lt;=9)),$AE$5:$AE41),0)))))</f>
        <v/>
      </c>
      <c r="AG41" s="12">
        <f>AG40+AE41-AF41</f>
        <v/>
      </c>
      <c r="AH41" s="12">
        <f>IF(ProviderDelay&gt;=1,AD40*ProviderShare,AD41*ProviderShare)</f>
        <v/>
      </c>
      <c r="AI41" s="12">
        <f>AA41*PaymentFee</f>
        <v/>
      </c>
      <c r="AJ41" s="12">
        <f>U41*OpsAI</f>
        <v/>
      </c>
      <c r="AK41" s="12">
        <f>MonthlyFixed</f>
        <v/>
      </c>
      <c r="AL41" s="12">
        <f>I41*ReferralReward</f>
        <v/>
      </c>
      <c r="AM41" s="12">
        <f>G41</f>
        <v/>
      </c>
      <c r="AN41" s="9">
        <f>AD41-AH41-AI41-AJ41-AK41-AL41-AM41</f>
        <v/>
      </c>
      <c r="AO41" s="9">
        <f>AO40+AA41-(AH41+AI41+AJ41+AK41+AL41+AM41+AF41)</f>
        <v/>
      </c>
      <c r="AP41" s="12">
        <f>IF(U41&gt;0,V41/U41,0)</f>
        <v/>
      </c>
      <c r="AQ41" s="11">
        <f>IF(U40&gt;0,MAX(0,(U40+J41-U41)/U40),0)</f>
        <v/>
      </c>
    </row>
    <row r="42">
      <c r="A42" s="12" t="n">
        <v>38</v>
      </c>
      <c r="B42" s="12">
        <f>MOD(A42-1+LaunchMonth-1,12)+1</f>
        <v/>
      </c>
      <c r="C42" s="12">
        <f>INT((A42-1+LaunchMonth-1)/12)+1</f>
        <v/>
      </c>
      <c r="D42" s="12">
        <f>VLOOKUP(B42,SeasonTable,2,FALSE)</f>
        <v/>
      </c>
      <c r="E42" s="12">
        <f>(1+InflationRate)^INT((A42-1)/12)</f>
        <v/>
      </c>
      <c r="F42" s="11">
        <f>MonthlyChurn*VLOOKUP(B42,ChurnSeasonTable,4,FALSE)</f>
        <v/>
      </c>
      <c r="G42" s="12">
        <f>MIN(MAX(MktMin19plus,AA41*MktPct19plus),MAX(0,AO41-CashBuffer))</f>
        <v/>
      </c>
      <c r="H42" s="12">
        <f>IF(G42&gt;0,MAX(1,ROUND(G42/CAC*D42,0)),0)</f>
        <v/>
      </c>
      <c r="I42" s="12">
        <f>IF(H42&gt;0,ROUND(H42*ReferralMix/(1-ReferralMix),0),0)</f>
        <v/>
      </c>
      <c r="J42" s="12">
        <f>H42+I42</f>
        <v/>
      </c>
      <c r="K42" s="12">
        <f>ROUND(J42*(1-AnnualMix),0)</f>
        <v/>
      </c>
      <c r="L42" s="12">
        <f>J42-K42</f>
        <v/>
      </c>
      <c r="M42" s="12">
        <f>ROUND(K42*EssentialMix,0)</f>
        <v/>
      </c>
      <c r="N42" s="12">
        <f>K42-M42</f>
        <v/>
      </c>
      <c r="O42" s="12">
        <f>ROUND(L42*EssentialMix,0)</f>
        <v/>
      </c>
      <c r="P42" s="12">
        <f>L42-O42</f>
        <v/>
      </c>
      <c r="Q42" s="12">
        <f>M42+M41+M40+MAX(0,Q41-M41-M40)*(1-F42)</f>
        <v/>
      </c>
      <c r="R42" s="12">
        <f>N42+N41+N40+MAX(0,R41-N41-N40)*(1-F42)</f>
        <v/>
      </c>
      <c r="S42" s="12">
        <f>S41+O42-O30*(AnnualChurn*VLOOKUP(B42,ChurnSeasonTable,4,FALSE))*POWER(1-(AnnualChurn*VLOOKUP(B42,ChurnSeasonTable,4,FALSE)),0)+O18*(AnnualChurn*VLOOKUP(B42,ChurnSeasonTable,4,FALSE))*POWER(1-(AnnualChurn*VLOOKUP(B42,ChurnSeasonTable,4,FALSE)),1)+O6*(AnnualChurn*VLOOKUP(B42,ChurnSeasonTable,4,FALSE))*POWER(1-(AnnualChurn*VLOOKUP(B42,ChurnSeasonTable,4,FALSE)),2)</f>
        <v/>
      </c>
      <c r="T42" s="12">
        <f>T41+P42-P30*(AnnualChurn*VLOOKUP(B42,ChurnSeasonTable,4,FALSE))*POWER(1-(AnnualChurn*VLOOKUP(B42,ChurnSeasonTable,4,FALSE)),0)+P18*(AnnualChurn*VLOOKUP(B42,ChurnSeasonTable,4,FALSE))*POWER(1-(AnnualChurn*VLOOKUP(B42,ChurnSeasonTable,4,FALSE)),1)+P6*(AnnualChurn*VLOOKUP(B42,ChurnSeasonTable,4,FALSE))*POWER(1-(AnnualChurn*VLOOKUP(B42,ChurnSeasonTable,4,FALSE)),2)</f>
        <v/>
      </c>
      <c r="U42" s="12">
        <f>Q42+R42+S42+T42</f>
        <v/>
      </c>
      <c r="V42" s="9">
        <f>Q42*PriceEssMonthly*E42+R42*PricePremMonthly*E42+S42*PriceEssAnnual*E42/12+T42*PricePremAnnual*E42/12</f>
        <v/>
      </c>
      <c r="W42" s="9">
        <f>V42*12</f>
        <v/>
      </c>
      <c r="X42" s="12">
        <f>Q42*PriceEssMonthly*E42+R42*PricePremMonthly*E42</f>
        <v/>
      </c>
      <c r="Y42" s="12">
        <f>O42*PriceEssAnnual*E42+P42*PricePremAnnual*E42</f>
        <v/>
      </c>
      <c r="Z42" s="12">
        <f>O30*POWER(1-(AnnualChurn*VLOOKUP(B42,ChurnSeasonTable,4,FALSE)),1)*PriceEssAnnual*E42+O18*POWER(1-(AnnualChurn*VLOOKUP(B42,ChurnSeasonTable,4,FALSE)),2)*PriceEssAnnual*E42+O6*POWER(1-(AnnualChurn*VLOOKUP(B42,ChurnSeasonTable,4,FALSE)),3)*PriceEssAnnual*E42+P30*POWER(1-(AnnualChurn*VLOOKUP(B42,ChurnSeasonTable,4,FALSE)),1)*PricePremAnnual*E42+P18*POWER(1-(AnnualChurn*VLOOKUP(B42,ChurnSeasonTable,4,FALSE)),2)*PricePremAnnual*E42+P6*POWER(1-(AnnualChurn*VLOOKUP(B42,ChurnSeasonTable,4,FALSE)),3)*PricePremAnnual*E42</f>
        <v/>
      </c>
      <c r="AA42" s="9">
        <f>X42+Y42+Z42</f>
        <v/>
      </c>
      <c r="AB42" s="12">
        <f>SUM(AA31:AA42)</f>
        <v/>
      </c>
      <c r="AC42" s="12">
        <f>OR(AC41,AB42&gt;=VATThreshold)</f>
        <v/>
      </c>
      <c r="AD42" s="9">
        <f>IF(AC42,AA42/(1+VATRate),AA42)</f>
        <v/>
      </c>
      <c r="AE42" s="12">
        <f>AA42-AD42</f>
        <v/>
      </c>
      <c r="AF42" s="12">
        <f>IF(AC42=0,0,IF(B42=1,SUMPRODUCT(--(($C$5:$C42=$C42-1)*($B$5:$B42&gt;=10)*($B$5:$B42&lt;=12)),$AE$5:$AE42),IF(B42=4,SUMPRODUCT(--(($C$5:$C42=$C42)*($B$5:$B42&gt;=1)*($B$5:$B42&lt;=3)),$AE$5:$AE42),IF(B42=7,SUMPRODUCT(--(($C$5:$C42=$C42)*($B$5:$B42&gt;=4)*($B$5:$B42&lt;=6)),$AE$5:$AE42),IF(B42=10,SUMPRODUCT(--(($C$5:$C42=$C42)*($B$5:$B42&gt;=7)*($B$5:$B42&lt;=9)),$AE$5:$AE42),0)))))</f>
        <v/>
      </c>
      <c r="AG42" s="12">
        <f>AG41+AE42-AF42</f>
        <v/>
      </c>
      <c r="AH42" s="12">
        <f>IF(ProviderDelay&gt;=1,AD41*ProviderShare,AD42*ProviderShare)</f>
        <v/>
      </c>
      <c r="AI42" s="12">
        <f>AA42*PaymentFee</f>
        <v/>
      </c>
      <c r="AJ42" s="12">
        <f>U42*OpsAI</f>
        <v/>
      </c>
      <c r="AK42" s="12">
        <f>MonthlyFixed</f>
        <v/>
      </c>
      <c r="AL42" s="12">
        <f>I42*ReferralReward</f>
        <v/>
      </c>
      <c r="AM42" s="12">
        <f>G42</f>
        <v/>
      </c>
      <c r="AN42" s="9">
        <f>AD42-AH42-AI42-AJ42-AK42-AL42-AM42</f>
        <v/>
      </c>
      <c r="AO42" s="9">
        <f>AO41+AA42-(AH42+AI42+AJ42+AK42+AL42+AM42+AF42)</f>
        <v/>
      </c>
      <c r="AP42" s="12">
        <f>IF(U42&gt;0,V42/U42,0)</f>
        <v/>
      </c>
      <c r="AQ42" s="11">
        <f>IF(U41&gt;0,MAX(0,(U41+J42-U42)/U41),0)</f>
        <v/>
      </c>
    </row>
    <row r="43">
      <c r="A43" s="12" t="n">
        <v>39</v>
      </c>
      <c r="B43" s="12">
        <f>MOD(A43-1+LaunchMonth-1,12)+1</f>
        <v/>
      </c>
      <c r="C43" s="12">
        <f>INT((A43-1+LaunchMonth-1)/12)+1</f>
        <v/>
      </c>
      <c r="D43" s="12">
        <f>VLOOKUP(B43,SeasonTable,2,FALSE)</f>
        <v/>
      </c>
      <c r="E43" s="12">
        <f>(1+InflationRate)^INT((A43-1)/12)</f>
        <v/>
      </c>
      <c r="F43" s="11">
        <f>MonthlyChurn*VLOOKUP(B43,ChurnSeasonTable,4,FALSE)</f>
        <v/>
      </c>
      <c r="G43" s="12">
        <f>MIN(MAX(MktMin19plus,AA42*MktPct19plus),MAX(0,AO42-CashBuffer))</f>
        <v/>
      </c>
      <c r="H43" s="12">
        <f>IF(G43&gt;0,MAX(1,ROUND(G43/CAC*D43,0)),0)</f>
        <v/>
      </c>
      <c r="I43" s="12">
        <f>IF(H43&gt;0,ROUND(H43*ReferralMix/(1-ReferralMix),0),0)</f>
        <v/>
      </c>
      <c r="J43" s="12">
        <f>H43+I43</f>
        <v/>
      </c>
      <c r="K43" s="12">
        <f>ROUND(J43*(1-AnnualMix),0)</f>
        <v/>
      </c>
      <c r="L43" s="12">
        <f>J43-K43</f>
        <v/>
      </c>
      <c r="M43" s="12">
        <f>ROUND(K43*EssentialMix,0)</f>
        <v/>
      </c>
      <c r="N43" s="12">
        <f>K43-M43</f>
        <v/>
      </c>
      <c r="O43" s="12">
        <f>ROUND(L43*EssentialMix,0)</f>
        <v/>
      </c>
      <c r="P43" s="12">
        <f>L43-O43</f>
        <v/>
      </c>
      <c r="Q43" s="12">
        <f>M43+M42+M41+MAX(0,Q42-M42-M41)*(1-F43)</f>
        <v/>
      </c>
      <c r="R43" s="12">
        <f>N43+N42+N41+MAX(0,R42-N42-N41)*(1-F43)</f>
        <v/>
      </c>
      <c r="S43" s="12">
        <f>S42+O43-O31*(AnnualChurn*VLOOKUP(B43,ChurnSeasonTable,4,FALSE))*POWER(1-(AnnualChurn*VLOOKUP(B43,ChurnSeasonTable,4,FALSE)),0)+O19*(AnnualChurn*VLOOKUP(B43,ChurnSeasonTable,4,FALSE))*POWER(1-(AnnualChurn*VLOOKUP(B43,ChurnSeasonTable,4,FALSE)),1)+O7*(AnnualChurn*VLOOKUP(B43,ChurnSeasonTable,4,FALSE))*POWER(1-(AnnualChurn*VLOOKUP(B43,ChurnSeasonTable,4,FALSE)),2)</f>
        <v/>
      </c>
      <c r="T43" s="12">
        <f>T42+P43-P31*(AnnualChurn*VLOOKUP(B43,ChurnSeasonTable,4,FALSE))*POWER(1-(AnnualChurn*VLOOKUP(B43,ChurnSeasonTable,4,FALSE)),0)+P19*(AnnualChurn*VLOOKUP(B43,ChurnSeasonTable,4,FALSE))*POWER(1-(AnnualChurn*VLOOKUP(B43,ChurnSeasonTable,4,FALSE)),1)+P7*(AnnualChurn*VLOOKUP(B43,ChurnSeasonTable,4,FALSE))*POWER(1-(AnnualChurn*VLOOKUP(B43,ChurnSeasonTable,4,FALSE)),2)</f>
        <v/>
      </c>
      <c r="U43" s="12">
        <f>Q43+R43+S43+T43</f>
        <v/>
      </c>
      <c r="V43" s="9">
        <f>Q43*PriceEssMonthly*E43+R43*PricePremMonthly*E43+S43*PriceEssAnnual*E43/12+T43*PricePremAnnual*E43/12</f>
        <v/>
      </c>
      <c r="W43" s="9">
        <f>V43*12</f>
        <v/>
      </c>
      <c r="X43" s="12">
        <f>Q43*PriceEssMonthly*E43+R43*PricePremMonthly*E43</f>
        <v/>
      </c>
      <c r="Y43" s="12">
        <f>O43*PriceEssAnnual*E43+P43*PricePremAnnual*E43</f>
        <v/>
      </c>
      <c r="Z43" s="12">
        <f>O31*POWER(1-(AnnualChurn*VLOOKUP(B43,ChurnSeasonTable,4,FALSE)),1)*PriceEssAnnual*E43+O19*POWER(1-(AnnualChurn*VLOOKUP(B43,ChurnSeasonTable,4,FALSE)),2)*PriceEssAnnual*E43+O7*POWER(1-(AnnualChurn*VLOOKUP(B43,ChurnSeasonTable,4,FALSE)),3)*PriceEssAnnual*E43+P31*POWER(1-(AnnualChurn*VLOOKUP(B43,ChurnSeasonTable,4,FALSE)),1)*PricePremAnnual*E43+P19*POWER(1-(AnnualChurn*VLOOKUP(B43,ChurnSeasonTable,4,FALSE)),2)*PricePremAnnual*E43+P7*POWER(1-(AnnualChurn*VLOOKUP(B43,ChurnSeasonTable,4,FALSE)),3)*PricePremAnnual*E43</f>
        <v/>
      </c>
      <c r="AA43" s="9">
        <f>X43+Y43+Z43</f>
        <v/>
      </c>
      <c r="AB43" s="12">
        <f>SUM(AA32:AA43)</f>
        <v/>
      </c>
      <c r="AC43" s="12">
        <f>OR(AC42,AB43&gt;=VATThreshold)</f>
        <v/>
      </c>
      <c r="AD43" s="9">
        <f>IF(AC43,AA43/(1+VATRate),AA43)</f>
        <v/>
      </c>
      <c r="AE43" s="12">
        <f>AA43-AD43</f>
        <v/>
      </c>
      <c r="AF43" s="12">
        <f>IF(AC43=0,0,IF(B43=1,SUMPRODUCT(--(($C$5:$C43=$C43-1)*($B$5:$B43&gt;=10)*($B$5:$B43&lt;=12)),$AE$5:$AE43),IF(B43=4,SUMPRODUCT(--(($C$5:$C43=$C43)*($B$5:$B43&gt;=1)*($B$5:$B43&lt;=3)),$AE$5:$AE43),IF(B43=7,SUMPRODUCT(--(($C$5:$C43=$C43)*($B$5:$B43&gt;=4)*($B$5:$B43&lt;=6)),$AE$5:$AE43),IF(B43=10,SUMPRODUCT(--(($C$5:$C43=$C43)*($B$5:$B43&gt;=7)*($B$5:$B43&lt;=9)),$AE$5:$AE43),0)))))</f>
        <v/>
      </c>
      <c r="AG43" s="12">
        <f>AG42+AE43-AF43</f>
        <v/>
      </c>
      <c r="AH43" s="12">
        <f>IF(ProviderDelay&gt;=1,AD42*ProviderShare,AD43*ProviderShare)</f>
        <v/>
      </c>
      <c r="AI43" s="12">
        <f>AA43*PaymentFee</f>
        <v/>
      </c>
      <c r="AJ43" s="12">
        <f>U43*OpsAI</f>
        <v/>
      </c>
      <c r="AK43" s="12">
        <f>MonthlyFixed</f>
        <v/>
      </c>
      <c r="AL43" s="12">
        <f>I43*ReferralReward</f>
        <v/>
      </c>
      <c r="AM43" s="12">
        <f>G43</f>
        <v/>
      </c>
      <c r="AN43" s="9">
        <f>AD43-AH43-AI43-AJ43-AK43-AL43-AM43</f>
        <v/>
      </c>
      <c r="AO43" s="9">
        <f>AO42+AA43-(AH43+AI43+AJ43+AK43+AL43+AM43+AF43)</f>
        <v/>
      </c>
      <c r="AP43" s="12">
        <f>IF(U43&gt;0,V43/U43,0)</f>
        <v/>
      </c>
      <c r="AQ43" s="11">
        <f>IF(U42&gt;0,MAX(0,(U42+J43-U43)/U42),0)</f>
        <v/>
      </c>
    </row>
    <row r="44">
      <c r="A44" s="12" t="n">
        <v>40</v>
      </c>
      <c r="B44" s="12">
        <f>MOD(A44-1+LaunchMonth-1,12)+1</f>
        <v/>
      </c>
      <c r="C44" s="12">
        <f>INT((A44-1+LaunchMonth-1)/12)+1</f>
        <v/>
      </c>
      <c r="D44" s="12">
        <f>VLOOKUP(B44,SeasonTable,2,FALSE)</f>
        <v/>
      </c>
      <c r="E44" s="12">
        <f>(1+InflationRate)^INT((A44-1)/12)</f>
        <v/>
      </c>
      <c r="F44" s="11">
        <f>MonthlyChurn*VLOOKUP(B44,ChurnSeasonTable,4,FALSE)</f>
        <v/>
      </c>
      <c r="G44" s="12">
        <f>MIN(MAX(MktMin19plus,AA43*MktPct19plus),MAX(0,AO43-CashBuffer))</f>
        <v/>
      </c>
      <c r="H44" s="12">
        <f>IF(G44&gt;0,MAX(1,ROUND(G44/CAC*D44,0)),0)</f>
        <v/>
      </c>
      <c r="I44" s="12">
        <f>IF(H44&gt;0,ROUND(H44*ReferralMix/(1-ReferralMix),0),0)</f>
        <v/>
      </c>
      <c r="J44" s="12">
        <f>H44+I44</f>
        <v/>
      </c>
      <c r="K44" s="12">
        <f>ROUND(J44*(1-AnnualMix),0)</f>
        <v/>
      </c>
      <c r="L44" s="12">
        <f>J44-K44</f>
        <v/>
      </c>
      <c r="M44" s="12">
        <f>ROUND(K44*EssentialMix,0)</f>
        <v/>
      </c>
      <c r="N44" s="12">
        <f>K44-M44</f>
        <v/>
      </c>
      <c r="O44" s="12">
        <f>ROUND(L44*EssentialMix,0)</f>
        <v/>
      </c>
      <c r="P44" s="12">
        <f>L44-O44</f>
        <v/>
      </c>
      <c r="Q44" s="12">
        <f>M44+M43+M42+MAX(0,Q43-M43-M42)*(1-F44)</f>
        <v/>
      </c>
      <c r="R44" s="12">
        <f>N44+N43+N42+MAX(0,R43-N43-N42)*(1-F44)</f>
        <v/>
      </c>
      <c r="S44" s="12">
        <f>S43+O44-O32*(AnnualChurn*VLOOKUP(B44,ChurnSeasonTable,4,FALSE))*POWER(1-(AnnualChurn*VLOOKUP(B44,ChurnSeasonTable,4,FALSE)),0)+O20*(AnnualChurn*VLOOKUP(B44,ChurnSeasonTable,4,FALSE))*POWER(1-(AnnualChurn*VLOOKUP(B44,ChurnSeasonTable,4,FALSE)),1)+O8*(AnnualChurn*VLOOKUP(B44,ChurnSeasonTable,4,FALSE))*POWER(1-(AnnualChurn*VLOOKUP(B44,ChurnSeasonTable,4,FALSE)),2)</f>
        <v/>
      </c>
      <c r="T44" s="12">
        <f>T43+P44-P32*(AnnualChurn*VLOOKUP(B44,ChurnSeasonTable,4,FALSE))*POWER(1-(AnnualChurn*VLOOKUP(B44,ChurnSeasonTable,4,FALSE)),0)+P20*(AnnualChurn*VLOOKUP(B44,ChurnSeasonTable,4,FALSE))*POWER(1-(AnnualChurn*VLOOKUP(B44,ChurnSeasonTable,4,FALSE)),1)+P8*(AnnualChurn*VLOOKUP(B44,ChurnSeasonTable,4,FALSE))*POWER(1-(AnnualChurn*VLOOKUP(B44,ChurnSeasonTable,4,FALSE)),2)</f>
        <v/>
      </c>
      <c r="U44" s="12">
        <f>Q44+R44+S44+T44</f>
        <v/>
      </c>
      <c r="V44" s="9">
        <f>Q44*PriceEssMonthly*E44+R44*PricePremMonthly*E44+S44*PriceEssAnnual*E44/12+T44*PricePremAnnual*E44/12</f>
        <v/>
      </c>
      <c r="W44" s="9">
        <f>V44*12</f>
        <v/>
      </c>
      <c r="X44" s="12">
        <f>Q44*PriceEssMonthly*E44+R44*PricePremMonthly*E44</f>
        <v/>
      </c>
      <c r="Y44" s="12">
        <f>O44*PriceEssAnnual*E44+P44*PricePremAnnual*E44</f>
        <v/>
      </c>
      <c r="Z44" s="12">
        <f>O32*POWER(1-(AnnualChurn*VLOOKUP(B44,ChurnSeasonTable,4,FALSE)),1)*PriceEssAnnual*E44+O20*POWER(1-(AnnualChurn*VLOOKUP(B44,ChurnSeasonTable,4,FALSE)),2)*PriceEssAnnual*E44+O8*POWER(1-(AnnualChurn*VLOOKUP(B44,ChurnSeasonTable,4,FALSE)),3)*PriceEssAnnual*E44+P32*POWER(1-(AnnualChurn*VLOOKUP(B44,ChurnSeasonTable,4,FALSE)),1)*PricePremAnnual*E44+P20*POWER(1-(AnnualChurn*VLOOKUP(B44,ChurnSeasonTable,4,FALSE)),2)*PricePremAnnual*E44+P8*POWER(1-(AnnualChurn*VLOOKUP(B44,ChurnSeasonTable,4,FALSE)),3)*PricePremAnnual*E44</f>
        <v/>
      </c>
      <c r="AA44" s="9">
        <f>X44+Y44+Z44</f>
        <v/>
      </c>
      <c r="AB44" s="12">
        <f>SUM(AA33:AA44)</f>
        <v/>
      </c>
      <c r="AC44" s="12">
        <f>OR(AC43,AB44&gt;=VATThreshold)</f>
        <v/>
      </c>
      <c r="AD44" s="9">
        <f>IF(AC44,AA44/(1+VATRate),AA44)</f>
        <v/>
      </c>
      <c r="AE44" s="12">
        <f>AA44-AD44</f>
        <v/>
      </c>
      <c r="AF44" s="12">
        <f>IF(AC44=0,0,IF(B44=1,SUMPRODUCT(--(($C$5:$C44=$C44-1)*($B$5:$B44&gt;=10)*($B$5:$B44&lt;=12)),$AE$5:$AE44),IF(B44=4,SUMPRODUCT(--(($C$5:$C44=$C44)*($B$5:$B44&gt;=1)*($B$5:$B44&lt;=3)),$AE$5:$AE44),IF(B44=7,SUMPRODUCT(--(($C$5:$C44=$C44)*($B$5:$B44&gt;=4)*($B$5:$B44&lt;=6)),$AE$5:$AE44),IF(B44=10,SUMPRODUCT(--(($C$5:$C44=$C44)*($B$5:$B44&gt;=7)*($B$5:$B44&lt;=9)),$AE$5:$AE44),0)))))</f>
        <v/>
      </c>
      <c r="AG44" s="12">
        <f>AG43+AE44-AF44</f>
        <v/>
      </c>
      <c r="AH44" s="12">
        <f>IF(ProviderDelay&gt;=1,AD43*ProviderShare,AD44*ProviderShare)</f>
        <v/>
      </c>
      <c r="AI44" s="12">
        <f>AA44*PaymentFee</f>
        <v/>
      </c>
      <c r="AJ44" s="12">
        <f>U44*OpsAI</f>
        <v/>
      </c>
      <c r="AK44" s="12">
        <f>MonthlyFixed</f>
        <v/>
      </c>
      <c r="AL44" s="12">
        <f>I44*ReferralReward</f>
        <v/>
      </c>
      <c r="AM44" s="12">
        <f>G44</f>
        <v/>
      </c>
      <c r="AN44" s="9">
        <f>AD44-AH44-AI44-AJ44-AK44-AL44-AM44</f>
        <v/>
      </c>
      <c r="AO44" s="9">
        <f>AO43+AA44-(AH44+AI44+AJ44+AK44+AL44+AM44+AF44)</f>
        <v/>
      </c>
      <c r="AP44" s="12">
        <f>IF(U44&gt;0,V44/U44,0)</f>
        <v/>
      </c>
      <c r="AQ44" s="11">
        <f>IF(U43&gt;0,MAX(0,(U43+J44-U44)/U43),0)</f>
        <v/>
      </c>
    </row>
    <row r="45">
      <c r="A45" s="12" t="n">
        <v>41</v>
      </c>
      <c r="B45" s="12">
        <f>MOD(A45-1+LaunchMonth-1,12)+1</f>
        <v/>
      </c>
      <c r="C45" s="12">
        <f>INT((A45-1+LaunchMonth-1)/12)+1</f>
        <v/>
      </c>
      <c r="D45" s="12">
        <f>VLOOKUP(B45,SeasonTable,2,FALSE)</f>
        <v/>
      </c>
      <c r="E45" s="12">
        <f>(1+InflationRate)^INT((A45-1)/12)</f>
        <v/>
      </c>
      <c r="F45" s="11">
        <f>MonthlyChurn*VLOOKUP(B45,ChurnSeasonTable,4,FALSE)</f>
        <v/>
      </c>
      <c r="G45" s="12">
        <f>MIN(MAX(MktMin19plus,AA44*MktPct19plus),MAX(0,AO44-CashBuffer))</f>
        <v/>
      </c>
      <c r="H45" s="12">
        <f>IF(G45&gt;0,MAX(1,ROUND(G45/CAC*D45,0)),0)</f>
        <v/>
      </c>
      <c r="I45" s="12">
        <f>IF(H45&gt;0,ROUND(H45*ReferralMix/(1-ReferralMix),0),0)</f>
        <v/>
      </c>
      <c r="J45" s="12">
        <f>H45+I45</f>
        <v/>
      </c>
      <c r="K45" s="12">
        <f>ROUND(J45*(1-AnnualMix),0)</f>
        <v/>
      </c>
      <c r="L45" s="12">
        <f>J45-K45</f>
        <v/>
      </c>
      <c r="M45" s="12">
        <f>ROUND(K45*EssentialMix,0)</f>
        <v/>
      </c>
      <c r="N45" s="12">
        <f>K45-M45</f>
        <v/>
      </c>
      <c r="O45" s="12">
        <f>ROUND(L45*EssentialMix,0)</f>
        <v/>
      </c>
      <c r="P45" s="12">
        <f>L45-O45</f>
        <v/>
      </c>
      <c r="Q45" s="12">
        <f>M45+M44+M43+MAX(0,Q44-M44-M43)*(1-F45)</f>
        <v/>
      </c>
      <c r="R45" s="12">
        <f>N45+N44+N43+MAX(0,R44-N44-N43)*(1-F45)</f>
        <v/>
      </c>
      <c r="S45" s="12">
        <f>S44+O45-O33*(AnnualChurn*VLOOKUP(B45,ChurnSeasonTable,4,FALSE))*POWER(1-(AnnualChurn*VLOOKUP(B45,ChurnSeasonTable,4,FALSE)),0)+O21*(AnnualChurn*VLOOKUP(B45,ChurnSeasonTable,4,FALSE))*POWER(1-(AnnualChurn*VLOOKUP(B45,ChurnSeasonTable,4,FALSE)),1)+O9*(AnnualChurn*VLOOKUP(B45,ChurnSeasonTable,4,FALSE))*POWER(1-(AnnualChurn*VLOOKUP(B45,ChurnSeasonTable,4,FALSE)),2)</f>
        <v/>
      </c>
      <c r="T45" s="12">
        <f>T44+P45-P33*(AnnualChurn*VLOOKUP(B45,ChurnSeasonTable,4,FALSE))*POWER(1-(AnnualChurn*VLOOKUP(B45,ChurnSeasonTable,4,FALSE)),0)+P21*(AnnualChurn*VLOOKUP(B45,ChurnSeasonTable,4,FALSE))*POWER(1-(AnnualChurn*VLOOKUP(B45,ChurnSeasonTable,4,FALSE)),1)+P9*(AnnualChurn*VLOOKUP(B45,ChurnSeasonTable,4,FALSE))*POWER(1-(AnnualChurn*VLOOKUP(B45,ChurnSeasonTable,4,FALSE)),2)</f>
        <v/>
      </c>
      <c r="U45" s="12">
        <f>Q45+R45+S45+T45</f>
        <v/>
      </c>
      <c r="V45" s="9">
        <f>Q45*PriceEssMonthly*E45+R45*PricePremMonthly*E45+S45*PriceEssAnnual*E45/12+T45*PricePremAnnual*E45/12</f>
        <v/>
      </c>
      <c r="W45" s="9">
        <f>V45*12</f>
        <v/>
      </c>
      <c r="X45" s="12">
        <f>Q45*PriceEssMonthly*E45+R45*PricePremMonthly*E45</f>
        <v/>
      </c>
      <c r="Y45" s="12">
        <f>O45*PriceEssAnnual*E45+P45*PricePremAnnual*E45</f>
        <v/>
      </c>
      <c r="Z45" s="12">
        <f>O33*POWER(1-(AnnualChurn*VLOOKUP(B45,ChurnSeasonTable,4,FALSE)),1)*PriceEssAnnual*E45+O21*POWER(1-(AnnualChurn*VLOOKUP(B45,ChurnSeasonTable,4,FALSE)),2)*PriceEssAnnual*E45+O9*POWER(1-(AnnualChurn*VLOOKUP(B45,ChurnSeasonTable,4,FALSE)),3)*PriceEssAnnual*E45+P33*POWER(1-(AnnualChurn*VLOOKUP(B45,ChurnSeasonTable,4,FALSE)),1)*PricePremAnnual*E45+P21*POWER(1-(AnnualChurn*VLOOKUP(B45,ChurnSeasonTable,4,FALSE)),2)*PricePremAnnual*E45+P9*POWER(1-(AnnualChurn*VLOOKUP(B45,ChurnSeasonTable,4,FALSE)),3)*PricePremAnnual*E45</f>
        <v/>
      </c>
      <c r="AA45" s="9">
        <f>X45+Y45+Z45</f>
        <v/>
      </c>
      <c r="AB45" s="12">
        <f>SUM(AA34:AA45)</f>
        <v/>
      </c>
      <c r="AC45" s="12">
        <f>OR(AC44,AB45&gt;=VATThreshold)</f>
        <v/>
      </c>
      <c r="AD45" s="9">
        <f>IF(AC45,AA45/(1+VATRate),AA45)</f>
        <v/>
      </c>
      <c r="AE45" s="12">
        <f>AA45-AD45</f>
        <v/>
      </c>
      <c r="AF45" s="12">
        <f>IF(AC45=0,0,IF(B45=1,SUMPRODUCT(--(($C$5:$C45=$C45-1)*($B$5:$B45&gt;=10)*($B$5:$B45&lt;=12)),$AE$5:$AE45),IF(B45=4,SUMPRODUCT(--(($C$5:$C45=$C45)*($B$5:$B45&gt;=1)*($B$5:$B45&lt;=3)),$AE$5:$AE45),IF(B45=7,SUMPRODUCT(--(($C$5:$C45=$C45)*($B$5:$B45&gt;=4)*($B$5:$B45&lt;=6)),$AE$5:$AE45),IF(B45=10,SUMPRODUCT(--(($C$5:$C45=$C45)*($B$5:$B45&gt;=7)*($B$5:$B45&lt;=9)),$AE$5:$AE45),0)))))</f>
        <v/>
      </c>
      <c r="AG45" s="12">
        <f>AG44+AE45-AF45</f>
        <v/>
      </c>
      <c r="AH45" s="12">
        <f>IF(ProviderDelay&gt;=1,AD44*ProviderShare,AD45*ProviderShare)</f>
        <v/>
      </c>
      <c r="AI45" s="12">
        <f>AA45*PaymentFee</f>
        <v/>
      </c>
      <c r="AJ45" s="12">
        <f>U45*OpsAI</f>
        <v/>
      </c>
      <c r="AK45" s="12">
        <f>MonthlyFixed</f>
        <v/>
      </c>
      <c r="AL45" s="12">
        <f>I45*ReferralReward</f>
        <v/>
      </c>
      <c r="AM45" s="12">
        <f>G45</f>
        <v/>
      </c>
      <c r="AN45" s="9">
        <f>AD45-AH45-AI45-AJ45-AK45-AL45-AM45</f>
        <v/>
      </c>
      <c r="AO45" s="9">
        <f>AO44+AA45-(AH45+AI45+AJ45+AK45+AL45+AM45+AF45)</f>
        <v/>
      </c>
      <c r="AP45" s="12">
        <f>IF(U45&gt;0,V45/U45,0)</f>
        <v/>
      </c>
      <c r="AQ45" s="11">
        <f>IF(U44&gt;0,MAX(0,(U44+J45-U45)/U44),0)</f>
        <v/>
      </c>
    </row>
    <row r="46">
      <c r="A46" s="12" t="n">
        <v>42</v>
      </c>
      <c r="B46" s="12">
        <f>MOD(A46-1+LaunchMonth-1,12)+1</f>
        <v/>
      </c>
      <c r="C46" s="12">
        <f>INT((A46-1+LaunchMonth-1)/12)+1</f>
        <v/>
      </c>
      <c r="D46" s="12">
        <f>VLOOKUP(B46,SeasonTable,2,FALSE)</f>
        <v/>
      </c>
      <c r="E46" s="12">
        <f>(1+InflationRate)^INT((A46-1)/12)</f>
        <v/>
      </c>
      <c r="F46" s="11">
        <f>MonthlyChurn*VLOOKUP(B46,ChurnSeasonTable,4,FALSE)</f>
        <v/>
      </c>
      <c r="G46" s="12">
        <f>MIN(MAX(MktMin19plus,AA45*MktPct19plus),MAX(0,AO45-CashBuffer))</f>
        <v/>
      </c>
      <c r="H46" s="12">
        <f>IF(G46&gt;0,MAX(1,ROUND(G46/CAC*D46,0)),0)</f>
        <v/>
      </c>
      <c r="I46" s="12">
        <f>IF(H46&gt;0,ROUND(H46*ReferralMix/(1-ReferralMix),0),0)</f>
        <v/>
      </c>
      <c r="J46" s="12">
        <f>H46+I46</f>
        <v/>
      </c>
      <c r="K46" s="12">
        <f>ROUND(J46*(1-AnnualMix),0)</f>
        <v/>
      </c>
      <c r="L46" s="12">
        <f>J46-K46</f>
        <v/>
      </c>
      <c r="M46" s="12">
        <f>ROUND(K46*EssentialMix,0)</f>
        <v/>
      </c>
      <c r="N46" s="12">
        <f>K46-M46</f>
        <v/>
      </c>
      <c r="O46" s="12">
        <f>ROUND(L46*EssentialMix,0)</f>
        <v/>
      </c>
      <c r="P46" s="12">
        <f>L46-O46</f>
        <v/>
      </c>
      <c r="Q46" s="12">
        <f>M46+M45+M44+MAX(0,Q45-M45-M44)*(1-F46)</f>
        <v/>
      </c>
      <c r="R46" s="12">
        <f>N46+N45+N44+MAX(0,R45-N45-N44)*(1-F46)</f>
        <v/>
      </c>
      <c r="S46" s="12">
        <f>S45+O46-O34*(AnnualChurn*VLOOKUP(B46,ChurnSeasonTable,4,FALSE))*POWER(1-(AnnualChurn*VLOOKUP(B46,ChurnSeasonTable,4,FALSE)),0)+O22*(AnnualChurn*VLOOKUP(B46,ChurnSeasonTable,4,FALSE))*POWER(1-(AnnualChurn*VLOOKUP(B46,ChurnSeasonTable,4,FALSE)),1)+O10*(AnnualChurn*VLOOKUP(B46,ChurnSeasonTable,4,FALSE))*POWER(1-(AnnualChurn*VLOOKUP(B46,ChurnSeasonTable,4,FALSE)),2)</f>
        <v/>
      </c>
      <c r="T46" s="12">
        <f>T45+P46-P34*(AnnualChurn*VLOOKUP(B46,ChurnSeasonTable,4,FALSE))*POWER(1-(AnnualChurn*VLOOKUP(B46,ChurnSeasonTable,4,FALSE)),0)+P22*(AnnualChurn*VLOOKUP(B46,ChurnSeasonTable,4,FALSE))*POWER(1-(AnnualChurn*VLOOKUP(B46,ChurnSeasonTable,4,FALSE)),1)+P10*(AnnualChurn*VLOOKUP(B46,ChurnSeasonTable,4,FALSE))*POWER(1-(AnnualChurn*VLOOKUP(B46,ChurnSeasonTable,4,FALSE)),2)</f>
        <v/>
      </c>
      <c r="U46" s="12">
        <f>Q46+R46+S46+T46</f>
        <v/>
      </c>
      <c r="V46" s="9">
        <f>Q46*PriceEssMonthly*E46+R46*PricePremMonthly*E46+S46*PriceEssAnnual*E46/12+T46*PricePremAnnual*E46/12</f>
        <v/>
      </c>
      <c r="W46" s="9">
        <f>V46*12</f>
        <v/>
      </c>
      <c r="X46" s="12">
        <f>Q46*PriceEssMonthly*E46+R46*PricePremMonthly*E46</f>
        <v/>
      </c>
      <c r="Y46" s="12">
        <f>O46*PriceEssAnnual*E46+P46*PricePremAnnual*E46</f>
        <v/>
      </c>
      <c r="Z46" s="12">
        <f>O34*POWER(1-(AnnualChurn*VLOOKUP(B46,ChurnSeasonTable,4,FALSE)),1)*PriceEssAnnual*E46+O22*POWER(1-(AnnualChurn*VLOOKUP(B46,ChurnSeasonTable,4,FALSE)),2)*PriceEssAnnual*E46+O10*POWER(1-(AnnualChurn*VLOOKUP(B46,ChurnSeasonTable,4,FALSE)),3)*PriceEssAnnual*E46+P34*POWER(1-(AnnualChurn*VLOOKUP(B46,ChurnSeasonTable,4,FALSE)),1)*PricePremAnnual*E46+P22*POWER(1-(AnnualChurn*VLOOKUP(B46,ChurnSeasonTable,4,FALSE)),2)*PricePremAnnual*E46+P10*POWER(1-(AnnualChurn*VLOOKUP(B46,ChurnSeasonTable,4,FALSE)),3)*PricePremAnnual*E46</f>
        <v/>
      </c>
      <c r="AA46" s="9">
        <f>X46+Y46+Z46</f>
        <v/>
      </c>
      <c r="AB46" s="12">
        <f>SUM(AA35:AA46)</f>
        <v/>
      </c>
      <c r="AC46" s="12">
        <f>OR(AC45,AB46&gt;=VATThreshold)</f>
        <v/>
      </c>
      <c r="AD46" s="9">
        <f>IF(AC46,AA46/(1+VATRate),AA46)</f>
        <v/>
      </c>
      <c r="AE46" s="12">
        <f>AA46-AD46</f>
        <v/>
      </c>
      <c r="AF46" s="12">
        <f>IF(AC46=0,0,IF(B46=1,SUMPRODUCT(--(($C$5:$C46=$C46-1)*($B$5:$B46&gt;=10)*($B$5:$B46&lt;=12)),$AE$5:$AE46),IF(B46=4,SUMPRODUCT(--(($C$5:$C46=$C46)*($B$5:$B46&gt;=1)*($B$5:$B46&lt;=3)),$AE$5:$AE46),IF(B46=7,SUMPRODUCT(--(($C$5:$C46=$C46)*($B$5:$B46&gt;=4)*($B$5:$B46&lt;=6)),$AE$5:$AE46),IF(B46=10,SUMPRODUCT(--(($C$5:$C46=$C46)*($B$5:$B46&gt;=7)*($B$5:$B46&lt;=9)),$AE$5:$AE46),0)))))</f>
        <v/>
      </c>
      <c r="AG46" s="12">
        <f>AG45+AE46-AF46</f>
        <v/>
      </c>
      <c r="AH46" s="12">
        <f>IF(ProviderDelay&gt;=1,AD45*ProviderShare,AD46*ProviderShare)</f>
        <v/>
      </c>
      <c r="AI46" s="12">
        <f>AA46*PaymentFee</f>
        <v/>
      </c>
      <c r="AJ46" s="12">
        <f>U46*OpsAI</f>
        <v/>
      </c>
      <c r="AK46" s="12">
        <f>MonthlyFixed</f>
        <v/>
      </c>
      <c r="AL46" s="12">
        <f>I46*ReferralReward</f>
        <v/>
      </c>
      <c r="AM46" s="12">
        <f>G46</f>
        <v/>
      </c>
      <c r="AN46" s="9">
        <f>AD46-AH46-AI46-AJ46-AK46-AL46-AM46</f>
        <v/>
      </c>
      <c r="AO46" s="9">
        <f>AO45+AA46-(AH46+AI46+AJ46+AK46+AL46+AM46+AF46)</f>
        <v/>
      </c>
      <c r="AP46" s="12">
        <f>IF(U46&gt;0,V46/U46,0)</f>
        <v/>
      </c>
      <c r="AQ46" s="11">
        <f>IF(U45&gt;0,MAX(0,(U45+J46-U46)/U45),0)</f>
        <v/>
      </c>
    </row>
    <row r="47">
      <c r="A47" s="12" t="n">
        <v>43</v>
      </c>
      <c r="B47" s="12">
        <f>MOD(A47-1+LaunchMonth-1,12)+1</f>
        <v/>
      </c>
      <c r="C47" s="12">
        <f>INT((A47-1+LaunchMonth-1)/12)+1</f>
        <v/>
      </c>
      <c r="D47" s="12">
        <f>VLOOKUP(B47,SeasonTable,2,FALSE)</f>
        <v/>
      </c>
      <c r="E47" s="12">
        <f>(1+InflationRate)^INT((A47-1)/12)</f>
        <v/>
      </c>
      <c r="F47" s="11">
        <f>MonthlyChurn*VLOOKUP(B47,ChurnSeasonTable,4,FALSE)</f>
        <v/>
      </c>
      <c r="G47" s="12">
        <f>MIN(MAX(MktMin19plus,AA46*MktPct19plus),MAX(0,AO46-CashBuffer))</f>
        <v/>
      </c>
      <c r="H47" s="12">
        <f>IF(G47&gt;0,MAX(1,ROUND(G47/CAC*D47,0)),0)</f>
        <v/>
      </c>
      <c r="I47" s="12">
        <f>IF(H47&gt;0,ROUND(H47*ReferralMix/(1-ReferralMix),0),0)</f>
        <v/>
      </c>
      <c r="J47" s="12">
        <f>H47+I47</f>
        <v/>
      </c>
      <c r="K47" s="12">
        <f>ROUND(J47*(1-AnnualMix),0)</f>
        <v/>
      </c>
      <c r="L47" s="12">
        <f>J47-K47</f>
        <v/>
      </c>
      <c r="M47" s="12">
        <f>ROUND(K47*EssentialMix,0)</f>
        <v/>
      </c>
      <c r="N47" s="12">
        <f>K47-M47</f>
        <v/>
      </c>
      <c r="O47" s="12">
        <f>ROUND(L47*EssentialMix,0)</f>
        <v/>
      </c>
      <c r="P47" s="12">
        <f>L47-O47</f>
        <v/>
      </c>
      <c r="Q47" s="12">
        <f>M47+M46+M45+MAX(0,Q46-M46-M45)*(1-F47)</f>
        <v/>
      </c>
      <c r="R47" s="12">
        <f>N47+N46+N45+MAX(0,R46-N46-N45)*(1-F47)</f>
        <v/>
      </c>
      <c r="S47" s="12">
        <f>S46+O47-O35*(AnnualChurn*VLOOKUP(B47,ChurnSeasonTable,4,FALSE))*POWER(1-(AnnualChurn*VLOOKUP(B47,ChurnSeasonTable,4,FALSE)),0)+O23*(AnnualChurn*VLOOKUP(B47,ChurnSeasonTable,4,FALSE))*POWER(1-(AnnualChurn*VLOOKUP(B47,ChurnSeasonTable,4,FALSE)),1)+O11*(AnnualChurn*VLOOKUP(B47,ChurnSeasonTable,4,FALSE))*POWER(1-(AnnualChurn*VLOOKUP(B47,ChurnSeasonTable,4,FALSE)),2)</f>
        <v/>
      </c>
      <c r="T47" s="12">
        <f>T46+P47-P35*(AnnualChurn*VLOOKUP(B47,ChurnSeasonTable,4,FALSE))*POWER(1-(AnnualChurn*VLOOKUP(B47,ChurnSeasonTable,4,FALSE)),0)+P23*(AnnualChurn*VLOOKUP(B47,ChurnSeasonTable,4,FALSE))*POWER(1-(AnnualChurn*VLOOKUP(B47,ChurnSeasonTable,4,FALSE)),1)+P11*(AnnualChurn*VLOOKUP(B47,ChurnSeasonTable,4,FALSE))*POWER(1-(AnnualChurn*VLOOKUP(B47,ChurnSeasonTable,4,FALSE)),2)</f>
        <v/>
      </c>
      <c r="U47" s="12">
        <f>Q47+R47+S47+T47</f>
        <v/>
      </c>
      <c r="V47" s="9">
        <f>Q47*PriceEssMonthly*E47+R47*PricePremMonthly*E47+S47*PriceEssAnnual*E47/12+T47*PricePremAnnual*E47/12</f>
        <v/>
      </c>
      <c r="W47" s="9">
        <f>V47*12</f>
        <v/>
      </c>
      <c r="X47" s="12">
        <f>Q47*PriceEssMonthly*E47+R47*PricePremMonthly*E47</f>
        <v/>
      </c>
      <c r="Y47" s="12">
        <f>O47*PriceEssAnnual*E47+P47*PricePremAnnual*E47</f>
        <v/>
      </c>
      <c r="Z47" s="12">
        <f>O35*POWER(1-(AnnualChurn*VLOOKUP(B47,ChurnSeasonTable,4,FALSE)),1)*PriceEssAnnual*E47+O23*POWER(1-(AnnualChurn*VLOOKUP(B47,ChurnSeasonTable,4,FALSE)),2)*PriceEssAnnual*E47+O11*POWER(1-(AnnualChurn*VLOOKUP(B47,ChurnSeasonTable,4,FALSE)),3)*PriceEssAnnual*E47+P35*POWER(1-(AnnualChurn*VLOOKUP(B47,ChurnSeasonTable,4,FALSE)),1)*PricePremAnnual*E47+P23*POWER(1-(AnnualChurn*VLOOKUP(B47,ChurnSeasonTable,4,FALSE)),2)*PricePremAnnual*E47+P11*POWER(1-(AnnualChurn*VLOOKUP(B47,ChurnSeasonTable,4,FALSE)),3)*PricePremAnnual*E47</f>
        <v/>
      </c>
      <c r="AA47" s="9">
        <f>X47+Y47+Z47</f>
        <v/>
      </c>
      <c r="AB47" s="12">
        <f>SUM(AA36:AA47)</f>
        <v/>
      </c>
      <c r="AC47" s="12">
        <f>OR(AC46,AB47&gt;=VATThreshold)</f>
        <v/>
      </c>
      <c r="AD47" s="9">
        <f>IF(AC47,AA47/(1+VATRate),AA47)</f>
        <v/>
      </c>
      <c r="AE47" s="12">
        <f>AA47-AD47</f>
        <v/>
      </c>
      <c r="AF47" s="12">
        <f>IF(AC47=0,0,IF(B47=1,SUMPRODUCT(--(($C$5:$C47=$C47-1)*($B$5:$B47&gt;=10)*($B$5:$B47&lt;=12)),$AE$5:$AE47),IF(B47=4,SUMPRODUCT(--(($C$5:$C47=$C47)*($B$5:$B47&gt;=1)*($B$5:$B47&lt;=3)),$AE$5:$AE47),IF(B47=7,SUMPRODUCT(--(($C$5:$C47=$C47)*($B$5:$B47&gt;=4)*($B$5:$B47&lt;=6)),$AE$5:$AE47),IF(B47=10,SUMPRODUCT(--(($C$5:$C47=$C47)*($B$5:$B47&gt;=7)*($B$5:$B47&lt;=9)),$AE$5:$AE47),0)))))</f>
        <v/>
      </c>
      <c r="AG47" s="12">
        <f>AG46+AE47-AF47</f>
        <v/>
      </c>
      <c r="AH47" s="12">
        <f>IF(ProviderDelay&gt;=1,AD46*ProviderShare,AD47*ProviderShare)</f>
        <v/>
      </c>
      <c r="AI47" s="12">
        <f>AA47*PaymentFee</f>
        <v/>
      </c>
      <c r="AJ47" s="12">
        <f>U47*OpsAI</f>
        <v/>
      </c>
      <c r="AK47" s="12">
        <f>MonthlyFixed</f>
        <v/>
      </c>
      <c r="AL47" s="12">
        <f>I47*ReferralReward</f>
        <v/>
      </c>
      <c r="AM47" s="12">
        <f>G47</f>
        <v/>
      </c>
      <c r="AN47" s="9">
        <f>AD47-AH47-AI47-AJ47-AK47-AL47-AM47</f>
        <v/>
      </c>
      <c r="AO47" s="9">
        <f>AO46+AA47-(AH47+AI47+AJ47+AK47+AL47+AM47+AF47)</f>
        <v/>
      </c>
      <c r="AP47" s="12">
        <f>IF(U47&gt;0,V47/U47,0)</f>
        <v/>
      </c>
      <c r="AQ47" s="11">
        <f>IF(U46&gt;0,MAX(0,(U46+J47-U47)/U46),0)</f>
        <v/>
      </c>
    </row>
    <row r="48">
      <c r="A48" s="12" t="n">
        <v>44</v>
      </c>
      <c r="B48" s="12">
        <f>MOD(A48-1+LaunchMonth-1,12)+1</f>
        <v/>
      </c>
      <c r="C48" s="12">
        <f>INT((A48-1+LaunchMonth-1)/12)+1</f>
        <v/>
      </c>
      <c r="D48" s="12">
        <f>VLOOKUP(B48,SeasonTable,2,FALSE)</f>
        <v/>
      </c>
      <c r="E48" s="12">
        <f>(1+InflationRate)^INT((A48-1)/12)</f>
        <v/>
      </c>
      <c r="F48" s="11">
        <f>MonthlyChurn*VLOOKUP(B48,ChurnSeasonTable,4,FALSE)</f>
        <v/>
      </c>
      <c r="G48" s="12">
        <f>MIN(MAX(MktMin19plus,AA47*MktPct19plus),MAX(0,AO47-CashBuffer))</f>
        <v/>
      </c>
      <c r="H48" s="12">
        <f>IF(G48&gt;0,MAX(1,ROUND(G48/CAC*D48,0)),0)</f>
        <v/>
      </c>
      <c r="I48" s="12">
        <f>IF(H48&gt;0,ROUND(H48*ReferralMix/(1-ReferralMix),0),0)</f>
        <v/>
      </c>
      <c r="J48" s="12">
        <f>H48+I48</f>
        <v/>
      </c>
      <c r="K48" s="12">
        <f>ROUND(J48*(1-AnnualMix),0)</f>
        <v/>
      </c>
      <c r="L48" s="12">
        <f>J48-K48</f>
        <v/>
      </c>
      <c r="M48" s="12">
        <f>ROUND(K48*EssentialMix,0)</f>
        <v/>
      </c>
      <c r="N48" s="12">
        <f>K48-M48</f>
        <v/>
      </c>
      <c r="O48" s="12">
        <f>ROUND(L48*EssentialMix,0)</f>
        <v/>
      </c>
      <c r="P48" s="12">
        <f>L48-O48</f>
        <v/>
      </c>
      <c r="Q48" s="12">
        <f>M48+M47+M46+MAX(0,Q47-M47-M46)*(1-F48)</f>
        <v/>
      </c>
      <c r="R48" s="12">
        <f>N48+N47+N46+MAX(0,R47-N47-N46)*(1-F48)</f>
        <v/>
      </c>
      <c r="S48" s="12">
        <f>S47+O48-O36*(AnnualChurn*VLOOKUP(B48,ChurnSeasonTable,4,FALSE))*POWER(1-(AnnualChurn*VLOOKUP(B48,ChurnSeasonTable,4,FALSE)),0)+O24*(AnnualChurn*VLOOKUP(B48,ChurnSeasonTable,4,FALSE))*POWER(1-(AnnualChurn*VLOOKUP(B48,ChurnSeasonTable,4,FALSE)),1)+O12*(AnnualChurn*VLOOKUP(B48,ChurnSeasonTable,4,FALSE))*POWER(1-(AnnualChurn*VLOOKUP(B48,ChurnSeasonTable,4,FALSE)),2)</f>
        <v/>
      </c>
      <c r="T48" s="12">
        <f>T47+P48-P36*(AnnualChurn*VLOOKUP(B48,ChurnSeasonTable,4,FALSE))*POWER(1-(AnnualChurn*VLOOKUP(B48,ChurnSeasonTable,4,FALSE)),0)+P24*(AnnualChurn*VLOOKUP(B48,ChurnSeasonTable,4,FALSE))*POWER(1-(AnnualChurn*VLOOKUP(B48,ChurnSeasonTable,4,FALSE)),1)+P12*(AnnualChurn*VLOOKUP(B48,ChurnSeasonTable,4,FALSE))*POWER(1-(AnnualChurn*VLOOKUP(B48,ChurnSeasonTable,4,FALSE)),2)</f>
        <v/>
      </c>
      <c r="U48" s="12">
        <f>Q48+R48+S48+T48</f>
        <v/>
      </c>
      <c r="V48" s="9">
        <f>Q48*PriceEssMonthly*E48+R48*PricePremMonthly*E48+S48*PriceEssAnnual*E48/12+T48*PricePremAnnual*E48/12</f>
        <v/>
      </c>
      <c r="W48" s="9">
        <f>V48*12</f>
        <v/>
      </c>
      <c r="X48" s="12">
        <f>Q48*PriceEssMonthly*E48+R48*PricePremMonthly*E48</f>
        <v/>
      </c>
      <c r="Y48" s="12">
        <f>O48*PriceEssAnnual*E48+P48*PricePremAnnual*E48</f>
        <v/>
      </c>
      <c r="Z48" s="12">
        <f>O36*POWER(1-(AnnualChurn*VLOOKUP(B48,ChurnSeasonTable,4,FALSE)),1)*PriceEssAnnual*E48+O24*POWER(1-(AnnualChurn*VLOOKUP(B48,ChurnSeasonTable,4,FALSE)),2)*PriceEssAnnual*E48+O12*POWER(1-(AnnualChurn*VLOOKUP(B48,ChurnSeasonTable,4,FALSE)),3)*PriceEssAnnual*E48+P36*POWER(1-(AnnualChurn*VLOOKUP(B48,ChurnSeasonTable,4,FALSE)),1)*PricePremAnnual*E48+P24*POWER(1-(AnnualChurn*VLOOKUP(B48,ChurnSeasonTable,4,FALSE)),2)*PricePremAnnual*E48+P12*POWER(1-(AnnualChurn*VLOOKUP(B48,ChurnSeasonTable,4,FALSE)),3)*PricePremAnnual*E48</f>
        <v/>
      </c>
      <c r="AA48" s="9">
        <f>X48+Y48+Z48</f>
        <v/>
      </c>
      <c r="AB48" s="12">
        <f>SUM(AA37:AA48)</f>
        <v/>
      </c>
      <c r="AC48" s="12">
        <f>OR(AC47,AB48&gt;=VATThreshold)</f>
        <v/>
      </c>
      <c r="AD48" s="9">
        <f>IF(AC48,AA48/(1+VATRate),AA48)</f>
        <v/>
      </c>
      <c r="AE48" s="12">
        <f>AA48-AD48</f>
        <v/>
      </c>
      <c r="AF48" s="12">
        <f>IF(AC48=0,0,IF(B48=1,SUMPRODUCT(--(($C$5:$C48=$C48-1)*($B$5:$B48&gt;=10)*($B$5:$B48&lt;=12)),$AE$5:$AE48),IF(B48=4,SUMPRODUCT(--(($C$5:$C48=$C48)*($B$5:$B48&gt;=1)*($B$5:$B48&lt;=3)),$AE$5:$AE48),IF(B48=7,SUMPRODUCT(--(($C$5:$C48=$C48)*($B$5:$B48&gt;=4)*($B$5:$B48&lt;=6)),$AE$5:$AE48),IF(B48=10,SUMPRODUCT(--(($C$5:$C48=$C48)*($B$5:$B48&gt;=7)*($B$5:$B48&lt;=9)),$AE$5:$AE48),0)))))</f>
        <v/>
      </c>
      <c r="AG48" s="12">
        <f>AG47+AE48-AF48</f>
        <v/>
      </c>
      <c r="AH48" s="12">
        <f>IF(ProviderDelay&gt;=1,AD47*ProviderShare,AD48*ProviderShare)</f>
        <v/>
      </c>
      <c r="AI48" s="12">
        <f>AA48*PaymentFee</f>
        <v/>
      </c>
      <c r="AJ48" s="12">
        <f>U48*OpsAI</f>
        <v/>
      </c>
      <c r="AK48" s="12">
        <f>MonthlyFixed</f>
        <v/>
      </c>
      <c r="AL48" s="12">
        <f>I48*ReferralReward</f>
        <v/>
      </c>
      <c r="AM48" s="12">
        <f>G48</f>
        <v/>
      </c>
      <c r="AN48" s="9">
        <f>AD48-AH48-AI48-AJ48-AK48-AL48-AM48</f>
        <v/>
      </c>
      <c r="AO48" s="9">
        <f>AO47+AA48-(AH48+AI48+AJ48+AK48+AL48+AM48+AF48)</f>
        <v/>
      </c>
      <c r="AP48" s="12">
        <f>IF(U48&gt;0,V48/U48,0)</f>
        <v/>
      </c>
      <c r="AQ48" s="11">
        <f>IF(U47&gt;0,MAX(0,(U47+J48-U48)/U47),0)</f>
        <v/>
      </c>
    </row>
    <row r="49">
      <c r="A49" s="12" t="n">
        <v>45</v>
      </c>
      <c r="B49" s="12">
        <f>MOD(A49-1+LaunchMonth-1,12)+1</f>
        <v/>
      </c>
      <c r="C49" s="12">
        <f>INT((A49-1+LaunchMonth-1)/12)+1</f>
        <v/>
      </c>
      <c r="D49" s="12">
        <f>VLOOKUP(B49,SeasonTable,2,FALSE)</f>
        <v/>
      </c>
      <c r="E49" s="12">
        <f>(1+InflationRate)^INT((A49-1)/12)</f>
        <v/>
      </c>
      <c r="F49" s="11">
        <f>MonthlyChurn*VLOOKUP(B49,ChurnSeasonTable,4,FALSE)</f>
        <v/>
      </c>
      <c r="G49" s="12">
        <f>MIN(MAX(MktMin19plus,AA48*MktPct19plus),MAX(0,AO48-CashBuffer))</f>
        <v/>
      </c>
      <c r="H49" s="12">
        <f>IF(G49&gt;0,MAX(1,ROUND(G49/CAC*D49,0)),0)</f>
        <v/>
      </c>
      <c r="I49" s="12">
        <f>IF(H49&gt;0,ROUND(H49*ReferralMix/(1-ReferralMix),0),0)</f>
        <v/>
      </c>
      <c r="J49" s="12">
        <f>H49+I49</f>
        <v/>
      </c>
      <c r="K49" s="12">
        <f>ROUND(J49*(1-AnnualMix),0)</f>
        <v/>
      </c>
      <c r="L49" s="12">
        <f>J49-K49</f>
        <v/>
      </c>
      <c r="M49" s="12">
        <f>ROUND(K49*EssentialMix,0)</f>
        <v/>
      </c>
      <c r="N49" s="12">
        <f>K49-M49</f>
        <v/>
      </c>
      <c r="O49" s="12">
        <f>ROUND(L49*EssentialMix,0)</f>
        <v/>
      </c>
      <c r="P49" s="12">
        <f>L49-O49</f>
        <v/>
      </c>
      <c r="Q49" s="12">
        <f>M49+M48+M47+MAX(0,Q48-M48-M47)*(1-F49)</f>
        <v/>
      </c>
      <c r="R49" s="12">
        <f>N49+N48+N47+MAX(0,R48-N48-N47)*(1-F49)</f>
        <v/>
      </c>
      <c r="S49" s="12">
        <f>S48+O49-O37*(AnnualChurn*VLOOKUP(B49,ChurnSeasonTable,4,FALSE))*POWER(1-(AnnualChurn*VLOOKUP(B49,ChurnSeasonTable,4,FALSE)),0)+O25*(AnnualChurn*VLOOKUP(B49,ChurnSeasonTable,4,FALSE))*POWER(1-(AnnualChurn*VLOOKUP(B49,ChurnSeasonTable,4,FALSE)),1)+O13*(AnnualChurn*VLOOKUP(B49,ChurnSeasonTable,4,FALSE))*POWER(1-(AnnualChurn*VLOOKUP(B49,ChurnSeasonTable,4,FALSE)),2)</f>
        <v/>
      </c>
      <c r="T49" s="12">
        <f>T48+P49-P37*(AnnualChurn*VLOOKUP(B49,ChurnSeasonTable,4,FALSE))*POWER(1-(AnnualChurn*VLOOKUP(B49,ChurnSeasonTable,4,FALSE)),0)+P25*(AnnualChurn*VLOOKUP(B49,ChurnSeasonTable,4,FALSE))*POWER(1-(AnnualChurn*VLOOKUP(B49,ChurnSeasonTable,4,FALSE)),1)+P13*(AnnualChurn*VLOOKUP(B49,ChurnSeasonTable,4,FALSE))*POWER(1-(AnnualChurn*VLOOKUP(B49,ChurnSeasonTable,4,FALSE)),2)</f>
        <v/>
      </c>
      <c r="U49" s="12">
        <f>Q49+R49+S49+T49</f>
        <v/>
      </c>
      <c r="V49" s="9">
        <f>Q49*PriceEssMonthly*E49+R49*PricePremMonthly*E49+S49*PriceEssAnnual*E49/12+T49*PricePremAnnual*E49/12</f>
        <v/>
      </c>
      <c r="W49" s="9">
        <f>V49*12</f>
        <v/>
      </c>
      <c r="X49" s="12">
        <f>Q49*PriceEssMonthly*E49+R49*PricePremMonthly*E49</f>
        <v/>
      </c>
      <c r="Y49" s="12">
        <f>O49*PriceEssAnnual*E49+P49*PricePremAnnual*E49</f>
        <v/>
      </c>
      <c r="Z49" s="12">
        <f>O37*POWER(1-(AnnualChurn*VLOOKUP(B49,ChurnSeasonTable,4,FALSE)),1)*PriceEssAnnual*E49+O25*POWER(1-(AnnualChurn*VLOOKUP(B49,ChurnSeasonTable,4,FALSE)),2)*PriceEssAnnual*E49+O13*POWER(1-(AnnualChurn*VLOOKUP(B49,ChurnSeasonTable,4,FALSE)),3)*PriceEssAnnual*E49+P37*POWER(1-(AnnualChurn*VLOOKUP(B49,ChurnSeasonTable,4,FALSE)),1)*PricePremAnnual*E49+P25*POWER(1-(AnnualChurn*VLOOKUP(B49,ChurnSeasonTable,4,FALSE)),2)*PricePremAnnual*E49+P13*POWER(1-(AnnualChurn*VLOOKUP(B49,ChurnSeasonTable,4,FALSE)),3)*PricePremAnnual*E49</f>
        <v/>
      </c>
      <c r="AA49" s="9">
        <f>X49+Y49+Z49</f>
        <v/>
      </c>
      <c r="AB49" s="12">
        <f>SUM(AA38:AA49)</f>
        <v/>
      </c>
      <c r="AC49" s="12">
        <f>OR(AC48,AB49&gt;=VATThreshold)</f>
        <v/>
      </c>
      <c r="AD49" s="9">
        <f>IF(AC49,AA49/(1+VATRate),AA49)</f>
        <v/>
      </c>
      <c r="AE49" s="12">
        <f>AA49-AD49</f>
        <v/>
      </c>
      <c r="AF49" s="12">
        <f>IF(AC49=0,0,IF(B49=1,SUMPRODUCT(--(($C$5:$C49=$C49-1)*($B$5:$B49&gt;=10)*($B$5:$B49&lt;=12)),$AE$5:$AE49),IF(B49=4,SUMPRODUCT(--(($C$5:$C49=$C49)*($B$5:$B49&gt;=1)*($B$5:$B49&lt;=3)),$AE$5:$AE49),IF(B49=7,SUMPRODUCT(--(($C$5:$C49=$C49)*($B$5:$B49&gt;=4)*($B$5:$B49&lt;=6)),$AE$5:$AE49),IF(B49=10,SUMPRODUCT(--(($C$5:$C49=$C49)*($B$5:$B49&gt;=7)*($B$5:$B49&lt;=9)),$AE$5:$AE49),0)))))</f>
        <v/>
      </c>
      <c r="AG49" s="12">
        <f>AG48+AE49-AF49</f>
        <v/>
      </c>
      <c r="AH49" s="12">
        <f>IF(ProviderDelay&gt;=1,AD48*ProviderShare,AD49*ProviderShare)</f>
        <v/>
      </c>
      <c r="AI49" s="12">
        <f>AA49*PaymentFee</f>
        <v/>
      </c>
      <c r="AJ49" s="12">
        <f>U49*OpsAI</f>
        <v/>
      </c>
      <c r="AK49" s="12">
        <f>MonthlyFixed</f>
        <v/>
      </c>
      <c r="AL49" s="12">
        <f>I49*ReferralReward</f>
        <v/>
      </c>
      <c r="AM49" s="12">
        <f>G49</f>
        <v/>
      </c>
      <c r="AN49" s="9">
        <f>AD49-AH49-AI49-AJ49-AK49-AL49-AM49</f>
        <v/>
      </c>
      <c r="AO49" s="9">
        <f>AO48+AA49-(AH49+AI49+AJ49+AK49+AL49+AM49+AF49)</f>
        <v/>
      </c>
      <c r="AP49" s="12">
        <f>IF(U49&gt;0,V49/U49,0)</f>
        <v/>
      </c>
      <c r="AQ49" s="11">
        <f>IF(U48&gt;0,MAX(0,(U48+J49-U49)/U48),0)</f>
        <v/>
      </c>
    </row>
    <row r="50">
      <c r="A50" s="12" t="n">
        <v>46</v>
      </c>
      <c r="B50" s="12">
        <f>MOD(A50-1+LaunchMonth-1,12)+1</f>
        <v/>
      </c>
      <c r="C50" s="12">
        <f>INT((A50-1+LaunchMonth-1)/12)+1</f>
        <v/>
      </c>
      <c r="D50" s="12">
        <f>VLOOKUP(B50,SeasonTable,2,FALSE)</f>
        <v/>
      </c>
      <c r="E50" s="12">
        <f>(1+InflationRate)^INT((A50-1)/12)</f>
        <v/>
      </c>
      <c r="F50" s="11">
        <f>MonthlyChurn*VLOOKUP(B50,ChurnSeasonTable,4,FALSE)</f>
        <v/>
      </c>
      <c r="G50" s="12">
        <f>MIN(MAX(MktMin19plus,AA49*MktPct19plus),MAX(0,AO49-CashBuffer))</f>
        <v/>
      </c>
      <c r="H50" s="12">
        <f>IF(G50&gt;0,MAX(1,ROUND(G50/CAC*D50,0)),0)</f>
        <v/>
      </c>
      <c r="I50" s="12">
        <f>IF(H50&gt;0,ROUND(H50*ReferralMix/(1-ReferralMix),0),0)</f>
        <v/>
      </c>
      <c r="J50" s="12">
        <f>H50+I50</f>
        <v/>
      </c>
      <c r="K50" s="12">
        <f>ROUND(J50*(1-AnnualMix),0)</f>
        <v/>
      </c>
      <c r="L50" s="12">
        <f>J50-K50</f>
        <v/>
      </c>
      <c r="M50" s="12">
        <f>ROUND(K50*EssentialMix,0)</f>
        <v/>
      </c>
      <c r="N50" s="12">
        <f>K50-M50</f>
        <v/>
      </c>
      <c r="O50" s="12">
        <f>ROUND(L50*EssentialMix,0)</f>
        <v/>
      </c>
      <c r="P50" s="12">
        <f>L50-O50</f>
        <v/>
      </c>
      <c r="Q50" s="12">
        <f>M50+M49+M48+MAX(0,Q49-M49-M48)*(1-F50)</f>
        <v/>
      </c>
      <c r="R50" s="12">
        <f>N50+N49+N48+MAX(0,R49-N49-N48)*(1-F50)</f>
        <v/>
      </c>
      <c r="S50" s="12">
        <f>S49+O50-O38*(AnnualChurn*VLOOKUP(B50,ChurnSeasonTable,4,FALSE))*POWER(1-(AnnualChurn*VLOOKUP(B50,ChurnSeasonTable,4,FALSE)),0)+O26*(AnnualChurn*VLOOKUP(B50,ChurnSeasonTable,4,FALSE))*POWER(1-(AnnualChurn*VLOOKUP(B50,ChurnSeasonTable,4,FALSE)),1)+O14*(AnnualChurn*VLOOKUP(B50,ChurnSeasonTable,4,FALSE))*POWER(1-(AnnualChurn*VLOOKUP(B50,ChurnSeasonTable,4,FALSE)),2)</f>
        <v/>
      </c>
      <c r="T50" s="12">
        <f>T49+P50-P38*(AnnualChurn*VLOOKUP(B50,ChurnSeasonTable,4,FALSE))*POWER(1-(AnnualChurn*VLOOKUP(B50,ChurnSeasonTable,4,FALSE)),0)+P26*(AnnualChurn*VLOOKUP(B50,ChurnSeasonTable,4,FALSE))*POWER(1-(AnnualChurn*VLOOKUP(B50,ChurnSeasonTable,4,FALSE)),1)+P14*(AnnualChurn*VLOOKUP(B50,ChurnSeasonTable,4,FALSE))*POWER(1-(AnnualChurn*VLOOKUP(B50,ChurnSeasonTable,4,FALSE)),2)</f>
        <v/>
      </c>
      <c r="U50" s="12">
        <f>Q50+R50+S50+T50</f>
        <v/>
      </c>
      <c r="V50" s="9">
        <f>Q50*PriceEssMonthly*E50+R50*PricePremMonthly*E50+S50*PriceEssAnnual*E50/12+T50*PricePremAnnual*E50/12</f>
        <v/>
      </c>
      <c r="W50" s="9">
        <f>V50*12</f>
        <v/>
      </c>
      <c r="X50" s="12">
        <f>Q50*PriceEssMonthly*E50+R50*PricePremMonthly*E50</f>
        <v/>
      </c>
      <c r="Y50" s="12">
        <f>O50*PriceEssAnnual*E50+P50*PricePremAnnual*E50</f>
        <v/>
      </c>
      <c r="Z50" s="12">
        <f>O38*POWER(1-(AnnualChurn*VLOOKUP(B50,ChurnSeasonTable,4,FALSE)),1)*PriceEssAnnual*E50+O26*POWER(1-(AnnualChurn*VLOOKUP(B50,ChurnSeasonTable,4,FALSE)),2)*PriceEssAnnual*E50+O14*POWER(1-(AnnualChurn*VLOOKUP(B50,ChurnSeasonTable,4,FALSE)),3)*PriceEssAnnual*E50+P38*POWER(1-(AnnualChurn*VLOOKUP(B50,ChurnSeasonTable,4,FALSE)),1)*PricePremAnnual*E50+P26*POWER(1-(AnnualChurn*VLOOKUP(B50,ChurnSeasonTable,4,FALSE)),2)*PricePremAnnual*E50+P14*POWER(1-(AnnualChurn*VLOOKUP(B50,ChurnSeasonTable,4,FALSE)),3)*PricePremAnnual*E50</f>
        <v/>
      </c>
      <c r="AA50" s="9">
        <f>X50+Y50+Z50</f>
        <v/>
      </c>
      <c r="AB50" s="12">
        <f>SUM(AA39:AA50)</f>
        <v/>
      </c>
      <c r="AC50" s="12">
        <f>OR(AC49,AB50&gt;=VATThreshold)</f>
        <v/>
      </c>
      <c r="AD50" s="9">
        <f>IF(AC50,AA50/(1+VATRate),AA50)</f>
        <v/>
      </c>
      <c r="AE50" s="12">
        <f>AA50-AD50</f>
        <v/>
      </c>
      <c r="AF50" s="12">
        <f>IF(AC50=0,0,IF(B50=1,SUMPRODUCT(--(($C$5:$C50=$C50-1)*($B$5:$B50&gt;=10)*($B$5:$B50&lt;=12)),$AE$5:$AE50),IF(B50=4,SUMPRODUCT(--(($C$5:$C50=$C50)*($B$5:$B50&gt;=1)*($B$5:$B50&lt;=3)),$AE$5:$AE50),IF(B50=7,SUMPRODUCT(--(($C$5:$C50=$C50)*($B$5:$B50&gt;=4)*($B$5:$B50&lt;=6)),$AE$5:$AE50),IF(B50=10,SUMPRODUCT(--(($C$5:$C50=$C50)*($B$5:$B50&gt;=7)*($B$5:$B50&lt;=9)),$AE$5:$AE50),0)))))</f>
        <v/>
      </c>
      <c r="AG50" s="12">
        <f>AG49+AE50-AF50</f>
        <v/>
      </c>
      <c r="AH50" s="12">
        <f>IF(ProviderDelay&gt;=1,AD49*ProviderShare,AD50*ProviderShare)</f>
        <v/>
      </c>
      <c r="AI50" s="12">
        <f>AA50*PaymentFee</f>
        <v/>
      </c>
      <c r="AJ50" s="12">
        <f>U50*OpsAI</f>
        <v/>
      </c>
      <c r="AK50" s="12">
        <f>MonthlyFixed</f>
        <v/>
      </c>
      <c r="AL50" s="12">
        <f>I50*ReferralReward</f>
        <v/>
      </c>
      <c r="AM50" s="12">
        <f>G50</f>
        <v/>
      </c>
      <c r="AN50" s="9">
        <f>AD50-AH50-AI50-AJ50-AK50-AL50-AM50</f>
        <v/>
      </c>
      <c r="AO50" s="9">
        <f>AO49+AA50-(AH50+AI50+AJ50+AK50+AL50+AM50+AF50)</f>
        <v/>
      </c>
      <c r="AP50" s="12">
        <f>IF(U50&gt;0,V50/U50,0)</f>
        <v/>
      </c>
      <c r="AQ50" s="11">
        <f>IF(U49&gt;0,MAX(0,(U49+J50-U50)/U49),0)</f>
        <v/>
      </c>
    </row>
    <row r="51">
      <c r="A51" s="12" t="n">
        <v>47</v>
      </c>
      <c r="B51" s="12">
        <f>MOD(A51-1+LaunchMonth-1,12)+1</f>
        <v/>
      </c>
      <c r="C51" s="12">
        <f>INT((A51-1+LaunchMonth-1)/12)+1</f>
        <v/>
      </c>
      <c r="D51" s="12">
        <f>VLOOKUP(B51,SeasonTable,2,FALSE)</f>
        <v/>
      </c>
      <c r="E51" s="12">
        <f>(1+InflationRate)^INT((A51-1)/12)</f>
        <v/>
      </c>
      <c r="F51" s="11">
        <f>MonthlyChurn*VLOOKUP(B51,ChurnSeasonTable,4,FALSE)</f>
        <v/>
      </c>
      <c r="G51" s="12">
        <f>MIN(MAX(MktMin19plus,AA50*MktPct19plus),MAX(0,AO50-CashBuffer))</f>
        <v/>
      </c>
      <c r="H51" s="12">
        <f>IF(G51&gt;0,MAX(1,ROUND(G51/CAC*D51,0)),0)</f>
        <v/>
      </c>
      <c r="I51" s="12">
        <f>IF(H51&gt;0,ROUND(H51*ReferralMix/(1-ReferralMix),0),0)</f>
        <v/>
      </c>
      <c r="J51" s="12">
        <f>H51+I51</f>
        <v/>
      </c>
      <c r="K51" s="12">
        <f>ROUND(J51*(1-AnnualMix),0)</f>
        <v/>
      </c>
      <c r="L51" s="12">
        <f>J51-K51</f>
        <v/>
      </c>
      <c r="M51" s="12">
        <f>ROUND(K51*EssentialMix,0)</f>
        <v/>
      </c>
      <c r="N51" s="12">
        <f>K51-M51</f>
        <v/>
      </c>
      <c r="O51" s="12">
        <f>ROUND(L51*EssentialMix,0)</f>
        <v/>
      </c>
      <c r="P51" s="12">
        <f>L51-O51</f>
        <v/>
      </c>
      <c r="Q51" s="12">
        <f>M51+M50+M49+MAX(0,Q50-M50-M49)*(1-F51)</f>
        <v/>
      </c>
      <c r="R51" s="12">
        <f>N51+N50+N49+MAX(0,R50-N50-N49)*(1-F51)</f>
        <v/>
      </c>
      <c r="S51" s="12">
        <f>S50+O51-O39*(AnnualChurn*VLOOKUP(B51,ChurnSeasonTable,4,FALSE))*POWER(1-(AnnualChurn*VLOOKUP(B51,ChurnSeasonTable,4,FALSE)),0)+O27*(AnnualChurn*VLOOKUP(B51,ChurnSeasonTable,4,FALSE))*POWER(1-(AnnualChurn*VLOOKUP(B51,ChurnSeasonTable,4,FALSE)),1)+O15*(AnnualChurn*VLOOKUP(B51,ChurnSeasonTable,4,FALSE))*POWER(1-(AnnualChurn*VLOOKUP(B51,ChurnSeasonTable,4,FALSE)),2)</f>
        <v/>
      </c>
      <c r="T51" s="12">
        <f>T50+P51-P39*(AnnualChurn*VLOOKUP(B51,ChurnSeasonTable,4,FALSE))*POWER(1-(AnnualChurn*VLOOKUP(B51,ChurnSeasonTable,4,FALSE)),0)+P27*(AnnualChurn*VLOOKUP(B51,ChurnSeasonTable,4,FALSE))*POWER(1-(AnnualChurn*VLOOKUP(B51,ChurnSeasonTable,4,FALSE)),1)+P15*(AnnualChurn*VLOOKUP(B51,ChurnSeasonTable,4,FALSE))*POWER(1-(AnnualChurn*VLOOKUP(B51,ChurnSeasonTable,4,FALSE)),2)</f>
        <v/>
      </c>
      <c r="U51" s="12">
        <f>Q51+R51+S51+T51</f>
        <v/>
      </c>
      <c r="V51" s="9">
        <f>Q51*PriceEssMonthly*E51+R51*PricePremMonthly*E51+S51*PriceEssAnnual*E51/12+T51*PricePremAnnual*E51/12</f>
        <v/>
      </c>
      <c r="W51" s="9">
        <f>V51*12</f>
        <v/>
      </c>
      <c r="X51" s="12">
        <f>Q51*PriceEssMonthly*E51+R51*PricePremMonthly*E51</f>
        <v/>
      </c>
      <c r="Y51" s="12">
        <f>O51*PriceEssAnnual*E51+P51*PricePremAnnual*E51</f>
        <v/>
      </c>
      <c r="Z51" s="12">
        <f>O39*POWER(1-(AnnualChurn*VLOOKUP(B51,ChurnSeasonTable,4,FALSE)),1)*PriceEssAnnual*E51+O27*POWER(1-(AnnualChurn*VLOOKUP(B51,ChurnSeasonTable,4,FALSE)),2)*PriceEssAnnual*E51+O15*POWER(1-(AnnualChurn*VLOOKUP(B51,ChurnSeasonTable,4,FALSE)),3)*PriceEssAnnual*E51+P39*POWER(1-(AnnualChurn*VLOOKUP(B51,ChurnSeasonTable,4,FALSE)),1)*PricePremAnnual*E51+P27*POWER(1-(AnnualChurn*VLOOKUP(B51,ChurnSeasonTable,4,FALSE)),2)*PricePremAnnual*E51+P15*POWER(1-(AnnualChurn*VLOOKUP(B51,ChurnSeasonTable,4,FALSE)),3)*PricePremAnnual*E51</f>
        <v/>
      </c>
      <c r="AA51" s="9">
        <f>X51+Y51+Z51</f>
        <v/>
      </c>
      <c r="AB51" s="12">
        <f>SUM(AA40:AA51)</f>
        <v/>
      </c>
      <c r="AC51" s="12">
        <f>OR(AC50,AB51&gt;=VATThreshold)</f>
        <v/>
      </c>
      <c r="AD51" s="9">
        <f>IF(AC51,AA51/(1+VATRate),AA51)</f>
        <v/>
      </c>
      <c r="AE51" s="12">
        <f>AA51-AD51</f>
        <v/>
      </c>
      <c r="AF51" s="12">
        <f>IF(AC51=0,0,IF(B51=1,SUMPRODUCT(--(($C$5:$C51=$C51-1)*($B$5:$B51&gt;=10)*($B$5:$B51&lt;=12)),$AE$5:$AE51),IF(B51=4,SUMPRODUCT(--(($C$5:$C51=$C51)*($B$5:$B51&gt;=1)*($B$5:$B51&lt;=3)),$AE$5:$AE51),IF(B51=7,SUMPRODUCT(--(($C$5:$C51=$C51)*($B$5:$B51&gt;=4)*($B$5:$B51&lt;=6)),$AE$5:$AE51),IF(B51=10,SUMPRODUCT(--(($C$5:$C51=$C51)*($B$5:$B51&gt;=7)*($B$5:$B51&lt;=9)),$AE$5:$AE51),0)))))</f>
        <v/>
      </c>
      <c r="AG51" s="12">
        <f>AG50+AE51-AF51</f>
        <v/>
      </c>
      <c r="AH51" s="12">
        <f>IF(ProviderDelay&gt;=1,AD50*ProviderShare,AD51*ProviderShare)</f>
        <v/>
      </c>
      <c r="AI51" s="12">
        <f>AA51*PaymentFee</f>
        <v/>
      </c>
      <c r="AJ51" s="12">
        <f>U51*OpsAI</f>
        <v/>
      </c>
      <c r="AK51" s="12">
        <f>MonthlyFixed</f>
        <v/>
      </c>
      <c r="AL51" s="12">
        <f>I51*ReferralReward</f>
        <v/>
      </c>
      <c r="AM51" s="12">
        <f>G51</f>
        <v/>
      </c>
      <c r="AN51" s="9">
        <f>AD51-AH51-AI51-AJ51-AK51-AL51-AM51</f>
        <v/>
      </c>
      <c r="AO51" s="9">
        <f>AO50+AA51-(AH51+AI51+AJ51+AK51+AL51+AM51+AF51)</f>
        <v/>
      </c>
      <c r="AP51" s="12">
        <f>IF(U51&gt;0,V51/U51,0)</f>
        <v/>
      </c>
      <c r="AQ51" s="11">
        <f>IF(U50&gt;0,MAX(0,(U50+J51-U51)/U50),0)</f>
        <v/>
      </c>
    </row>
    <row r="52">
      <c r="A52" s="12" t="n">
        <v>48</v>
      </c>
      <c r="B52" s="12">
        <f>MOD(A52-1+LaunchMonth-1,12)+1</f>
        <v/>
      </c>
      <c r="C52" s="12">
        <f>INT((A52-1+LaunchMonth-1)/12)+1</f>
        <v/>
      </c>
      <c r="D52" s="12">
        <f>VLOOKUP(B52,SeasonTable,2,FALSE)</f>
        <v/>
      </c>
      <c r="E52" s="12">
        <f>(1+InflationRate)^INT((A52-1)/12)</f>
        <v/>
      </c>
      <c r="F52" s="11">
        <f>MonthlyChurn*VLOOKUP(B52,ChurnSeasonTable,4,FALSE)</f>
        <v/>
      </c>
      <c r="G52" s="12">
        <f>MIN(MAX(MktMin19plus,AA51*MktPct19plus),MAX(0,AO51-CashBuffer))</f>
        <v/>
      </c>
      <c r="H52" s="12">
        <f>IF(G52&gt;0,MAX(1,ROUND(G52/CAC*D52,0)),0)</f>
        <v/>
      </c>
      <c r="I52" s="12">
        <f>IF(H52&gt;0,ROUND(H52*ReferralMix/(1-ReferralMix),0),0)</f>
        <v/>
      </c>
      <c r="J52" s="12">
        <f>H52+I52</f>
        <v/>
      </c>
      <c r="K52" s="12">
        <f>ROUND(J52*(1-AnnualMix),0)</f>
        <v/>
      </c>
      <c r="L52" s="12">
        <f>J52-K52</f>
        <v/>
      </c>
      <c r="M52" s="12">
        <f>ROUND(K52*EssentialMix,0)</f>
        <v/>
      </c>
      <c r="N52" s="12">
        <f>K52-M52</f>
        <v/>
      </c>
      <c r="O52" s="12">
        <f>ROUND(L52*EssentialMix,0)</f>
        <v/>
      </c>
      <c r="P52" s="12">
        <f>L52-O52</f>
        <v/>
      </c>
      <c r="Q52" s="12">
        <f>M52+M51+M50+MAX(0,Q51-M51-M50)*(1-F52)</f>
        <v/>
      </c>
      <c r="R52" s="12">
        <f>N52+N51+N50+MAX(0,R51-N51-N50)*(1-F52)</f>
        <v/>
      </c>
      <c r="S52" s="12">
        <f>S51+O52-O40*(AnnualChurn*VLOOKUP(B52,ChurnSeasonTable,4,FALSE))*POWER(1-(AnnualChurn*VLOOKUP(B52,ChurnSeasonTable,4,FALSE)),0)+O28*(AnnualChurn*VLOOKUP(B52,ChurnSeasonTable,4,FALSE))*POWER(1-(AnnualChurn*VLOOKUP(B52,ChurnSeasonTable,4,FALSE)),1)+O16*(AnnualChurn*VLOOKUP(B52,ChurnSeasonTable,4,FALSE))*POWER(1-(AnnualChurn*VLOOKUP(B52,ChurnSeasonTable,4,FALSE)),2)</f>
        <v/>
      </c>
      <c r="T52" s="12">
        <f>T51+P52-P40*(AnnualChurn*VLOOKUP(B52,ChurnSeasonTable,4,FALSE))*POWER(1-(AnnualChurn*VLOOKUP(B52,ChurnSeasonTable,4,FALSE)),0)+P28*(AnnualChurn*VLOOKUP(B52,ChurnSeasonTable,4,FALSE))*POWER(1-(AnnualChurn*VLOOKUP(B52,ChurnSeasonTable,4,FALSE)),1)+P16*(AnnualChurn*VLOOKUP(B52,ChurnSeasonTable,4,FALSE))*POWER(1-(AnnualChurn*VLOOKUP(B52,ChurnSeasonTable,4,FALSE)),2)</f>
        <v/>
      </c>
      <c r="U52" s="12">
        <f>Q52+R52+S52+T52</f>
        <v/>
      </c>
      <c r="V52" s="9">
        <f>Q52*PriceEssMonthly*E52+R52*PricePremMonthly*E52+S52*PriceEssAnnual*E52/12+T52*PricePremAnnual*E52/12</f>
        <v/>
      </c>
      <c r="W52" s="9">
        <f>V52*12</f>
        <v/>
      </c>
      <c r="X52" s="12">
        <f>Q52*PriceEssMonthly*E52+R52*PricePremMonthly*E52</f>
        <v/>
      </c>
      <c r="Y52" s="12">
        <f>O52*PriceEssAnnual*E52+P52*PricePremAnnual*E52</f>
        <v/>
      </c>
      <c r="Z52" s="12">
        <f>O40*POWER(1-(AnnualChurn*VLOOKUP(B52,ChurnSeasonTable,4,FALSE)),1)*PriceEssAnnual*E52+O28*POWER(1-(AnnualChurn*VLOOKUP(B52,ChurnSeasonTable,4,FALSE)),2)*PriceEssAnnual*E52+O16*POWER(1-(AnnualChurn*VLOOKUP(B52,ChurnSeasonTable,4,FALSE)),3)*PriceEssAnnual*E52+P40*POWER(1-(AnnualChurn*VLOOKUP(B52,ChurnSeasonTable,4,FALSE)),1)*PricePremAnnual*E52+P28*POWER(1-(AnnualChurn*VLOOKUP(B52,ChurnSeasonTable,4,FALSE)),2)*PricePremAnnual*E52+P16*POWER(1-(AnnualChurn*VLOOKUP(B52,ChurnSeasonTable,4,FALSE)),3)*PricePremAnnual*E52</f>
        <v/>
      </c>
      <c r="AA52" s="9">
        <f>X52+Y52+Z52</f>
        <v/>
      </c>
      <c r="AB52" s="12">
        <f>SUM(AA41:AA52)</f>
        <v/>
      </c>
      <c r="AC52" s="12">
        <f>OR(AC51,AB52&gt;=VATThreshold)</f>
        <v/>
      </c>
      <c r="AD52" s="9">
        <f>IF(AC52,AA52/(1+VATRate),AA52)</f>
        <v/>
      </c>
      <c r="AE52" s="12">
        <f>AA52-AD52</f>
        <v/>
      </c>
      <c r="AF52" s="12">
        <f>IF(AC52=0,0,IF(B52=1,SUMPRODUCT(--(($C$5:$C52=$C52-1)*($B$5:$B52&gt;=10)*($B$5:$B52&lt;=12)),$AE$5:$AE52),IF(B52=4,SUMPRODUCT(--(($C$5:$C52=$C52)*($B$5:$B52&gt;=1)*($B$5:$B52&lt;=3)),$AE$5:$AE52),IF(B52=7,SUMPRODUCT(--(($C$5:$C52=$C52)*($B$5:$B52&gt;=4)*($B$5:$B52&lt;=6)),$AE$5:$AE52),IF(B52=10,SUMPRODUCT(--(($C$5:$C52=$C52)*($B$5:$B52&gt;=7)*($B$5:$B52&lt;=9)),$AE$5:$AE52),0)))))</f>
        <v/>
      </c>
      <c r="AG52" s="12">
        <f>AG51+AE52-AF52</f>
        <v/>
      </c>
      <c r="AH52" s="12">
        <f>IF(ProviderDelay&gt;=1,AD51*ProviderShare,AD52*ProviderShare)</f>
        <v/>
      </c>
      <c r="AI52" s="12">
        <f>AA52*PaymentFee</f>
        <v/>
      </c>
      <c r="AJ52" s="12">
        <f>U52*OpsAI</f>
        <v/>
      </c>
      <c r="AK52" s="12">
        <f>MonthlyFixed</f>
        <v/>
      </c>
      <c r="AL52" s="12">
        <f>I52*ReferralReward</f>
        <v/>
      </c>
      <c r="AM52" s="12">
        <f>G52</f>
        <v/>
      </c>
      <c r="AN52" s="9">
        <f>AD52-AH52-AI52-AJ52-AK52-AL52-AM52</f>
        <v/>
      </c>
      <c r="AO52" s="9">
        <f>AO51+AA52-(AH52+AI52+AJ52+AK52+AL52+AM52+AF52)</f>
        <v/>
      </c>
      <c r="AP52" s="12">
        <f>IF(U52&gt;0,V52/U52,0)</f>
        <v/>
      </c>
      <c r="AQ52" s="11">
        <f>IF(U51&gt;0,MAX(0,(U51+J52-U52)/U51),0)</f>
        <v/>
      </c>
    </row>
    <row r="53">
      <c r="A53" s="12" t="n">
        <v>49</v>
      </c>
      <c r="B53" s="12">
        <f>MOD(A53-1+LaunchMonth-1,12)+1</f>
        <v/>
      </c>
      <c r="C53" s="12">
        <f>INT((A53-1+LaunchMonth-1)/12)+1</f>
        <v/>
      </c>
      <c r="D53" s="12">
        <f>VLOOKUP(B53,SeasonTable,2,FALSE)</f>
        <v/>
      </c>
      <c r="E53" s="12">
        <f>(1+InflationRate)^INT((A53-1)/12)</f>
        <v/>
      </c>
      <c r="F53" s="11">
        <f>MonthlyChurn*VLOOKUP(B53,ChurnSeasonTable,4,FALSE)</f>
        <v/>
      </c>
      <c r="G53" s="12">
        <f>MIN(MAX(MktMin19plus,AA52*MktPct19plus),MAX(0,AO52-CashBuffer))</f>
        <v/>
      </c>
      <c r="H53" s="12">
        <f>IF(G53&gt;0,MAX(1,ROUND(G53/CAC*D53,0)),0)</f>
        <v/>
      </c>
      <c r="I53" s="12">
        <f>IF(H53&gt;0,ROUND(H53*ReferralMix/(1-ReferralMix),0),0)</f>
        <v/>
      </c>
      <c r="J53" s="12">
        <f>H53+I53</f>
        <v/>
      </c>
      <c r="K53" s="12">
        <f>ROUND(J53*(1-AnnualMix),0)</f>
        <v/>
      </c>
      <c r="L53" s="12">
        <f>J53-K53</f>
        <v/>
      </c>
      <c r="M53" s="12">
        <f>ROUND(K53*EssentialMix,0)</f>
        <v/>
      </c>
      <c r="N53" s="12">
        <f>K53-M53</f>
        <v/>
      </c>
      <c r="O53" s="12">
        <f>ROUND(L53*EssentialMix,0)</f>
        <v/>
      </c>
      <c r="P53" s="12">
        <f>L53-O53</f>
        <v/>
      </c>
      <c r="Q53" s="12">
        <f>M53+M52+M51+MAX(0,Q52-M52-M51)*(1-F53)</f>
        <v/>
      </c>
      <c r="R53" s="12">
        <f>N53+N52+N51+MAX(0,R52-N52-N51)*(1-F53)</f>
        <v/>
      </c>
      <c r="S53" s="12">
        <f>S52+O53-O41*(AnnualChurn*VLOOKUP(B53,ChurnSeasonTable,4,FALSE))*POWER(1-(AnnualChurn*VLOOKUP(B53,ChurnSeasonTable,4,FALSE)),0)+O29*(AnnualChurn*VLOOKUP(B53,ChurnSeasonTable,4,FALSE))*POWER(1-(AnnualChurn*VLOOKUP(B53,ChurnSeasonTable,4,FALSE)),1)+O17*(AnnualChurn*VLOOKUP(B53,ChurnSeasonTable,4,FALSE))*POWER(1-(AnnualChurn*VLOOKUP(B53,ChurnSeasonTable,4,FALSE)),2)+O5*(AnnualChurn*VLOOKUP(B53,ChurnSeasonTable,4,FALSE))*POWER(1-(AnnualChurn*VLOOKUP(B53,ChurnSeasonTable,4,FALSE)),3)</f>
        <v/>
      </c>
      <c r="T53" s="12">
        <f>T52+P53-P41*(AnnualChurn*VLOOKUP(B53,ChurnSeasonTable,4,FALSE))*POWER(1-(AnnualChurn*VLOOKUP(B53,ChurnSeasonTable,4,FALSE)),0)+P29*(AnnualChurn*VLOOKUP(B53,ChurnSeasonTable,4,FALSE))*POWER(1-(AnnualChurn*VLOOKUP(B53,ChurnSeasonTable,4,FALSE)),1)+P17*(AnnualChurn*VLOOKUP(B53,ChurnSeasonTable,4,FALSE))*POWER(1-(AnnualChurn*VLOOKUP(B53,ChurnSeasonTable,4,FALSE)),2)+P5*(AnnualChurn*VLOOKUP(B53,ChurnSeasonTable,4,FALSE))*POWER(1-(AnnualChurn*VLOOKUP(B53,ChurnSeasonTable,4,FALSE)),3)</f>
        <v/>
      </c>
      <c r="U53" s="12">
        <f>Q53+R53+S53+T53</f>
        <v/>
      </c>
      <c r="V53" s="9">
        <f>Q53*PriceEssMonthly*E53+R53*PricePremMonthly*E53+S53*PriceEssAnnual*E53/12+T53*PricePremAnnual*E53/12</f>
        <v/>
      </c>
      <c r="W53" s="9">
        <f>V53*12</f>
        <v/>
      </c>
      <c r="X53" s="12">
        <f>Q53*PriceEssMonthly*E53+R53*PricePremMonthly*E53</f>
        <v/>
      </c>
      <c r="Y53" s="12">
        <f>O53*PriceEssAnnual*E53+P53*PricePremAnnual*E53</f>
        <v/>
      </c>
      <c r="Z53" s="12">
        <f>O41*POWER(1-(AnnualChurn*VLOOKUP(B53,ChurnSeasonTable,4,FALSE)),1)*PriceEssAnnual*E53+O29*POWER(1-(AnnualChurn*VLOOKUP(B53,ChurnSeasonTable,4,FALSE)),2)*PriceEssAnnual*E53+O17*POWER(1-(AnnualChurn*VLOOKUP(B53,ChurnSeasonTable,4,FALSE)),3)*PriceEssAnnual*E53+O5*POWER(1-(AnnualChurn*VLOOKUP(B53,ChurnSeasonTable,4,FALSE)),4)*PriceEssAnnual*E53+P41*POWER(1-(AnnualChurn*VLOOKUP(B53,ChurnSeasonTable,4,FALSE)),1)*PricePremAnnual*E53+P29*POWER(1-(AnnualChurn*VLOOKUP(B53,ChurnSeasonTable,4,FALSE)),2)*PricePremAnnual*E53+P17*POWER(1-(AnnualChurn*VLOOKUP(B53,ChurnSeasonTable,4,FALSE)),3)*PricePremAnnual*E53+P5*POWER(1-(AnnualChurn*VLOOKUP(B53,ChurnSeasonTable,4,FALSE)),4)*PricePremAnnual*E53</f>
        <v/>
      </c>
      <c r="AA53" s="9">
        <f>X53+Y53+Z53</f>
        <v/>
      </c>
      <c r="AB53" s="12">
        <f>SUM(AA42:AA53)</f>
        <v/>
      </c>
      <c r="AC53" s="12">
        <f>OR(AC52,AB53&gt;=VATThreshold)</f>
        <v/>
      </c>
      <c r="AD53" s="9">
        <f>IF(AC53,AA53/(1+VATRate),AA53)</f>
        <v/>
      </c>
      <c r="AE53" s="12">
        <f>AA53-AD53</f>
        <v/>
      </c>
      <c r="AF53" s="12">
        <f>IF(AC53=0,0,IF(B53=1,SUMPRODUCT(--(($C$5:$C53=$C53-1)*($B$5:$B53&gt;=10)*($B$5:$B53&lt;=12)),$AE$5:$AE53),IF(B53=4,SUMPRODUCT(--(($C$5:$C53=$C53)*($B$5:$B53&gt;=1)*($B$5:$B53&lt;=3)),$AE$5:$AE53),IF(B53=7,SUMPRODUCT(--(($C$5:$C53=$C53)*($B$5:$B53&gt;=4)*($B$5:$B53&lt;=6)),$AE$5:$AE53),IF(B53=10,SUMPRODUCT(--(($C$5:$C53=$C53)*($B$5:$B53&gt;=7)*($B$5:$B53&lt;=9)),$AE$5:$AE53),0)))))</f>
        <v/>
      </c>
      <c r="AG53" s="12">
        <f>AG52+AE53-AF53</f>
        <v/>
      </c>
      <c r="AH53" s="12">
        <f>IF(ProviderDelay&gt;=1,AD52*ProviderShare,AD53*ProviderShare)</f>
        <v/>
      </c>
      <c r="AI53" s="12">
        <f>AA53*PaymentFee</f>
        <v/>
      </c>
      <c r="AJ53" s="12">
        <f>U53*OpsAI</f>
        <v/>
      </c>
      <c r="AK53" s="12">
        <f>MonthlyFixed</f>
        <v/>
      </c>
      <c r="AL53" s="12">
        <f>I53*ReferralReward</f>
        <v/>
      </c>
      <c r="AM53" s="12">
        <f>G53</f>
        <v/>
      </c>
      <c r="AN53" s="9">
        <f>AD53-AH53-AI53-AJ53-AK53-AL53-AM53</f>
        <v/>
      </c>
      <c r="AO53" s="9">
        <f>AO52+AA53-(AH53+AI53+AJ53+AK53+AL53+AM53+AF53)</f>
        <v/>
      </c>
      <c r="AP53" s="12">
        <f>IF(U53&gt;0,V53/U53,0)</f>
        <v/>
      </c>
      <c r="AQ53" s="11">
        <f>IF(U52&gt;0,MAX(0,(U52+J53-U53)/U52),0)</f>
        <v/>
      </c>
    </row>
    <row r="54">
      <c r="A54" s="12" t="n">
        <v>50</v>
      </c>
      <c r="B54" s="12">
        <f>MOD(A54-1+LaunchMonth-1,12)+1</f>
        <v/>
      </c>
      <c r="C54" s="12">
        <f>INT((A54-1+LaunchMonth-1)/12)+1</f>
        <v/>
      </c>
      <c r="D54" s="12">
        <f>VLOOKUP(B54,SeasonTable,2,FALSE)</f>
        <v/>
      </c>
      <c r="E54" s="12">
        <f>(1+InflationRate)^INT((A54-1)/12)</f>
        <v/>
      </c>
      <c r="F54" s="11">
        <f>MonthlyChurn*VLOOKUP(B54,ChurnSeasonTable,4,FALSE)</f>
        <v/>
      </c>
      <c r="G54" s="12">
        <f>MIN(MAX(MktMin19plus,AA53*MktPct19plus),MAX(0,AO53-CashBuffer))</f>
        <v/>
      </c>
      <c r="H54" s="12">
        <f>IF(G54&gt;0,MAX(1,ROUND(G54/CAC*D54,0)),0)</f>
        <v/>
      </c>
      <c r="I54" s="12">
        <f>IF(H54&gt;0,ROUND(H54*ReferralMix/(1-ReferralMix),0),0)</f>
        <v/>
      </c>
      <c r="J54" s="12">
        <f>H54+I54</f>
        <v/>
      </c>
      <c r="K54" s="12">
        <f>ROUND(J54*(1-AnnualMix),0)</f>
        <v/>
      </c>
      <c r="L54" s="12">
        <f>J54-K54</f>
        <v/>
      </c>
      <c r="M54" s="12">
        <f>ROUND(K54*EssentialMix,0)</f>
        <v/>
      </c>
      <c r="N54" s="12">
        <f>K54-M54</f>
        <v/>
      </c>
      <c r="O54" s="12">
        <f>ROUND(L54*EssentialMix,0)</f>
        <v/>
      </c>
      <c r="P54" s="12">
        <f>L54-O54</f>
        <v/>
      </c>
      <c r="Q54" s="12">
        <f>M54+M53+M52+MAX(0,Q53-M53-M52)*(1-F54)</f>
        <v/>
      </c>
      <c r="R54" s="12">
        <f>N54+N53+N52+MAX(0,R53-N53-N52)*(1-F54)</f>
        <v/>
      </c>
      <c r="S54" s="12">
        <f>S53+O54-O42*(AnnualChurn*VLOOKUP(B54,ChurnSeasonTable,4,FALSE))*POWER(1-(AnnualChurn*VLOOKUP(B54,ChurnSeasonTable,4,FALSE)),0)+O30*(AnnualChurn*VLOOKUP(B54,ChurnSeasonTable,4,FALSE))*POWER(1-(AnnualChurn*VLOOKUP(B54,ChurnSeasonTable,4,FALSE)),1)+O18*(AnnualChurn*VLOOKUP(B54,ChurnSeasonTable,4,FALSE))*POWER(1-(AnnualChurn*VLOOKUP(B54,ChurnSeasonTable,4,FALSE)),2)+O6*(AnnualChurn*VLOOKUP(B54,ChurnSeasonTable,4,FALSE))*POWER(1-(AnnualChurn*VLOOKUP(B54,ChurnSeasonTable,4,FALSE)),3)</f>
        <v/>
      </c>
      <c r="T54" s="12">
        <f>T53+P54-P42*(AnnualChurn*VLOOKUP(B54,ChurnSeasonTable,4,FALSE))*POWER(1-(AnnualChurn*VLOOKUP(B54,ChurnSeasonTable,4,FALSE)),0)+P30*(AnnualChurn*VLOOKUP(B54,ChurnSeasonTable,4,FALSE))*POWER(1-(AnnualChurn*VLOOKUP(B54,ChurnSeasonTable,4,FALSE)),1)+P18*(AnnualChurn*VLOOKUP(B54,ChurnSeasonTable,4,FALSE))*POWER(1-(AnnualChurn*VLOOKUP(B54,ChurnSeasonTable,4,FALSE)),2)+P6*(AnnualChurn*VLOOKUP(B54,ChurnSeasonTable,4,FALSE))*POWER(1-(AnnualChurn*VLOOKUP(B54,ChurnSeasonTable,4,FALSE)),3)</f>
        <v/>
      </c>
      <c r="U54" s="12">
        <f>Q54+R54+S54+T54</f>
        <v/>
      </c>
      <c r="V54" s="9">
        <f>Q54*PriceEssMonthly*E54+R54*PricePremMonthly*E54+S54*PriceEssAnnual*E54/12+T54*PricePremAnnual*E54/12</f>
        <v/>
      </c>
      <c r="W54" s="9">
        <f>V54*12</f>
        <v/>
      </c>
      <c r="X54" s="12">
        <f>Q54*PriceEssMonthly*E54+R54*PricePremMonthly*E54</f>
        <v/>
      </c>
      <c r="Y54" s="12">
        <f>O54*PriceEssAnnual*E54+P54*PricePremAnnual*E54</f>
        <v/>
      </c>
      <c r="Z54" s="12">
        <f>O42*POWER(1-(AnnualChurn*VLOOKUP(B54,ChurnSeasonTable,4,FALSE)),1)*PriceEssAnnual*E54+O30*POWER(1-(AnnualChurn*VLOOKUP(B54,ChurnSeasonTable,4,FALSE)),2)*PriceEssAnnual*E54+O18*POWER(1-(AnnualChurn*VLOOKUP(B54,ChurnSeasonTable,4,FALSE)),3)*PriceEssAnnual*E54+O6*POWER(1-(AnnualChurn*VLOOKUP(B54,ChurnSeasonTable,4,FALSE)),4)*PriceEssAnnual*E54+P42*POWER(1-(AnnualChurn*VLOOKUP(B54,ChurnSeasonTable,4,FALSE)),1)*PricePremAnnual*E54+P30*POWER(1-(AnnualChurn*VLOOKUP(B54,ChurnSeasonTable,4,FALSE)),2)*PricePremAnnual*E54+P18*POWER(1-(AnnualChurn*VLOOKUP(B54,ChurnSeasonTable,4,FALSE)),3)*PricePremAnnual*E54+P6*POWER(1-(AnnualChurn*VLOOKUP(B54,ChurnSeasonTable,4,FALSE)),4)*PricePremAnnual*E54</f>
        <v/>
      </c>
      <c r="AA54" s="9">
        <f>X54+Y54+Z54</f>
        <v/>
      </c>
      <c r="AB54" s="12">
        <f>SUM(AA43:AA54)</f>
        <v/>
      </c>
      <c r="AC54" s="12">
        <f>OR(AC53,AB54&gt;=VATThreshold)</f>
        <v/>
      </c>
      <c r="AD54" s="9">
        <f>IF(AC54,AA54/(1+VATRate),AA54)</f>
        <v/>
      </c>
      <c r="AE54" s="12">
        <f>AA54-AD54</f>
        <v/>
      </c>
      <c r="AF54" s="12">
        <f>IF(AC54=0,0,IF(B54=1,SUMPRODUCT(--(($C$5:$C54=$C54-1)*($B$5:$B54&gt;=10)*($B$5:$B54&lt;=12)),$AE$5:$AE54),IF(B54=4,SUMPRODUCT(--(($C$5:$C54=$C54)*($B$5:$B54&gt;=1)*($B$5:$B54&lt;=3)),$AE$5:$AE54),IF(B54=7,SUMPRODUCT(--(($C$5:$C54=$C54)*($B$5:$B54&gt;=4)*($B$5:$B54&lt;=6)),$AE$5:$AE54),IF(B54=10,SUMPRODUCT(--(($C$5:$C54=$C54)*($B$5:$B54&gt;=7)*($B$5:$B54&lt;=9)),$AE$5:$AE54),0)))))</f>
        <v/>
      </c>
      <c r="AG54" s="12">
        <f>AG53+AE54-AF54</f>
        <v/>
      </c>
      <c r="AH54" s="12">
        <f>IF(ProviderDelay&gt;=1,AD53*ProviderShare,AD54*ProviderShare)</f>
        <v/>
      </c>
      <c r="AI54" s="12">
        <f>AA54*PaymentFee</f>
        <v/>
      </c>
      <c r="AJ54" s="12">
        <f>U54*OpsAI</f>
        <v/>
      </c>
      <c r="AK54" s="12">
        <f>MonthlyFixed</f>
        <v/>
      </c>
      <c r="AL54" s="12">
        <f>I54*ReferralReward</f>
        <v/>
      </c>
      <c r="AM54" s="12">
        <f>G54</f>
        <v/>
      </c>
      <c r="AN54" s="9">
        <f>AD54-AH54-AI54-AJ54-AK54-AL54-AM54</f>
        <v/>
      </c>
      <c r="AO54" s="9">
        <f>AO53+AA54-(AH54+AI54+AJ54+AK54+AL54+AM54+AF54)</f>
        <v/>
      </c>
      <c r="AP54" s="12">
        <f>IF(U54&gt;0,V54/U54,0)</f>
        <v/>
      </c>
      <c r="AQ54" s="11">
        <f>IF(U53&gt;0,MAX(0,(U53+J54-U54)/U53),0)</f>
        <v/>
      </c>
    </row>
    <row r="55">
      <c r="A55" s="12" t="n">
        <v>51</v>
      </c>
      <c r="B55" s="12">
        <f>MOD(A55-1+LaunchMonth-1,12)+1</f>
        <v/>
      </c>
      <c r="C55" s="12">
        <f>INT((A55-1+LaunchMonth-1)/12)+1</f>
        <v/>
      </c>
      <c r="D55" s="12">
        <f>VLOOKUP(B55,SeasonTable,2,FALSE)</f>
        <v/>
      </c>
      <c r="E55" s="12">
        <f>(1+InflationRate)^INT((A55-1)/12)</f>
        <v/>
      </c>
      <c r="F55" s="11">
        <f>MonthlyChurn*VLOOKUP(B55,ChurnSeasonTable,4,FALSE)</f>
        <v/>
      </c>
      <c r="G55" s="12">
        <f>MIN(MAX(MktMin19plus,AA54*MktPct19plus),MAX(0,AO54-CashBuffer))</f>
        <v/>
      </c>
      <c r="H55" s="12">
        <f>IF(G55&gt;0,MAX(1,ROUND(G55/CAC*D55,0)),0)</f>
        <v/>
      </c>
      <c r="I55" s="12">
        <f>IF(H55&gt;0,ROUND(H55*ReferralMix/(1-ReferralMix),0),0)</f>
        <v/>
      </c>
      <c r="J55" s="12">
        <f>H55+I55</f>
        <v/>
      </c>
      <c r="K55" s="12">
        <f>ROUND(J55*(1-AnnualMix),0)</f>
        <v/>
      </c>
      <c r="L55" s="12">
        <f>J55-K55</f>
        <v/>
      </c>
      <c r="M55" s="12">
        <f>ROUND(K55*EssentialMix,0)</f>
        <v/>
      </c>
      <c r="N55" s="12">
        <f>K55-M55</f>
        <v/>
      </c>
      <c r="O55" s="12">
        <f>ROUND(L55*EssentialMix,0)</f>
        <v/>
      </c>
      <c r="P55" s="12">
        <f>L55-O55</f>
        <v/>
      </c>
      <c r="Q55" s="12">
        <f>M55+M54+M53+MAX(0,Q54-M54-M53)*(1-F55)</f>
        <v/>
      </c>
      <c r="R55" s="12">
        <f>N55+N54+N53+MAX(0,R54-N54-N53)*(1-F55)</f>
        <v/>
      </c>
      <c r="S55" s="12">
        <f>S54+O55-O43*(AnnualChurn*VLOOKUP(B55,ChurnSeasonTable,4,FALSE))*POWER(1-(AnnualChurn*VLOOKUP(B55,ChurnSeasonTable,4,FALSE)),0)+O31*(AnnualChurn*VLOOKUP(B55,ChurnSeasonTable,4,FALSE))*POWER(1-(AnnualChurn*VLOOKUP(B55,ChurnSeasonTable,4,FALSE)),1)+O19*(AnnualChurn*VLOOKUP(B55,ChurnSeasonTable,4,FALSE))*POWER(1-(AnnualChurn*VLOOKUP(B55,ChurnSeasonTable,4,FALSE)),2)+O7*(AnnualChurn*VLOOKUP(B55,ChurnSeasonTable,4,FALSE))*POWER(1-(AnnualChurn*VLOOKUP(B55,ChurnSeasonTable,4,FALSE)),3)</f>
        <v/>
      </c>
      <c r="T55" s="12">
        <f>T54+P55-P43*(AnnualChurn*VLOOKUP(B55,ChurnSeasonTable,4,FALSE))*POWER(1-(AnnualChurn*VLOOKUP(B55,ChurnSeasonTable,4,FALSE)),0)+P31*(AnnualChurn*VLOOKUP(B55,ChurnSeasonTable,4,FALSE))*POWER(1-(AnnualChurn*VLOOKUP(B55,ChurnSeasonTable,4,FALSE)),1)+P19*(AnnualChurn*VLOOKUP(B55,ChurnSeasonTable,4,FALSE))*POWER(1-(AnnualChurn*VLOOKUP(B55,ChurnSeasonTable,4,FALSE)),2)+P7*(AnnualChurn*VLOOKUP(B55,ChurnSeasonTable,4,FALSE))*POWER(1-(AnnualChurn*VLOOKUP(B55,ChurnSeasonTable,4,FALSE)),3)</f>
        <v/>
      </c>
      <c r="U55" s="12">
        <f>Q55+R55+S55+T55</f>
        <v/>
      </c>
      <c r="V55" s="9">
        <f>Q55*PriceEssMonthly*E55+R55*PricePremMonthly*E55+S55*PriceEssAnnual*E55/12+T55*PricePremAnnual*E55/12</f>
        <v/>
      </c>
      <c r="W55" s="9">
        <f>V55*12</f>
        <v/>
      </c>
      <c r="X55" s="12">
        <f>Q55*PriceEssMonthly*E55+R55*PricePremMonthly*E55</f>
        <v/>
      </c>
      <c r="Y55" s="12">
        <f>O55*PriceEssAnnual*E55+P55*PricePremAnnual*E55</f>
        <v/>
      </c>
      <c r="Z55" s="12">
        <f>O43*POWER(1-(AnnualChurn*VLOOKUP(B55,ChurnSeasonTable,4,FALSE)),1)*PriceEssAnnual*E55+O31*POWER(1-(AnnualChurn*VLOOKUP(B55,ChurnSeasonTable,4,FALSE)),2)*PriceEssAnnual*E55+O19*POWER(1-(AnnualChurn*VLOOKUP(B55,ChurnSeasonTable,4,FALSE)),3)*PriceEssAnnual*E55+O7*POWER(1-(AnnualChurn*VLOOKUP(B55,ChurnSeasonTable,4,FALSE)),4)*PriceEssAnnual*E55+P43*POWER(1-(AnnualChurn*VLOOKUP(B55,ChurnSeasonTable,4,FALSE)),1)*PricePremAnnual*E55+P31*POWER(1-(AnnualChurn*VLOOKUP(B55,ChurnSeasonTable,4,FALSE)),2)*PricePremAnnual*E55+P19*POWER(1-(AnnualChurn*VLOOKUP(B55,ChurnSeasonTable,4,FALSE)),3)*PricePremAnnual*E55+P7*POWER(1-(AnnualChurn*VLOOKUP(B55,ChurnSeasonTable,4,FALSE)),4)*PricePremAnnual*E55</f>
        <v/>
      </c>
      <c r="AA55" s="9">
        <f>X55+Y55+Z55</f>
        <v/>
      </c>
      <c r="AB55" s="12">
        <f>SUM(AA44:AA55)</f>
        <v/>
      </c>
      <c r="AC55" s="12">
        <f>OR(AC54,AB55&gt;=VATThreshold)</f>
        <v/>
      </c>
      <c r="AD55" s="9">
        <f>IF(AC55,AA55/(1+VATRate),AA55)</f>
        <v/>
      </c>
      <c r="AE55" s="12">
        <f>AA55-AD55</f>
        <v/>
      </c>
      <c r="AF55" s="12">
        <f>IF(AC55=0,0,IF(B55=1,SUMPRODUCT(--(($C$5:$C55=$C55-1)*($B$5:$B55&gt;=10)*($B$5:$B55&lt;=12)),$AE$5:$AE55),IF(B55=4,SUMPRODUCT(--(($C$5:$C55=$C55)*($B$5:$B55&gt;=1)*($B$5:$B55&lt;=3)),$AE$5:$AE55),IF(B55=7,SUMPRODUCT(--(($C$5:$C55=$C55)*($B$5:$B55&gt;=4)*($B$5:$B55&lt;=6)),$AE$5:$AE55),IF(B55=10,SUMPRODUCT(--(($C$5:$C55=$C55)*($B$5:$B55&gt;=7)*($B$5:$B55&lt;=9)),$AE$5:$AE55),0)))))</f>
        <v/>
      </c>
      <c r="AG55" s="12">
        <f>AG54+AE55-AF55</f>
        <v/>
      </c>
      <c r="AH55" s="12">
        <f>IF(ProviderDelay&gt;=1,AD54*ProviderShare,AD55*ProviderShare)</f>
        <v/>
      </c>
      <c r="AI55" s="12">
        <f>AA55*PaymentFee</f>
        <v/>
      </c>
      <c r="AJ55" s="12">
        <f>U55*OpsAI</f>
        <v/>
      </c>
      <c r="AK55" s="12">
        <f>MonthlyFixed</f>
        <v/>
      </c>
      <c r="AL55" s="12">
        <f>I55*ReferralReward</f>
        <v/>
      </c>
      <c r="AM55" s="12">
        <f>G55</f>
        <v/>
      </c>
      <c r="AN55" s="9">
        <f>AD55-AH55-AI55-AJ55-AK55-AL55-AM55</f>
        <v/>
      </c>
      <c r="AO55" s="9">
        <f>AO54+AA55-(AH55+AI55+AJ55+AK55+AL55+AM55+AF55)</f>
        <v/>
      </c>
      <c r="AP55" s="12">
        <f>IF(U55&gt;0,V55/U55,0)</f>
        <v/>
      </c>
      <c r="AQ55" s="11">
        <f>IF(U54&gt;0,MAX(0,(U54+J55-U55)/U54),0)</f>
        <v/>
      </c>
    </row>
    <row r="56">
      <c r="A56" s="12" t="n">
        <v>52</v>
      </c>
      <c r="B56" s="12">
        <f>MOD(A56-1+LaunchMonth-1,12)+1</f>
        <v/>
      </c>
      <c r="C56" s="12">
        <f>INT((A56-1+LaunchMonth-1)/12)+1</f>
        <v/>
      </c>
      <c r="D56" s="12">
        <f>VLOOKUP(B56,SeasonTable,2,FALSE)</f>
        <v/>
      </c>
      <c r="E56" s="12">
        <f>(1+InflationRate)^INT((A56-1)/12)</f>
        <v/>
      </c>
      <c r="F56" s="11">
        <f>MonthlyChurn*VLOOKUP(B56,ChurnSeasonTable,4,FALSE)</f>
        <v/>
      </c>
      <c r="G56" s="12">
        <f>MIN(MAX(MktMin19plus,AA55*MktPct19plus),MAX(0,AO55-CashBuffer))</f>
        <v/>
      </c>
      <c r="H56" s="12">
        <f>IF(G56&gt;0,MAX(1,ROUND(G56/CAC*D56,0)),0)</f>
        <v/>
      </c>
      <c r="I56" s="12">
        <f>IF(H56&gt;0,ROUND(H56*ReferralMix/(1-ReferralMix),0),0)</f>
        <v/>
      </c>
      <c r="J56" s="12">
        <f>H56+I56</f>
        <v/>
      </c>
      <c r="K56" s="12">
        <f>ROUND(J56*(1-AnnualMix),0)</f>
        <v/>
      </c>
      <c r="L56" s="12">
        <f>J56-K56</f>
        <v/>
      </c>
      <c r="M56" s="12">
        <f>ROUND(K56*EssentialMix,0)</f>
        <v/>
      </c>
      <c r="N56" s="12">
        <f>K56-M56</f>
        <v/>
      </c>
      <c r="O56" s="12">
        <f>ROUND(L56*EssentialMix,0)</f>
        <v/>
      </c>
      <c r="P56" s="12">
        <f>L56-O56</f>
        <v/>
      </c>
      <c r="Q56" s="12">
        <f>M56+M55+M54+MAX(0,Q55-M55-M54)*(1-F56)</f>
        <v/>
      </c>
      <c r="R56" s="12">
        <f>N56+N55+N54+MAX(0,R55-N55-N54)*(1-F56)</f>
        <v/>
      </c>
      <c r="S56" s="12">
        <f>S55+O56-O44*(AnnualChurn*VLOOKUP(B56,ChurnSeasonTable,4,FALSE))*POWER(1-(AnnualChurn*VLOOKUP(B56,ChurnSeasonTable,4,FALSE)),0)+O32*(AnnualChurn*VLOOKUP(B56,ChurnSeasonTable,4,FALSE))*POWER(1-(AnnualChurn*VLOOKUP(B56,ChurnSeasonTable,4,FALSE)),1)+O20*(AnnualChurn*VLOOKUP(B56,ChurnSeasonTable,4,FALSE))*POWER(1-(AnnualChurn*VLOOKUP(B56,ChurnSeasonTable,4,FALSE)),2)+O8*(AnnualChurn*VLOOKUP(B56,ChurnSeasonTable,4,FALSE))*POWER(1-(AnnualChurn*VLOOKUP(B56,ChurnSeasonTable,4,FALSE)),3)</f>
        <v/>
      </c>
      <c r="T56" s="12">
        <f>T55+P56-P44*(AnnualChurn*VLOOKUP(B56,ChurnSeasonTable,4,FALSE))*POWER(1-(AnnualChurn*VLOOKUP(B56,ChurnSeasonTable,4,FALSE)),0)+P32*(AnnualChurn*VLOOKUP(B56,ChurnSeasonTable,4,FALSE))*POWER(1-(AnnualChurn*VLOOKUP(B56,ChurnSeasonTable,4,FALSE)),1)+P20*(AnnualChurn*VLOOKUP(B56,ChurnSeasonTable,4,FALSE))*POWER(1-(AnnualChurn*VLOOKUP(B56,ChurnSeasonTable,4,FALSE)),2)+P8*(AnnualChurn*VLOOKUP(B56,ChurnSeasonTable,4,FALSE))*POWER(1-(AnnualChurn*VLOOKUP(B56,ChurnSeasonTable,4,FALSE)),3)</f>
        <v/>
      </c>
      <c r="U56" s="12">
        <f>Q56+R56+S56+T56</f>
        <v/>
      </c>
      <c r="V56" s="9">
        <f>Q56*PriceEssMonthly*E56+R56*PricePremMonthly*E56+S56*PriceEssAnnual*E56/12+T56*PricePremAnnual*E56/12</f>
        <v/>
      </c>
      <c r="W56" s="9">
        <f>V56*12</f>
        <v/>
      </c>
      <c r="X56" s="12">
        <f>Q56*PriceEssMonthly*E56+R56*PricePremMonthly*E56</f>
        <v/>
      </c>
      <c r="Y56" s="12">
        <f>O56*PriceEssAnnual*E56+P56*PricePremAnnual*E56</f>
        <v/>
      </c>
      <c r="Z56" s="12">
        <f>O44*POWER(1-(AnnualChurn*VLOOKUP(B56,ChurnSeasonTable,4,FALSE)),1)*PriceEssAnnual*E56+O32*POWER(1-(AnnualChurn*VLOOKUP(B56,ChurnSeasonTable,4,FALSE)),2)*PriceEssAnnual*E56+O20*POWER(1-(AnnualChurn*VLOOKUP(B56,ChurnSeasonTable,4,FALSE)),3)*PriceEssAnnual*E56+O8*POWER(1-(AnnualChurn*VLOOKUP(B56,ChurnSeasonTable,4,FALSE)),4)*PriceEssAnnual*E56+P44*POWER(1-(AnnualChurn*VLOOKUP(B56,ChurnSeasonTable,4,FALSE)),1)*PricePremAnnual*E56+P32*POWER(1-(AnnualChurn*VLOOKUP(B56,ChurnSeasonTable,4,FALSE)),2)*PricePremAnnual*E56+P20*POWER(1-(AnnualChurn*VLOOKUP(B56,ChurnSeasonTable,4,FALSE)),3)*PricePremAnnual*E56+P8*POWER(1-(AnnualChurn*VLOOKUP(B56,ChurnSeasonTable,4,FALSE)),4)*PricePremAnnual*E56</f>
        <v/>
      </c>
      <c r="AA56" s="9">
        <f>X56+Y56+Z56</f>
        <v/>
      </c>
      <c r="AB56" s="12">
        <f>SUM(AA45:AA56)</f>
        <v/>
      </c>
      <c r="AC56" s="12">
        <f>OR(AC55,AB56&gt;=VATThreshold)</f>
        <v/>
      </c>
      <c r="AD56" s="9">
        <f>IF(AC56,AA56/(1+VATRate),AA56)</f>
        <v/>
      </c>
      <c r="AE56" s="12">
        <f>AA56-AD56</f>
        <v/>
      </c>
      <c r="AF56" s="12">
        <f>IF(AC56=0,0,IF(B56=1,SUMPRODUCT(--(($C$5:$C56=$C56-1)*($B$5:$B56&gt;=10)*($B$5:$B56&lt;=12)),$AE$5:$AE56),IF(B56=4,SUMPRODUCT(--(($C$5:$C56=$C56)*($B$5:$B56&gt;=1)*($B$5:$B56&lt;=3)),$AE$5:$AE56),IF(B56=7,SUMPRODUCT(--(($C$5:$C56=$C56)*($B$5:$B56&gt;=4)*($B$5:$B56&lt;=6)),$AE$5:$AE56),IF(B56=10,SUMPRODUCT(--(($C$5:$C56=$C56)*($B$5:$B56&gt;=7)*($B$5:$B56&lt;=9)),$AE$5:$AE56),0)))))</f>
        <v/>
      </c>
      <c r="AG56" s="12">
        <f>AG55+AE56-AF56</f>
        <v/>
      </c>
      <c r="AH56" s="12">
        <f>IF(ProviderDelay&gt;=1,AD55*ProviderShare,AD56*ProviderShare)</f>
        <v/>
      </c>
      <c r="AI56" s="12">
        <f>AA56*PaymentFee</f>
        <v/>
      </c>
      <c r="AJ56" s="12">
        <f>U56*OpsAI</f>
        <v/>
      </c>
      <c r="AK56" s="12">
        <f>MonthlyFixed</f>
        <v/>
      </c>
      <c r="AL56" s="12">
        <f>I56*ReferralReward</f>
        <v/>
      </c>
      <c r="AM56" s="12">
        <f>G56</f>
        <v/>
      </c>
      <c r="AN56" s="9">
        <f>AD56-AH56-AI56-AJ56-AK56-AL56-AM56</f>
        <v/>
      </c>
      <c r="AO56" s="9">
        <f>AO55+AA56-(AH56+AI56+AJ56+AK56+AL56+AM56+AF56)</f>
        <v/>
      </c>
      <c r="AP56" s="12">
        <f>IF(U56&gt;0,V56/U56,0)</f>
        <v/>
      </c>
      <c r="AQ56" s="11">
        <f>IF(U55&gt;0,MAX(0,(U55+J56-U56)/U55),0)</f>
        <v/>
      </c>
    </row>
    <row r="57">
      <c r="A57" s="12" t="n">
        <v>53</v>
      </c>
      <c r="B57" s="12">
        <f>MOD(A57-1+LaunchMonth-1,12)+1</f>
        <v/>
      </c>
      <c r="C57" s="12">
        <f>INT((A57-1+LaunchMonth-1)/12)+1</f>
        <v/>
      </c>
      <c r="D57" s="12">
        <f>VLOOKUP(B57,SeasonTable,2,FALSE)</f>
        <v/>
      </c>
      <c r="E57" s="12">
        <f>(1+InflationRate)^INT((A57-1)/12)</f>
        <v/>
      </c>
      <c r="F57" s="11">
        <f>MonthlyChurn*VLOOKUP(B57,ChurnSeasonTable,4,FALSE)</f>
        <v/>
      </c>
      <c r="G57" s="12">
        <f>MIN(MAX(MktMin19plus,AA56*MktPct19plus),MAX(0,AO56-CashBuffer))</f>
        <v/>
      </c>
      <c r="H57" s="12">
        <f>IF(G57&gt;0,MAX(1,ROUND(G57/CAC*D57,0)),0)</f>
        <v/>
      </c>
      <c r="I57" s="12">
        <f>IF(H57&gt;0,ROUND(H57*ReferralMix/(1-ReferralMix),0),0)</f>
        <v/>
      </c>
      <c r="J57" s="12">
        <f>H57+I57</f>
        <v/>
      </c>
      <c r="K57" s="12">
        <f>ROUND(J57*(1-AnnualMix),0)</f>
        <v/>
      </c>
      <c r="L57" s="12">
        <f>J57-K57</f>
        <v/>
      </c>
      <c r="M57" s="12">
        <f>ROUND(K57*EssentialMix,0)</f>
        <v/>
      </c>
      <c r="N57" s="12">
        <f>K57-M57</f>
        <v/>
      </c>
      <c r="O57" s="12">
        <f>ROUND(L57*EssentialMix,0)</f>
        <v/>
      </c>
      <c r="P57" s="12">
        <f>L57-O57</f>
        <v/>
      </c>
      <c r="Q57" s="12">
        <f>M57+M56+M55+MAX(0,Q56-M56-M55)*(1-F57)</f>
        <v/>
      </c>
      <c r="R57" s="12">
        <f>N57+N56+N55+MAX(0,R56-N56-N55)*(1-F57)</f>
        <v/>
      </c>
      <c r="S57" s="12">
        <f>S56+O57-O45*(AnnualChurn*VLOOKUP(B57,ChurnSeasonTable,4,FALSE))*POWER(1-(AnnualChurn*VLOOKUP(B57,ChurnSeasonTable,4,FALSE)),0)+O33*(AnnualChurn*VLOOKUP(B57,ChurnSeasonTable,4,FALSE))*POWER(1-(AnnualChurn*VLOOKUP(B57,ChurnSeasonTable,4,FALSE)),1)+O21*(AnnualChurn*VLOOKUP(B57,ChurnSeasonTable,4,FALSE))*POWER(1-(AnnualChurn*VLOOKUP(B57,ChurnSeasonTable,4,FALSE)),2)+O9*(AnnualChurn*VLOOKUP(B57,ChurnSeasonTable,4,FALSE))*POWER(1-(AnnualChurn*VLOOKUP(B57,ChurnSeasonTable,4,FALSE)),3)</f>
        <v/>
      </c>
      <c r="T57" s="12">
        <f>T56+P57-P45*(AnnualChurn*VLOOKUP(B57,ChurnSeasonTable,4,FALSE))*POWER(1-(AnnualChurn*VLOOKUP(B57,ChurnSeasonTable,4,FALSE)),0)+P33*(AnnualChurn*VLOOKUP(B57,ChurnSeasonTable,4,FALSE))*POWER(1-(AnnualChurn*VLOOKUP(B57,ChurnSeasonTable,4,FALSE)),1)+P21*(AnnualChurn*VLOOKUP(B57,ChurnSeasonTable,4,FALSE))*POWER(1-(AnnualChurn*VLOOKUP(B57,ChurnSeasonTable,4,FALSE)),2)+P9*(AnnualChurn*VLOOKUP(B57,ChurnSeasonTable,4,FALSE))*POWER(1-(AnnualChurn*VLOOKUP(B57,ChurnSeasonTable,4,FALSE)),3)</f>
        <v/>
      </c>
      <c r="U57" s="12">
        <f>Q57+R57+S57+T57</f>
        <v/>
      </c>
      <c r="V57" s="9">
        <f>Q57*PriceEssMonthly*E57+R57*PricePremMonthly*E57+S57*PriceEssAnnual*E57/12+T57*PricePremAnnual*E57/12</f>
        <v/>
      </c>
      <c r="W57" s="9">
        <f>V57*12</f>
        <v/>
      </c>
      <c r="X57" s="12">
        <f>Q57*PriceEssMonthly*E57+R57*PricePremMonthly*E57</f>
        <v/>
      </c>
      <c r="Y57" s="12">
        <f>O57*PriceEssAnnual*E57+P57*PricePremAnnual*E57</f>
        <v/>
      </c>
      <c r="Z57" s="12">
        <f>O45*POWER(1-(AnnualChurn*VLOOKUP(B57,ChurnSeasonTable,4,FALSE)),1)*PriceEssAnnual*E57+O33*POWER(1-(AnnualChurn*VLOOKUP(B57,ChurnSeasonTable,4,FALSE)),2)*PriceEssAnnual*E57+O21*POWER(1-(AnnualChurn*VLOOKUP(B57,ChurnSeasonTable,4,FALSE)),3)*PriceEssAnnual*E57+O9*POWER(1-(AnnualChurn*VLOOKUP(B57,ChurnSeasonTable,4,FALSE)),4)*PriceEssAnnual*E57+P45*POWER(1-(AnnualChurn*VLOOKUP(B57,ChurnSeasonTable,4,FALSE)),1)*PricePremAnnual*E57+P33*POWER(1-(AnnualChurn*VLOOKUP(B57,ChurnSeasonTable,4,FALSE)),2)*PricePremAnnual*E57+P21*POWER(1-(AnnualChurn*VLOOKUP(B57,ChurnSeasonTable,4,FALSE)),3)*PricePremAnnual*E57+P9*POWER(1-(AnnualChurn*VLOOKUP(B57,ChurnSeasonTable,4,FALSE)),4)*PricePremAnnual*E57</f>
        <v/>
      </c>
      <c r="AA57" s="9">
        <f>X57+Y57+Z57</f>
        <v/>
      </c>
      <c r="AB57" s="12">
        <f>SUM(AA46:AA57)</f>
        <v/>
      </c>
      <c r="AC57" s="12">
        <f>OR(AC56,AB57&gt;=VATThreshold)</f>
        <v/>
      </c>
      <c r="AD57" s="9">
        <f>IF(AC57,AA57/(1+VATRate),AA57)</f>
        <v/>
      </c>
      <c r="AE57" s="12">
        <f>AA57-AD57</f>
        <v/>
      </c>
      <c r="AF57" s="12">
        <f>IF(AC57=0,0,IF(B57=1,SUMPRODUCT(--(($C$5:$C57=$C57-1)*($B$5:$B57&gt;=10)*($B$5:$B57&lt;=12)),$AE$5:$AE57),IF(B57=4,SUMPRODUCT(--(($C$5:$C57=$C57)*($B$5:$B57&gt;=1)*($B$5:$B57&lt;=3)),$AE$5:$AE57),IF(B57=7,SUMPRODUCT(--(($C$5:$C57=$C57)*($B$5:$B57&gt;=4)*($B$5:$B57&lt;=6)),$AE$5:$AE57),IF(B57=10,SUMPRODUCT(--(($C$5:$C57=$C57)*($B$5:$B57&gt;=7)*($B$5:$B57&lt;=9)),$AE$5:$AE57),0)))))</f>
        <v/>
      </c>
      <c r="AG57" s="12">
        <f>AG56+AE57-AF57</f>
        <v/>
      </c>
      <c r="AH57" s="12">
        <f>IF(ProviderDelay&gt;=1,AD56*ProviderShare,AD57*ProviderShare)</f>
        <v/>
      </c>
      <c r="AI57" s="12">
        <f>AA57*PaymentFee</f>
        <v/>
      </c>
      <c r="AJ57" s="12">
        <f>U57*OpsAI</f>
        <v/>
      </c>
      <c r="AK57" s="12">
        <f>MonthlyFixed</f>
        <v/>
      </c>
      <c r="AL57" s="12">
        <f>I57*ReferralReward</f>
        <v/>
      </c>
      <c r="AM57" s="12">
        <f>G57</f>
        <v/>
      </c>
      <c r="AN57" s="9">
        <f>AD57-AH57-AI57-AJ57-AK57-AL57-AM57</f>
        <v/>
      </c>
      <c r="AO57" s="9">
        <f>AO56+AA57-(AH57+AI57+AJ57+AK57+AL57+AM57+AF57)</f>
        <v/>
      </c>
      <c r="AP57" s="12">
        <f>IF(U57&gt;0,V57/U57,0)</f>
        <v/>
      </c>
      <c r="AQ57" s="11">
        <f>IF(U56&gt;0,MAX(0,(U56+J57-U57)/U56),0)</f>
        <v/>
      </c>
    </row>
    <row r="58">
      <c r="A58" s="12" t="n">
        <v>54</v>
      </c>
      <c r="B58" s="12">
        <f>MOD(A58-1+LaunchMonth-1,12)+1</f>
        <v/>
      </c>
      <c r="C58" s="12">
        <f>INT((A58-1+LaunchMonth-1)/12)+1</f>
        <v/>
      </c>
      <c r="D58" s="12">
        <f>VLOOKUP(B58,SeasonTable,2,FALSE)</f>
        <v/>
      </c>
      <c r="E58" s="12">
        <f>(1+InflationRate)^INT((A58-1)/12)</f>
        <v/>
      </c>
      <c r="F58" s="11">
        <f>MonthlyChurn*VLOOKUP(B58,ChurnSeasonTable,4,FALSE)</f>
        <v/>
      </c>
      <c r="G58" s="12">
        <f>MIN(MAX(MktMin19plus,AA57*MktPct19plus),MAX(0,AO57-CashBuffer))</f>
        <v/>
      </c>
      <c r="H58" s="12">
        <f>IF(G58&gt;0,MAX(1,ROUND(G58/CAC*D58,0)),0)</f>
        <v/>
      </c>
      <c r="I58" s="12">
        <f>IF(H58&gt;0,ROUND(H58*ReferralMix/(1-ReferralMix),0),0)</f>
        <v/>
      </c>
      <c r="J58" s="12">
        <f>H58+I58</f>
        <v/>
      </c>
      <c r="K58" s="12">
        <f>ROUND(J58*(1-AnnualMix),0)</f>
        <v/>
      </c>
      <c r="L58" s="12">
        <f>J58-K58</f>
        <v/>
      </c>
      <c r="M58" s="12">
        <f>ROUND(K58*EssentialMix,0)</f>
        <v/>
      </c>
      <c r="N58" s="12">
        <f>K58-M58</f>
        <v/>
      </c>
      <c r="O58" s="12">
        <f>ROUND(L58*EssentialMix,0)</f>
        <v/>
      </c>
      <c r="P58" s="12">
        <f>L58-O58</f>
        <v/>
      </c>
      <c r="Q58" s="12">
        <f>M58+M57+M56+MAX(0,Q57-M57-M56)*(1-F58)</f>
        <v/>
      </c>
      <c r="R58" s="12">
        <f>N58+N57+N56+MAX(0,R57-N57-N56)*(1-F58)</f>
        <v/>
      </c>
      <c r="S58" s="12">
        <f>S57+O58-O46*(AnnualChurn*VLOOKUP(B58,ChurnSeasonTable,4,FALSE))*POWER(1-(AnnualChurn*VLOOKUP(B58,ChurnSeasonTable,4,FALSE)),0)+O34*(AnnualChurn*VLOOKUP(B58,ChurnSeasonTable,4,FALSE))*POWER(1-(AnnualChurn*VLOOKUP(B58,ChurnSeasonTable,4,FALSE)),1)+O22*(AnnualChurn*VLOOKUP(B58,ChurnSeasonTable,4,FALSE))*POWER(1-(AnnualChurn*VLOOKUP(B58,ChurnSeasonTable,4,FALSE)),2)+O10*(AnnualChurn*VLOOKUP(B58,ChurnSeasonTable,4,FALSE))*POWER(1-(AnnualChurn*VLOOKUP(B58,ChurnSeasonTable,4,FALSE)),3)</f>
        <v/>
      </c>
      <c r="T58" s="12">
        <f>T57+P58-P46*(AnnualChurn*VLOOKUP(B58,ChurnSeasonTable,4,FALSE))*POWER(1-(AnnualChurn*VLOOKUP(B58,ChurnSeasonTable,4,FALSE)),0)+P34*(AnnualChurn*VLOOKUP(B58,ChurnSeasonTable,4,FALSE))*POWER(1-(AnnualChurn*VLOOKUP(B58,ChurnSeasonTable,4,FALSE)),1)+P22*(AnnualChurn*VLOOKUP(B58,ChurnSeasonTable,4,FALSE))*POWER(1-(AnnualChurn*VLOOKUP(B58,ChurnSeasonTable,4,FALSE)),2)+P10*(AnnualChurn*VLOOKUP(B58,ChurnSeasonTable,4,FALSE))*POWER(1-(AnnualChurn*VLOOKUP(B58,ChurnSeasonTable,4,FALSE)),3)</f>
        <v/>
      </c>
      <c r="U58" s="12">
        <f>Q58+R58+S58+T58</f>
        <v/>
      </c>
      <c r="V58" s="9">
        <f>Q58*PriceEssMonthly*E58+R58*PricePremMonthly*E58+S58*PriceEssAnnual*E58/12+T58*PricePremAnnual*E58/12</f>
        <v/>
      </c>
      <c r="W58" s="9">
        <f>V58*12</f>
        <v/>
      </c>
      <c r="X58" s="12">
        <f>Q58*PriceEssMonthly*E58+R58*PricePremMonthly*E58</f>
        <v/>
      </c>
      <c r="Y58" s="12">
        <f>O58*PriceEssAnnual*E58+P58*PricePremAnnual*E58</f>
        <v/>
      </c>
      <c r="Z58" s="12">
        <f>O46*POWER(1-(AnnualChurn*VLOOKUP(B58,ChurnSeasonTable,4,FALSE)),1)*PriceEssAnnual*E58+O34*POWER(1-(AnnualChurn*VLOOKUP(B58,ChurnSeasonTable,4,FALSE)),2)*PriceEssAnnual*E58+O22*POWER(1-(AnnualChurn*VLOOKUP(B58,ChurnSeasonTable,4,FALSE)),3)*PriceEssAnnual*E58+O10*POWER(1-(AnnualChurn*VLOOKUP(B58,ChurnSeasonTable,4,FALSE)),4)*PriceEssAnnual*E58+P46*POWER(1-(AnnualChurn*VLOOKUP(B58,ChurnSeasonTable,4,FALSE)),1)*PricePremAnnual*E58+P34*POWER(1-(AnnualChurn*VLOOKUP(B58,ChurnSeasonTable,4,FALSE)),2)*PricePremAnnual*E58+P22*POWER(1-(AnnualChurn*VLOOKUP(B58,ChurnSeasonTable,4,FALSE)),3)*PricePremAnnual*E58+P10*POWER(1-(AnnualChurn*VLOOKUP(B58,ChurnSeasonTable,4,FALSE)),4)*PricePremAnnual*E58</f>
        <v/>
      </c>
      <c r="AA58" s="9">
        <f>X58+Y58+Z58</f>
        <v/>
      </c>
      <c r="AB58" s="12">
        <f>SUM(AA47:AA58)</f>
        <v/>
      </c>
      <c r="AC58" s="12">
        <f>OR(AC57,AB58&gt;=VATThreshold)</f>
        <v/>
      </c>
      <c r="AD58" s="9">
        <f>IF(AC58,AA58/(1+VATRate),AA58)</f>
        <v/>
      </c>
      <c r="AE58" s="12">
        <f>AA58-AD58</f>
        <v/>
      </c>
      <c r="AF58" s="12">
        <f>IF(AC58=0,0,IF(B58=1,SUMPRODUCT(--(($C$5:$C58=$C58-1)*($B$5:$B58&gt;=10)*($B$5:$B58&lt;=12)),$AE$5:$AE58),IF(B58=4,SUMPRODUCT(--(($C$5:$C58=$C58)*($B$5:$B58&gt;=1)*($B$5:$B58&lt;=3)),$AE$5:$AE58),IF(B58=7,SUMPRODUCT(--(($C$5:$C58=$C58)*($B$5:$B58&gt;=4)*($B$5:$B58&lt;=6)),$AE$5:$AE58),IF(B58=10,SUMPRODUCT(--(($C$5:$C58=$C58)*($B$5:$B58&gt;=7)*($B$5:$B58&lt;=9)),$AE$5:$AE58),0)))))</f>
        <v/>
      </c>
      <c r="AG58" s="12">
        <f>AG57+AE58-AF58</f>
        <v/>
      </c>
      <c r="AH58" s="12">
        <f>IF(ProviderDelay&gt;=1,AD57*ProviderShare,AD58*ProviderShare)</f>
        <v/>
      </c>
      <c r="AI58" s="12">
        <f>AA58*PaymentFee</f>
        <v/>
      </c>
      <c r="AJ58" s="12">
        <f>U58*OpsAI</f>
        <v/>
      </c>
      <c r="AK58" s="12">
        <f>MonthlyFixed</f>
        <v/>
      </c>
      <c r="AL58" s="12">
        <f>I58*ReferralReward</f>
        <v/>
      </c>
      <c r="AM58" s="12">
        <f>G58</f>
        <v/>
      </c>
      <c r="AN58" s="9">
        <f>AD58-AH58-AI58-AJ58-AK58-AL58-AM58</f>
        <v/>
      </c>
      <c r="AO58" s="9">
        <f>AO57+AA58-(AH58+AI58+AJ58+AK58+AL58+AM58+AF58)</f>
        <v/>
      </c>
      <c r="AP58" s="12">
        <f>IF(U58&gt;0,V58/U58,0)</f>
        <v/>
      </c>
      <c r="AQ58" s="11">
        <f>IF(U57&gt;0,MAX(0,(U57+J58-U58)/U57),0)</f>
        <v/>
      </c>
    </row>
    <row r="59">
      <c r="A59" s="12" t="n">
        <v>55</v>
      </c>
      <c r="B59" s="12">
        <f>MOD(A59-1+LaunchMonth-1,12)+1</f>
        <v/>
      </c>
      <c r="C59" s="12">
        <f>INT((A59-1+LaunchMonth-1)/12)+1</f>
        <v/>
      </c>
      <c r="D59" s="12">
        <f>VLOOKUP(B59,SeasonTable,2,FALSE)</f>
        <v/>
      </c>
      <c r="E59" s="12">
        <f>(1+InflationRate)^INT((A59-1)/12)</f>
        <v/>
      </c>
      <c r="F59" s="11">
        <f>MonthlyChurn*VLOOKUP(B59,ChurnSeasonTable,4,FALSE)</f>
        <v/>
      </c>
      <c r="G59" s="12">
        <f>MIN(MAX(MktMin19plus,AA58*MktPct19plus),MAX(0,AO58-CashBuffer))</f>
        <v/>
      </c>
      <c r="H59" s="12">
        <f>IF(G59&gt;0,MAX(1,ROUND(G59/CAC*D59,0)),0)</f>
        <v/>
      </c>
      <c r="I59" s="12">
        <f>IF(H59&gt;0,ROUND(H59*ReferralMix/(1-ReferralMix),0),0)</f>
        <v/>
      </c>
      <c r="J59" s="12">
        <f>H59+I59</f>
        <v/>
      </c>
      <c r="K59" s="12">
        <f>ROUND(J59*(1-AnnualMix),0)</f>
        <v/>
      </c>
      <c r="L59" s="12">
        <f>J59-K59</f>
        <v/>
      </c>
      <c r="M59" s="12">
        <f>ROUND(K59*EssentialMix,0)</f>
        <v/>
      </c>
      <c r="N59" s="12">
        <f>K59-M59</f>
        <v/>
      </c>
      <c r="O59" s="12">
        <f>ROUND(L59*EssentialMix,0)</f>
        <v/>
      </c>
      <c r="P59" s="12">
        <f>L59-O59</f>
        <v/>
      </c>
      <c r="Q59" s="12">
        <f>M59+M58+M57+MAX(0,Q58-M58-M57)*(1-F59)</f>
        <v/>
      </c>
      <c r="R59" s="12">
        <f>N59+N58+N57+MAX(0,R58-N58-N57)*(1-F59)</f>
        <v/>
      </c>
      <c r="S59" s="12">
        <f>S58+O59-O47*(AnnualChurn*VLOOKUP(B59,ChurnSeasonTable,4,FALSE))*POWER(1-(AnnualChurn*VLOOKUP(B59,ChurnSeasonTable,4,FALSE)),0)+O35*(AnnualChurn*VLOOKUP(B59,ChurnSeasonTable,4,FALSE))*POWER(1-(AnnualChurn*VLOOKUP(B59,ChurnSeasonTable,4,FALSE)),1)+O23*(AnnualChurn*VLOOKUP(B59,ChurnSeasonTable,4,FALSE))*POWER(1-(AnnualChurn*VLOOKUP(B59,ChurnSeasonTable,4,FALSE)),2)+O11*(AnnualChurn*VLOOKUP(B59,ChurnSeasonTable,4,FALSE))*POWER(1-(AnnualChurn*VLOOKUP(B59,ChurnSeasonTable,4,FALSE)),3)</f>
        <v/>
      </c>
      <c r="T59" s="12">
        <f>T58+P59-P47*(AnnualChurn*VLOOKUP(B59,ChurnSeasonTable,4,FALSE))*POWER(1-(AnnualChurn*VLOOKUP(B59,ChurnSeasonTable,4,FALSE)),0)+P35*(AnnualChurn*VLOOKUP(B59,ChurnSeasonTable,4,FALSE))*POWER(1-(AnnualChurn*VLOOKUP(B59,ChurnSeasonTable,4,FALSE)),1)+P23*(AnnualChurn*VLOOKUP(B59,ChurnSeasonTable,4,FALSE))*POWER(1-(AnnualChurn*VLOOKUP(B59,ChurnSeasonTable,4,FALSE)),2)+P11*(AnnualChurn*VLOOKUP(B59,ChurnSeasonTable,4,FALSE))*POWER(1-(AnnualChurn*VLOOKUP(B59,ChurnSeasonTable,4,FALSE)),3)</f>
        <v/>
      </c>
      <c r="U59" s="12">
        <f>Q59+R59+S59+T59</f>
        <v/>
      </c>
      <c r="V59" s="9">
        <f>Q59*PriceEssMonthly*E59+R59*PricePremMonthly*E59+S59*PriceEssAnnual*E59/12+T59*PricePremAnnual*E59/12</f>
        <v/>
      </c>
      <c r="W59" s="9">
        <f>V59*12</f>
        <v/>
      </c>
      <c r="X59" s="12">
        <f>Q59*PriceEssMonthly*E59+R59*PricePremMonthly*E59</f>
        <v/>
      </c>
      <c r="Y59" s="12">
        <f>O59*PriceEssAnnual*E59+P59*PricePremAnnual*E59</f>
        <v/>
      </c>
      <c r="Z59" s="12">
        <f>O47*POWER(1-(AnnualChurn*VLOOKUP(B59,ChurnSeasonTable,4,FALSE)),1)*PriceEssAnnual*E59+O35*POWER(1-(AnnualChurn*VLOOKUP(B59,ChurnSeasonTable,4,FALSE)),2)*PriceEssAnnual*E59+O23*POWER(1-(AnnualChurn*VLOOKUP(B59,ChurnSeasonTable,4,FALSE)),3)*PriceEssAnnual*E59+O11*POWER(1-(AnnualChurn*VLOOKUP(B59,ChurnSeasonTable,4,FALSE)),4)*PriceEssAnnual*E59+P47*POWER(1-(AnnualChurn*VLOOKUP(B59,ChurnSeasonTable,4,FALSE)),1)*PricePremAnnual*E59+P35*POWER(1-(AnnualChurn*VLOOKUP(B59,ChurnSeasonTable,4,FALSE)),2)*PricePremAnnual*E59+P23*POWER(1-(AnnualChurn*VLOOKUP(B59,ChurnSeasonTable,4,FALSE)),3)*PricePremAnnual*E59+P11*POWER(1-(AnnualChurn*VLOOKUP(B59,ChurnSeasonTable,4,FALSE)),4)*PricePremAnnual*E59</f>
        <v/>
      </c>
      <c r="AA59" s="9">
        <f>X59+Y59+Z59</f>
        <v/>
      </c>
      <c r="AB59" s="12">
        <f>SUM(AA48:AA59)</f>
        <v/>
      </c>
      <c r="AC59" s="12">
        <f>OR(AC58,AB59&gt;=VATThreshold)</f>
        <v/>
      </c>
      <c r="AD59" s="9">
        <f>IF(AC59,AA59/(1+VATRate),AA59)</f>
        <v/>
      </c>
      <c r="AE59" s="12">
        <f>AA59-AD59</f>
        <v/>
      </c>
      <c r="AF59" s="12">
        <f>IF(AC59=0,0,IF(B59=1,SUMPRODUCT(--(($C$5:$C59=$C59-1)*($B$5:$B59&gt;=10)*($B$5:$B59&lt;=12)),$AE$5:$AE59),IF(B59=4,SUMPRODUCT(--(($C$5:$C59=$C59)*($B$5:$B59&gt;=1)*($B$5:$B59&lt;=3)),$AE$5:$AE59),IF(B59=7,SUMPRODUCT(--(($C$5:$C59=$C59)*($B$5:$B59&gt;=4)*($B$5:$B59&lt;=6)),$AE$5:$AE59),IF(B59=10,SUMPRODUCT(--(($C$5:$C59=$C59)*($B$5:$B59&gt;=7)*($B$5:$B59&lt;=9)),$AE$5:$AE59),0)))))</f>
        <v/>
      </c>
      <c r="AG59" s="12">
        <f>AG58+AE59-AF59</f>
        <v/>
      </c>
      <c r="AH59" s="12">
        <f>IF(ProviderDelay&gt;=1,AD58*ProviderShare,AD59*ProviderShare)</f>
        <v/>
      </c>
      <c r="AI59" s="12">
        <f>AA59*PaymentFee</f>
        <v/>
      </c>
      <c r="AJ59" s="12">
        <f>U59*OpsAI</f>
        <v/>
      </c>
      <c r="AK59" s="12">
        <f>MonthlyFixed</f>
        <v/>
      </c>
      <c r="AL59" s="12">
        <f>I59*ReferralReward</f>
        <v/>
      </c>
      <c r="AM59" s="12">
        <f>G59</f>
        <v/>
      </c>
      <c r="AN59" s="9">
        <f>AD59-AH59-AI59-AJ59-AK59-AL59-AM59</f>
        <v/>
      </c>
      <c r="AO59" s="9">
        <f>AO58+AA59-(AH59+AI59+AJ59+AK59+AL59+AM59+AF59)</f>
        <v/>
      </c>
      <c r="AP59" s="12">
        <f>IF(U59&gt;0,V59/U59,0)</f>
        <v/>
      </c>
      <c r="AQ59" s="11">
        <f>IF(U58&gt;0,MAX(0,(U58+J59-U59)/U58),0)</f>
        <v/>
      </c>
    </row>
    <row r="60">
      <c r="A60" s="12" t="n">
        <v>56</v>
      </c>
      <c r="B60" s="12">
        <f>MOD(A60-1+LaunchMonth-1,12)+1</f>
        <v/>
      </c>
      <c r="C60" s="12">
        <f>INT((A60-1+LaunchMonth-1)/12)+1</f>
        <v/>
      </c>
      <c r="D60" s="12">
        <f>VLOOKUP(B60,SeasonTable,2,FALSE)</f>
        <v/>
      </c>
      <c r="E60" s="12">
        <f>(1+InflationRate)^INT((A60-1)/12)</f>
        <v/>
      </c>
      <c r="F60" s="11">
        <f>MonthlyChurn*VLOOKUP(B60,ChurnSeasonTable,4,FALSE)</f>
        <v/>
      </c>
      <c r="G60" s="12">
        <f>MIN(MAX(MktMin19plus,AA59*MktPct19plus),MAX(0,AO59-CashBuffer))</f>
        <v/>
      </c>
      <c r="H60" s="12">
        <f>IF(G60&gt;0,MAX(1,ROUND(G60/CAC*D60,0)),0)</f>
        <v/>
      </c>
      <c r="I60" s="12">
        <f>IF(H60&gt;0,ROUND(H60*ReferralMix/(1-ReferralMix),0),0)</f>
        <v/>
      </c>
      <c r="J60" s="12">
        <f>H60+I60</f>
        <v/>
      </c>
      <c r="K60" s="12">
        <f>ROUND(J60*(1-AnnualMix),0)</f>
        <v/>
      </c>
      <c r="L60" s="12">
        <f>J60-K60</f>
        <v/>
      </c>
      <c r="M60" s="12">
        <f>ROUND(K60*EssentialMix,0)</f>
        <v/>
      </c>
      <c r="N60" s="12">
        <f>K60-M60</f>
        <v/>
      </c>
      <c r="O60" s="12">
        <f>ROUND(L60*EssentialMix,0)</f>
        <v/>
      </c>
      <c r="P60" s="12">
        <f>L60-O60</f>
        <v/>
      </c>
      <c r="Q60" s="12">
        <f>M60+M59+M58+MAX(0,Q59-M59-M58)*(1-F60)</f>
        <v/>
      </c>
      <c r="R60" s="12">
        <f>N60+N59+N58+MAX(0,R59-N59-N58)*(1-F60)</f>
        <v/>
      </c>
      <c r="S60" s="12">
        <f>S59+O60-O48*(AnnualChurn*VLOOKUP(B60,ChurnSeasonTable,4,FALSE))*POWER(1-(AnnualChurn*VLOOKUP(B60,ChurnSeasonTable,4,FALSE)),0)+O36*(AnnualChurn*VLOOKUP(B60,ChurnSeasonTable,4,FALSE))*POWER(1-(AnnualChurn*VLOOKUP(B60,ChurnSeasonTable,4,FALSE)),1)+O24*(AnnualChurn*VLOOKUP(B60,ChurnSeasonTable,4,FALSE))*POWER(1-(AnnualChurn*VLOOKUP(B60,ChurnSeasonTable,4,FALSE)),2)+O12*(AnnualChurn*VLOOKUP(B60,ChurnSeasonTable,4,FALSE))*POWER(1-(AnnualChurn*VLOOKUP(B60,ChurnSeasonTable,4,FALSE)),3)</f>
        <v/>
      </c>
      <c r="T60" s="12">
        <f>T59+P60-P48*(AnnualChurn*VLOOKUP(B60,ChurnSeasonTable,4,FALSE))*POWER(1-(AnnualChurn*VLOOKUP(B60,ChurnSeasonTable,4,FALSE)),0)+P36*(AnnualChurn*VLOOKUP(B60,ChurnSeasonTable,4,FALSE))*POWER(1-(AnnualChurn*VLOOKUP(B60,ChurnSeasonTable,4,FALSE)),1)+P24*(AnnualChurn*VLOOKUP(B60,ChurnSeasonTable,4,FALSE))*POWER(1-(AnnualChurn*VLOOKUP(B60,ChurnSeasonTable,4,FALSE)),2)+P12*(AnnualChurn*VLOOKUP(B60,ChurnSeasonTable,4,FALSE))*POWER(1-(AnnualChurn*VLOOKUP(B60,ChurnSeasonTable,4,FALSE)),3)</f>
        <v/>
      </c>
      <c r="U60" s="12">
        <f>Q60+R60+S60+T60</f>
        <v/>
      </c>
      <c r="V60" s="9">
        <f>Q60*PriceEssMonthly*E60+R60*PricePremMonthly*E60+S60*PriceEssAnnual*E60/12+T60*PricePremAnnual*E60/12</f>
        <v/>
      </c>
      <c r="W60" s="9">
        <f>V60*12</f>
        <v/>
      </c>
      <c r="X60" s="12">
        <f>Q60*PriceEssMonthly*E60+R60*PricePremMonthly*E60</f>
        <v/>
      </c>
      <c r="Y60" s="12">
        <f>O60*PriceEssAnnual*E60+P60*PricePremAnnual*E60</f>
        <v/>
      </c>
      <c r="Z60" s="12">
        <f>O48*POWER(1-(AnnualChurn*VLOOKUP(B60,ChurnSeasonTable,4,FALSE)),1)*PriceEssAnnual*E60+O36*POWER(1-(AnnualChurn*VLOOKUP(B60,ChurnSeasonTable,4,FALSE)),2)*PriceEssAnnual*E60+O24*POWER(1-(AnnualChurn*VLOOKUP(B60,ChurnSeasonTable,4,FALSE)),3)*PriceEssAnnual*E60+O12*POWER(1-(AnnualChurn*VLOOKUP(B60,ChurnSeasonTable,4,FALSE)),4)*PriceEssAnnual*E60+P48*POWER(1-(AnnualChurn*VLOOKUP(B60,ChurnSeasonTable,4,FALSE)),1)*PricePremAnnual*E60+P36*POWER(1-(AnnualChurn*VLOOKUP(B60,ChurnSeasonTable,4,FALSE)),2)*PricePremAnnual*E60+P24*POWER(1-(AnnualChurn*VLOOKUP(B60,ChurnSeasonTable,4,FALSE)),3)*PricePremAnnual*E60+P12*POWER(1-(AnnualChurn*VLOOKUP(B60,ChurnSeasonTable,4,FALSE)),4)*PricePremAnnual*E60</f>
        <v/>
      </c>
      <c r="AA60" s="9">
        <f>X60+Y60+Z60</f>
        <v/>
      </c>
      <c r="AB60" s="12">
        <f>SUM(AA49:AA60)</f>
        <v/>
      </c>
      <c r="AC60" s="12">
        <f>OR(AC59,AB60&gt;=VATThreshold)</f>
        <v/>
      </c>
      <c r="AD60" s="9">
        <f>IF(AC60,AA60/(1+VATRate),AA60)</f>
        <v/>
      </c>
      <c r="AE60" s="12">
        <f>AA60-AD60</f>
        <v/>
      </c>
      <c r="AF60" s="12">
        <f>IF(AC60=0,0,IF(B60=1,SUMPRODUCT(--(($C$5:$C60=$C60-1)*($B$5:$B60&gt;=10)*($B$5:$B60&lt;=12)),$AE$5:$AE60),IF(B60=4,SUMPRODUCT(--(($C$5:$C60=$C60)*($B$5:$B60&gt;=1)*($B$5:$B60&lt;=3)),$AE$5:$AE60),IF(B60=7,SUMPRODUCT(--(($C$5:$C60=$C60)*($B$5:$B60&gt;=4)*($B$5:$B60&lt;=6)),$AE$5:$AE60),IF(B60=10,SUMPRODUCT(--(($C$5:$C60=$C60)*($B$5:$B60&gt;=7)*($B$5:$B60&lt;=9)),$AE$5:$AE60),0)))))</f>
        <v/>
      </c>
      <c r="AG60" s="12">
        <f>AG59+AE60-AF60</f>
        <v/>
      </c>
      <c r="AH60" s="12">
        <f>IF(ProviderDelay&gt;=1,AD59*ProviderShare,AD60*ProviderShare)</f>
        <v/>
      </c>
      <c r="AI60" s="12">
        <f>AA60*PaymentFee</f>
        <v/>
      </c>
      <c r="AJ60" s="12">
        <f>U60*OpsAI</f>
        <v/>
      </c>
      <c r="AK60" s="12">
        <f>MonthlyFixed</f>
        <v/>
      </c>
      <c r="AL60" s="12">
        <f>I60*ReferralReward</f>
        <v/>
      </c>
      <c r="AM60" s="12">
        <f>G60</f>
        <v/>
      </c>
      <c r="AN60" s="9">
        <f>AD60-AH60-AI60-AJ60-AK60-AL60-AM60</f>
        <v/>
      </c>
      <c r="AO60" s="9">
        <f>AO59+AA60-(AH60+AI60+AJ60+AK60+AL60+AM60+AF60)</f>
        <v/>
      </c>
      <c r="AP60" s="12">
        <f>IF(U60&gt;0,V60/U60,0)</f>
        <v/>
      </c>
      <c r="AQ60" s="11">
        <f>IF(U59&gt;0,MAX(0,(U59+J60-U60)/U59),0)</f>
        <v/>
      </c>
    </row>
    <row r="61">
      <c r="A61" s="12" t="n">
        <v>57</v>
      </c>
      <c r="B61" s="12">
        <f>MOD(A61-1+LaunchMonth-1,12)+1</f>
        <v/>
      </c>
      <c r="C61" s="12">
        <f>INT((A61-1+LaunchMonth-1)/12)+1</f>
        <v/>
      </c>
      <c r="D61" s="12">
        <f>VLOOKUP(B61,SeasonTable,2,FALSE)</f>
        <v/>
      </c>
      <c r="E61" s="12">
        <f>(1+InflationRate)^INT((A61-1)/12)</f>
        <v/>
      </c>
      <c r="F61" s="11">
        <f>MonthlyChurn*VLOOKUP(B61,ChurnSeasonTable,4,FALSE)</f>
        <v/>
      </c>
      <c r="G61" s="12">
        <f>MIN(MAX(MktMin19plus,AA60*MktPct19plus),MAX(0,AO60-CashBuffer))</f>
        <v/>
      </c>
      <c r="H61" s="12">
        <f>IF(G61&gt;0,MAX(1,ROUND(G61/CAC*D61,0)),0)</f>
        <v/>
      </c>
      <c r="I61" s="12">
        <f>IF(H61&gt;0,ROUND(H61*ReferralMix/(1-ReferralMix),0),0)</f>
        <v/>
      </c>
      <c r="J61" s="12">
        <f>H61+I61</f>
        <v/>
      </c>
      <c r="K61" s="12">
        <f>ROUND(J61*(1-AnnualMix),0)</f>
        <v/>
      </c>
      <c r="L61" s="12">
        <f>J61-K61</f>
        <v/>
      </c>
      <c r="M61" s="12">
        <f>ROUND(K61*EssentialMix,0)</f>
        <v/>
      </c>
      <c r="N61" s="12">
        <f>K61-M61</f>
        <v/>
      </c>
      <c r="O61" s="12">
        <f>ROUND(L61*EssentialMix,0)</f>
        <v/>
      </c>
      <c r="P61" s="12">
        <f>L61-O61</f>
        <v/>
      </c>
      <c r="Q61" s="12">
        <f>M61+M60+M59+MAX(0,Q60-M60-M59)*(1-F61)</f>
        <v/>
      </c>
      <c r="R61" s="12">
        <f>N61+N60+N59+MAX(0,R60-N60-N59)*(1-F61)</f>
        <v/>
      </c>
      <c r="S61" s="12">
        <f>S60+O61-O49*(AnnualChurn*VLOOKUP(B61,ChurnSeasonTable,4,FALSE))*POWER(1-(AnnualChurn*VLOOKUP(B61,ChurnSeasonTable,4,FALSE)),0)+O37*(AnnualChurn*VLOOKUP(B61,ChurnSeasonTable,4,FALSE))*POWER(1-(AnnualChurn*VLOOKUP(B61,ChurnSeasonTable,4,FALSE)),1)+O25*(AnnualChurn*VLOOKUP(B61,ChurnSeasonTable,4,FALSE))*POWER(1-(AnnualChurn*VLOOKUP(B61,ChurnSeasonTable,4,FALSE)),2)+O13*(AnnualChurn*VLOOKUP(B61,ChurnSeasonTable,4,FALSE))*POWER(1-(AnnualChurn*VLOOKUP(B61,ChurnSeasonTable,4,FALSE)),3)</f>
        <v/>
      </c>
      <c r="T61" s="12">
        <f>T60+P61-P49*(AnnualChurn*VLOOKUP(B61,ChurnSeasonTable,4,FALSE))*POWER(1-(AnnualChurn*VLOOKUP(B61,ChurnSeasonTable,4,FALSE)),0)+P37*(AnnualChurn*VLOOKUP(B61,ChurnSeasonTable,4,FALSE))*POWER(1-(AnnualChurn*VLOOKUP(B61,ChurnSeasonTable,4,FALSE)),1)+P25*(AnnualChurn*VLOOKUP(B61,ChurnSeasonTable,4,FALSE))*POWER(1-(AnnualChurn*VLOOKUP(B61,ChurnSeasonTable,4,FALSE)),2)+P13*(AnnualChurn*VLOOKUP(B61,ChurnSeasonTable,4,FALSE))*POWER(1-(AnnualChurn*VLOOKUP(B61,ChurnSeasonTable,4,FALSE)),3)</f>
        <v/>
      </c>
      <c r="U61" s="12">
        <f>Q61+R61+S61+T61</f>
        <v/>
      </c>
      <c r="V61" s="9">
        <f>Q61*PriceEssMonthly*E61+R61*PricePremMonthly*E61+S61*PriceEssAnnual*E61/12+T61*PricePremAnnual*E61/12</f>
        <v/>
      </c>
      <c r="W61" s="9">
        <f>V61*12</f>
        <v/>
      </c>
      <c r="X61" s="12">
        <f>Q61*PriceEssMonthly*E61+R61*PricePremMonthly*E61</f>
        <v/>
      </c>
      <c r="Y61" s="12">
        <f>O61*PriceEssAnnual*E61+P61*PricePremAnnual*E61</f>
        <v/>
      </c>
      <c r="Z61" s="12">
        <f>O49*POWER(1-(AnnualChurn*VLOOKUP(B61,ChurnSeasonTable,4,FALSE)),1)*PriceEssAnnual*E61+O37*POWER(1-(AnnualChurn*VLOOKUP(B61,ChurnSeasonTable,4,FALSE)),2)*PriceEssAnnual*E61+O25*POWER(1-(AnnualChurn*VLOOKUP(B61,ChurnSeasonTable,4,FALSE)),3)*PriceEssAnnual*E61+O13*POWER(1-(AnnualChurn*VLOOKUP(B61,ChurnSeasonTable,4,FALSE)),4)*PriceEssAnnual*E61+P49*POWER(1-(AnnualChurn*VLOOKUP(B61,ChurnSeasonTable,4,FALSE)),1)*PricePremAnnual*E61+P37*POWER(1-(AnnualChurn*VLOOKUP(B61,ChurnSeasonTable,4,FALSE)),2)*PricePremAnnual*E61+P25*POWER(1-(AnnualChurn*VLOOKUP(B61,ChurnSeasonTable,4,FALSE)),3)*PricePremAnnual*E61+P13*POWER(1-(AnnualChurn*VLOOKUP(B61,ChurnSeasonTable,4,FALSE)),4)*PricePremAnnual*E61</f>
        <v/>
      </c>
      <c r="AA61" s="9">
        <f>X61+Y61+Z61</f>
        <v/>
      </c>
      <c r="AB61" s="12">
        <f>SUM(AA50:AA61)</f>
        <v/>
      </c>
      <c r="AC61" s="12">
        <f>OR(AC60,AB61&gt;=VATThreshold)</f>
        <v/>
      </c>
      <c r="AD61" s="9">
        <f>IF(AC61,AA61/(1+VATRate),AA61)</f>
        <v/>
      </c>
      <c r="AE61" s="12">
        <f>AA61-AD61</f>
        <v/>
      </c>
      <c r="AF61" s="12">
        <f>IF(AC61=0,0,IF(B61=1,SUMPRODUCT(--(($C$5:$C61=$C61-1)*($B$5:$B61&gt;=10)*($B$5:$B61&lt;=12)),$AE$5:$AE61),IF(B61=4,SUMPRODUCT(--(($C$5:$C61=$C61)*($B$5:$B61&gt;=1)*($B$5:$B61&lt;=3)),$AE$5:$AE61),IF(B61=7,SUMPRODUCT(--(($C$5:$C61=$C61)*($B$5:$B61&gt;=4)*($B$5:$B61&lt;=6)),$AE$5:$AE61),IF(B61=10,SUMPRODUCT(--(($C$5:$C61=$C61)*($B$5:$B61&gt;=7)*($B$5:$B61&lt;=9)),$AE$5:$AE61),0)))))</f>
        <v/>
      </c>
      <c r="AG61" s="12">
        <f>AG60+AE61-AF61</f>
        <v/>
      </c>
      <c r="AH61" s="12">
        <f>IF(ProviderDelay&gt;=1,AD60*ProviderShare,AD61*ProviderShare)</f>
        <v/>
      </c>
      <c r="AI61" s="12">
        <f>AA61*PaymentFee</f>
        <v/>
      </c>
      <c r="AJ61" s="12">
        <f>U61*OpsAI</f>
        <v/>
      </c>
      <c r="AK61" s="12">
        <f>MonthlyFixed</f>
        <v/>
      </c>
      <c r="AL61" s="12">
        <f>I61*ReferralReward</f>
        <v/>
      </c>
      <c r="AM61" s="12">
        <f>G61</f>
        <v/>
      </c>
      <c r="AN61" s="9">
        <f>AD61-AH61-AI61-AJ61-AK61-AL61-AM61</f>
        <v/>
      </c>
      <c r="AO61" s="9">
        <f>AO60+AA61-(AH61+AI61+AJ61+AK61+AL61+AM61+AF61)</f>
        <v/>
      </c>
      <c r="AP61" s="12">
        <f>IF(U61&gt;0,V61/U61,0)</f>
        <v/>
      </c>
      <c r="AQ61" s="11">
        <f>IF(U60&gt;0,MAX(0,(U60+J61-U61)/U60),0)</f>
        <v/>
      </c>
    </row>
    <row r="62">
      <c r="A62" s="12" t="n">
        <v>58</v>
      </c>
      <c r="B62" s="12">
        <f>MOD(A62-1+LaunchMonth-1,12)+1</f>
        <v/>
      </c>
      <c r="C62" s="12">
        <f>INT((A62-1+LaunchMonth-1)/12)+1</f>
        <v/>
      </c>
      <c r="D62" s="12">
        <f>VLOOKUP(B62,SeasonTable,2,FALSE)</f>
        <v/>
      </c>
      <c r="E62" s="12">
        <f>(1+InflationRate)^INT((A62-1)/12)</f>
        <v/>
      </c>
      <c r="F62" s="11">
        <f>MonthlyChurn*VLOOKUP(B62,ChurnSeasonTable,4,FALSE)</f>
        <v/>
      </c>
      <c r="G62" s="12">
        <f>MIN(MAX(MktMin19plus,AA61*MktPct19plus),MAX(0,AO61-CashBuffer))</f>
        <v/>
      </c>
      <c r="H62" s="12">
        <f>IF(G62&gt;0,MAX(1,ROUND(G62/CAC*D62,0)),0)</f>
        <v/>
      </c>
      <c r="I62" s="12">
        <f>IF(H62&gt;0,ROUND(H62*ReferralMix/(1-ReferralMix),0),0)</f>
        <v/>
      </c>
      <c r="J62" s="12">
        <f>H62+I62</f>
        <v/>
      </c>
      <c r="K62" s="12">
        <f>ROUND(J62*(1-AnnualMix),0)</f>
        <v/>
      </c>
      <c r="L62" s="12">
        <f>J62-K62</f>
        <v/>
      </c>
      <c r="M62" s="12">
        <f>ROUND(K62*EssentialMix,0)</f>
        <v/>
      </c>
      <c r="N62" s="12">
        <f>K62-M62</f>
        <v/>
      </c>
      <c r="O62" s="12">
        <f>ROUND(L62*EssentialMix,0)</f>
        <v/>
      </c>
      <c r="P62" s="12">
        <f>L62-O62</f>
        <v/>
      </c>
      <c r="Q62" s="12">
        <f>M62+M61+M60+MAX(0,Q61-M61-M60)*(1-F62)</f>
        <v/>
      </c>
      <c r="R62" s="12">
        <f>N62+N61+N60+MAX(0,R61-N61-N60)*(1-F62)</f>
        <v/>
      </c>
      <c r="S62" s="12">
        <f>S61+O62-O50*(AnnualChurn*VLOOKUP(B62,ChurnSeasonTable,4,FALSE))*POWER(1-(AnnualChurn*VLOOKUP(B62,ChurnSeasonTable,4,FALSE)),0)+O38*(AnnualChurn*VLOOKUP(B62,ChurnSeasonTable,4,FALSE))*POWER(1-(AnnualChurn*VLOOKUP(B62,ChurnSeasonTable,4,FALSE)),1)+O26*(AnnualChurn*VLOOKUP(B62,ChurnSeasonTable,4,FALSE))*POWER(1-(AnnualChurn*VLOOKUP(B62,ChurnSeasonTable,4,FALSE)),2)+O14*(AnnualChurn*VLOOKUP(B62,ChurnSeasonTable,4,FALSE))*POWER(1-(AnnualChurn*VLOOKUP(B62,ChurnSeasonTable,4,FALSE)),3)</f>
        <v/>
      </c>
      <c r="T62" s="12">
        <f>T61+P62-P50*(AnnualChurn*VLOOKUP(B62,ChurnSeasonTable,4,FALSE))*POWER(1-(AnnualChurn*VLOOKUP(B62,ChurnSeasonTable,4,FALSE)),0)+P38*(AnnualChurn*VLOOKUP(B62,ChurnSeasonTable,4,FALSE))*POWER(1-(AnnualChurn*VLOOKUP(B62,ChurnSeasonTable,4,FALSE)),1)+P26*(AnnualChurn*VLOOKUP(B62,ChurnSeasonTable,4,FALSE))*POWER(1-(AnnualChurn*VLOOKUP(B62,ChurnSeasonTable,4,FALSE)),2)+P14*(AnnualChurn*VLOOKUP(B62,ChurnSeasonTable,4,FALSE))*POWER(1-(AnnualChurn*VLOOKUP(B62,ChurnSeasonTable,4,FALSE)),3)</f>
        <v/>
      </c>
      <c r="U62" s="12">
        <f>Q62+R62+S62+T62</f>
        <v/>
      </c>
      <c r="V62" s="9">
        <f>Q62*PriceEssMonthly*E62+R62*PricePremMonthly*E62+S62*PriceEssAnnual*E62/12+T62*PricePremAnnual*E62/12</f>
        <v/>
      </c>
      <c r="W62" s="9">
        <f>V62*12</f>
        <v/>
      </c>
      <c r="X62" s="12">
        <f>Q62*PriceEssMonthly*E62+R62*PricePremMonthly*E62</f>
        <v/>
      </c>
      <c r="Y62" s="12">
        <f>O62*PriceEssAnnual*E62+P62*PricePremAnnual*E62</f>
        <v/>
      </c>
      <c r="Z62" s="12">
        <f>O50*POWER(1-(AnnualChurn*VLOOKUP(B62,ChurnSeasonTable,4,FALSE)),1)*PriceEssAnnual*E62+O38*POWER(1-(AnnualChurn*VLOOKUP(B62,ChurnSeasonTable,4,FALSE)),2)*PriceEssAnnual*E62+O26*POWER(1-(AnnualChurn*VLOOKUP(B62,ChurnSeasonTable,4,FALSE)),3)*PriceEssAnnual*E62+O14*POWER(1-(AnnualChurn*VLOOKUP(B62,ChurnSeasonTable,4,FALSE)),4)*PriceEssAnnual*E62+P50*POWER(1-(AnnualChurn*VLOOKUP(B62,ChurnSeasonTable,4,FALSE)),1)*PricePremAnnual*E62+P38*POWER(1-(AnnualChurn*VLOOKUP(B62,ChurnSeasonTable,4,FALSE)),2)*PricePremAnnual*E62+P26*POWER(1-(AnnualChurn*VLOOKUP(B62,ChurnSeasonTable,4,FALSE)),3)*PricePremAnnual*E62+P14*POWER(1-(AnnualChurn*VLOOKUP(B62,ChurnSeasonTable,4,FALSE)),4)*PricePremAnnual*E62</f>
        <v/>
      </c>
      <c r="AA62" s="9">
        <f>X62+Y62+Z62</f>
        <v/>
      </c>
      <c r="AB62" s="12">
        <f>SUM(AA51:AA62)</f>
        <v/>
      </c>
      <c r="AC62" s="12">
        <f>OR(AC61,AB62&gt;=VATThreshold)</f>
        <v/>
      </c>
      <c r="AD62" s="9">
        <f>IF(AC62,AA62/(1+VATRate),AA62)</f>
        <v/>
      </c>
      <c r="AE62" s="12">
        <f>AA62-AD62</f>
        <v/>
      </c>
      <c r="AF62" s="12">
        <f>IF(AC62=0,0,IF(B62=1,SUMPRODUCT(--(($C$5:$C62=$C62-1)*($B$5:$B62&gt;=10)*($B$5:$B62&lt;=12)),$AE$5:$AE62),IF(B62=4,SUMPRODUCT(--(($C$5:$C62=$C62)*($B$5:$B62&gt;=1)*($B$5:$B62&lt;=3)),$AE$5:$AE62),IF(B62=7,SUMPRODUCT(--(($C$5:$C62=$C62)*($B$5:$B62&gt;=4)*($B$5:$B62&lt;=6)),$AE$5:$AE62),IF(B62=10,SUMPRODUCT(--(($C$5:$C62=$C62)*($B$5:$B62&gt;=7)*($B$5:$B62&lt;=9)),$AE$5:$AE62),0)))))</f>
        <v/>
      </c>
      <c r="AG62" s="12">
        <f>AG61+AE62-AF62</f>
        <v/>
      </c>
      <c r="AH62" s="12">
        <f>IF(ProviderDelay&gt;=1,AD61*ProviderShare,AD62*ProviderShare)</f>
        <v/>
      </c>
      <c r="AI62" s="12">
        <f>AA62*PaymentFee</f>
        <v/>
      </c>
      <c r="AJ62" s="12">
        <f>U62*OpsAI</f>
        <v/>
      </c>
      <c r="AK62" s="12">
        <f>MonthlyFixed</f>
        <v/>
      </c>
      <c r="AL62" s="12">
        <f>I62*ReferralReward</f>
        <v/>
      </c>
      <c r="AM62" s="12">
        <f>G62</f>
        <v/>
      </c>
      <c r="AN62" s="9">
        <f>AD62-AH62-AI62-AJ62-AK62-AL62-AM62</f>
        <v/>
      </c>
      <c r="AO62" s="9">
        <f>AO61+AA62-(AH62+AI62+AJ62+AK62+AL62+AM62+AF62)</f>
        <v/>
      </c>
      <c r="AP62" s="12">
        <f>IF(U62&gt;0,V62/U62,0)</f>
        <v/>
      </c>
      <c r="AQ62" s="11">
        <f>IF(U61&gt;0,MAX(0,(U61+J62-U62)/U61),0)</f>
        <v/>
      </c>
    </row>
    <row r="63">
      <c r="A63" s="12" t="n">
        <v>59</v>
      </c>
      <c r="B63" s="12">
        <f>MOD(A63-1+LaunchMonth-1,12)+1</f>
        <v/>
      </c>
      <c r="C63" s="12">
        <f>INT((A63-1+LaunchMonth-1)/12)+1</f>
        <v/>
      </c>
      <c r="D63" s="12">
        <f>VLOOKUP(B63,SeasonTable,2,FALSE)</f>
        <v/>
      </c>
      <c r="E63" s="12">
        <f>(1+InflationRate)^INT((A63-1)/12)</f>
        <v/>
      </c>
      <c r="F63" s="11">
        <f>MonthlyChurn*VLOOKUP(B63,ChurnSeasonTable,4,FALSE)</f>
        <v/>
      </c>
      <c r="G63" s="12">
        <f>MIN(MAX(MktMin19plus,AA62*MktPct19plus),MAX(0,AO62-CashBuffer))</f>
        <v/>
      </c>
      <c r="H63" s="12">
        <f>IF(G63&gt;0,MAX(1,ROUND(G63/CAC*D63,0)),0)</f>
        <v/>
      </c>
      <c r="I63" s="12">
        <f>IF(H63&gt;0,ROUND(H63*ReferralMix/(1-ReferralMix),0),0)</f>
        <v/>
      </c>
      <c r="J63" s="12">
        <f>H63+I63</f>
        <v/>
      </c>
      <c r="K63" s="12">
        <f>ROUND(J63*(1-AnnualMix),0)</f>
        <v/>
      </c>
      <c r="L63" s="12">
        <f>J63-K63</f>
        <v/>
      </c>
      <c r="M63" s="12">
        <f>ROUND(K63*EssentialMix,0)</f>
        <v/>
      </c>
      <c r="N63" s="12">
        <f>K63-M63</f>
        <v/>
      </c>
      <c r="O63" s="12">
        <f>ROUND(L63*EssentialMix,0)</f>
        <v/>
      </c>
      <c r="P63" s="12">
        <f>L63-O63</f>
        <v/>
      </c>
      <c r="Q63" s="12">
        <f>M63+M62+M61+MAX(0,Q62-M62-M61)*(1-F63)</f>
        <v/>
      </c>
      <c r="R63" s="12">
        <f>N63+N62+N61+MAX(0,R62-N62-N61)*(1-F63)</f>
        <v/>
      </c>
      <c r="S63" s="12">
        <f>S62+O63-O51*(AnnualChurn*VLOOKUP(B63,ChurnSeasonTable,4,FALSE))*POWER(1-(AnnualChurn*VLOOKUP(B63,ChurnSeasonTable,4,FALSE)),0)+O39*(AnnualChurn*VLOOKUP(B63,ChurnSeasonTable,4,FALSE))*POWER(1-(AnnualChurn*VLOOKUP(B63,ChurnSeasonTable,4,FALSE)),1)+O27*(AnnualChurn*VLOOKUP(B63,ChurnSeasonTable,4,FALSE))*POWER(1-(AnnualChurn*VLOOKUP(B63,ChurnSeasonTable,4,FALSE)),2)+O15*(AnnualChurn*VLOOKUP(B63,ChurnSeasonTable,4,FALSE))*POWER(1-(AnnualChurn*VLOOKUP(B63,ChurnSeasonTable,4,FALSE)),3)</f>
        <v/>
      </c>
      <c r="T63" s="12">
        <f>T62+P63-P51*(AnnualChurn*VLOOKUP(B63,ChurnSeasonTable,4,FALSE))*POWER(1-(AnnualChurn*VLOOKUP(B63,ChurnSeasonTable,4,FALSE)),0)+P39*(AnnualChurn*VLOOKUP(B63,ChurnSeasonTable,4,FALSE))*POWER(1-(AnnualChurn*VLOOKUP(B63,ChurnSeasonTable,4,FALSE)),1)+P27*(AnnualChurn*VLOOKUP(B63,ChurnSeasonTable,4,FALSE))*POWER(1-(AnnualChurn*VLOOKUP(B63,ChurnSeasonTable,4,FALSE)),2)+P15*(AnnualChurn*VLOOKUP(B63,ChurnSeasonTable,4,FALSE))*POWER(1-(AnnualChurn*VLOOKUP(B63,ChurnSeasonTable,4,FALSE)),3)</f>
        <v/>
      </c>
      <c r="U63" s="12">
        <f>Q63+R63+S63+T63</f>
        <v/>
      </c>
      <c r="V63" s="9">
        <f>Q63*PriceEssMonthly*E63+R63*PricePremMonthly*E63+S63*PriceEssAnnual*E63/12+T63*PricePremAnnual*E63/12</f>
        <v/>
      </c>
      <c r="W63" s="9">
        <f>V63*12</f>
        <v/>
      </c>
      <c r="X63" s="12">
        <f>Q63*PriceEssMonthly*E63+R63*PricePremMonthly*E63</f>
        <v/>
      </c>
      <c r="Y63" s="12">
        <f>O63*PriceEssAnnual*E63+P63*PricePremAnnual*E63</f>
        <v/>
      </c>
      <c r="Z63" s="12">
        <f>O51*POWER(1-(AnnualChurn*VLOOKUP(B63,ChurnSeasonTable,4,FALSE)),1)*PriceEssAnnual*E63+O39*POWER(1-(AnnualChurn*VLOOKUP(B63,ChurnSeasonTable,4,FALSE)),2)*PriceEssAnnual*E63+O27*POWER(1-(AnnualChurn*VLOOKUP(B63,ChurnSeasonTable,4,FALSE)),3)*PriceEssAnnual*E63+O15*POWER(1-(AnnualChurn*VLOOKUP(B63,ChurnSeasonTable,4,FALSE)),4)*PriceEssAnnual*E63+P51*POWER(1-(AnnualChurn*VLOOKUP(B63,ChurnSeasonTable,4,FALSE)),1)*PricePremAnnual*E63+P39*POWER(1-(AnnualChurn*VLOOKUP(B63,ChurnSeasonTable,4,FALSE)),2)*PricePremAnnual*E63+P27*POWER(1-(AnnualChurn*VLOOKUP(B63,ChurnSeasonTable,4,FALSE)),3)*PricePremAnnual*E63+P15*POWER(1-(AnnualChurn*VLOOKUP(B63,ChurnSeasonTable,4,FALSE)),4)*PricePremAnnual*E63</f>
        <v/>
      </c>
      <c r="AA63" s="9">
        <f>X63+Y63+Z63</f>
        <v/>
      </c>
      <c r="AB63" s="12">
        <f>SUM(AA52:AA63)</f>
        <v/>
      </c>
      <c r="AC63" s="12">
        <f>OR(AC62,AB63&gt;=VATThreshold)</f>
        <v/>
      </c>
      <c r="AD63" s="9">
        <f>IF(AC63,AA63/(1+VATRate),AA63)</f>
        <v/>
      </c>
      <c r="AE63" s="12">
        <f>AA63-AD63</f>
        <v/>
      </c>
      <c r="AF63" s="12">
        <f>IF(AC63=0,0,IF(B63=1,SUMPRODUCT(--(($C$5:$C63=$C63-1)*($B$5:$B63&gt;=10)*($B$5:$B63&lt;=12)),$AE$5:$AE63),IF(B63=4,SUMPRODUCT(--(($C$5:$C63=$C63)*($B$5:$B63&gt;=1)*($B$5:$B63&lt;=3)),$AE$5:$AE63),IF(B63=7,SUMPRODUCT(--(($C$5:$C63=$C63)*($B$5:$B63&gt;=4)*($B$5:$B63&lt;=6)),$AE$5:$AE63),IF(B63=10,SUMPRODUCT(--(($C$5:$C63=$C63)*($B$5:$B63&gt;=7)*($B$5:$B63&lt;=9)),$AE$5:$AE63),0)))))</f>
        <v/>
      </c>
      <c r="AG63" s="12">
        <f>AG62+AE63-AF63</f>
        <v/>
      </c>
      <c r="AH63" s="12">
        <f>IF(ProviderDelay&gt;=1,AD62*ProviderShare,AD63*ProviderShare)</f>
        <v/>
      </c>
      <c r="AI63" s="12">
        <f>AA63*PaymentFee</f>
        <v/>
      </c>
      <c r="AJ63" s="12">
        <f>U63*OpsAI</f>
        <v/>
      </c>
      <c r="AK63" s="12">
        <f>MonthlyFixed</f>
        <v/>
      </c>
      <c r="AL63" s="12">
        <f>I63*ReferralReward</f>
        <v/>
      </c>
      <c r="AM63" s="12">
        <f>G63</f>
        <v/>
      </c>
      <c r="AN63" s="9">
        <f>AD63-AH63-AI63-AJ63-AK63-AL63-AM63</f>
        <v/>
      </c>
      <c r="AO63" s="9">
        <f>AO62+AA63-(AH63+AI63+AJ63+AK63+AL63+AM63+AF63)</f>
        <v/>
      </c>
      <c r="AP63" s="12">
        <f>IF(U63&gt;0,V63/U63,0)</f>
        <v/>
      </c>
      <c r="AQ63" s="11">
        <f>IF(U62&gt;0,MAX(0,(U62+J63-U63)/U62),0)</f>
        <v/>
      </c>
    </row>
    <row r="64">
      <c r="A64" s="12" t="n">
        <v>60</v>
      </c>
      <c r="B64" s="12">
        <f>MOD(A64-1+LaunchMonth-1,12)+1</f>
        <v/>
      </c>
      <c r="C64" s="12">
        <f>INT((A64-1+LaunchMonth-1)/12)+1</f>
        <v/>
      </c>
      <c r="D64" s="12">
        <f>VLOOKUP(B64,SeasonTable,2,FALSE)</f>
        <v/>
      </c>
      <c r="E64" s="12">
        <f>(1+InflationRate)^INT((A64-1)/12)</f>
        <v/>
      </c>
      <c r="F64" s="11">
        <f>MonthlyChurn*VLOOKUP(B64,ChurnSeasonTable,4,FALSE)</f>
        <v/>
      </c>
      <c r="G64" s="12">
        <f>MIN(MAX(MktMin19plus,AA63*MktPct19plus),MAX(0,AO63-CashBuffer))</f>
        <v/>
      </c>
      <c r="H64" s="12">
        <f>IF(G64&gt;0,MAX(1,ROUND(G64/CAC*D64,0)),0)</f>
        <v/>
      </c>
      <c r="I64" s="12">
        <f>IF(H64&gt;0,ROUND(H64*ReferralMix/(1-ReferralMix),0),0)</f>
        <v/>
      </c>
      <c r="J64" s="12">
        <f>H64+I64</f>
        <v/>
      </c>
      <c r="K64" s="12">
        <f>ROUND(J64*(1-AnnualMix),0)</f>
        <v/>
      </c>
      <c r="L64" s="12">
        <f>J64-K64</f>
        <v/>
      </c>
      <c r="M64" s="12">
        <f>ROUND(K64*EssentialMix,0)</f>
        <v/>
      </c>
      <c r="N64" s="12">
        <f>K64-M64</f>
        <v/>
      </c>
      <c r="O64" s="12">
        <f>ROUND(L64*EssentialMix,0)</f>
        <v/>
      </c>
      <c r="P64" s="12">
        <f>L64-O64</f>
        <v/>
      </c>
      <c r="Q64" s="12">
        <f>M64+M63+M62+MAX(0,Q63-M63-M62)*(1-F64)</f>
        <v/>
      </c>
      <c r="R64" s="12">
        <f>N64+N63+N62+MAX(0,R63-N63-N62)*(1-F64)</f>
        <v/>
      </c>
      <c r="S64" s="12">
        <f>S63+O64-O52*(AnnualChurn*VLOOKUP(B64,ChurnSeasonTable,4,FALSE))*POWER(1-(AnnualChurn*VLOOKUP(B64,ChurnSeasonTable,4,FALSE)),0)+O40*(AnnualChurn*VLOOKUP(B64,ChurnSeasonTable,4,FALSE))*POWER(1-(AnnualChurn*VLOOKUP(B64,ChurnSeasonTable,4,FALSE)),1)+O28*(AnnualChurn*VLOOKUP(B64,ChurnSeasonTable,4,FALSE))*POWER(1-(AnnualChurn*VLOOKUP(B64,ChurnSeasonTable,4,FALSE)),2)+O16*(AnnualChurn*VLOOKUP(B64,ChurnSeasonTable,4,FALSE))*POWER(1-(AnnualChurn*VLOOKUP(B64,ChurnSeasonTable,4,FALSE)),3)</f>
        <v/>
      </c>
      <c r="T64" s="12">
        <f>T63+P64-P52*(AnnualChurn*VLOOKUP(B64,ChurnSeasonTable,4,FALSE))*POWER(1-(AnnualChurn*VLOOKUP(B64,ChurnSeasonTable,4,FALSE)),0)+P40*(AnnualChurn*VLOOKUP(B64,ChurnSeasonTable,4,FALSE))*POWER(1-(AnnualChurn*VLOOKUP(B64,ChurnSeasonTable,4,FALSE)),1)+P28*(AnnualChurn*VLOOKUP(B64,ChurnSeasonTable,4,FALSE))*POWER(1-(AnnualChurn*VLOOKUP(B64,ChurnSeasonTable,4,FALSE)),2)+P16*(AnnualChurn*VLOOKUP(B64,ChurnSeasonTable,4,FALSE))*POWER(1-(AnnualChurn*VLOOKUP(B64,ChurnSeasonTable,4,FALSE)),3)</f>
        <v/>
      </c>
      <c r="U64" s="12">
        <f>Q64+R64+S64+T64</f>
        <v/>
      </c>
      <c r="V64" s="9">
        <f>Q64*PriceEssMonthly*E64+R64*PricePremMonthly*E64+S64*PriceEssAnnual*E64/12+T64*PricePremAnnual*E64/12</f>
        <v/>
      </c>
      <c r="W64" s="9">
        <f>V64*12</f>
        <v/>
      </c>
      <c r="X64" s="12">
        <f>Q64*PriceEssMonthly*E64+R64*PricePremMonthly*E64</f>
        <v/>
      </c>
      <c r="Y64" s="12">
        <f>O64*PriceEssAnnual*E64+P64*PricePremAnnual*E64</f>
        <v/>
      </c>
      <c r="Z64" s="12">
        <f>O52*POWER(1-(AnnualChurn*VLOOKUP(B64,ChurnSeasonTable,4,FALSE)),1)*PriceEssAnnual*E64+O40*POWER(1-(AnnualChurn*VLOOKUP(B64,ChurnSeasonTable,4,FALSE)),2)*PriceEssAnnual*E64+O28*POWER(1-(AnnualChurn*VLOOKUP(B64,ChurnSeasonTable,4,FALSE)),3)*PriceEssAnnual*E64+O16*POWER(1-(AnnualChurn*VLOOKUP(B64,ChurnSeasonTable,4,FALSE)),4)*PriceEssAnnual*E64+P52*POWER(1-(AnnualChurn*VLOOKUP(B64,ChurnSeasonTable,4,FALSE)),1)*PricePremAnnual*E64+P40*POWER(1-(AnnualChurn*VLOOKUP(B64,ChurnSeasonTable,4,FALSE)),2)*PricePremAnnual*E64+P28*POWER(1-(AnnualChurn*VLOOKUP(B64,ChurnSeasonTable,4,FALSE)),3)*PricePremAnnual*E64+P16*POWER(1-(AnnualChurn*VLOOKUP(B64,ChurnSeasonTable,4,FALSE)),4)*PricePremAnnual*E64</f>
        <v/>
      </c>
      <c r="AA64" s="9">
        <f>X64+Y64+Z64</f>
        <v/>
      </c>
      <c r="AB64" s="12">
        <f>SUM(AA53:AA64)</f>
        <v/>
      </c>
      <c r="AC64" s="12">
        <f>OR(AC63,AB64&gt;=VATThreshold)</f>
        <v/>
      </c>
      <c r="AD64" s="9">
        <f>IF(AC64,AA64/(1+VATRate),AA64)</f>
        <v/>
      </c>
      <c r="AE64" s="12">
        <f>AA64-AD64</f>
        <v/>
      </c>
      <c r="AF64" s="12">
        <f>IF(AC64=0,0,IF(B64=1,SUMPRODUCT(--(($C$5:$C64=$C64-1)*($B$5:$B64&gt;=10)*($B$5:$B64&lt;=12)),$AE$5:$AE64),IF(B64=4,SUMPRODUCT(--(($C$5:$C64=$C64)*($B$5:$B64&gt;=1)*($B$5:$B64&lt;=3)),$AE$5:$AE64),IF(B64=7,SUMPRODUCT(--(($C$5:$C64=$C64)*($B$5:$B64&gt;=4)*($B$5:$B64&lt;=6)),$AE$5:$AE64),IF(B64=10,SUMPRODUCT(--(($C$5:$C64=$C64)*($B$5:$B64&gt;=7)*($B$5:$B64&lt;=9)),$AE$5:$AE64),0)))))</f>
        <v/>
      </c>
      <c r="AG64" s="12">
        <f>AG63+AE64-AF64</f>
        <v/>
      </c>
      <c r="AH64" s="12">
        <f>IF(ProviderDelay&gt;=1,AD63*ProviderShare,AD64*ProviderShare)</f>
        <v/>
      </c>
      <c r="AI64" s="12">
        <f>AA64*PaymentFee</f>
        <v/>
      </c>
      <c r="AJ64" s="12">
        <f>U64*OpsAI</f>
        <v/>
      </c>
      <c r="AK64" s="12">
        <f>MonthlyFixed</f>
        <v/>
      </c>
      <c r="AL64" s="12">
        <f>I64*ReferralReward</f>
        <v/>
      </c>
      <c r="AM64" s="12">
        <f>G64</f>
        <v/>
      </c>
      <c r="AN64" s="9">
        <f>AD64-AH64-AI64-AJ64-AK64-AL64-AM64</f>
        <v/>
      </c>
      <c r="AO64" s="9">
        <f>AO63+AA64-(AH64+AI64+AJ64+AK64+AL64+AM64+AF64)</f>
        <v/>
      </c>
      <c r="AP64" s="12">
        <f>IF(U64&gt;0,V64/U64,0)</f>
        <v/>
      </c>
      <c r="AQ64" s="11">
        <f>IF(U63&gt;0,MAX(0,(U63+J64-U64)/U63),0)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R64"/>
  <sheetViews>
    <sheetView workbookViewId="0">
      <selection activeCell="A1" sqref="A1"/>
    </sheetView>
  </sheetViews>
  <sheetFormatPr baseColWidth="8" defaultRowHeight="15"/>
  <sheetData>
    <row r="1"/>
    <row r="2">
      <c r="A2" s="65" t="inlineStr">
        <is>
          <t>Conservative</t>
        </is>
      </c>
      <c r="AS2" s="65" t="inlineStr">
        <is>
          <t>Base</t>
        </is>
      </c>
      <c r="CK2" s="65" t="inlineStr">
        <is>
          <t>Aggressive</t>
        </is>
      </c>
      <c r="EC2" s="65" t="inlineStr">
        <is>
          <t>Ch0</t>
        </is>
      </c>
      <c r="FU2" s="65" t="inlineStr">
        <is>
          <t>Ch1</t>
        </is>
      </c>
      <c r="HM2" s="65" t="inlineStr">
        <is>
          <t>Ch2</t>
        </is>
      </c>
      <c r="JE2" s="65" t="inlineStr">
        <is>
          <t>Ch3</t>
        </is>
      </c>
      <c r="KW2" s="65" t="inlineStr">
        <is>
          <t>Ch4</t>
        </is>
      </c>
      <c r="MO2" s="65" t="inlineStr">
        <is>
          <t>Ch5</t>
        </is>
      </c>
      <c r="OG2" s="65" t="inlineStr">
        <is>
          <t>Ch6</t>
        </is>
      </c>
      <c r="PY2" s="65" t="inlineStr">
        <is>
          <t>Ch7</t>
        </is>
      </c>
      <c r="RQ2" s="65" t="inlineStr">
        <is>
          <t>Ch8</t>
        </is>
      </c>
      <c r="TI2" s="65" t="inlineStr">
        <is>
          <t>Mx0</t>
        </is>
      </c>
      <c r="VA2" s="65" t="inlineStr">
        <is>
          <t>Mx1</t>
        </is>
      </c>
      <c r="WS2" s="65" t="inlineStr">
        <is>
          <t>Mx2</t>
        </is>
      </c>
      <c r="YK2" s="65" t="inlineStr">
        <is>
          <t>Mx3</t>
        </is>
      </c>
      <c r="AAC2" s="65" t="inlineStr">
        <is>
          <t>Mx4</t>
        </is>
      </c>
      <c r="ABU2" s="65" t="inlineStr">
        <is>
          <t>Mx5</t>
        </is>
      </c>
      <c r="ADM2" s="65" t="inlineStr">
        <is>
          <t>Mx6</t>
        </is>
      </c>
      <c r="AFE2" s="65" t="inlineStr">
        <is>
          <t>Cac0</t>
        </is>
      </c>
      <c r="AGW2" s="65" t="inlineStr">
        <is>
          <t>Cac1</t>
        </is>
      </c>
      <c r="AIO2" s="65" t="inlineStr">
        <is>
          <t>Cac2</t>
        </is>
      </c>
      <c r="AKG2" s="65" t="inlineStr">
        <is>
          <t>Cac3</t>
        </is>
      </c>
      <c r="ALY2" s="65" t="inlineStr">
        <is>
          <t>Cac4</t>
        </is>
      </c>
      <c r="ANQ2" s="65" t="inlineStr">
        <is>
          <t>Cac5</t>
        </is>
      </c>
      <c r="API2" s="65" t="inlineStr">
        <is>
          <t>Cac6</t>
        </is>
      </c>
      <c r="ARA2" s="65" t="inlineStr">
        <is>
          <t>Winter Pivot</t>
        </is>
      </c>
    </row>
    <row r="3">
      <c r="A3" s="22" t="inlineStr">
        <is>
          <t>Mo</t>
        </is>
      </c>
      <c r="B3" s="22" t="inlineStr">
        <is>
          <t>Cal</t>
        </is>
      </c>
      <c r="C3" s="22" t="inlineStr">
        <is>
          <t>CY</t>
        </is>
      </c>
      <c r="D3" s="22" t="inlineStr">
        <is>
          <t>Acq</t>
        </is>
      </c>
      <c r="E3" s="22" t="inlineStr">
        <is>
          <t>Infl</t>
        </is>
      </c>
      <c r="F3" s="22" t="inlineStr">
        <is>
          <t>ECh</t>
        </is>
      </c>
      <c r="G3" s="22" t="inlineStr">
        <is>
          <t>Mkt</t>
        </is>
      </c>
      <c r="H3" s="22" t="inlineStr">
        <is>
          <t>Paid</t>
        </is>
      </c>
      <c r="I3" s="22" t="inlineStr">
        <is>
          <t>Ref</t>
        </is>
      </c>
      <c r="J3" s="22" t="inlineStr">
        <is>
          <t>Tot</t>
        </is>
      </c>
      <c r="K3" s="22" t="inlineStr">
        <is>
          <t>NMo</t>
        </is>
      </c>
      <c r="L3" s="22" t="inlineStr">
        <is>
          <t>NAn</t>
        </is>
      </c>
      <c r="M3" s="22" t="inlineStr">
        <is>
          <t>NEsM</t>
        </is>
      </c>
      <c r="N3" s="22" t="inlineStr">
        <is>
          <t>NPrM</t>
        </is>
      </c>
      <c r="O3" s="22" t="inlineStr">
        <is>
          <t>NEsA</t>
        </is>
      </c>
      <c r="P3" s="22" t="inlineStr">
        <is>
          <t>NPrA</t>
        </is>
      </c>
      <c r="Q3" s="22" t="inlineStr">
        <is>
          <t>AEsM</t>
        </is>
      </c>
      <c r="R3" s="22" t="inlineStr">
        <is>
          <t>APrM</t>
        </is>
      </c>
      <c r="S3" s="22" t="inlineStr">
        <is>
          <t>AEsA</t>
        </is>
      </c>
      <c r="T3" s="22" t="inlineStr">
        <is>
          <t>APrA</t>
        </is>
      </c>
      <c r="U3" s="22" t="inlineStr">
        <is>
          <t>Cust</t>
        </is>
      </c>
      <c r="V3" s="22" t="inlineStr">
        <is>
          <t>MRR</t>
        </is>
      </c>
      <c r="W3" s="22" t="inlineStr">
        <is>
          <t>ARR</t>
        </is>
      </c>
      <c r="X3" s="22" t="inlineStr">
        <is>
          <t>Mo$</t>
        </is>
      </c>
      <c r="Y3" s="22" t="inlineStr">
        <is>
          <t>NwAn</t>
        </is>
      </c>
      <c r="Z3" s="22" t="inlineStr">
        <is>
          <t>Ren</t>
        </is>
      </c>
      <c r="AA3" s="22" t="inlineStr">
        <is>
          <t>Gross</t>
        </is>
      </c>
      <c r="AB3" s="22" t="inlineStr">
        <is>
          <t>R12</t>
        </is>
      </c>
      <c r="AC3" s="22" t="inlineStr">
        <is>
          <t>VAT</t>
        </is>
      </c>
      <c r="AD3" s="22" t="inlineStr">
        <is>
          <t>Net</t>
        </is>
      </c>
      <c r="AE3" s="22" t="inlineStr">
        <is>
          <t>VAcc</t>
        </is>
      </c>
      <c r="AF3" s="22" t="inlineStr">
        <is>
          <t>VPay</t>
        </is>
      </c>
      <c r="AG3" s="22" t="inlineStr">
        <is>
          <t>VBal</t>
        </is>
      </c>
      <c r="AH3" s="22" t="inlineStr">
        <is>
          <t>Prov</t>
        </is>
      </c>
      <c r="AI3" s="22" t="inlineStr">
        <is>
          <t>Fee</t>
        </is>
      </c>
      <c r="AJ3" s="22" t="inlineStr">
        <is>
          <t>Ops</t>
        </is>
      </c>
      <c r="AK3" s="22" t="inlineStr">
        <is>
          <t>Fix</t>
        </is>
      </c>
      <c r="AL3" s="22" t="inlineStr">
        <is>
          <t>Ref$</t>
        </is>
      </c>
      <c r="AM3" s="22" t="inlineStr">
        <is>
          <t>Mkt</t>
        </is>
      </c>
      <c r="AN3" s="22" t="inlineStr">
        <is>
          <t>Pft</t>
        </is>
      </c>
      <c r="AO3" s="22" t="inlineStr">
        <is>
          <t>Cash</t>
        </is>
      </c>
      <c r="AP3" s="22" t="inlineStr">
        <is>
          <t>ARPU</t>
        </is>
      </c>
      <c r="AQ3" s="22" t="inlineStr">
        <is>
          <t>Chrn</t>
        </is>
      </c>
      <c r="AS3" s="22" t="inlineStr">
        <is>
          <t>Mo</t>
        </is>
      </c>
      <c r="AT3" s="22" t="inlineStr">
        <is>
          <t>Cal</t>
        </is>
      </c>
      <c r="AU3" s="22" t="inlineStr">
        <is>
          <t>CY</t>
        </is>
      </c>
      <c r="AV3" s="22" t="inlineStr">
        <is>
          <t>Acq</t>
        </is>
      </c>
      <c r="AW3" s="22" t="inlineStr">
        <is>
          <t>Infl</t>
        </is>
      </c>
      <c r="AX3" s="22" t="inlineStr">
        <is>
          <t>ECh</t>
        </is>
      </c>
      <c r="AY3" s="22" t="inlineStr">
        <is>
          <t>Mkt</t>
        </is>
      </c>
      <c r="AZ3" s="22" t="inlineStr">
        <is>
          <t>Paid</t>
        </is>
      </c>
      <c r="BA3" s="22" t="inlineStr">
        <is>
          <t>Ref</t>
        </is>
      </c>
      <c r="BB3" s="22" t="inlineStr">
        <is>
          <t>Tot</t>
        </is>
      </c>
      <c r="BC3" s="22" t="inlineStr">
        <is>
          <t>NMo</t>
        </is>
      </c>
      <c r="BD3" s="22" t="inlineStr">
        <is>
          <t>NAn</t>
        </is>
      </c>
      <c r="BE3" s="22" t="inlineStr">
        <is>
          <t>NEsM</t>
        </is>
      </c>
      <c r="BF3" s="22" t="inlineStr">
        <is>
          <t>NPrM</t>
        </is>
      </c>
      <c r="BG3" s="22" t="inlineStr">
        <is>
          <t>NEsA</t>
        </is>
      </c>
      <c r="BH3" s="22" t="inlineStr">
        <is>
          <t>NPrA</t>
        </is>
      </c>
      <c r="BI3" s="22" t="inlineStr">
        <is>
          <t>AEsM</t>
        </is>
      </c>
      <c r="BJ3" s="22" t="inlineStr">
        <is>
          <t>APrM</t>
        </is>
      </c>
      <c r="BK3" s="22" t="inlineStr">
        <is>
          <t>AEsA</t>
        </is>
      </c>
      <c r="BL3" s="22" t="inlineStr">
        <is>
          <t>APrA</t>
        </is>
      </c>
      <c r="BM3" s="22" t="inlineStr">
        <is>
          <t>Cust</t>
        </is>
      </c>
      <c r="BN3" s="22" t="inlineStr">
        <is>
          <t>MRR</t>
        </is>
      </c>
      <c r="BO3" s="22" t="inlineStr">
        <is>
          <t>ARR</t>
        </is>
      </c>
      <c r="BP3" s="22" t="inlineStr">
        <is>
          <t>Mo$</t>
        </is>
      </c>
      <c r="BQ3" s="22" t="inlineStr">
        <is>
          <t>NwAn</t>
        </is>
      </c>
      <c r="BR3" s="22" t="inlineStr">
        <is>
          <t>Ren</t>
        </is>
      </c>
      <c r="BS3" s="22" t="inlineStr">
        <is>
          <t>Gross</t>
        </is>
      </c>
      <c r="BT3" s="22" t="inlineStr">
        <is>
          <t>R12</t>
        </is>
      </c>
      <c r="BU3" s="22" t="inlineStr">
        <is>
          <t>VAT</t>
        </is>
      </c>
      <c r="BV3" s="22" t="inlineStr">
        <is>
          <t>Net</t>
        </is>
      </c>
      <c r="BW3" s="22" t="inlineStr">
        <is>
          <t>VAcc</t>
        </is>
      </c>
      <c r="BX3" s="22" t="inlineStr">
        <is>
          <t>VPay</t>
        </is>
      </c>
      <c r="BY3" s="22" t="inlineStr">
        <is>
          <t>VBal</t>
        </is>
      </c>
      <c r="BZ3" s="22" t="inlineStr">
        <is>
          <t>Prov</t>
        </is>
      </c>
      <c r="CA3" s="22" t="inlineStr">
        <is>
          <t>Fee</t>
        </is>
      </c>
      <c r="CB3" s="22" t="inlineStr">
        <is>
          <t>Ops</t>
        </is>
      </c>
      <c r="CC3" s="22" t="inlineStr">
        <is>
          <t>Fix</t>
        </is>
      </c>
      <c r="CD3" s="22" t="inlineStr">
        <is>
          <t>Ref$</t>
        </is>
      </c>
      <c r="CE3" s="22" t="inlineStr">
        <is>
          <t>Mkt</t>
        </is>
      </c>
      <c r="CF3" s="22" t="inlineStr">
        <is>
          <t>Pft</t>
        </is>
      </c>
      <c r="CG3" s="22" t="inlineStr">
        <is>
          <t>Cash</t>
        </is>
      </c>
      <c r="CH3" s="22" t="inlineStr">
        <is>
          <t>ARPU</t>
        </is>
      </c>
      <c r="CI3" s="22" t="inlineStr">
        <is>
          <t>Chrn</t>
        </is>
      </c>
      <c r="CK3" s="22" t="inlineStr">
        <is>
          <t>Mo</t>
        </is>
      </c>
      <c r="CL3" s="22" t="inlineStr">
        <is>
          <t>Cal</t>
        </is>
      </c>
      <c r="CM3" s="22" t="inlineStr">
        <is>
          <t>CY</t>
        </is>
      </c>
      <c r="CN3" s="22" t="inlineStr">
        <is>
          <t>Acq</t>
        </is>
      </c>
      <c r="CO3" s="22" t="inlineStr">
        <is>
          <t>Infl</t>
        </is>
      </c>
      <c r="CP3" s="22" t="inlineStr">
        <is>
          <t>ECh</t>
        </is>
      </c>
      <c r="CQ3" s="22" t="inlineStr">
        <is>
          <t>Mkt</t>
        </is>
      </c>
      <c r="CR3" s="22" t="inlineStr">
        <is>
          <t>Paid</t>
        </is>
      </c>
      <c r="CS3" s="22" t="inlineStr">
        <is>
          <t>Ref</t>
        </is>
      </c>
      <c r="CT3" s="22" t="inlineStr">
        <is>
          <t>Tot</t>
        </is>
      </c>
      <c r="CU3" s="22" t="inlineStr">
        <is>
          <t>NMo</t>
        </is>
      </c>
      <c r="CV3" s="22" t="inlineStr">
        <is>
          <t>NAn</t>
        </is>
      </c>
      <c r="CW3" s="22" t="inlineStr">
        <is>
          <t>NEsM</t>
        </is>
      </c>
      <c r="CX3" s="22" t="inlineStr">
        <is>
          <t>NPrM</t>
        </is>
      </c>
      <c r="CY3" s="22" t="inlineStr">
        <is>
          <t>NEsA</t>
        </is>
      </c>
      <c r="CZ3" s="22" t="inlineStr">
        <is>
          <t>NPrA</t>
        </is>
      </c>
      <c r="DA3" s="22" t="inlineStr">
        <is>
          <t>AEsM</t>
        </is>
      </c>
      <c r="DB3" s="22" t="inlineStr">
        <is>
          <t>APrM</t>
        </is>
      </c>
      <c r="DC3" s="22" t="inlineStr">
        <is>
          <t>AEsA</t>
        </is>
      </c>
      <c r="DD3" s="22" t="inlineStr">
        <is>
          <t>APrA</t>
        </is>
      </c>
      <c r="DE3" s="22" t="inlineStr">
        <is>
          <t>Cust</t>
        </is>
      </c>
      <c r="DF3" s="22" t="inlineStr">
        <is>
          <t>MRR</t>
        </is>
      </c>
      <c r="DG3" s="22" t="inlineStr">
        <is>
          <t>ARR</t>
        </is>
      </c>
      <c r="DH3" s="22" t="inlineStr">
        <is>
          <t>Mo$</t>
        </is>
      </c>
      <c r="DI3" s="22" t="inlineStr">
        <is>
          <t>NwAn</t>
        </is>
      </c>
      <c r="DJ3" s="22" t="inlineStr">
        <is>
          <t>Ren</t>
        </is>
      </c>
      <c r="DK3" s="22" t="inlineStr">
        <is>
          <t>Gross</t>
        </is>
      </c>
      <c r="DL3" s="22" t="inlineStr">
        <is>
          <t>R12</t>
        </is>
      </c>
      <c r="DM3" s="22" t="inlineStr">
        <is>
          <t>VAT</t>
        </is>
      </c>
      <c r="DN3" s="22" t="inlineStr">
        <is>
          <t>Net</t>
        </is>
      </c>
      <c r="DO3" s="22" t="inlineStr">
        <is>
          <t>VAcc</t>
        </is>
      </c>
      <c r="DP3" s="22" t="inlineStr">
        <is>
          <t>VPay</t>
        </is>
      </c>
      <c r="DQ3" s="22" t="inlineStr">
        <is>
          <t>VBal</t>
        </is>
      </c>
      <c r="DR3" s="22" t="inlineStr">
        <is>
          <t>Prov</t>
        </is>
      </c>
      <c r="DS3" s="22" t="inlineStr">
        <is>
          <t>Fee</t>
        </is>
      </c>
      <c r="DT3" s="22" t="inlineStr">
        <is>
          <t>Ops</t>
        </is>
      </c>
      <c r="DU3" s="22" t="inlineStr">
        <is>
          <t>Fix</t>
        </is>
      </c>
      <c r="DV3" s="22" t="inlineStr">
        <is>
          <t>Ref$</t>
        </is>
      </c>
      <c r="DW3" s="22" t="inlineStr">
        <is>
          <t>Mkt</t>
        </is>
      </c>
      <c r="DX3" s="22" t="inlineStr">
        <is>
          <t>Pft</t>
        </is>
      </c>
      <c r="DY3" s="22" t="inlineStr">
        <is>
          <t>Cash</t>
        </is>
      </c>
      <c r="DZ3" s="22" t="inlineStr">
        <is>
          <t>ARPU</t>
        </is>
      </c>
      <c r="EA3" s="22" t="inlineStr">
        <is>
          <t>Chrn</t>
        </is>
      </c>
      <c r="EC3" s="22" t="inlineStr">
        <is>
          <t>Mo</t>
        </is>
      </c>
      <c r="ED3" s="22" t="inlineStr">
        <is>
          <t>Cal</t>
        </is>
      </c>
      <c r="EE3" s="22" t="inlineStr">
        <is>
          <t>CY</t>
        </is>
      </c>
      <c r="EF3" s="22" t="inlineStr">
        <is>
          <t>Acq</t>
        </is>
      </c>
      <c r="EG3" s="22" t="inlineStr">
        <is>
          <t>Infl</t>
        </is>
      </c>
      <c r="EH3" s="22" t="inlineStr">
        <is>
          <t>ECh</t>
        </is>
      </c>
      <c r="EI3" s="22" t="inlineStr">
        <is>
          <t>Mkt</t>
        </is>
      </c>
      <c r="EJ3" s="22" t="inlineStr">
        <is>
          <t>Paid</t>
        </is>
      </c>
      <c r="EK3" s="22" t="inlineStr">
        <is>
          <t>Ref</t>
        </is>
      </c>
      <c r="EL3" s="22" t="inlineStr">
        <is>
          <t>Tot</t>
        </is>
      </c>
      <c r="EM3" s="22" t="inlineStr">
        <is>
          <t>NMo</t>
        </is>
      </c>
      <c r="EN3" s="22" t="inlineStr">
        <is>
          <t>NAn</t>
        </is>
      </c>
      <c r="EO3" s="22" t="inlineStr">
        <is>
          <t>NEsM</t>
        </is>
      </c>
      <c r="EP3" s="22" t="inlineStr">
        <is>
          <t>NPrM</t>
        </is>
      </c>
      <c r="EQ3" s="22" t="inlineStr">
        <is>
          <t>NEsA</t>
        </is>
      </c>
      <c r="ER3" s="22" t="inlineStr">
        <is>
          <t>NPrA</t>
        </is>
      </c>
      <c r="ES3" s="22" t="inlineStr">
        <is>
          <t>AEsM</t>
        </is>
      </c>
      <c r="ET3" s="22" t="inlineStr">
        <is>
          <t>APrM</t>
        </is>
      </c>
      <c r="EU3" s="22" t="inlineStr">
        <is>
          <t>AEsA</t>
        </is>
      </c>
      <c r="EV3" s="22" t="inlineStr">
        <is>
          <t>APrA</t>
        </is>
      </c>
      <c r="EW3" s="22" t="inlineStr">
        <is>
          <t>Cust</t>
        </is>
      </c>
      <c r="EX3" s="22" t="inlineStr">
        <is>
          <t>MRR</t>
        </is>
      </c>
      <c r="EY3" s="22" t="inlineStr">
        <is>
          <t>ARR</t>
        </is>
      </c>
      <c r="EZ3" s="22" t="inlineStr">
        <is>
          <t>Mo$</t>
        </is>
      </c>
      <c r="FA3" s="22" t="inlineStr">
        <is>
          <t>NwAn</t>
        </is>
      </c>
      <c r="FB3" s="22" t="inlineStr">
        <is>
          <t>Ren</t>
        </is>
      </c>
      <c r="FC3" s="22" t="inlineStr">
        <is>
          <t>Gross</t>
        </is>
      </c>
      <c r="FD3" s="22" t="inlineStr">
        <is>
          <t>R12</t>
        </is>
      </c>
      <c r="FE3" s="22" t="inlineStr">
        <is>
          <t>VAT</t>
        </is>
      </c>
      <c r="FF3" s="22" t="inlineStr">
        <is>
          <t>Net</t>
        </is>
      </c>
      <c r="FG3" s="22" t="inlineStr">
        <is>
          <t>VAcc</t>
        </is>
      </c>
      <c r="FH3" s="22" t="inlineStr">
        <is>
          <t>VPay</t>
        </is>
      </c>
      <c r="FI3" s="22" t="inlineStr">
        <is>
          <t>VBal</t>
        </is>
      </c>
      <c r="FJ3" s="22" t="inlineStr">
        <is>
          <t>Prov</t>
        </is>
      </c>
      <c r="FK3" s="22" t="inlineStr">
        <is>
          <t>Fee</t>
        </is>
      </c>
      <c r="FL3" s="22" t="inlineStr">
        <is>
          <t>Ops</t>
        </is>
      </c>
      <c r="FM3" s="22" t="inlineStr">
        <is>
          <t>Fix</t>
        </is>
      </c>
      <c r="FN3" s="22" t="inlineStr">
        <is>
          <t>Ref$</t>
        </is>
      </c>
      <c r="FO3" s="22" t="inlineStr">
        <is>
          <t>Mkt</t>
        </is>
      </c>
      <c r="FP3" s="22" t="inlineStr">
        <is>
          <t>Pft</t>
        </is>
      </c>
      <c r="FQ3" s="22" t="inlineStr">
        <is>
          <t>Cash</t>
        </is>
      </c>
      <c r="FR3" s="22" t="inlineStr">
        <is>
          <t>ARPU</t>
        </is>
      </c>
      <c r="FS3" s="22" t="inlineStr">
        <is>
          <t>Chrn</t>
        </is>
      </c>
      <c r="FU3" s="22" t="inlineStr">
        <is>
          <t>Mo</t>
        </is>
      </c>
      <c r="FV3" s="22" t="inlineStr">
        <is>
          <t>Cal</t>
        </is>
      </c>
      <c r="FW3" s="22" t="inlineStr">
        <is>
          <t>CY</t>
        </is>
      </c>
      <c r="FX3" s="22" t="inlineStr">
        <is>
          <t>Acq</t>
        </is>
      </c>
      <c r="FY3" s="22" t="inlineStr">
        <is>
          <t>Infl</t>
        </is>
      </c>
      <c r="FZ3" s="22" t="inlineStr">
        <is>
          <t>ECh</t>
        </is>
      </c>
      <c r="GA3" s="22" t="inlineStr">
        <is>
          <t>Mkt</t>
        </is>
      </c>
      <c r="GB3" s="22" t="inlineStr">
        <is>
          <t>Paid</t>
        </is>
      </c>
      <c r="GC3" s="22" t="inlineStr">
        <is>
          <t>Ref</t>
        </is>
      </c>
      <c r="GD3" s="22" t="inlineStr">
        <is>
          <t>Tot</t>
        </is>
      </c>
      <c r="GE3" s="22" t="inlineStr">
        <is>
          <t>NMo</t>
        </is>
      </c>
      <c r="GF3" s="22" t="inlineStr">
        <is>
          <t>NAn</t>
        </is>
      </c>
      <c r="GG3" s="22" t="inlineStr">
        <is>
          <t>NEsM</t>
        </is>
      </c>
      <c r="GH3" s="22" t="inlineStr">
        <is>
          <t>NPrM</t>
        </is>
      </c>
      <c r="GI3" s="22" t="inlineStr">
        <is>
          <t>NEsA</t>
        </is>
      </c>
      <c r="GJ3" s="22" t="inlineStr">
        <is>
          <t>NPrA</t>
        </is>
      </c>
      <c r="GK3" s="22" t="inlineStr">
        <is>
          <t>AEsM</t>
        </is>
      </c>
      <c r="GL3" s="22" t="inlineStr">
        <is>
          <t>APrM</t>
        </is>
      </c>
      <c r="GM3" s="22" t="inlineStr">
        <is>
          <t>AEsA</t>
        </is>
      </c>
      <c r="GN3" s="22" t="inlineStr">
        <is>
          <t>APrA</t>
        </is>
      </c>
      <c r="GO3" s="22" t="inlineStr">
        <is>
          <t>Cust</t>
        </is>
      </c>
      <c r="GP3" s="22" t="inlineStr">
        <is>
          <t>MRR</t>
        </is>
      </c>
      <c r="GQ3" s="22" t="inlineStr">
        <is>
          <t>ARR</t>
        </is>
      </c>
      <c r="GR3" s="22" t="inlineStr">
        <is>
          <t>Mo$</t>
        </is>
      </c>
      <c r="GS3" s="22" t="inlineStr">
        <is>
          <t>NwAn</t>
        </is>
      </c>
      <c r="GT3" s="22" t="inlineStr">
        <is>
          <t>Ren</t>
        </is>
      </c>
      <c r="GU3" s="22" t="inlineStr">
        <is>
          <t>Gross</t>
        </is>
      </c>
      <c r="GV3" s="22" t="inlineStr">
        <is>
          <t>R12</t>
        </is>
      </c>
      <c r="GW3" s="22" t="inlineStr">
        <is>
          <t>VAT</t>
        </is>
      </c>
      <c r="GX3" s="22" t="inlineStr">
        <is>
          <t>Net</t>
        </is>
      </c>
      <c r="GY3" s="22" t="inlineStr">
        <is>
          <t>VAcc</t>
        </is>
      </c>
      <c r="GZ3" s="22" t="inlineStr">
        <is>
          <t>VPay</t>
        </is>
      </c>
      <c r="HA3" s="22" t="inlineStr">
        <is>
          <t>VBal</t>
        </is>
      </c>
      <c r="HB3" s="22" t="inlineStr">
        <is>
          <t>Prov</t>
        </is>
      </c>
      <c r="HC3" s="22" t="inlineStr">
        <is>
          <t>Fee</t>
        </is>
      </c>
      <c r="HD3" s="22" t="inlineStr">
        <is>
          <t>Ops</t>
        </is>
      </c>
      <c r="HE3" s="22" t="inlineStr">
        <is>
          <t>Fix</t>
        </is>
      </c>
      <c r="HF3" s="22" t="inlineStr">
        <is>
          <t>Ref$</t>
        </is>
      </c>
      <c r="HG3" s="22" t="inlineStr">
        <is>
          <t>Mkt</t>
        </is>
      </c>
      <c r="HH3" s="22" t="inlineStr">
        <is>
          <t>Pft</t>
        </is>
      </c>
      <c r="HI3" s="22" t="inlineStr">
        <is>
          <t>Cash</t>
        </is>
      </c>
      <c r="HJ3" s="22" t="inlineStr">
        <is>
          <t>ARPU</t>
        </is>
      </c>
      <c r="HK3" s="22" t="inlineStr">
        <is>
          <t>Chrn</t>
        </is>
      </c>
      <c r="HM3" s="22" t="inlineStr">
        <is>
          <t>Mo</t>
        </is>
      </c>
      <c r="HN3" s="22" t="inlineStr">
        <is>
          <t>Cal</t>
        </is>
      </c>
      <c r="HO3" s="22" t="inlineStr">
        <is>
          <t>CY</t>
        </is>
      </c>
      <c r="HP3" s="22" t="inlineStr">
        <is>
          <t>Acq</t>
        </is>
      </c>
      <c r="HQ3" s="22" t="inlineStr">
        <is>
          <t>Infl</t>
        </is>
      </c>
      <c r="HR3" s="22" t="inlineStr">
        <is>
          <t>ECh</t>
        </is>
      </c>
      <c r="HS3" s="22" t="inlineStr">
        <is>
          <t>Mkt</t>
        </is>
      </c>
      <c r="HT3" s="22" t="inlineStr">
        <is>
          <t>Paid</t>
        </is>
      </c>
      <c r="HU3" s="22" t="inlineStr">
        <is>
          <t>Ref</t>
        </is>
      </c>
      <c r="HV3" s="22" t="inlineStr">
        <is>
          <t>Tot</t>
        </is>
      </c>
      <c r="HW3" s="22" t="inlineStr">
        <is>
          <t>NMo</t>
        </is>
      </c>
      <c r="HX3" s="22" t="inlineStr">
        <is>
          <t>NAn</t>
        </is>
      </c>
      <c r="HY3" s="22" t="inlineStr">
        <is>
          <t>NEsM</t>
        </is>
      </c>
      <c r="HZ3" s="22" t="inlineStr">
        <is>
          <t>NPrM</t>
        </is>
      </c>
      <c r="IA3" s="22" t="inlineStr">
        <is>
          <t>NEsA</t>
        </is>
      </c>
      <c r="IB3" s="22" t="inlineStr">
        <is>
          <t>NPrA</t>
        </is>
      </c>
      <c r="IC3" s="22" t="inlineStr">
        <is>
          <t>AEsM</t>
        </is>
      </c>
      <c r="ID3" s="22" t="inlineStr">
        <is>
          <t>APrM</t>
        </is>
      </c>
      <c r="IE3" s="22" t="inlineStr">
        <is>
          <t>AEsA</t>
        </is>
      </c>
      <c r="IF3" s="22" t="inlineStr">
        <is>
          <t>APrA</t>
        </is>
      </c>
      <c r="IG3" s="22" t="inlineStr">
        <is>
          <t>Cust</t>
        </is>
      </c>
      <c r="IH3" s="22" t="inlineStr">
        <is>
          <t>MRR</t>
        </is>
      </c>
      <c r="II3" s="22" t="inlineStr">
        <is>
          <t>ARR</t>
        </is>
      </c>
      <c r="IJ3" s="22" t="inlineStr">
        <is>
          <t>Mo$</t>
        </is>
      </c>
      <c r="IK3" s="22" t="inlineStr">
        <is>
          <t>NwAn</t>
        </is>
      </c>
      <c r="IL3" s="22" t="inlineStr">
        <is>
          <t>Ren</t>
        </is>
      </c>
      <c r="IM3" s="22" t="inlineStr">
        <is>
          <t>Gross</t>
        </is>
      </c>
      <c r="IN3" s="22" t="inlineStr">
        <is>
          <t>R12</t>
        </is>
      </c>
      <c r="IO3" s="22" t="inlineStr">
        <is>
          <t>VAT</t>
        </is>
      </c>
      <c r="IP3" s="22" t="inlineStr">
        <is>
          <t>Net</t>
        </is>
      </c>
      <c r="IQ3" s="22" t="inlineStr">
        <is>
          <t>VAcc</t>
        </is>
      </c>
      <c r="IR3" s="22" t="inlineStr">
        <is>
          <t>VPay</t>
        </is>
      </c>
      <c r="IS3" s="22" t="inlineStr">
        <is>
          <t>VBal</t>
        </is>
      </c>
      <c r="IT3" s="22" t="inlineStr">
        <is>
          <t>Prov</t>
        </is>
      </c>
      <c r="IU3" s="22" t="inlineStr">
        <is>
          <t>Fee</t>
        </is>
      </c>
      <c r="IV3" s="22" t="inlineStr">
        <is>
          <t>Ops</t>
        </is>
      </c>
      <c r="IW3" s="22" t="inlineStr">
        <is>
          <t>Fix</t>
        </is>
      </c>
      <c r="IX3" s="22" t="inlineStr">
        <is>
          <t>Ref$</t>
        </is>
      </c>
      <c r="IY3" s="22" t="inlineStr">
        <is>
          <t>Mkt</t>
        </is>
      </c>
      <c r="IZ3" s="22" t="inlineStr">
        <is>
          <t>Pft</t>
        </is>
      </c>
      <c r="JA3" s="22" t="inlineStr">
        <is>
          <t>Cash</t>
        </is>
      </c>
      <c r="JB3" s="22" t="inlineStr">
        <is>
          <t>ARPU</t>
        </is>
      </c>
      <c r="JC3" s="22" t="inlineStr">
        <is>
          <t>Chrn</t>
        </is>
      </c>
      <c r="JE3" s="22" t="inlineStr">
        <is>
          <t>Mo</t>
        </is>
      </c>
      <c r="JF3" s="22" t="inlineStr">
        <is>
          <t>Cal</t>
        </is>
      </c>
      <c r="JG3" s="22" t="inlineStr">
        <is>
          <t>CY</t>
        </is>
      </c>
      <c r="JH3" s="22" t="inlineStr">
        <is>
          <t>Acq</t>
        </is>
      </c>
      <c r="JI3" s="22" t="inlineStr">
        <is>
          <t>Infl</t>
        </is>
      </c>
      <c r="JJ3" s="22" t="inlineStr">
        <is>
          <t>ECh</t>
        </is>
      </c>
      <c r="JK3" s="22" t="inlineStr">
        <is>
          <t>Mkt</t>
        </is>
      </c>
      <c r="JL3" s="22" t="inlineStr">
        <is>
          <t>Paid</t>
        </is>
      </c>
      <c r="JM3" s="22" t="inlineStr">
        <is>
          <t>Ref</t>
        </is>
      </c>
      <c r="JN3" s="22" t="inlineStr">
        <is>
          <t>Tot</t>
        </is>
      </c>
      <c r="JO3" s="22" t="inlineStr">
        <is>
          <t>NMo</t>
        </is>
      </c>
      <c r="JP3" s="22" t="inlineStr">
        <is>
          <t>NAn</t>
        </is>
      </c>
      <c r="JQ3" s="22" t="inlineStr">
        <is>
          <t>NEsM</t>
        </is>
      </c>
      <c r="JR3" s="22" t="inlineStr">
        <is>
          <t>NPrM</t>
        </is>
      </c>
      <c r="JS3" s="22" t="inlineStr">
        <is>
          <t>NEsA</t>
        </is>
      </c>
      <c r="JT3" s="22" t="inlineStr">
        <is>
          <t>NPrA</t>
        </is>
      </c>
      <c r="JU3" s="22" t="inlineStr">
        <is>
          <t>AEsM</t>
        </is>
      </c>
      <c r="JV3" s="22" t="inlineStr">
        <is>
          <t>APrM</t>
        </is>
      </c>
      <c r="JW3" s="22" t="inlineStr">
        <is>
          <t>AEsA</t>
        </is>
      </c>
      <c r="JX3" s="22" t="inlineStr">
        <is>
          <t>APrA</t>
        </is>
      </c>
      <c r="JY3" s="22" t="inlineStr">
        <is>
          <t>Cust</t>
        </is>
      </c>
      <c r="JZ3" s="22" t="inlineStr">
        <is>
          <t>MRR</t>
        </is>
      </c>
      <c r="KA3" s="22" t="inlineStr">
        <is>
          <t>ARR</t>
        </is>
      </c>
      <c r="KB3" s="22" t="inlineStr">
        <is>
          <t>Mo$</t>
        </is>
      </c>
      <c r="KC3" s="22" t="inlineStr">
        <is>
          <t>NwAn</t>
        </is>
      </c>
      <c r="KD3" s="22" t="inlineStr">
        <is>
          <t>Ren</t>
        </is>
      </c>
      <c r="KE3" s="22" t="inlineStr">
        <is>
          <t>Gross</t>
        </is>
      </c>
      <c r="KF3" s="22" t="inlineStr">
        <is>
          <t>R12</t>
        </is>
      </c>
      <c r="KG3" s="22" t="inlineStr">
        <is>
          <t>VAT</t>
        </is>
      </c>
      <c r="KH3" s="22" t="inlineStr">
        <is>
          <t>Net</t>
        </is>
      </c>
      <c r="KI3" s="22" t="inlineStr">
        <is>
          <t>VAcc</t>
        </is>
      </c>
      <c r="KJ3" s="22" t="inlineStr">
        <is>
          <t>VPay</t>
        </is>
      </c>
      <c r="KK3" s="22" t="inlineStr">
        <is>
          <t>VBal</t>
        </is>
      </c>
      <c r="KL3" s="22" t="inlineStr">
        <is>
          <t>Prov</t>
        </is>
      </c>
      <c r="KM3" s="22" t="inlineStr">
        <is>
          <t>Fee</t>
        </is>
      </c>
      <c r="KN3" s="22" t="inlineStr">
        <is>
          <t>Ops</t>
        </is>
      </c>
      <c r="KO3" s="22" t="inlineStr">
        <is>
          <t>Fix</t>
        </is>
      </c>
      <c r="KP3" s="22" t="inlineStr">
        <is>
          <t>Ref$</t>
        </is>
      </c>
      <c r="KQ3" s="22" t="inlineStr">
        <is>
          <t>Mkt</t>
        </is>
      </c>
      <c r="KR3" s="22" t="inlineStr">
        <is>
          <t>Pft</t>
        </is>
      </c>
      <c r="KS3" s="22" t="inlineStr">
        <is>
          <t>Cash</t>
        </is>
      </c>
      <c r="KT3" s="22" t="inlineStr">
        <is>
          <t>ARPU</t>
        </is>
      </c>
      <c r="KU3" s="22" t="inlineStr">
        <is>
          <t>Chrn</t>
        </is>
      </c>
      <c r="KW3" s="22" t="inlineStr">
        <is>
          <t>Mo</t>
        </is>
      </c>
      <c r="KX3" s="22" t="inlineStr">
        <is>
          <t>Cal</t>
        </is>
      </c>
      <c r="KY3" s="22" t="inlineStr">
        <is>
          <t>CY</t>
        </is>
      </c>
      <c r="KZ3" s="22" t="inlineStr">
        <is>
          <t>Acq</t>
        </is>
      </c>
      <c r="LA3" s="22" t="inlineStr">
        <is>
          <t>Infl</t>
        </is>
      </c>
      <c r="LB3" s="22" t="inlineStr">
        <is>
          <t>ECh</t>
        </is>
      </c>
      <c r="LC3" s="22" t="inlineStr">
        <is>
          <t>Mkt</t>
        </is>
      </c>
      <c r="LD3" s="22" t="inlineStr">
        <is>
          <t>Paid</t>
        </is>
      </c>
      <c r="LE3" s="22" t="inlineStr">
        <is>
          <t>Ref</t>
        </is>
      </c>
      <c r="LF3" s="22" t="inlineStr">
        <is>
          <t>Tot</t>
        </is>
      </c>
      <c r="LG3" s="22" t="inlineStr">
        <is>
          <t>NMo</t>
        </is>
      </c>
      <c r="LH3" s="22" t="inlineStr">
        <is>
          <t>NAn</t>
        </is>
      </c>
      <c r="LI3" s="22" t="inlineStr">
        <is>
          <t>NEsM</t>
        </is>
      </c>
      <c r="LJ3" s="22" t="inlineStr">
        <is>
          <t>NPrM</t>
        </is>
      </c>
      <c r="LK3" s="22" t="inlineStr">
        <is>
          <t>NEsA</t>
        </is>
      </c>
      <c r="LL3" s="22" t="inlineStr">
        <is>
          <t>NPrA</t>
        </is>
      </c>
      <c r="LM3" s="22" t="inlineStr">
        <is>
          <t>AEsM</t>
        </is>
      </c>
      <c r="LN3" s="22" t="inlineStr">
        <is>
          <t>APrM</t>
        </is>
      </c>
      <c r="LO3" s="22" t="inlineStr">
        <is>
          <t>AEsA</t>
        </is>
      </c>
      <c r="LP3" s="22" t="inlineStr">
        <is>
          <t>APrA</t>
        </is>
      </c>
      <c r="LQ3" s="22" t="inlineStr">
        <is>
          <t>Cust</t>
        </is>
      </c>
      <c r="LR3" s="22" t="inlineStr">
        <is>
          <t>MRR</t>
        </is>
      </c>
      <c r="LS3" s="22" t="inlineStr">
        <is>
          <t>ARR</t>
        </is>
      </c>
      <c r="LT3" s="22" t="inlineStr">
        <is>
          <t>Mo$</t>
        </is>
      </c>
      <c r="LU3" s="22" t="inlineStr">
        <is>
          <t>NwAn</t>
        </is>
      </c>
      <c r="LV3" s="22" t="inlineStr">
        <is>
          <t>Ren</t>
        </is>
      </c>
      <c r="LW3" s="22" t="inlineStr">
        <is>
          <t>Gross</t>
        </is>
      </c>
      <c r="LX3" s="22" t="inlineStr">
        <is>
          <t>R12</t>
        </is>
      </c>
      <c r="LY3" s="22" t="inlineStr">
        <is>
          <t>VAT</t>
        </is>
      </c>
      <c r="LZ3" s="22" t="inlineStr">
        <is>
          <t>Net</t>
        </is>
      </c>
      <c r="MA3" s="22" t="inlineStr">
        <is>
          <t>VAcc</t>
        </is>
      </c>
      <c r="MB3" s="22" t="inlineStr">
        <is>
          <t>VPay</t>
        </is>
      </c>
      <c r="MC3" s="22" t="inlineStr">
        <is>
          <t>VBal</t>
        </is>
      </c>
      <c r="MD3" s="22" t="inlineStr">
        <is>
          <t>Prov</t>
        </is>
      </c>
      <c r="ME3" s="22" t="inlineStr">
        <is>
          <t>Fee</t>
        </is>
      </c>
      <c r="MF3" s="22" t="inlineStr">
        <is>
          <t>Ops</t>
        </is>
      </c>
      <c r="MG3" s="22" t="inlineStr">
        <is>
          <t>Fix</t>
        </is>
      </c>
      <c r="MH3" s="22" t="inlineStr">
        <is>
          <t>Ref$</t>
        </is>
      </c>
      <c r="MI3" s="22" t="inlineStr">
        <is>
          <t>Mkt</t>
        </is>
      </c>
      <c r="MJ3" s="22" t="inlineStr">
        <is>
          <t>Pft</t>
        </is>
      </c>
      <c r="MK3" s="22" t="inlineStr">
        <is>
          <t>Cash</t>
        </is>
      </c>
      <c r="ML3" s="22" t="inlineStr">
        <is>
          <t>ARPU</t>
        </is>
      </c>
      <c r="MM3" s="22" t="inlineStr">
        <is>
          <t>Chrn</t>
        </is>
      </c>
      <c r="MO3" s="22" t="inlineStr">
        <is>
          <t>Mo</t>
        </is>
      </c>
      <c r="MP3" s="22" t="inlineStr">
        <is>
          <t>Cal</t>
        </is>
      </c>
      <c r="MQ3" s="22" t="inlineStr">
        <is>
          <t>CY</t>
        </is>
      </c>
      <c r="MR3" s="22" t="inlineStr">
        <is>
          <t>Acq</t>
        </is>
      </c>
      <c r="MS3" s="22" t="inlineStr">
        <is>
          <t>Infl</t>
        </is>
      </c>
      <c r="MT3" s="22" t="inlineStr">
        <is>
          <t>ECh</t>
        </is>
      </c>
      <c r="MU3" s="22" t="inlineStr">
        <is>
          <t>Mkt</t>
        </is>
      </c>
      <c r="MV3" s="22" t="inlineStr">
        <is>
          <t>Paid</t>
        </is>
      </c>
      <c r="MW3" s="22" t="inlineStr">
        <is>
          <t>Ref</t>
        </is>
      </c>
      <c r="MX3" s="22" t="inlineStr">
        <is>
          <t>Tot</t>
        </is>
      </c>
      <c r="MY3" s="22" t="inlineStr">
        <is>
          <t>NMo</t>
        </is>
      </c>
      <c r="MZ3" s="22" t="inlineStr">
        <is>
          <t>NAn</t>
        </is>
      </c>
      <c r="NA3" s="22" t="inlineStr">
        <is>
          <t>NEsM</t>
        </is>
      </c>
      <c r="NB3" s="22" t="inlineStr">
        <is>
          <t>NPrM</t>
        </is>
      </c>
      <c r="NC3" s="22" t="inlineStr">
        <is>
          <t>NEsA</t>
        </is>
      </c>
      <c r="ND3" s="22" t="inlineStr">
        <is>
          <t>NPrA</t>
        </is>
      </c>
      <c r="NE3" s="22" t="inlineStr">
        <is>
          <t>AEsM</t>
        </is>
      </c>
      <c r="NF3" s="22" t="inlineStr">
        <is>
          <t>APrM</t>
        </is>
      </c>
      <c r="NG3" s="22" t="inlineStr">
        <is>
          <t>AEsA</t>
        </is>
      </c>
      <c r="NH3" s="22" t="inlineStr">
        <is>
          <t>APrA</t>
        </is>
      </c>
      <c r="NI3" s="22" t="inlineStr">
        <is>
          <t>Cust</t>
        </is>
      </c>
      <c r="NJ3" s="22" t="inlineStr">
        <is>
          <t>MRR</t>
        </is>
      </c>
      <c r="NK3" s="22" t="inlineStr">
        <is>
          <t>ARR</t>
        </is>
      </c>
      <c r="NL3" s="22" t="inlineStr">
        <is>
          <t>Mo$</t>
        </is>
      </c>
      <c r="NM3" s="22" t="inlineStr">
        <is>
          <t>NwAn</t>
        </is>
      </c>
      <c r="NN3" s="22" t="inlineStr">
        <is>
          <t>Ren</t>
        </is>
      </c>
      <c r="NO3" s="22" t="inlineStr">
        <is>
          <t>Gross</t>
        </is>
      </c>
      <c r="NP3" s="22" t="inlineStr">
        <is>
          <t>R12</t>
        </is>
      </c>
      <c r="NQ3" s="22" t="inlineStr">
        <is>
          <t>VAT</t>
        </is>
      </c>
      <c r="NR3" s="22" t="inlineStr">
        <is>
          <t>Net</t>
        </is>
      </c>
      <c r="NS3" s="22" t="inlineStr">
        <is>
          <t>VAcc</t>
        </is>
      </c>
      <c r="NT3" s="22" t="inlineStr">
        <is>
          <t>VPay</t>
        </is>
      </c>
      <c r="NU3" s="22" t="inlineStr">
        <is>
          <t>VBal</t>
        </is>
      </c>
      <c r="NV3" s="22" t="inlineStr">
        <is>
          <t>Prov</t>
        </is>
      </c>
      <c r="NW3" s="22" t="inlineStr">
        <is>
          <t>Fee</t>
        </is>
      </c>
      <c r="NX3" s="22" t="inlineStr">
        <is>
          <t>Ops</t>
        </is>
      </c>
      <c r="NY3" s="22" t="inlineStr">
        <is>
          <t>Fix</t>
        </is>
      </c>
      <c r="NZ3" s="22" t="inlineStr">
        <is>
          <t>Ref$</t>
        </is>
      </c>
      <c r="OA3" s="22" t="inlineStr">
        <is>
          <t>Mkt</t>
        </is>
      </c>
      <c r="OB3" s="22" t="inlineStr">
        <is>
          <t>Pft</t>
        </is>
      </c>
      <c r="OC3" s="22" t="inlineStr">
        <is>
          <t>Cash</t>
        </is>
      </c>
      <c r="OD3" s="22" t="inlineStr">
        <is>
          <t>ARPU</t>
        </is>
      </c>
      <c r="OE3" s="22" t="inlineStr">
        <is>
          <t>Chrn</t>
        </is>
      </c>
      <c r="OG3" s="22" t="inlineStr">
        <is>
          <t>Mo</t>
        </is>
      </c>
      <c r="OH3" s="22" t="inlineStr">
        <is>
          <t>Cal</t>
        </is>
      </c>
      <c r="OI3" s="22" t="inlineStr">
        <is>
          <t>CY</t>
        </is>
      </c>
      <c r="OJ3" s="22" t="inlineStr">
        <is>
          <t>Acq</t>
        </is>
      </c>
      <c r="OK3" s="22" t="inlineStr">
        <is>
          <t>Infl</t>
        </is>
      </c>
      <c r="OL3" s="22" t="inlineStr">
        <is>
          <t>ECh</t>
        </is>
      </c>
      <c r="OM3" s="22" t="inlineStr">
        <is>
          <t>Mkt</t>
        </is>
      </c>
      <c r="ON3" s="22" t="inlineStr">
        <is>
          <t>Paid</t>
        </is>
      </c>
      <c r="OO3" s="22" t="inlineStr">
        <is>
          <t>Ref</t>
        </is>
      </c>
      <c r="OP3" s="22" t="inlineStr">
        <is>
          <t>Tot</t>
        </is>
      </c>
      <c r="OQ3" s="22" t="inlineStr">
        <is>
          <t>NMo</t>
        </is>
      </c>
      <c r="OR3" s="22" t="inlineStr">
        <is>
          <t>NAn</t>
        </is>
      </c>
      <c r="OS3" s="22" t="inlineStr">
        <is>
          <t>NEsM</t>
        </is>
      </c>
      <c r="OT3" s="22" t="inlineStr">
        <is>
          <t>NPrM</t>
        </is>
      </c>
      <c r="OU3" s="22" t="inlineStr">
        <is>
          <t>NEsA</t>
        </is>
      </c>
      <c r="OV3" s="22" t="inlineStr">
        <is>
          <t>NPrA</t>
        </is>
      </c>
      <c r="OW3" s="22" t="inlineStr">
        <is>
          <t>AEsM</t>
        </is>
      </c>
      <c r="OX3" s="22" t="inlineStr">
        <is>
          <t>APrM</t>
        </is>
      </c>
      <c r="OY3" s="22" t="inlineStr">
        <is>
          <t>AEsA</t>
        </is>
      </c>
      <c r="OZ3" s="22" t="inlineStr">
        <is>
          <t>APrA</t>
        </is>
      </c>
      <c r="PA3" s="22" t="inlineStr">
        <is>
          <t>Cust</t>
        </is>
      </c>
      <c r="PB3" s="22" t="inlineStr">
        <is>
          <t>MRR</t>
        </is>
      </c>
      <c r="PC3" s="22" t="inlineStr">
        <is>
          <t>ARR</t>
        </is>
      </c>
      <c r="PD3" s="22" t="inlineStr">
        <is>
          <t>Mo$</t>
        </is>
      </c>
      <c r="PE3" s="22" t="inlineStr">
        <is>
          <t>NwAn</t>
        </is>
      </c>
      <c r="PF3" s="22" t="inlineStr">
        <is>
          <t>Ren</t>
        </is>
      </c>
      <c r="PG3" s="22" t="inlineStr">
        <is>
          <t>Gross</t>
        </is>
      </c>
      <c r="PH3" s="22" t="inlineStr">
        <is>
          <t>R12</t>
        </is>
      </c>
      <c r="PI3" s="22" t="inlineStr">
        <is>
          <t>VAT</t>
        </is>
      </c>
      <c r="PJ3" s="22" t="inlineStr">
        <is>
          <t>Net</t>
        </is>
      </c>
      <c r="PK3" s="22" t="inlineStr">
        <is>
          <t>VAcc</t>
        </is>
      </c>
      <c r="PL3" s="22" t="inlineStr">
        <is>
          <t>VPay</t>
        </is>
      </c>
      <c r="PM3" s="22" t="inlineStr">
        <is>
          <t>VBal</t>
        </is>
      </c>
      <c r="PN3" s="22" t="inlineStr">
        <is>
          <t>Prov</t>
        </is>
      </c>
      <c r="PO3" s="22" t="inlineStr">
        <is>
          <t>Fee</t>
        </is>
      </c>
      <c r="PP3" s="22" t="inlineStr">
        <is>
          <t>Ops</t>
        </is>
      </c>
      <c r="PQ3" s="22" t="inlineStr">
        <is>
          <t>Fix</t>
        </is>
      </c>
      <c r="PR3" s="22" t="inlineStr">
        <is>
          <t>Ref$</t>
        </is>
      </c>
      <c r="PS3" s="22" t="inlineStr">
        <is>
          <t>Mkt</t>
        </is>
      </c>
      <c r="PT3" s="22" t="inlineStr">
        <is>
          <t>Pft</t>
        </is>
      </c>
      <c r="PU3" s="22" t="inlineStr">
        <is>
          <t>Cash</t>
        </is>
      </c>
      <c r="PV3" s="22" t="inlineStr">
        <is>
          <t>ARPU</t>
        </is>
      </c>
      <c r="PW3" s="22" t="inlineStr">
        <is>
          <t>Chrn</t>
        </is>
      </c>
      <c r="PY3" s="22" t="inlineStr">
        <is>
          <t>Mo</t>
        </is>
      </c>
      <c r="PZ3" s="22" t="inlineStr">
        <is>
          <t>Cal</t>
        </is>
      </c>
      <c r="QA3" s="22" t="inlineStr">
        <is>
          <t>CY</t>
        </is>
      </c>
      <c r="QB3" s="22" t="inlineStr">
        <is>
          <t>Acq</t>
        </is>
      </c>
      <c r="QC3" s="22" t="inlineStr">
        <is>
          <t>Infl</t>
        </is>
      </c>
      <c r="QD3" s="22" t="inlineStr">
        <is>
          <t>ECh</t>
        </is>
      </c>
      <c r="QE3" s="22" t="inlineStr">
        <is>
          <t>Mkt</t>
        </is>
      </c>
      <c r="QF3" s="22" t="inlineStr">
        <is>
          <t>Paid</t>
        </is>
      </c>
      <c r="QG3" s="22" t="inlineStr">
        <is>
          <t>Ref</t>
        </is>
      </c>
      <c r="QH3" s="22" t="inlineStr">
        <is>
          <t>Tot</t>
        </is>
      </c>
      <c r="QI3" s="22" t="inlineStr">
        <is>
          <t>NMo</t>
        </is>
      </c>
      <c r="QJ3" s="22" t="inlineStr">
        <is>
          <t>NAn</t>
        </is>
      </c>
      <c r="QK3" s="22" t="inlineStr">
        <is>
          <t>NEsM</t>
        </is>
      </c>
      <c r="QL3" s="22" t="inlineStr">
        <is>
          <t>NPrM</t>
        </is>
      </c>
      <c r="QM3" s="22" t="inlineStr">
        <is>
          <t>NEsA</t>
        </is>
      </c>
      <c r="QN3" s="22" t="inlineStr">
        <is>
          <t>NPrA</t>
        </is>
      </c>
      <c r="QO3" s="22" t="inlineStr">
        <is>
          <t>AEsM</t>
        </is>
      </c>
      <c r="QP3" s="22" t="inlineStr">
        <is>
          <t>APrM</t>
        </is>
      </c>
      <c r="QQ3" s="22" t="inlineStr">
        <is>
          <t>AEsA</t>
        </is>
      </c>
      <c r="QR3" s="22" t="inlineStr">
        <is>
          <t>APrA</t>
        </is>
      </c>
      <c r="QS3" s="22" t="inlineStr">
        <is>
          <t>Cust</t>
        </is>
      </c>
      <c r="QT3" s="22" t="inlineStr">
        <is>
          <t>MRR</t>
        </is>
      </c>
      <c r="QU3" s="22" t="inlineStr">
        <is>
          <t>ARR</t>
        </is>
      </c>
      <c r="QV3" s="22" t="inlineStr">
        <is>
          <t>Mo$</t>
        </is>
      </c>
      <c r="QW3" s="22" t="inlineStr">
        <is>
          <t>NwAn</t>
        </is>
      </c>
      <c r="QX3" s="22" t="inlineStr">
        <is>
          <t>Ren</t>
        </is>
      </c>
      <c r="QY3" s="22" t="inlineStr">
        <is>
          <t>Gross</t>
        </is>
      </c>
      <c r="QZ3" s="22" t="inlineStr">
        <is>
          <t>R12</t>
        </is>
      </c>
      <c r="RA3" s="22" t="inlineStr">
        <is>
          <t>VAT</t>
        </is>
      </c>
      <c r="RB3" s="22" t="inlineStr">
        <is>
          <t>Net</t>
        </is>
      </c>
      <c r="RC3" s="22" t="inlineStr">
        <is>
          <t>VAcc</t>
        </is>
      </c>
      <c r="RD3" s="22" t="inlineStr">
        <is>
          <t>VPay</t>
        </is>
      </c>
      <c r="RE3" s="22" t="inlineStr">
        <is>
          <t>VBal</t>
        </is>
      </c>
      <c r="RF3" s="22" t="inlineStr">
        <is>
          <t>Prov</t>
        </is>
      </c>
      <c r="RG3" s="22" t="inlineStr">
        <is>
          <t>Fee</t>
        </is>
      </c>
      <c r="RH3" s="22" t="inlineStr">
        <is>
          <t>Ops</t>
        </is>
      </c>
      <c r="RI3" s="22" t="inlineStr">
        <is>
          <t>Fix</t>
        </is>
      </c>
      <c r="RJ3" s="22" t="inlineStr">
        <is>
          <t>Ref$</t>
        </is>
      </c>
      <c r="RK3" s="22" t="inlineStr">
        <is>
          <t>Mkt</t>
        </is>
      </c>
      <c r="RL3" s="22" t="inlineStr">
        <is>
          <t>Pft</t>
        </is>
      </c>
      <c r="RM3" s="22" t="inlineStr">
        <is>
          <t>Cash</t>
        </is>
      </c>
      <c r="RN3" s="22" t="inlineStr">
        <is>
          <t>ARPU</t>
        </is>
      </c>
      <c r="RO3" s="22" t="inlineStr">
        <is>
          <t>Chrn</t>
        </is>
      </c>
      <c r="RQ3" s="22" t="inlineStr">
        <is>
          <t>Mo</t>
        </is>
      </c>
      <c r="RR3" s="22" t="inlineStr">
        <is>
          <t>Cal</t>
        </is>
      </c>
      <c r="RS3" s="22" t="inlineStr">
        <is>
          <t>CY</t>
        </is>
      </c>
      <c r="RT3" s="22" t="inlineStr">
        <is>
          <t>Acq</t>
        </is>
      </c>
      <c r="RU3" s="22" t="inlineStr">
        <is>
          <t>Infl</t>
        </is>
      </c>
      <c r="RV3" s="22" t="inlineStr">
        <is>
          <t>ECh</t>
        </is>
      </c>
      <c r="RW3" s="22" t="inlineStr">
        <is>
          <t>Mkt</t>
        </is>
      </c>
      <c r="RX3" s="22" t="inlineStr">
        <is>
          <t>Paid</t>
        </is>
      </c>
      <c r="RY3" s="22" t="inlineStr">
        <is>
          <t>Ref</t>
        </is>
      </c>
      <c r="RZ3" s="22" t="inlineStr">
        <is>
          <t>Tot</t>
        </is>
      </c>
      <c r="SA3" s="22" t="inlineStr">
        <is>
          <t>NMo</t>
        </is>
      </c>
      <c r="SB3" s="22" t="inlineStr">
        <is>
          <t>NAn</t>
        </is>
      </c>
      <c r="SC3" s="22" t="inlineStr">
        <is>
          <t>NEsM</t>
        </is>
      </c>
      <c r="SD3" s="22" t="inlineStr">
        <is>
          <t>NPrM</t>
        </is>
      </c>
      <c r="SE3" s="22" t="inlineStr">
        <is>
          <t>NEsA</t>
        </is>
      </c>
      <c r="SF3" s="22" t="inlineStr">
        <is>
          <t>NPrA</t>
        </is>
      </c>
      <c r="SG3" s="22" t="inlineStr">
        <is>
          <t>AEsM</t>
        </is>
      </c>
      <c r="SH3" s="22" t="inlineStr">
        <is>
          <t>APrM</t>
        </is>
      </c>
      <c r="SI3" s="22" t="inlineStr">
        <is>
          <t>AEsA</t>
        </is>
      </c>
      <c r="SJ3" s="22" t="inlineStr">
        <is>
          <t>APrA</t>
        </is>
      </c>
      <c r="SK3" s="22" t="inlineStr">
        <is>
          <t>Cust</t>
        </is>
      </c>
      <c r="SL3" s="22" t="inlineStr">
        <is>
          <t>MRR</t>
        </is>
      </c>
      <c r="SM3" s="22" t="inlineStr">
        <is>
          <t>ARR</t>
        </is>
      </c>
      <c r="SN3" s="22" t="inlineStr">
        <is>
          <t>Mo$</t>
        </is>
      </c>
      <c r="SO3" s="22" t="inlineStr">
        <is>
          <t>NwAn</t>
        </is>
      </c>
      <c r="SP3" s="22" t="inlineStr">
        <is>
          <t>Ren</t>
        </is>
      </c>
      <c r="SQ3" s="22" t="inlineStr">
        <is>
          <t>Gross</t>
        </is>
      </c>
      <c r="SR3" s="22" t="inlineStr">
        <is>
          <t>R12</t>
        </is>
      </c>
      <c r="SS3" s="22" t="inlineStr">
        <is>
          <t>VAT</t>
        </is>
      </c>
      <c r="ST3" s="22" t="inlineStr">
        <is>
          <t>Net</t>
        </is>
      </c>
      <c r="SU3" s="22" t="inlineStr">
        <is>
          <t>VAcc</t>
        </is>
      </c>
      <c r="SV3" s="22" t="inlineStr">
        <is>
          <t>VPay</t>
        </is>
      </c>
      <c r="SW3" s="22" t="inlineStr">
        <is>
          <t>VBal</t>
        </is>
      </c>
      <c r="SX3" s="22" t="inlineStr">
        <is>
          <t>Prov</t>
        </is>
      </c>
      <c r="SY3" s="22" t="inlineStr">
        <is>
          <t>Fee</t>
        </is>
      </c>
      <c r="SZ3" s="22" t="inlineStr">
        <is>
          <t>Ops</t>
        </is>
      </c>
      <c r="TA3" s="22" t="inlineStr">
        <is>
          <t>Fix</t>
        </is>
      </c>
      <c r="TB3" s="22" t="inlineStr">
        <is>
          <t>Ref$</t>
        </is>
      </c>
      <c r="TC3" s="22" t="inlineStr">
        <is>
          <t>Mkt</t>
        </is>
      </c>
      <c r="TD3" s="22" t="inlineStr">
        <is>
          <t>Pft</t>
        </is>
      </c>
      <c r="TE3" s="22" t="inlineStr">
        <is>
          <t>Cash</t>
        </is>
      </c>
      <c r="TF3" s="22" t="inlineStr">
        <is>
          <t>ARPU</t>
        </is>
      </c>
      <c r="TG3" s="22" t="inlineStr">
        <is>
          <t>Chrn</t>
        </is>
      </c>
      <c r="TI3" s="22" t="inlineStr">
        <is>
          <t>Mo</t>
        </is>
      </c>
      <c r="TJ3" s="22" t="inlineStr">
        <is>
          <t>Cal</t>
        </is>
      </c>
      <c r="TK3" s="22" t="inlineStr">
        <is>
          <t>CY</t>
        </is>
      </c>
      <c r="TL3" s="22" t="inlineStr">
        <is>
          <t>Acq</t>
        </is>
      </c>
      <c r="TM3" s="22" t="inlineStr">
        <is>
          <t>Infl</t>
        </is>
      </c>
      <c r="TN3" s="22" t="inlineStr">
        <is>
          <t>ECh</t>
        </is>
      </c>
      <c r="TO3" s="22" t="inlineStr">
        <is>
          <t>Mkt</t>
        </is>
      </c>
      <c r="TP3" s="22" t="inlineStr">
        <is>
          <t>Paid</t>
        </is>
      </c>
      <c r="TQ3" s="22" t="inlineStr">
        <is>
          <t>Ref</t>
        </is>
      </c>
      <c r="TR3" s="22" t="inlineStr">
        <is>
          <t>Tot</t>
        </is>
      </c>
      <c r="TS3" s="22" t="inlineStr">
        <is>
          <t>NMo</t>
        </is>
      </c>
      <c r="TT3" s="22" t="inlineStr">
        <is>
          <t>NAn</t>
        </is>
      </c>
      <c r="TU3" s="22" t="inlineStr">
        <is>
          <t>NEsM</t>
        </is>
      </c>
      <c r="TV3" s="22" t="inlineStr">
        <is>
          <t>NPrM</t>
        </is>
      </c>
      <c r="TW3" s="22" t="inlineStr">
        <is>
          <t>NEsA</t>
        </is>
      </c>
      <c r="TX3" s="22" t="inlineStr">
        <is>
          <t>NPrA</t>
        </is>
      </c>
      <c r="TY3" s="22" t="inlineStr">
        <is>
          <t>AEsM</t>
        </is>
      </c>
      <c r="TZ3" s="22" t="inlineStr">
        <is>
          <t>APrM</t>
        </is>
      </c>
      <c r="UA3" s="22" t="inlineStr">
        <is>
          <t>AEsA</t>
        </is>
      </c>
      <c r="UB3" s="22" t="inlineStr">
        <is>
          <t>APrA</t>
        </is>
      </c>
      <c r="UC3" s="22" t="inlineStr">
        <is>
          <t>Cust</t>
        </is>
      </c>
      <c r="UD3" s="22" t="inlineStr">
        <is>
          <t>MRR</t>
        </is>
      </c>
      <c r="UE3" s="22" t="inlineStr">
        <is>
          <t>ARR</t>
        </is>
      </c>
      <c r="UF3" s="22" t="inlineStr">
        <is>
          <t>Mo$</t>
        </is>
      </c>
      <c r="UG3" s="22" t="inlineStr">
        <is>
          <t>NwAn</t>
        </is>
      </c>
      <c r="UH3" s="22" t="inlineStr">
        <is>
          <t>Ren</t>
        </is>
      </c>
      <c r="UI3" s="22" t="inlineStr">
        <is>
          <t>Gross</t>
        </is>
      </c>
      <c r="UJ3" s="22" t="inlineStr">
        <is>
          <t>R12</t>
        </is>
      </c>
      <c r="UK3" s="22" t="inlineStr">
        <is>
          <t>VAT</t>
        </is>
      </c>
      <c r="UL3" s="22" t="inlineStr">
        <is>
          <t>Net</t>
        </is>
      </c>
      <c r="UM3" s="22" t="inlineStr">
        <is>
          <t>VAcc</t>
        </is>
      </c>
      <c r="UN3" s="22" t="inlineStr">
        <is>
          <t>VPay</t>
        </is>
      </c>
      <c r="UO3" s="22" t="inlineStr">
        <is>
          <t>VBal</t>
        </is>
      </c>
      <c r="UP3" s="22" t="inlineStr">
        <is>
          <t>Prov</t>
        </is>
      </c>
      <c r="UQ3" s="22" t="inlineStr">
        <is>
          <t>Fee</t>
        </is>
      </c>
      <c r="UR3" s="22" t="inlineStr">
        <is>
          <t>Ops</t>
        </is>
      </c>
      <c r="US3" s="22" t="inlineStr">
        <is>
          <t>Fix</t>
        </is>
      </c>
      <c r="UT3" s="22" t="inlineStr">
        <is>
          <t>Ref$</t>
        </is>
      </c>
      <c r="UU3" s="22" t="inlineStr">
        <is>
          <t>Mkt</t>
        </is>
      </c>
      <c r="UV3" s="22" t="inlineStr">
        <is>
          <t>Pft</t>
        </is>
      </c>
      <c r="UW3" s="22" t="inlineStr">
        <is>
          <t>Cash</t>
        </is>
      </c>
      <c r="UX3" s="22" t="inlineStr">
        <is>
          <t>ARPU</t>
        </is>
      </c>
      <c r="UY3" s="22" t="inlineStr">
        <is>
          <t>Chrn</t>
        </is>
      </c>
      <c r="VA3" s="22" t="inlineStr">
        <is>
          <t>Mo</t>
        </is>
      </c>
      <c r="VB3" s="22" t="inlineStr">
        <is>
          <t>Cal</t>
        </is>
      </c>
      <c r="VC3" s="22" t="inlineStr">
        <is>
          <t>CY</t>
        </is>
      </c>
      <c r="VD3" s="22" t="inlineStr">
        <is>
          <t>Acq</t>
        </is>
      </c>
      <c r="VE3" s="22" t="inlineStr">
        <is>
          <t>Infl</t>
        </is>
      </c>
      <c r="VF3" s="22" t="inlineStr">
        <is>
          <t>ECh</t>
        </is>
      </c>
      <c r="VG3" s="22" t="inlineStr">
        <is>
          <t>Mkt</t>
        </is>
      </c>
      <c r="VH3" s="22" t="inlineStr">
        <is>
          <t>Paid</t>
        </is>
      </c>
      <c r="VI3" s="22" t="inlineStr">
        <is>
          <t>Ref</t>
        </is>
      </c>
      <c r="VJ3" s="22" t="inlineStr">
        <is>
          <t>Tot</t>
        </is>
      </c>
      <c r="VK3" s="22" t="inlineStr">
        <is>
          <t>NMo</t>
        </is>
      </c>
      <c r="VL3" s="22" t="inlineStr">
        <is>
          <t>NAn</t>
        </is>
      </c>
      <c r="VM3" s="22" t="inlineStr">
        <is>
          <t>NEsM</t>
        </is>
      </c>
      <c r="VN3" s="22" t="inlineStr">
        <is>
          <t>NPrM</t>
        </is>
      </c>
      <c r="VO3" s="22" t="inlineStr">
        <is>
          <t>NEsA</t>
        </is>
      </c>
      <c r="VP3" s="22" t="inlineStr">
        <is>
          <t>NPrA</t>
        </is>
      </c>
      <c r="VQ3" s="22" t="inlineStr">
        <is>
          <t>AEsM</t>
        </is>
      </c>
      <c r="VR3" s="22" t="inlineStr">
        <is>
          <t>APrM</t>
        </is>
      </c>
      <c r="VS3" s="22" t="inlineStr">
        <is>
          <t>AEsA</t>
        </is>
      </c>
      <c r="VT3" s="22" t="inlineStr">
        <is>
          <t>APrA</t>
        </is>
      </c>
      <c r="VU3" s="22" t="inlineStr">
        <is>
          <t>Cust</t>
        </is>
      </c>
      <c r="VV3" s="22" t="inlineStr">
        <is>
          <t>MRR</t>
        </is>
      </c>
      <c r="VW3" s="22" t="inlineStr">
        <is>
          <t>ARR</t>
        </is>
      </c>
      <c r="VX3" s="22" t="inlineStr">
        <is>
          <t>Mo$</t>
        </is>
      </c>
      <c r="VY3" s="22" t="inlineStr">
        <is>
          <t>NwAn</t>
        </is>
      </c>
      <c r="VZ3" s="22" t="inlineStr">
        <is>
          <t>Ren</t>
        </is>
      </c>
      <c r="WA3" s="22" t="inlineStr">
        <is>
          <t>Gross</t>
        </is>
      </c>
      <c r="WB3" s="22" t="inlineStr">
        <is>
          <t>R12</t>
        </is>
      </c>
      <c r="WC3" s="22" t="inlineStr">
        <is>
          <t>VAT</t>
        </is>
      </c>
      <c r="WD3" s="22" t="inlineStr">
        <is>
          <t>Net</t>
        </is>
      </c>
      <c r="WE3" s="22" t="inlineStr">
        <is>
          <t>VAcc</t>
        </is>
      </c>
      <c r="WF3" s="22" t="inlineStr">
        <is>
          <t>VPay</t>
        </is>
      </c>
      <c r="WG3" s="22" t="inlineStr">
        <is>
          <t>VBal</t>
        </is>
      </c>
      <c r="WH3" s="22" t="inlineStr">
        <is>
          <t>Prov</t>
        </is>
      </c>
      <c r="WI3" s="22" t="inlineStr">
        <is>
          <t>Fee</t>
        </is>
      </c>
      <c r="WJ3" s="22" t="inlineStr">
        <is>
          <t>Ops</t>
        </is>
      </c>
      <c r="WK3" s="22" t="inlineStr">
        <is>
          <t>Fix</t>
        </is>
      </c>
      <c r="WL3" s="22" t="inlineStr">
        <is>
          <t>Ref$</t>
        </is>
      </c>
      <c r="WM3" s="22" t="inlineStr">
        <is>
          <t>Mkt</t>
        </is>
      </c>
      <c r="WN3" s="22" t="inlineStr">
        <is>
          <t>Pft</t>
        </is>
      </c>
      <c r="WO3" s="22" t="inlineStr">
        <is>
          <t>Cash</t>
        </is>
      </c>
      <c r="WP3" s="22" t="inlineStr">
        <is>
          <t>ARPU</t>
        </is>
      </c>
      <c r="WQ3" s="22" t="inlineStr">
        <is>
          <t>Chrn</t>
        </is>
      </c>
      <c r="WS3" s="22" t="inlineStr">
        <is>
          <t>Mo</t>
        </is>
      </c>
      <c r="WT3" s="22" t="inlineStr">
        <is>
          <t>Cal</t>
        </is>
      </c>
      <c r="WU3" s="22" t="inlineStr">
        <is>
          <t>CY</t>
        </is>
      </c>
      <c r="WV3" s="22" t="inlineStr">
        <is>
          <t>Acq</t>
        </is>
      </c>
      <c r="WW3" s="22" t="inlineStr">
        <is>
          <t>Infl</t>
        </is>
      </c>
      <c r="WX3" s="22" t="inlineStr">
        <is>
          <t>ECh</t>
        </is>
      </c>
      <c r="WY3" s="22" t="inlineStr">
        <is>
          <t>Mkt</t>
        </is>
      </c>
      <c r="WZ3" s="22" t="inlineStr">
        <is>
          <t>Paid</t>
        </is>
      </c>
      <c r="XA3" s="22" t="inlineStr">
        <is>
          <t>Ref</t>
        </is>
      </c>
      <c r="XB3" s="22" t="inlineStr">
        <is>
          <t>Tot</t>
        </is>
      </c>
      <c r="XC3" s="22" t="inlineStr">
        <is>
          <t>NMo</t>
        </is>
      </c>
      <c r="XD3" s="22" t="inlineStr">
        <is>
          <t>NAn</t>
        </is>
      </c>
      <c r="XE3" s="22" t="inlineStr">
        <is>
          <t>NEsM</t>
        </is>
      </c>
      <c r="XF3" s="22" t="inlineStr">
        <is>
          <t>NPrM</t>
        </is>
      </c>
      <c r="XG3" s="22" t="inlineStr">
        <is>
          <t>NEsA</t>
        </is>
      </c>
      <c r="XH3" s="22" t="inlineStr">
        <is>
          <t>NPrA</t>
        </is>
      </c>
      <c r="XI3" s="22" t="inlineStr">
        <is>
          <t>AEsM</t>
        </is>
      </c>
      <c r="XJ3" s="22" t="inlineStr">
        <is>
          <t>APrM</t>
        </is>
      </c>
      <c r="XK3" s="22" t="inlineStr">
        <is>
          <t>AEsA</t>
        </is>
      </c>
      <c r="XL3" s="22" t="inlineStr">
        <is>
          <t>APrA</t>
        </is>
      </c>
      <c r="XM3" s="22" t="inlineStr">
        <is>
          <t>Cust</t>
        </is>
      </c>
      <c r="XN3" s="22" t="inlineStr">
        <is>
          <t>MRR</t>
        </is>
      </c>
      <c r="XO3" s="22" t="inlineStr">
        <is>
          <t>ARR</t>
        </is>
      </c>
      <c r="XP3" s="22" t="inlineStr">
        <is>
          <t>Mo$</t>
        </is>
      </c>
      <c r="XQ3" s="22" t="inlineStr">
        <is>
          <t>NwAn</t>
        </is>
      </c>
      <c r="XR3" s="22" t="inlineStr">
        <is>
          <t>Ren</t>
        </is>
      </c>
      <c r="XS3" s="22" t="inlineStr">
        <is>
          <t>Gross</t>
        </is>
      </c>
      <c r="XT3" s="22" t="inlineStr">
        <is>
          <t>R12</t>
        </is>
      </c>
      <c r="XU3" s="22" t="inlineStr">
        <is>
          <t>VAT</t>
        </is>
      </c>
      <c r="XV3" s="22" t="inlineStr">
        <is>
          <t>Net</t>
        </is>
      </c>
      <c r="XW3" s="22" t="inlineStr">
        <is>
          <t>VAcc</t>
        </is>
      </c>
      <c r="XX3" s="22" t="inlineStr">
        <is>
          <t>VPay</t>
        </is>
      </c>
      <c r="XY3" s="22" t="inlineStr">
        <is>
          <t>VBal</t>
        </is>
      </c>
      <c r="XZ3" s="22" t="inlineStr">
        <is>
          <t>Prov</t>
        </is>
      </c>
      <c r="YA3" s="22" t="inlineStr">
        <is>
          <t>Fee</t>
        </is>
      </c>
      <c r="YB3" s="22" t="inlineStr">
        <is>
          <t>Ops</t>
        </is>
      </c>
      <c r="YC3" s="22" t="inlineStr">
        <is>
          <t>Fix</t>
        </is>
      </c>
      <c r="YD3" s="22" t="inlineStr">
        <is>
          <t>Ref$</t>
        </is>
      </c>
      <c r="YE3" s="22" t="inlineStr">
        <is>
          <t>Mkt</t>
        </is>
      </c>
      <c r="YF3" s="22" t="inlineStr">
        <is>
          <t>Pft</t>
        </is>
      </c>
      <c r="YG3" s="22" t="inlineStr">
        <is>
          <t>Cash</t>
        </is>
      </c>
      <c r="YH3" s="22" t="inlineStr">
        <is>
          <t>ARPU</t>
        </is>
      </c>
      <c r="YI3" s="22" t="inlineStr">
        <is>
          <t>Chrn</t>
        </is>
      </c>
      <c r="YK3" s="22" t="inlineStr">
        <is>
          <t>Mo</t>
        </is>
      </c>
      <c r="YL3" s="22" t="inlineStr">
        <is>
          <t>Cal</t>
        </is>
      </c>
      <c r="YM3" s="22" t="inlineStr">
        <is>
          <t>CY</t>
        </is>
      </c>
      <c r="YN3" s="22" t="inlineStr">
        <is>
          <t>Acq</t>
        </is>
      </c>
      <c r="YO3" s="22" t="inlineStr">
        <is>
          <t>Infl</t>
        </is>
      </c>
      <c r="YP3" s="22" t="inlineStr">
        <is>
          <t>ECh</t>
        </is>
      </c>
      <c r="YQ3" s="22" t="inlineStr">
        <is>
          <t>Mkt</t>
        </is>
      </c>
      <c r="YR3" s="22" t="inlineStr">
        <is>
          <t>Paid</t>
        </is>
      </c>
      <c r="YS3" s="22" t="inlineStr">
        <is>
          <t>Ref</t>
        </is>
      </c>
      <c r="YT3" s="22" t="inlineStr">
        <is>
          <t>Tot</t>
        </is>
      </c>
      <c r="YU3" s="22" t="inlineStr">
        <is>
          <t>NMo</t>
        </is>
      </c>
      <c r="YV3" s="22" t="inlineStr">
        <is>
          <t>NAn</t>
        </is>
      </c>
      <c r="YW3" s="22" t="inlineStr">
        <is>
          <t>NEsM</t>
        </is>
      </c>
      <c r="YX3" s="22" t="inlineStr">
        <is>
          <t>NPrM</t>
        </is>
      </c>
      <c r="YY3" s="22" t="inlineStr">
        <is>
          <t>NEsA</t>
        </is>
      </c>
      <c r="YZ3" s="22" t="inlineStr">
        <is>
          <t>NPrA</t>
        </is>
      </c>
      <c r="ZA3" s="22" t="inlineStr">
        <is>
          <t>AEsM</t>
        </is>
      </c>
      <c r="ZB3" s="22" t="inlineStr">
        <is>
          <t>APrM</t>
        </is>
      </c>
      <c r="ZC3" s="22" t="inlineStr">
        <is>
          <t>AEsA</t>
        </is>
      </c>
      <c r="ZD3" s="22" t="inlineStr">
        <is>
          <t>APrA</t>
        </is>
      </c>
      <c r="ZE3" s="22" t="inlineStr">
        <is>
          <t>Cust</t>
        </is>
      </c>
      <c r="ZF3" s="22" t="inlineStr">
        <is>
          <t>MRR</t>
        </is>
      </c>
      <c r="ZG3" s="22" t="inlineStr">
        <is>
          <t>ARR</t>
        </is>
      </c>
      <c r="ZH3" s="22" t="inlineStr">
        <is>
          <t>Mo$</t>
        </is>
      </c>
      <c r="ZI3" s="22" t="inlineStr">
        <is>
          <t>NwAn</t>
        </is>
      </c>
      <c r="ZJ3" s="22" t="inlineStr">
        <is>
          <t>Ren</t>
        </is>
      </c>
      <c r="ZK3" s="22" t="inlineStr">
        <is>
          <t>Gross</t>
        </is>
      </c>
      <c r="ZL3" s="22" t="inlineStr">
        <is>
          <t>R12</t>
        </is>
      </c>
      <c r="ZM3" s="22" t="inlineStr">
        <is>
          <t>VAT</t>
        </is>
      </c>
      <c r="ZN3" s="22" t="inlineStr">
        <is>
          <t>Net</t>
        </is>
      </c>
      <c r="ZO3" s="22" t="inlineStr">
        <is>
          <t>VAcc</t>
        </is>
      </c>
      <c r="ZP3" s="22" t="inlineStr">
        <is>
          <t>VPay</t>
        </is>
      </c>
      <c r="ZQ3" s="22" t="inlineStr">
        <is>
          <t>VBal</t>
        </is>
      </c>
      <c r="ZR3" s="22" t="inlineStr">
        <is>
          <t>Prov</t>
        </is>
      </c>
      <c r="ZS3" s="22" t="inlineStr">
        <is>
          <t>Fee</t>
        </is>
      </c>
      <c r="ZT3" s="22" t="inlineStr">
        <is>
          <t>Ops</t>
        </is>
      </c>
      <c r="ZU3" s="22" t="inlineStr">
        <is>
          <t>Fix</t>
        </is>
      </c>
      <c r="ZV3" s="22" t="inlineStr">
        <is>
          <t>Ref$</t>
        </is>
      </c>
      <c r="ZW3" s="22" t="inlineStr">
        <is>
          <t>Mkt</t>
        </is>
      </c>
      <c r="ZX3" s="22" t="inlineStr">
        <is>
          <t>Pft</t>
        </is>
      </c>
      <c r="ZY3" s="22" t="inlineStr">
        <is>
          <t>Cash</t>
        </is>
      </c>
      <c r="ZZ3" s="22" t="inlineStr">
        <is>
          <t>ARPU</t>
        </is>
      </c>
      <c r="AAA3" s="22" t="inlineStr">
        <is>
          <t>Chrn</t>
        </is>
      </c>
      <c r="AAC3" s="22" t="inlineStr">
        <is>
          <t>Mo</t>
        </is>
      </c>
      <c r="AAD3" s="22" t="inlineStr">
        <is>
          <t>Cal</t>
        </is>
      </c>
      <c r="AAE3" s="22" t="inlineStr">
        <is>
          <t>CY</t>
        </is>
      </c>
      <c r="AAF3" s="22" t="inlineStr">
        <is>
          <t>Acq</t>
        </is>
      </c>
      <c r="AAG3" s="22" t="inlineStr">
        <is>
          <t>Infl</t>
        </is>
      </c>
      <c r="AAH3" s="22" t="inlineStr">
        <is>
          <t>ECh</t>
        </is>
      </c>
      <c r="AAI3" s="22" t="inlineStr">
        <is>
          <t>Mkt</t>
        </is>
      </c>
      <c r="AAJ3" s="22" t="inlineStr">
        <is>
          <t>Paid</t>
        </is>
      </c>
      <c r="AAK3" s="22" t="inlineStr">
        <is>
          <t>Ref</t>
        </is>
      </c>
      <c r="AAL3" s="22" t="inlineStr">
        <is>
          <t>Tot</t>
        </is>
      </c>
      <c r="AAM3" s="22" t="inlineStr">
        <is>
          <t>NMo</t>
        </is>
      </c>
      <c r="AAN3" s="22" t="inlineStr">
        <is>
          <t>NAn</t>
        </is>
      </c>
      <c r="AAO3" s="22" t="inlineStr">
        <is>
          <t>NEsM</t>
        </is>
      </c>
      <c r="AAP3" s="22" t="inlineStr">
        <is>
          <t>NPrM</t>
        </is>
      </c>
      <c r="AAQ3" s="22" t="inlineStr">
        <is>
          <t>NEsA</t>
        </is>
      </c>
      <c r="AAR3" s="22" t="inlineStr">
        <is>
          <t>NPrA</t>
        </is>
      </c>
      <c r="AAS3" s="22" t="inlineStr">
        <is>
          <t>AEsM</t>
        </is>
      </c>
      <c r="AAT3" s="22" t="inlineStr">
        <is>
          <t>APrM</t>
        </is>
      </c>
      <c r="AAU3" s="22" t="inlineStr">
        <is>
          <t>AEsA</t>
        </is>
      </c>
      <c r="AAV3" s="22" t="inlineStr">
        <is>
          <t>APrA</t>
        </is>
      </c>
      <c r="AAW3" s="22" t="inlineStr">
        <is>
          <t>Cust</t>
        </is>
      </c>
      <c r="AAX3" s="22" t="inlineStr">
        <is>
          <t>MRR</t>
        </is>
      </c>
      <c r="AAY3" s="22" t="inlineStr">
        <is>
          <t>ARR</t>
        </is>
      </c>
      <c r="AAZ3" s="22" t="inlineStr">
        <is>
          <t>Mo$</t>
        </is>
      </c>
      <c r="ABA3" s="22" t="inlineStr">
        <is>
          <t>NwAn</t>
        </is>
      </c>
      <c r="ABB3" s="22" t="inlineStr">
        <is>
          <t>Ren</t>
        </is>
      </c>
      <c r="ABC3" s="22" t="inlineStr">
        <is>
          <t>Gross</t>
        </is>
      </c>
      <c r="ABD3" s="22" t="inlineStr">
        <is>
          <t>R12</t>
        </is>
      </c>
      <c r="ABE3" s="22" t="inlineStr">
        <is>
          <t>VAT</t>
        </is>
      </c>
      <c r="ABF3" s="22" t="inlineStr">
        <is>
          <t>Net</t>
        </is>
      </c>
      <c r="ABG3" s="22" t="inlineStr">
        <is>
          <t>VAcc</t>
        </is>
      </c>
      <c r="ABH3" s="22" t="inlineStr">
        <is>
          <t>VPay</t>
        </is>
      </c>
      <c r="ABI3" s="22" t="inlineStr">
        <is>
          <t>VBal</t>
        </is>
      </c>
      <c r="ABJ3" s="22" t="inlineStr">
        <is>
          <t>Prov</t>
        </is>
      </c>
      <c r="ABK3" s="22" t="inlineStr">
        <is>
          <t>Fee</t>
        </is>
      </c>
      <c r="ABL3" s="22" t="inlineStr">
        <is>
          <t>Ops</t>
        </is>
      </c>
      <c r="ABM3" s="22" t="inlineStr">
        <is>
          <t>Fix</t>
        </is>
      </c>
      <c r="ABN3" s="22" t="inlineStr">
        <is>
          <t>Ref$</t>
        </is>
      </c>
      <c r="ABO3" s="22" t="inlineStr">
        <is>
          <t>Mkt</t>
        </is>
      </c>
      <c r="ABP3" s="22" t="inlineStr">
        <is>
          <t>Pft</t>
        </is>
      </c>
      <c r="ABQ3" s="22" t="inlineStr">
        <is>
          <t>Cash</t>
        </is>
      </c>
      <c r="ABR3" s="22" t="inlineStr">
        <is>
          <t>ARPU</t>
        </is>
      </c>
      <c r="ABS3" s="22" t="inlineStr">
        <is>
          <t>Chrn</t>
        </is>
      </c>
      <c r="ABU3" s="22" t="inlineStr">
        <is>
          <t>Mo</t>
        </is>
      </c>
      <c r="ABV3" s="22" t="inlineStr">
        <is>
          <t>Cal</t>
        </is>
      </c>
      <c r="ABW3" s="22" t="inlineStr">
        <is>
          <t>CY</t>
        </is>
      </c>
      <c r="ABX3" s="22" t="inlineStr">
        <is>
          <t>Acq</t>
        </is>
      </c>
      <c r="ABY3" s="22" t="inlineStr">
        <is>
          <t>Infl</t>
        </is>
      </c>
      <c r="ABZ3" s="22" t="inlineStr">
        <is>
          <t>ECh</t>
        </is>
      </c>
      <c r="ACA3" s="22" t="inlineStr">
        <is>
          <t>Mkt</t>
        </is>
      </c>
      <c r="ACB3" s="22" t="inlineStr">
        <is>
          <t>Paid</t>
        </is>
      </c>
      <c r="ACC3" s="22" t="inlineStr">
        <is>
          <t>Ref</t>
        </is>
      </c>
      <c r="ACD3" s="22" t="inlineStr">
        <is>
          <t>Tot</t>
        </is>
      </c>
      <c r="ACE3" s="22" t="inlineStr">
        <is>
          <t>NMo</t>
        </is>
      </c>
      <c r="ACF3" s="22" t="inlineStr">
        <is>
          <t>NAn</t>
        </is>
      </c>
      <c r="ACG3" s="22" t="inlineStr">
        <is>
          <t>NEsM</t>
        </is>
      </c>
      <c r="ACH3" s="22" t="inlineStr">
        <is>
          <t>NPrM</t>
        </is>
      </c>
      <c r="ACI3" s="22" t="inlineStr">
        <is>
          <t>NEsA</t>
        </is>
      </c>
      <c r="ACJ3" s="22" t="inlineStr">
        <is>
          <t>NPrA</t>
        </is>
      </c>
      <c r="ACK3" s="22" t="inlineStr">
        <is>
          <t>AEsM</t>
        </is>
      </c>
      <c r="ACL3" s="22" t="inlineStr">
        <is>
          <t>APrM</t>
        </is>
      </c>
      <c r="ACM3" s="22" t="inlineStr">
        <is>
          <t>AEsA</t>
        </is>
      </c>
      <c r="ACN3" s="22" t="inlineStr">
        <is>
          <t>APrA</t>
        </is>
      </c>
      <c r="ACO3" s="22" t="inlineStr">
        <is>
          <t>Cust</t>
        </is>
      </c>
      <c r="ACP3" s="22" t="inlineStr">
        <is>
          <t>MRR</t>
        </is>
      </c>
      <c r="ACQ3" s="22" t="inlineStr">
        <is>
          <t>ARR</t>
        </is>
      </c>
      <c r="ACR3" s="22" t="inlineStr">
        <is>
          <t>Mo$</t>
        </is>
      </c>
      <c r="ACS3" s="22" t="inlineStr">
        <is>
          <t>NwAn</t>
        </is>
      </c>
      <c r="ACT3" s="22" t="inlineStr">
        <is>
          <t>Ren</t>
        </is>
      </c>
      <c r="ACU3" s="22" t="inlineStr">
        <is>
          <t>Gross</t>
        </is>
      </c>
      <c r="ACV3" s="22" t="inlineStr">
        <is>
          <t>R12</t>
        </is>
      </c>
      <c r="ACW3" s="22" t="inlineStr">
        <is>
          <t>VAT</t>
        </is>
      </c>
      <c r="ACX3" s="22" t="inlineStr">
        <is>
          <t>Net</t>
        </is>
      </c>
      <c r="ACY3" s="22" t="inlineStr">
        <is>
          <t>VAcc</t>
        </is>
      </c>
      <c r="ACZ3" s="22" t="inlineStr">
        <is>
          <t>VPay</t>
        </is>
      </c>
      <c r="ADA3" s="22" t="inlineStr">
        <is>
          <t>VBal</t>
        </is>
      </c>
      <c r="ADB3" s="22" t="inlineStr">
        <is>
          <t>Prov</t>
        </is>
      </c>
      <c r="ADC3" s="22" t="inlineStr">
        <is>
          <t>Fee</t>
        </is>
      </c>
      <c r="ADD3" s="22" t="inlineStr">
        <is>
          <t>Ops</t>
        </is>
      </c>
      <c r="ADE3" s="22" t="inlineStr">
        <is>
          <t>Fix</t>
        </is>
      </c>
      <c r="ADF3" s="22" t="inlineStr">
        <is>
          <t>Ref$</t>
        </is>
      </c>
      <c r="ADG3" s="22" t="inlineStr">
        <is>
          <t>Mkt</t>
        </is>
      </c>
      <c r="ADH3" s="22" t="inlineStr">
        <is>
          <t>Pft</t>
        </is>
      </c>
      <c r="ADI3" s="22" t="inlineStr">
        <is>
          <t>Cash</t>
        </is>
      </c>
      <c r="ADJ3" s="22" t="inlineStr">
        <is>
          <t>ARPU</t>
        </is>
      </c>
      <c r="ADK3" s="22" t="inlineStr">
        <is>
          <t>Chrn</t>
        </is>
      </c>
      <c r="ADM3" s="22" t="inlineStr">
        <is>
          <t>Mo</t>
        </is>
      </c>
      <c r="ADN3" s="22" t="inlineStr">
        <is>
          <t>Cal</t>
        </is>
      </c>
      <c r="ADO3" s="22" t="inlineStr">
        <is>
          <t>CY</t>
        </is>
      </c>
      <c r="ADP3" s="22" t="inlineStr">
        <is>
          <t>Acq</t>
        </is>
      </c>
      <c r="ADQ3" s="22" t="inlineStr">
        <is>
          <t>Infl</t>
        </is>
      </c>
      <c r="ADR3" s="22" t="inlineStr">
        <is>
          <t>ECh</t>
        </is>
      </c>
      <c r="ADS3" s="22" t="inlineStr">
        <is>
          <t>Mkt</t>
        </is>
      </c>
      <c r="ADT3" s="22" t="inlineStr">
        <is>
          <t>Paid</t>
        </is>
      </c>
      <c r="ADU3" s="22" t="inlineStr">
        <is>
          <t>Ref</t>
        </is>
      </c>
      <c r="ADV3" s="22" t="inlineStr">
        <is>
          <t>Tot</t>
        </is>
      </c>
      <c r="ADW3" s="22" t="inlineStr">
        <is>
          <t>NMo</t>
        </is>
      </c>
      <c r="ADX3" s="22" t="inlineStr">
        <is>
          <t>NAn</t>
        </is>
      </c>
      <c r="ADY3" s="22" t="inlineStr">
        <is>
          <t>NEsM</t>
        </is>
      </c>
      <c r="ADZ3" s="22" t="inlineStr">
        <is>
          <t>NPrM</t>
        </is>
      </c>
      <c r="AEA3" s="22" t="inlineStr">
        <is>
          <t>NEsA</t>
        </is>
      </c>
      <c r="AEB3" s="22" t="inlineStr">
        <is>
          <t>NPrA</t>
        </is>
      </c>
      <c r="AEC3" s="22" t="inlineStr">
        <is>
          <t>AEsM</t>
        </is>
      </c>
      <c r="AED3" s="22" t="inlineStr">
        <is>
          <t>APrM</t>
        </is>
      </c>
      <c r="AEE3" s="22" t="inlineStr">
        <is>
          <t>AEsA</t>
        </is>
      </c>
      <c r="AEF3" s="22" t="inlineStr">
        <is>
          <t>APrA</t>
        </is>
      </c>
      <c r="AEG3" s="22" t="inlineStr">
        <is>
          <t>Cust</t>
        </is>
      </c>
      <c r="AEH3" s="22" t="inlineStr">
        <is>
          <t>MRR</t>
        </is>
      </c>
      <c r="AEI3" s="22" t="inlineStr">
        <is>
          <t>ARR</t>
        </is>
      </c>
      <c r="AEJ3" s="22" t="inlineStr">
        <is>
          <t>Mo$</t>
        </is>
      </c>
      <c r="AEK3" s="22" t="inlineStr">
        <is>
          <t>NwAn</t>
        </is>
      </c>
      <c r="AEL3" s="22" t="inlineStr">
        <is>
          <t>Ren</t>
        </is>
      </c>
      <c r="AEM3" s="22" t="inlineStr">
        <is>
          <t>Gross</t>
        </is>
      </c>
      <c r="AEN3" s="22" t="inlineStr">
        <is>
          <t>R12</t>
        </is>
      </c>
      <c r="AEO3" s="22" t="inlineStr">
        <is>
          <t>VAT</t>
        </is>
      </c>
      <c r="AEP3" s="22" t="inlineStr">
        <is>
          <t>Net</t>
        </is>
      </c>
      <c r="AEQ3" s="22" t="inlineStr">
        <is>
          <t>VAcc</t>
        </is>
      </c>
      <c r="AER3" s="22" t="inlineStr">
        <is>
          <t>VPay</t>
        </is>
      </c>
      <c r="AES3" s="22" t="inlineStr">
        <is>
          <t>VBal</t>
        </is>
      </c>
      <c r="AET3" s="22" t="inlineStr">
        <is>
          <t>Prov</t>
        </is>
      </c>
      <c r="AEU3" s="22" t="inlineStr">
        <is>
          <t>Fee</t>
        </is>
      </c>
      <c r="AEV3" s="22" t="inlineStr">
        <is>
          <t>Ops</t>
        </is>
      </c>
      <c r="AEW3" s="22" t="inlineStr">
        <is>
          <t>Fix</t>
        </is>
      </c>
      <c r="AEX3" s="22" t="inlineStr">
        <is>
          <t>Ref$</t>
        </is>
      </c>
      <c r="AEY3" s="22" t="inlineStr">
        <is>
          <t>Mkt</t>
        </is>
      </c>
      <c r="AEZ3" s="22" t="inlineStr">
        <is>
          <t>Pft</t>
        </is>
      </c>
      <c r="AFA3" s="22" t="inlineStr">
        <is>
          <t>Cash</t>
        </is>
      </c>
      <c r="AFB3" s="22" t="inlineStr">
        <is>
          <t>ARPU</t>
        </is>
      </c>
      <c r="AFC3" s="22" t="inlineStr">
        <is>
          <t>Chrn</t>
        </is>
      </c>
      <c r="AFE3" s="22" t="inlineStr">
        <is>
          <t>Mo</t>
        </is>
      </c>
      <c r="AFF3" s="22" t="inlineStr">
        <is>
          <t>Cal</t>
        </is>
      </c>
      <c r="AFG3" s="22" t="inlineStr">
        <is>
          <t>CY</t>
        </is>
      </c>
      <c r="AFH3" s="22" t="inlineStr">
        <is>
          <t>Acq</t>
        </is>
      </c>
      <c r="AFI3" s="22" t="inlineStr">
        <is>
          <t>Infl</t>
        </is>
      </c>
      <c r="AFJ3" s="22" t="inlineStr">
        <is>
          <t>ECh</t>
        </is>
      </c>
      <c r="AFK3" s="22" t="inlineStr">
        <is>
          <t>Mkt</t>
        </is>
      </c>
      <c r="AFL3" s="22" t="inlineStr">
        <is>
          <t>Paid</t>
        </is>
      </c>
      <c r="AFM3" s="22" t="inlineStr">
        <is>
          <t>Ref</t>
        </is>
      </c>
      <c r="AFN3" s="22" t="inlineStr">
        <is>
          <t>Tot</t>
        </is>
      </c>
      <c r="AFO3" s="22" t="inlineStr">
        <is>
          <t>NMo</t>
        </is>
      </c>
      <c r="AFP3" s="22" t="inlineStr">
        <is>
          <t>NAn</t>
        </is>
      </c>
      <c r="AFQ3" s="22" t="inlineStr">
        <is>
          <t>NEsM</t>
        </is>
      </c>
      <c r="AFR3" s="22" t="inlineStr">
        <is>
          <t>NPrM</t>
        </is>
      </c>
      <c r="AFS3" s="22" t="inlineStr">
        <is>
          <t>NEsA</t>
        </is>
      </c>
      <c r="AFT3" s="22" t="inlineStr">
        <is>
          <t>NPrA</t>
        </is>
      </c>
      <c r="AFU3" s="22" t="inlineStr">
        <is>
          <t>AEsM</t>
        </is>
      </c>
      <c r="AFV3" s="22" t="inlineStr">
        <is>
          <t>APrM</t>
        </is>
      </c>
      <c r="AFW3" s="22" t="inlineStr">
        <is>
          <t>AEsA</t>
        </is>
      </c>
      <c r="AFX3" s="22" t="inlineStr">
        <is>
          <t>APrA</t>
        </is>
      </c>
      <c r="AFY3" s="22" t="inlineStr">
        <is>
          <t>Cust</t>
        </is>
      </c>
      <c r="AFZ3" s="22" t="inlineStr">
        <is>
          <t>MRR</t>
        </is>
      </c>
      <c r="AGA3" s="22" t="inlineStr">
        <is>
          <t>ARR</t>
        </is>
      </c>
      <c r="AGB3" s="22" t="inlineStr">
        <is>
          <t>Mo$</t>
        </is>
      </c>
      <c r="AGC3" s="22" t="inlineStr">
        <is>
          <t>NwAn</t>
        </is>
      </c>
      <c r="AGD3" s="22" t="inlineStr">
        <is>
          <t>Ren</t>
        </is>
      </c>
      <c r="AGE3" s="22" t="inlineStr">
        <is>
          <t>Gross</t>
        </is>
      </c>
      <c r="AGF3" s="22" t="inlineStr">
        <is>
          <t>R12</t>
        </is>
      </c>
      <c r="AGG3" s="22" t="inlineStr">
        <is>
          <t>VAT</t>
        </is>
      </c>
      <c r="AGH3" s="22" t="inlineStr">
        <is>
          <t>Net</t>
        </is>
      </c>
      <c r="AGI3" s="22" t="inlineStr">
        <is>
          <t>VAcc</t>
        </is>
      </c>
      <c r="AGJ3" s="22" t="inlineStr">
        <is>
          <t>VPay</t>
        </is>
      </c>
      <c r="AGK3" s="22" t="inlineStr">
        <is>
          <t>VBal</t>
        </is>
      </c>
      <c r="AGL3" s="22" t="inlineStr">
        <is>
          <t>Prov</t>
        </is>
      </c>
      <c r="AGM3" s="22" t="inlineStr">
        <is>
          <t>Fee</t>
        </is>
      </c>
      <c r="AGN3" s="22" t="inlineStr">
        <is>
          <t>Ops</t>
        </is>
      </c>
      <c r="AGO3" s="22" t="inlineStr">
        <is>
          <t>Fix</t>
        </is>
      </c>
      <c r="AGP3" s="22" t="inlineStr">
        <is>
          <t>Ref$</t>
        </is>
      </c>
      <c r="AGQ3" s="22" t="inlineStr">
        <is>
          <t>Mkt</t>
        </is>
      </c>
      <c r="AGR3" s="22" t="inlineStr">
        <is>
          <t>Pft</t>
        </is>
      </c>
      <c r="AGS3" s="22" t="inlineStr">
        <is>
          <t>Cash</t>
        </is>
      </c>
      <c r="AGT3" s="22" t="inlineStr">
        <is>
          <t>ARPU</t>
        </is>
      </c>
      <c r="AGU3" s="22" t="inlineStr">
        <is>
          <t>Chrn</t>
        </is>
      </c>
      <c r="AGW3" s="22" t="inlineStr">
        <is>
          <t>Mo</t>
        </is>
      </c>
      <c r="AGX3" s="22" t="inlineStr">
        <is>
          <t>Cal</t>
        </is>
      </c>
      <c r="AGY3" s="22" t="inlineStr">
        <is>
          <t>CY</t>
        </is>
      </c>
      <c r="AGZ3" s="22" t="inlineStr">
        <is>
          <t>Acq</t>
        </is>
      </c>
      <c r="AHA3" s="22" t="inlineStr">
        <is>
          <t>Infl</t>
        </is>
      </c>
      <c r="AHB3" s="22" t="inlineStr">
        <is>
          <t>ECh</t>
        </is>
      </c>
      <c r="AHC3" s="22" t="inlineStr">
        <is>
          <t>Mkt</t>
        </is>
      </c>
      <c r="AHD3" s="22" t="inlineStr">
        <is>
          <t>Paid</t>
        </is>
      </c>
      <c r="AHE3" s="22" t="inlineStr">
        <is>
          <t>Ref</t>
        </is>
      </c>
      <c r="AHF3" s="22" t="inlineStr">
        <is>
          <t>Tot</t>
        </is>
      </c>
      <c r="AHG3" s="22" t="inlineStr">
        <is>
          <t>NMo</t>
        </is>
      </c>
      <c r="AHH3" s="22" t="inlineStr">
        <is>
          <t>NAn</t>
        </is>
      </c>
      <c r="AHI3" s="22" t="inlineStr">
        <is>
          <t>NEsM</t>
        </is>
      </c>
      <c r="AHJ3" s="22" t="inlineStr">
        <is>
          <t>NPrM</t>
        </is>
      </c>
      <c r="AHK3" s="22" t="inlineStr">
        <is>
          <t>NEsA</t>
        </is>
      </c>
      <c r="AHL3" s="22" t="inlineStr">
        <is>
          <t>NPrA</t>
        </is>
      </c>
      <c r="AHM3" s="22" t="inlineStr">
        <is>
          <t>AEsM</t>
        </is>
      </c>
      <c r="AHN3" s="22" t="inlineStr">
        <is>
          <t>APrM</t>
        </is>
      </c>
      <c r="AHO3" s="22" t="inlineStr">
        <is>
          <t>AEsA</t>
        </is>
      </c>
      <c r="AHP3" s="22" t="inlineStr">
        <is>
          <t>APrA</t>
        </is>
      </c>
      <c r="AHQ3" s="22" t="inlineStr">
        <is>
          <t>Cust</t>
        </is>
      </c>
      <c r="AHR3" s="22" t="inlineStr">
        <is>
          <t>MRR</t>
        </is>
      </c>
      <c r="AHS3" s="22" t="inlineStr">
        <is>
          <t>ARR</t>
        </is>
      </c>
      <c r="AHT3" s="22" t="inlineStr">
        <is>
          <t>Mo$</t>
        </is>
      </c>
      <c r="AHU3" s="22" t="inlineStr">
        <is>
          <t>NwAn</t>
        </is>
      </c>
      <c r="AHV3" s="22" t="inlineStr">
        <is>
          <t>Ren</t>
        </is>
      </c>
      <c r="AHW3" s="22" t="inlineStr">
        <is>
          <t>Gross</t>
        </is>
      </c>
      <c r="AHX3" s="22" t="inlineStr">
        <is>
          <t>R12</t>
        </is>
      </c>
      <c r="AHY3" s="22" t="inlineStr">
        <is>
          <t>VAT</t>
        </is>
      </c>
      <c r="AHZ3" s="22" t="inlineStr">
        <is>
          <t>Net</t>
        </is>
      </c>
      <c r="AIA3" s="22" t="inlineStr">
        <is>
          <t>VAcc</t>
        </is>
      </c>
      <c r="AIB3" s="22" t="inlineStr">
        <is>
          <t>VPay</t>
        </is>
      </c>
      <c r="AIC3" s="22" t="inlineStr">
        <is>
          <t>VBal</t>
        </is>
      </c>
      <c r="AID3" s="22" t="inlineStr">
        <is>
          <t>Prov</t>
        </is>
      </c>
      <c r="AIE3" s="22" t="inlineStr">
        <is>
          <t>Fee</t>
        </is>
      </c>
      <c r="AIF3" s="22" t="inlineStr">
        <is>
          <t>Ops</t>
        </is>
      </c>
      <c r="AIG3" s="22" t="inlineStr">
        <is>
          <t>Fix</t>
        </is>
      </c>
      <c r="AIH3" s="22" t="inlineStr">
        <is>
          <t>Ref$</t>
        </is>
      </c>
      <c r="AII3" s="22" t="inlineStr">
        <is>
          <t>Mkt</t>
        </is>
      </c>
      <c r="AIJ3" s="22" t="inlineStr">
        <is>
          <t>Pft</t>
        </is>
      </c>
      <c r="AIK3" s="22" t="inlineStr">
        <is>
          <t>Cash</t>
        </is>
      </c>
      <c r="AIL3" s="22" t="inlineStr">
        <is>
          <t>ARPU</t>
        </is>
      </c>
      <c r="AIM3" s="22" t="inlineStr">
        <is>
          <t>Chrn</t>
        </is>
      </c>
      <c r="AIO3" s="22" t="inlineStr">
        <is>
          <t>Mo</t>
        </is>
      </c>
      <c r="AIP3" s="22" t="inlineStr">
        <is>
          <t>Cal</t>
        </is>
      </c>
      <c r="AIQ3" s="22" t="inlineStr">
        <is>
          <t>CY</t>
        </is>
      </c>
      <c r="AIR3" s="22" t="inlineStr">
        <is>
          <t>Acq</t>
        </is>
      </c>
      <c r="AIS3" s="22" t="inlineStr">
        <is>
          <t>Infl</t>
        </is>
      </c>
      <c r="AIT3" s="22" t="inlineStr">
        <is>
          <t>ECh</t>
        </is>
      </c>
      <c r="AIU3" s="22" t="inlineStr">
        <is>
          <t>Mkt</t>
        </is>
      </c>
      <c r="AIV3" s="22" t="inlineStr">
        <is>
          <t>Paid</t>
        </is>
      </c>
      <c r="AIW3" s="22" t="inlineStr">
        <is>
          <t>Ref</t>
        </is>
      </c>
      <c r="AIX3" s="22" t="inlineStr">
        <is>
          <t>Tot</t>
        </is>
      </c>
      <c r="AIY3" s="22" t="inlineStr">
        <is>
          <t>NMo</t>
        </is>
      </c>
      <c r="AIZ3" s="22" t="inlineStr">
        <is>
          <t>NAn</t>
        </is>
      </c>
      <c r="AJA3" s="22" t="inlineStr">
        <is>
          <t>NEsM</t>
        </is>
      </c>
      <c r="AJB3" s="22" t="inlineStr">
        <is>
          <t>NPrM</t>
        </is>
      </c>
      <c r="AJC3" s="22" t="inlineStr">
        <is>
          <t>NEsA</t>
        </is>
      </c>
      <c r="AJD3" s="22" t="inlineStr">
        <is>
          <t>NPrA</t>
        </is>
      </c>
      <c r="AJE3" s="22" t="inlineStr">
        <is>
          <t>AEsM</t>
        </is>
      </c>
      <c r="AJF3" s="22" t="inlineStr">
        <is>
          <t>APrM</t>
        </is>
      </c>
      <c r="AJG3" s="22" t="inlineStr">
        <is>
          <t>AEsA</t>
        </is>
      </c>
      <c r="AJH3" s="22" t="inlineStr">
        <is>
          <t>APrA</t>
        </is>
      </c>
      <c r="AJI3" s="22" t="inlineStr">
        <is>
          <t>Cust</t>
        </is>
      </c>
      <c r="AJJ3" s="22" t="inlineStr">
        <is>
          <t>MRR</t>
        </is>
      </c>
      <c r="AJK3" s="22" t="inlineStr">
        <is>
          <t>ARR</t>
        </is>
      </c>
      <c r="AJL3" s="22" t="inlineStr">
        <is>
          <t>Mo$</t>
        </is>
      </c>
      <c r="AJM3" s="22" t="inlineStr">
        <is>
          <t>NwAn</t>
        </is>
      </c>
      <c r="AJN3" s="22" t="inlineStr">
        <is>
          <t>Ren</t>
        </is>
      </c>
      <c r="AJO3" s="22" t="inlineStr">
        <is>
          <t>Gross</t>
        </is>
      </c>
      <c r="AJP3" s="22" t="inlineStr">
        <is>
          <t>R12</t>
        </is>
      </c>
      <c r="AJQ3" s="22" t="inlineStr">
        <is>
          <t>VAT</t>
        </is>
      </c>
      <c r="AJR3" s="22" t="inlineStr">
        <is>
          <t>Net</t>
        </is>
      </c>
      <c r="AJS3" s="22" t="inlineStr">
        <is>
          <t>VAcc</t>
        </is>
      </c>
      <c r="AJT3" s="22" t="inlineStr">
        <is>
          <t>VPay</t>
        </is>
      </c>
      <c r="AJU3" s="22" t="inlineStr">
        <is>
          <t>VBal</t>
        </is>
      </c>
      <c r="AJV3" s="22" t="inlineStr">
        <is>
          <t>Prov</t>
        </is>
      </c>
      <c r="AJW3" s="22" t="inlineStr">
        <is>
          <t>Fee</t>
        </is>
      </c>
      <c r="AJX3" s="22" t="inlineStr">
        <is>
          <t>Ops</t>
        </is>
      </c>
      <c r="AJY3" s="22" t="inlineStr">
        <is>
          <t>Fix</t>
        </is>
      </c>
      <c r="AJZ3" s="22" t="inlineStr">
        <is>
          <t>Ref$</t>
        </is>
      </c>
      <c r="AKA3" s="22" t="inlineStr">
        <is>
          <t>Mkt</t>
        </is>
      </c>
      <c r="AKB3" s="22" t="inlineStr">
        <is>
          <t>Pft</t>
        </is>
      </c>
      <c r="AKC3" s="22" t="inlineStr">
        <is>
          <t>Cash</t>
        </is>
      </c>
      <c r="AKD3" s="22" t="inlineStr">
        <is>
          <t>ARPU</t>
        </is>
      </c>
      <c r="AKE3" s="22" t="inlineStr">
        <is>
          <t>Chrn</t>
        </is>
      </c>
      <c r="AKG3" s="22" t="inlineStr">
        <is>
          <t>Mo</t>
        </is>
      </c>
      <c r="AKH3" s="22" t="inlineStr">
        <is>
          <t>Cal</t>
        </is>
      </c>
      <c r="AKI3" s="22" t="inlineStr">
        <is>
          <t>CY</t>
        </is>
      </c>
      <c r="AKJ3" s="22" t="inlineStr">
        <is>
          <t>Acq</t>
        </is>
      </c>
      <c r="AKK3" s="22" t="inlineStr">
        <is>
          <t>Infl</t>
        </is>
      </c>
      <c r="AKL3" s="22" t="inlineStr">
        <is>
          <t>ECh</t>
        </is>
      </c>
      <c r="AKM3" s="22" t="inlineStr">
        <is>
          <t>Mkt</t>
        </is>
      </c>
      <c r="AKN3" s="22" t="inlineStr">
        <is>
          <t>Paid</t>
        </is>
      </c>
      <c r="AKO3" s="22" t="inlineStr">
        <is>
          <t>Ref</t>
        </is>
      </c>
      <c r="AKP3" s="22" t="inlineStr">
        <is>
          <t>Tot</t>
        </is>
      </c>
      <c r="AKQ3" s="22" t="inlineStr">
        <is>
          <t>NMo</t>
        </is>
      </c>
      <c r="AKR3" s="22" t="inlineStr">
        <is>
          <t>NAn</t>
        </is>
      </c>
      <c r="AKS3" s="22" t="inlineStr">
        <is>
          <t>NEsM</t>
        </is>
      </c>
      <c r="AKT3" s="22" t="inlineStr">
        <is>
          <t>NPrM</t>
        </is>
      </c>
      <c r="AKU3" s="22" t="inlineStr">
        <is>
          <t>NEsA</t>
        </is>
      </c>
      <c r="AKV3" s="22" t="inlineStr">
        <is>
          <t>NPrA</t>
        </is>
      </c>
      <c r="AKW3" s="22" t="inlineStr">
        <is>
          <t>AEsM</t>
        </is>
      </c>
      <c r="AKX3" s="22" t="inlineStr">
        <is>
          <t>APrM</t>
        </is>
      </c>
      <c r="AKY3" s="22" t="inlineStr">
        <is>
          <t>AEsA</t>
        </is>
      </c>
      <c r="AKZ3" s="22" t="inlineStr">
        <is>
          <t>APrA</t>
        </is>
      </c>
      <c r="ALA3" s="22" t="inlineStr">
        <is>
          <t>Cust</t>
        </is>
      </c>
      <c r="ALB3" s="22" t="inlineStr">
        <is>
          <t>MRR</t>
        </is>
      </c>
      <c r="ALC3" s="22" t="inlineStr">
        <is>
          <t>ARR</t>
        </is>
      </c>
      <c r="ALD3" s="22" t="inlineStr">
        <is>
          <t>Mo$</t>
        </is>
      </c>
      <c r="ALE3" s="22" t="inlineStr">
        <is>
          <t>NwAn</t>
        </is>
      </c>
      <c r="ALF3" s="22" t="inlineStr">
        <is>
          <t>Ren</t>
        </is>
      </c>
      <c r="ALG3" s="22" t="inlineStr">
        <is>
          <t>Gross</t>
        </is>
      </c>
      <c r="ALH3" s="22" t="inlineStr">
        <is>
          <t>R12</t>
        </is>
      </c>
      <c r="ALI3" s="22" t="inlineStr">
        <is>
          <t>VAT</t>
        </is>
      </c>
      <c r="ALJ3" s="22" t="inlineStr">
        <is>
          <t>Net</t>
        </is>
      </c>
      <c r="ALK3" s="22" t="inlineStr">
        <is>
          <t>VAcc</t>
        </is>
      </c>
      <c r="ALL3" s="22" t="inlineStr">
        <is>
          <t>VPay</t>
        </is>
      </c>
      <c r="ALM3" s="22" t="inlineStr">
        <is>
          <t>VBal</t>
        </is>
      </c>
      <c r="ALN3" s="22" t="inlineStr">
        <is>
          <t>Prov</t>
        </is>
      </c>
      <c r="ALO3" s="22" t="inlineStr">
        <is>
          <t>Fee</t>
        </is>
      </c>
      <c r="ALP3" s="22" t="inlineStr">
        <is>
          <t>Ops</t>
        </is>
      </c>
      <c r="ALQ3" s="22" t="inlineStr">
        <is>
          <t>Fix</t>
        </is>
      </c>
      <c r="ALR3" s="22" t="inlineStr">
        <is>
          <t>Ref$</t>
        </is>
      </c>
      <c r="ALS3" s="22" t="inlineStr">
        <is>
          <t>Mkt</t>
        </is>
      </c>
      <c r="ALT3" s="22" t="inlineStr">
        <is>
          <t>Pft</t>
        </is>
      </c>
      <c r="ALU3" s="22" t="inlineStr">
        <is>
          <t>Cash</t>
        </is>
      </c>
      <c r="ALV3" s="22" t="inlineStr">
        <is>
          <t>ARPU</t>
        </is>
      </c>
      <c r="ALW3" s="22" t="inlineStr">
        <is>
          <t>Chrn</t>
        </is>
      </c>
      <c r="ALY3" s="22" t="inlineStr">
        <is>
          <t>Mo</t>
        </is>
      </c>
      <c r="ALZ3" s="22" t="inlineStr">
        <is>
          <t>Cal</t>
        </is>
      </c>
      <c r="AMA3" s="22" t="inlineStr">
        <is>
          <t>CY</t>
        </is>
      </c>
      <c r="AMB3" s="22" t="inlineStr">
        <is>
          <t>Acq</t>
        </is>
      </c>
      <c r="AMC3" s="22" t="inlineStr">
        <is>
          <t>Infl</t>
        </is>
      </c>
      <c r="AMD3" s="22" t="inlineStr">
        <is>
          <t>ECh</t>
        </is>
      </c>
      <c r="AME3" s="22" t="inlineStr">
        <is>
          <t>Mkt</t>
        </is>
      </c>
      <c r="AMF3" s="22" t="inlineStr">
        <is>
          <t>Paid</t>
        </is>
      </c>
      <c r="AMG3" s="22" t="inlineStr">
        <is>
          <t>Ref</t>
        </is>
      </c>
      <c r="AMH3" s="22" t="inlineStr">
        <is>
          <t>Tot</t>
        </is>
      </c>
      <c r="AMI3" s="22" t="inlineStr">
        <is>
          <t>NMo</t>
        </is>
      </c>
      <c r="AMJ3" s="22" t="inlineStr">
        <is>
          <t>NAn</t>
        </is>
      </c>
      <c r="AMK3" s="22" t="inlineStr">
        <is>
          <t>NEsM</t>
        </is>
      </c>
      <c r="AML3" s="22" t="inlineStr">
        <is>
          <t>NPrM</t>
        </is>
      </c>
      <c r="AMM3" s="22" t="inlineStr">
        <is>
          <t>NEsA</t>
        </is>
      </c>
      <c r="AMN3" s="22" t="inlineStr">
        <is>
          <t>NPrA</t>
        </is>
      </c>
      <c r="AMO3" s="22" t="inlineStr">
        <is>
          <t>AEsM</t>
        </is>
      </c>
      <c r="AMP3" s="22" t="inlineStr">
        <is>
          <t>APrM</t>
        </is>
      </c>
      <c r="AMQ3" s="22" t="inlineStr">
        <is>
          <t>AEsA</t>
        </is>
      </c>
      <c r="AMR3" s="22" t="inlineStr">
        <is>
          <t>APrA</t>
        </is>
      </c>
      <c r="AMS3" s="22" t="inlineStr">
        <is>
          <t>Cust</t>
        </is>
      </c>
      <c r="AMT3" s="22" t="inlineStr">
        <is>
          <t>MRR</t>
        </is>
      </c>
      <c r="AMU3" s="22" t="inlineStr">
        <is>
          <t>ARR</t>
        </is>
      </c>
      <c r="AMV3" s="22" t="inlineStr">
        <is>
          <t>Mo$</t>
        </is>
      </c>
      <c r="AMW3" s="22" t="inlineStr">
        <is>
          <t>NwAn</t>
        </is>
      </c>
      <c r="AMX3" s="22" t="inlineStr">
        <is>
          <t>Ren</t>
        </is>
      </c>
      <c r="AMY3" s="22" t="inlineStr">
        <is>
          <t>Gross</t>
        </is>
      </c>
      <c r="AMZ3" s="22" t="inlineStr">
        <is>
          <t>R12</t>
        </is>
      </c>
      <c r="ANA3" s="22" t="inlineStr">
        <is>
          <t>VAT</t>
        </is>
      </c>
      <c r="ANB3" s="22" t="inlineStr">
        <is>
          <t>Net</t>
        </is>
      </c>
      <c r="ANC3" s="22" t="inlineStr">
        <is>
          <t>VAcc</t>
        </is>
      </c>
      <c r="AND3" s="22" t="inlineStr">
        <is>
          <t>VPay</t>
        </is>
      </c>
      <c r="ANE3" s="22" t="inlineStr">
        <is>
          <t>VBal</t>
        </is>
      </c>
      <c r="ANF3" s="22" t="inlineStr">
        <is>
          <t>Prov</t>
        </is>
      </c>
      <c r="ANG3" s="22" t="inlineStr">
        <is>
          <t>Fee</t>
        </is>
      </c>
      <c r="ANH3" s="22" t="inlineStr">
        <is>
          <t>Ops</t>
        </is>
      </c>
      <c r="ANI3" s="22" t="inlineStr">
        <is>
          <t>Fix</t>
        </is>
      </c>
      <c r="ANJ3" s="22" t="inlineStr">
        <is>
          <t>Ref$</t>
        </is>
      </c>
      <c r="ANK3" s="22" t="inlineStr">
        <is>
          <t>Mkt</t>
        </is>
      </c>
      <c r="ANL3" s="22" t="inlineStr">
        <is>
          <t>Pft</t>
        </is>
      </c>
      <c r="ANM3" s="22" t="inlineStr">
        <is>
          <t>Cash</t>
        </is>
      </c>
      <c r="ANN3" s="22" t="inlineStr">
        <is>
          <t>ARPU</t>
        </is>
      </c>
      <c r="ANO3" s="22" t="inlineStr">
        <is>
          <t>Chrn</t>
        </is>
      </c>
      <c r="ANQ3" s="22" t="inlineStr">
        <is>
          <t>Mo</t>
        </is>
      </c>
      <c r="ANR3" s="22" t="inlineStr">
        <is>
          <t>Cal</t>
        </is>
      </c>
      <c r="ANS3" s="22" t="inlineStr">
        <is>
          <t>CY</t>
        </is>
      </c>
      <c r="ANT3" s="22" t="inlineStr">
        <is>
          <t>Acq</t>
        </is>
      </c>
      <c r="ANU3" s="22" t="inlineStr">
        <is>
          <t>Infl</t>
        </is>
      </c>
      <c r="ANV3" s="22" t="inlineStr">
        <is>
          <t>ECh</t>
        </is>
      </c>
      <c r="ANW3" s="22" t="inlineStr">
        <is>
          <t>Mkt</t>
        </is>
      </c>
      <c r="ANX3" s="22" t="inlineStr">
        <is>
          <t>Paid</t>
        </is>
      </c>
      <c r="ANY3" s="22" t="inlineStr">
        <is>
          <t>Ref</t>
        </is>
      </c>
      <c r="ANZ3" s="22" t="inlineStr">
        <is>
          <t>Tot</t>
        </is>
      </c>
      <c r="AOA3" s="22" t="inlineStr">
        <is>
          <t>NMo</t>
        </is>
      </c>
      <c r="AOB3" s="22" t="inlineStr">
        <is>
          <t>NAn</t>
        </is>
      </c>
      <c r="AOC3" s="22" t="inlineStr">
        <is>
          <t>NEsM</t>
        </is>
      </c>
      <c r="AOD3" s="22" t="inlineStr">
        <is>
          <t>NPrM</t>
        </is>
      </c>
      <c r="AOE3" s="22" t="inlineStr">
        <is>
          <t>NEsA</t>
        </is>
      </c>
      <c r="AOF3" s="22" t="inlineStr">
        <is>
          <t>NPrA</t>
        </is>
      </c>
      <c r="AOG3" s="22" t="inlineStr">
        <is>
          <t>AEsM</t>
        </is>
      </c>
      <c r="AOH3" s="22" t="inlineStr">
        <is>
          <t>APrM</t>
        </is>
      </c>
      <c r="AOI3" s="22" t="inlineStr">
        <is>
          <t>AEsA</t>
        </is>
      </c>
      <c r="AOJ3" s="22" t="inlineStr">
        <is>
          <t>APrA</t>
        </is>
      </c>
      <c r="AOK3" s="22" t="inlineStr">
        <is>
          <t>Cust</t>
        </is>
      </c>
      <c r="AOL3" s="22" t="inlineStr">
        <is>
          <t>MRR</t>
        </is>
      </c>
      <c r="AOM3" s="22" t="inlineStr">
        <is>
          <t>ARR</t>
        </is>
      </c>
      <c r="AON3" s="22" t="inlineStr">
        <is>
          <t>Mo$</t>
        </is>
      </c>
      <c r="AOO3" s="22" t="inlineStr">
        <is>
          <t>NwAn</t>
        </is>
      </c>
      <c r="AOP3" s="22" t="inlineStr">
        <is>
          <t>Ren</t>
        </is>
      </c>
      <c r="AOQ3" s="22" t="inlineStr">
        <is>
          <t>Gross</t>
        </is>
      </c>
      <c r="AOR3" s="22" t="inlineStr">
        <is>
          <t>R12</t>
        </is>
      </c>
      <c r="AOS3" s="22" t="inlineStr">
        <is>
          <t>VAT</t>
        </is>
      </c>
      <c r="AOT3" s="22" t="inlineStr">
        <is>
          <t>Net</t>
        </is>
      </c>
      <c r="AOU3" s="22" t="inlineStr">
        <is>
          <t>VAcc</t>
        </is>
      </c>
      <c r="AOV3" s="22" t="inlineStr">
        <is>
          <t>VPay</t>
        </is>
      </c>
      <c r="AOW3" s="22" t="inlineStr">
        <is>
          <t>VBal</t>
        </is>
      </c>
      <c r="AOX3" s="22" t="inlineStr">
        <is>
          <t>Prov</t>
        </is>
      </c>
      <c r="AOY3" s="22" t="inlineStr">
        <is>
          <t>Fee</t>
        </is>
      </c>
      <c r="AOZ3" s="22" t="inlineStr">
        <is>
          <t>Ops</t>
        </is>
      </c>
      <c r="APA3" s="22" t="inlineStr">
        <is>
          <t>Fix</t>
        </is>
      </c>
      <c r="APB3" s="22" t="inlineStr">
        <is>
          <t>Ref$</t>
        </is>
      </c>
      <c r="APC3" s="22" t="inlineStr">
        <is>
          <t>Mkt</t>
        </is>
      </c>
      <c r="APD3" s="22" t="inlineStr">
        <is>
          <t>Pft</t>
        </is>
      </c>
      <c r="APE3" s="22" t="inlineStr">
        <is>
          <t>Cash</t>
        </is>
      </c>
      <c r="APF3" s="22" t="inlineStr">
        <is>
          <t>ARPU</t>
        </is>
      </c>
      <c r="APG3" s="22" t="inlineStr">
        <is>
          <t>Chrn</t>
        </is>
      </c>
      <c r="API3" s="22" t="inlineStr">
        <is>
          <t>Mo</t>
        </is>
      </c>
      <c r="APJ3" s="22" t="inlineStr">
        <is>
          <t>Cal</t>
        </is>
      </c>
      <c r="APK3" s="22" t="inlineStr">
        <is>
          <t>CY</t>
        </is>
      </c>
      <c r="APL3" s="22" t="inlineStr">
        <is>
          <t>Acq</t>
        </is>
      </c>
      <c r="APM3" s="22" t="inlineStr">
        <is>
          <t>Infl</t>
        </is>
      </c>
      <c r="APN3" s="22" t="inlineStr">
        <is>
          <t>ECh</t>
        </is>
      </c>
      <c r="APO3" s="22" t="inlineStr">
        <is>
          <t>Mkt</t>
        </is>
      </c>
      <c r="APP3" s="22" t="inlineStr">
        <is>
          <t>Paid</t>
        </is>
      </c>
      <c r="APQ3" s="22" t="inlineStr">
        <is>
          <t>Ref</t>
        </is>
      </c>
      <c r="APR3" s="22" t="inlineStr">
        <is>
          <t>Tot</t>
        </is>
      </c>
      <c r="APS3" s="22" t="inlineStr">
        <is>
          <t>NMo</t>
        </is>
      </c>
      <c r="APT3" s="22" t="inlineStr">
        <is>
          <t>NAn</t>
        </is>
      </c>
      <c r="APU3" s="22" t="inlineStr">
        <is>
          <t>NEsM</t>
        </is>
      </c>
      <c r="APV3" s="22" t="inlineStr">
        <is>
          <t>NPrM</t>
        </is>
      </c>
      <c r="APW3" s="22" t="inlineStr">
        <is>
          <t>NEsA</t>
        </is>
      </c>
      <c r="APX3" s="22" t="inlineStr">
        <is>
          <t>NPrA</t>
        </is>
      </c>
      <c r="APY3" s="22" t="inlineStr">
        <is>
          <t>AEsM</t>
        </is>
      </c>
      <c r="APZ3" s="22" t="inlineStr">
        <is>
          <t>APrM</t>
        </is>
      </c>
      <c r="AQA3" s="22" t="inlineStr">
        <is>
          <t>AEsA</t>
        </is>
      </c>
      <c r="AQB3" s="22" t="inlineStr">
        <is>
          <t>APrA</t>
        </is>
      </c>
      <c r="AQC3" s="22" t="inlineStr">
        <is>
          <t>Cust</t>
        </is>
      </c>
      <c r="AQD3" s="22" t="inlineStr">
        <is>
          <t>MRR</t>
        </is>
      </c>
      <c r="AQE3" s="22" t="inlineStr">
        <is>
          <t>ARR</t>
        </is>
      </c>
      <c r="AQF3" s="22" t="inlineStr">
        <is>
          <t>Mo$</t>
        </is>
      </c>
      <c r="AQG3" s="22" t="inlineStr">
        <is>
          <t>NwAn</t>
        </is>
      </c>
      <c r="AQH3" s="22" t="inlineStr">
        <is>
          <t>Ren</t>
        </is>
      </c>
      <c r="AQI3" s="22" t="inlineStr">
        <is>
          <t>Gross</t>
        </is>
      </c>
      <c r="AQJ3" s="22" t="inlineStr">
        <is>
          <t>R12</t>
        </is>
      </c>
      <c r="AQK3" s="22" t="inlineStr">
        <is>
          <t>VAT</t>
        </is>
      </c>
      <c r="AQL3" s="22" t="inlineStr">
        <is>
          <t>Net</t>
        </is>
      </c>
      <c r="AQM3" s="22" t="inlineStr">
        <is>
          <t>VAcc</t>
        </is>
      </c>
      <c r="AQN3" s="22" t="inlineStr">
        <is>
          <t>VPay</t>
        </is>
      </c>
      <c r="AQO3" s="22" t="inlineStr">
        <is>
          <t>VBal</t>
        </is>
      </c>
      <c r="AQP3" s="22" t="inlineStr">
        <is>
          <t>Prov</t>
        </is>
      </c>
      <c r="AQQ3" s="22" t="inlineStr">
        <is>
          <t>Fee</t>
        </is>
      </c>
      <c r="AQR3" s="22" t="inlineStr">
        <is>
          <t>Ops</t>
        </is>
      </c>
      <c r="AQS3" s="22" t="inlineStr">
        <is>
          <t>Fix</t>
        </is>
      </c>
      <c r="AQT3" s="22" t="inlineStr">
        <is>
          <t>Ref$</t>
        </is>
      </c>
      <c r="AQU3" s="22" t="inlineStr">
        <is>
          <t>Mkt</t>
        </is>
      </c>
      <c r="AQV3" s="22" t="inlineStr">
        <is>
          <t>Pft</t>
        </is>
      </c>
      <c r="AQW3" s="22" t="inlineStr">
        <is>
          <t>Cash</t>
        </is>
      </c>
      <c r="AQX3" s="22" t="inlineStr">
        <is>
          <t>ARPU</t>
        </is>
      </c>
      <c r="AQY3" s="22" t="inlineStr">
        <is>
          <t>Chrn</t>
        </is>
      </c>
      <c r="ARA3" s="22" t="inlineStr">
        <is>
          <t>Mo</t>
        </is>
      </c>
      <c r="ARB3" s="22" t="inlineStr">
        <is>
          <t>Cal</t>
        </is>
      </c>
      <c r="ARC3" s="22" t="inlineStr">
        <is>
          <t>CY</t>
        </is>
      </c>
      <c r="ARD3" s="22" t="inlineStr">
        <is>
          <t>Acq</t>
        </is>
      </c>
      <c r="ARE3" s="22" t="inlineStr">
        <is>
          <t>Infl</t>
        </is>
      </c>
      <c r="ARF3" s="22" t="inlineStr">
        <is>
          <t>ECh</t>
        </is>
      </c>
      <c r="ARG3" s="22" t="inlineStr">
        <is>
          <t>Mkt</t>
        </is>
      </c>
      <c r="ARH3" s="22" t="inlineStr">
        <is>
          <t>Paid</t>
        </is>
      </c>
      <c r="ARI3" s="22" t="inlineStr">
        <is>
          <t>Ref</t>
        </is>
      </c>
      <c r="ARJ3" s="22" t="inlineStr">
        <is>
          <t>Tot</t>
        </is>
      </c>
      <c r="ARK3" s="22" t="inlineStr">
        <is>
          <t>NMo</t>
        </is>
      </c>
      <c r="ARL3" s="22" t="inlineStr">
        <is>
          <t>NAn</t>
        </is>
      </c>
      <c r="ARM3" s="22" t="inlineStr">
        <is>
          <t>NEsM</t>
        </is>
      </c>
      <c r="ARN3" s="22" t="inlineStr">
        <is>
          <t>NPrM</t>
        </is>
      </c>
      <c r="ARO3" s="22" t="inlineStr">
        <is>
          <t>NEsA</t>
        </is>
      </c>
      <c r="ARP3" s="22" t="inlineStr">
        <is>
          <t>NPrA</t>
        </is>
      </c>
      <c r="ARQ3" s="22" t="inlineStr">
        <is>
          <t>AEsM</t>
        </is>
      </c>
      <c r="ARR3" s="22" t="inlineStr">
        <is>
          <t>APrM</t>
        </is>
      </c>
      <c r="ARS3" s="22" t="inlineStr">
        <is>
          <t>AEsA</t>
        </is>
      </c>
      <c r="ART3" s="22" t="inlineStr">
        <is>
          <t>APrA</t>
        </is>
      </c>
      <c r="ARU3" s="22" t="inlineStr">
        <is>
          <t>Cust</t>
        </is>
      </c>
      <c r="ARV3" s="22" t="inlineStr">
        <is>
          <t>MRR</t>
        </is>
      </c>
      <c r="ARW3" s="22" t="inlineStr">
        <is>
          <t>ARR</t>
        </is>
      </c>
      <c r="ARX3" s="22" t="inlineStr">
        <is>
          <t>Mo$</t>
        </is>
      </c>
      <c r="ARY3" s="22" t="inlineStr">
        <is>
          <t>NwAn</t>
        </is>
      </c>
      <c r="ARZ3" s="22" t="inlineStr">
        <is>
          <t>Ren</t>
        </is>
      </c>
      <c r="ASA3" s="22" t="inlineStr">
        <is>
          <t>Gross</t>
        </is>
      </c>
      <c r="ASB3" s="22" t="inlineStr">
        <is>
          <t>R12</t>
        </is>
      </c>
      <c r="ASC3" s="22" t="inlineStr">
        <is>
          <t>VAT</t>
        </is>
      </c>
      <c r="ASD3" s="22" t="inlineStr">
        <is>
          <t>Net</t>
        </is>
      </c>
      <c r="ASE3" s="22" t="inlineStr">
        <is>
          <t>VAcc</t>
        </is>
      </c>
      <c r="ASF3" s="22" t="inlineStr">
        <is>
          <t>VPay</t>
        </is>
      </c>
      <c r="ASG3" s="22" t="inlineStr">
        <is>
          <t>VBal</t>
        </is>
      </c>
      <c r="ASH3" s="22" t="inlineStr">
        <is>
          <t>Prov</t>
        </is>
      </c>
      <c r="ASI3" s="22" t="inlineStr">
        <is>
          <t>Fee</t>
        </is>
      </c>
      <c r="ASJ3" s="22" t="inlineStr">
        <is>
          <t>Ops</t>
        </is>
      </c>
      <c r="ASK3" s="22" t="inlineStr">
        <is>
          <t>Fix</t>
        </is>
      </c>
      <c r="ASL3" s="22" t="inlineStr">
        <is>
          <t>Ref$</t>
        </is>
      </c>
      <c r="ASM3" s="22" t="inlineStr">
        <is>
          <t>Mkt</t>
        </is>
      </c>
      <c r="ASN3" s="22" t="inlineStr">
        <is>
          <t>Pft</t>
        </is>
      </c>
      <c r="ASO3" s="22" t="inlineStr">
        <is>
          <t>Cash</t>
        </is>
      </c>
      <c r="ASP3" s="22" t="inlineStr">
        <is>
          <t>ARPU</t>
        </is>
      </c>
      <c r="ASQ3" s="22" t="inlineStr">
        <is>
          <t>Chrn</t>
        </is>
      </c>
    </row>
    <row r="4"/>
    <row r="5">
      <c r="A5" s="12" t="n">
        <v>1</v>
      </c>
      <c r="B5" s="12">
        <f>MOD(A5-1+LaunchMonth-1,12)+1</f>
        <v/>
      </c>
      <c r="C5" s="12">
        <f>INT((A5-1+LaunchMonth-1)/12)+1</f>
        <v/>
      </c>
      <c r="D5" s="12">
        <f>VLOOKUP(B5,SeasonTable,2,FALSE)</f>
        <v/>
      </c>
      <c r="E5" s="12">
        <f>(1+InflationRate)^INT((A5-1)/12)</f>
        <v/>
      </c>
      <c r="F5" s="11">
        <f>'Sens - Scenarios'!$B$5*VLOOKUP(B5,ChurnSeasonTable,4,FALSE)</f>
        <v/>
      </c>
      <c r="G5" s="12">
        <f>MktFixed1_3</f>
        <v/>
      </c>
      <c r="H5" s="12">
        <f>IF(G5&gt;0,MAX(1,ROUND(G5/'Sens - Scenarios'!$B$8*D5,0)),0)</f>
        <v/>
      </c>
      <c r="I5" s="12">
        <f>IF(H5&gt;0,ROUND(H5*ReferralMix/(1-ReferralMix),0),0)</f>
        <v/>
      </c>
      <c r="J5" s="12">
        <f>H5+I5</f>
        <v/>
      </c>
      <c r="K5" s="12">
        <f>ROUND(J5*(1-'Sens - Scenarios'!$B$7),0)</f>
        <v/>
      </c>
      <c r="L5" s="12">
        <f>J5-K5</f>
        <v/>
      </c>
      <c r="M5" s="12">
        <f>ROUND(K5*EssentialMix,0)</f>
        <v/>
      </c>
      <c r="N5" s="12">
        <f>K5-M5</f>
        <v/>
      </c>
      <c r="O5" s="12">
        <f>ROUND(L5*EssentialMix,0)</f>
        <v/>
      </c>
      <c r="P5" s="12">
        <f>L5-O5</f>
        <v/>
      </c>
      <c r="Q5" s="12">
        <f>M5</f>
        <v/>
      </c>
      <c r="R5" s="12">
        <f>N5</f>
        <v/>
      </c>
      <c r="S5" s="12">
        <f>O5</f>
        <v/>
      </c>
      <c r="T5" s="12">
        <f>P5</f>
        <v/>
      </c>
      <c r="U5" s="12">
        <f>Q5+R5+S5+T5</f>
        <v/>
      </c>
      <c r="V5" s="9">
        <f>Q5*PriceEssMonthly*E5+R5*PricePremMonthly*E5+S5*PriceEssAnnual*E5/12+T5*PricePremAnnual*E5/12</f>
        <v/>
      </c>
      <c r="W5" s="9">
        <f>V5*12</f>
        <v/>
      </c>
      <c r="X5" s="12">
        <f>Q5*PriceEssMonthly*E5+R5*PricePremMonthly*E5</f>
        <v/>
      </c>
      <c r="Y5" s="12">
        <f>O5*PriceEssAnnual*E5+P5*PricePremAnnual*E5</f>
        <v/>
      </c>
      <c r="Z5" s="12">
        <f>0+0</f>
        <v/>
      </c>
      <c r="AA5" s="9">
        <f>X5+Y5+Z5</f>
        <v/>
      </c>
      <c r="AB5" s="12">
        <f>SUM(AA$5:AA5)</f>
        <v/>
      </c>
      <c r="AC5" s="12">
        <f>AB5&gt;=VATThreshold</f>
        <v/>
      </c>
      <c r="AD5" s="9">
        <f>IF(AC5,AA5/(1+VATRate),AA5)</f>
        <v/>
      </c>
      <c r="AE5" s="12">
        <f>AA5-AD5</f>
        <v/>
      </c>
      <c r="AF5" s="12">
        <f>IF(AC5=0,0,IF(B5=1,SUMPRODUCT(--(($C$5:$C5=$C5-1)*($B$5:$B5&gt;=10)*($B$5:$B5&lt;=12)),$AE$5:$AE5),IF(B5=4,SUMPRODUCT(--(($C$5:$C5=$C5)*($B$5:$B5&gt;=1)*($B$5:$B5&lt;=3)),$AE$5:$AE5),IF(B5=7,SUMPRODUCT(--(($C$5:$C5=$C5)*($B$5:$B5&gt;=4)*($B$5:$B5&lt;=6)),$AE$5:$AE5),IF(B5=10,SUMPRODUCT(--(($C$5:$C5=$C5)*($B$5:$B5&gt;=7)*($B$5:$B5&lt;=9)),$AE$5:$AE5),0)))))</f>
        <v/>
      </c>
      <c r="AG5" s="12">
        <f>AE5-AF5</f>
        <v/>
      </c>
      <c r="AH5" s="12">
        <f>IF(ProviderDelay&gt;=1,0,AD5*ProviderShare)</f>
        <v/>
      </c>
      <c r="AI5" s="12">
        <f>AA5*PaymentFee</f>
        <v/>
      </c>
      <c r="AJ5" s="12">
        <f>U5*OpsAI</f>
        <v/>
      </c>
      <c r="AK5" s="12">
        <f>MonthlyFixed</f>
        <v/>
      </c>
      <c r="AL5" s="12">
        <f>I5*ReferralReward</f>
        <v/>
      </c>
      <c r="AM5" s="12">
        <f>G5</f>
        <v/>
      </c>
      <c r="AN5" s="9">
        <f>AD5-AH5-AI5-AJ5-AK5-AL5-AM5</f>
        <v/>
      </c>
      <c r="AO5" s="9">
        <f>InitialInvestment+AA5-(AH5+AI5+AJ5+AK5+AL5+AM5+AF5)</f>
        <v/>
      </c>
      <c r="AP5" s="12">
        <f>IF(U5&gt;0,V5/U5,0)</f>
        <v/>
      </c>
      <c r="AQ5" s="11" t="n">
        <v>0</v>
      </c>
      <c r="AS5" s="12" t="n">
        <v>1</v>
      </c>
      <c r="AT5" s="12">
        <f>MOD(AS5-1+LaunchMonth-1,12)+1</f>
        <v/>
      </c>
      <c r="AU5" s="12">
        <f>INT((AS5-1+LaunchMonth-1)/12)+1</f>
        <v/>
      </c>
      <c r="AV5" s="12">
        <f>VLOOKUP(AT5,SeasonTable,2,FALSE)</f>
        <v/>
      </c>
      <c r="AW5" s="12">
        <f>(1+InflationRate)^INT((AS5-1)/12)</f>
        <v/>
      </c>
      <c r="AX5" s="11">
        <f>MonthlyChurn*VLOOKUP(AT5,ChurnSeasonTable,4,FALSE)</f>
        <v/>
      </c>
      <c r="AY5" s="12">
        <f>MktFixed1_3</f>
        <v/>
      </c>
      <c r="AZ5" s="12">
        <f>IF(AY5&gt;0,MAX(1,ROUND(AY5/CAC*AV5,0)),0)</f>
        <v/>
      </c>
      <c r="BA5" s="12">
        <f>IF(AZ5&gt;0,ROUND(AZ5*ReferralMix/(1-ReferralMix),0),0)</f>
        <v/>
      </c>
      <c r="BB5" s="12">
        <f>AZ5+BA5</f>
        <v/>
      </c>
      <c r="BC5" s="12">
        <f>ROUND(BB5*(1-AnnualMix),0)</f>
        <v/>
      </c>
      <c r="BD5" s="12">
        <f>BB5-BC5</f>
        <v/>
      </c>
      <c r="BE5" s="12">
        <f>ROUND(BC5*EssentialMix,0)</f>
        <v/>
      </c>
      <c r="BF5" s="12">
        <f>BC5-BE5</f>
        <v/>
      </c>
      <c r="BG5" s="12">
        <f>ROUND(BD5*EssentialMix,0)</f>
        <v/>
      </c>
      <c r="BH5" s="12">
        <f>BD5-BG5</f>
        <v/>
      </c>
      <c r="BI5" s="12">
        <f>BE5</f>
        <v/>
      </c>
      <c r="BJ5" s="12">
        <f>BF5</f>
        <v/>
      </c>
      <c r="BK5" s="12">
        <f>BG5</f>
        <v/>
      </c>
      <c r="BL5" s="12">
        <f>BH5</f>
        <v/>
      </c>
      <c r="BM5" s="12">
        <f>BI5+BJ5+BK5+BL5</f>
        <v/>
      </c>
      <c r="BN5" s="9">
        <f>BI5*PriceEssMonthly*AW5+BJ5*PricePremMonthly*AW5+BK5*PriceEssAnnual*AW5/12+BL5*PricePremAnnual*AW5/12</f>
        <v/>
      </c>
      <c r="BO5" s="9">
        <f>BN5*12</f>
        <v/>
      </c>
      <c r="BP5" s="12">
        <f>BI5*PriceEssMonthly*AW5+BJ5*PricePremMonthly*AW5</f>
        <v/>
      </c>
      <c r="BQ5" s="12">
        <f>BG5*PriceEssAnnual*AW5+BH5*PricePremAnnual*AW5</f>
        <v/>
      </c>
      <c r="BR5" s="12">
        <f>0+0</f>
        <v/>
      </c>
      <c r="BS5" s="9">
        <f>BP5+BQ5+BR5</f>
        <v/>
      </c>
      <c r="BT5" s="12">
        <f>SUM(BS$5:BS5)</f>
        <v/>
      </c>
      <c r="BU5" s="12">
        <f>BT5&gt;=VATThreshold</f>
        <v/>
      </c>
      <c r="BV5" s="9">
        <f>IF(BU5,BS5/(1+VATRate),BS5)</f>
        <v/>
      </c>
      <c r="BW5" s="12">
        <f>BS5-BV5</f>
        <v/>
      </c>
      <c r="BX5" s="12">
        <f>IF(BU5=0,0,IF(AT5=1,SUMPRODUCT(--(($AU$5:$AU5=$AU5-1)*($AT$5:$AT5&gt;=10)*($AT$5:$AT5&lt;=12)),$BW$5:$BW5),IF(AT5=4,SUMPRODUCT(--(($AU$5:$AU5=$AU5)*($AT$5:$AT5&gt;=1)*($AT$5:$AT5&lt;=3)),$BW$5:$BW5),IF(AT5=7,SUMPRODUCT(--(($AU$5:$AU5=$AU5)*($AT$5:$AT5&gt;=4)*($AT$5:$AT5&lt;=6)),$BW$5:$BW5),IF(AT5=10,SUMPRODUCT(--(($AU$5:$AU5=$AU5)*($AT$5:$AT5&gt;=7)*($AT$5:$AT5&lt;=9)),$BW$5:$BW5),0)))))</f>
        <v/>
      </c>
      <c r="BY5" s="12">
        <f>BW5-BX5</f>
        <v/>
      </c>
      <c r="BZ5" s="12">
        <f>IF(ProviderDelay&gt;=1,0,BV5*ProviderShare)</f>
        <v/>
      </c>
      <c r="CA5" s="12">
        <f>BS5*PaymentFee</f>
        <v/>
      </c>
      <c r="CB5" s="12">
        <f>BM5*OpsAI</f>
        <v/>
      </c>
      <c r="CC5" s="12">
        <f>MonthlyFixed</f>
        <v/>
      </c>
      <c r="CD5" s="12">
        <f>BA5*ReferralReward</f>
        <v/>
      </c>
      <c r="CE5" s="12">
        <f>AY5</f>
        <v/>
      </c>
      <c r="CF5" s="9">
        <f>BV5-BZ5-CA5-CB5-CC5-CD5-CE5</f>
        <v/>
      </c>
      <c r="CG5" s="9">
        <f>InitialInvestment+BS5-(BZ5+CA5+CB5+CC5+CD5+CE5+BX5)</f>
        <v/>
      </c>
      <c r="CH5" s="12">
        <f>IF(BM5&gt;0,BN5/BM5,0)</f>
        <v/>
      </c>
      <c r="CI5" s="11" t="n">
        <v>0</v>
      </c>
      <c r="CK5" s="12" t="n">
        <v>1</v>
      </c>
      <c r="CL5" s="12">
        <f>MOD(CK5-1+LaunchMonth-1,12)+1</f>
        <v/>
      </c>
      <c r="CM5" s="12">
        <f>INT((CK5-1+LaunchMonth-1)/12)+1</f>
        <v/>
      </c>
      <c r="CN5" s="12">
        <f>VLOOKUP(CL5,SeasonTable,2,FALSE)</f>
        <v/>
      </c>
      <c r="CO5" s="12">
        <f>(1+InflationRate)^INT((CK5-1)/12)</f>
        <v/>
      </c>
      <c r="CP5" s="11">
        <f>'Sens - Scenarios'!$D$5*VLOOKUP(CL5,ChurnSeasonTable,4,FALSE)</f>
        <v/>
      </c>
      <c r="CQ5" s="12">
        <f>MktFixed1_3</f>
        <v/>
      </c>
      <c r="CR5" s="12">
        <f>IF(CQ5&gt;0,MAX(1,ROUND(CQ5/'Sens - Scenarios'!$D$8*CN5,0)),0)</f>
        <v/>
      </c>
      <c r="CS5" s="12">
        <f>IF(CR5&gt;0,ROUND(CR5*ReferralMix/(1-ReferralMix),0),0)</f>
        <v/>
      </c>
      <c r="CT5" s="12">
        <f>CR5+CS5</f>
        <v/>
      </c>
      <c r="CU5" s="12">
        <f>ROUND(CT5*(1-'Sens - Scenarios'!$D$7),0)</f>
        <v/>
      </c>
      <c r="CV5" s="12">
        <f>CT5-CU5</f>
        <v/>
      </c>
      <c r="CW5" s="12">
        <f>ROUND(CU5*EssentialMix,0)</f>
        <v/>
      </c>
      <c r="CX5" s="12">
        <f>CU5-CW5</f>
        <v/>
      </c>
      <c r="CY5" s="12">
        <f>ROUND(CV5*EssentialMix,0)</f>
        <v/>
      </c>
      <c r="CZ5" s="12">
        <f>CV5-CY5</f>
        <v/>
      </c>
      <c r="DA5" s="12">
        <f>CW5</f>
        <v/>
      </c>
      <c r="DB5" s="12">
        <f>CX5</f>
        <v/>
      </c>
      <c r="DC5" s="12">
        <f>CY5</f>
        <v/>
      </c>
      <c r="DD5" s="12">
        <f>CZ5</f>
        <v/>
      </c>
      <c r="DE5" s="12">
        <f>DA5+DB5+DC5+DD5</f>
        <v/>
      </c>
      <c r="DF5" s="9">
        <f>DA5*PriceEssMonthly*CO5+DB5*PricePremMonthly*CO5+DC5*PriceEssAnnual*CO5/12+DD5*PricePremAnnual*CO5/12</f>
        <v/>
      </c>
      <c r="DG5" s="9">
        <f>DF5*12</f>
        <v/>
      </c>
      <c r="DH5" s="12">
        <f>DA5*PriceEssMonthly*CO5+DB5*PricePremMonthly*CO5</f>
        <v/>
      </c>
      <c r="DI5" s="12">
        <f>CY5*PriceEssAnnual*CO5+CZ5*PricePremAnnual*CO5</f>
        <v/>
      </c>
      <c r="DJ5" s="12">
        <f>0+0</f>
        <v/>
      </c>
      <c r="DK5" s="9">
        <f>DH5+DI5+DJ5</f>
        <v/>
      </c>
      <c r="DL5" s="12">
        <f>SUM(DK$5:DK5)</f>
        <v/>
      </c>
      <c r="DM5" s="12">
        <f>DL5&gt;=VATThreshold</f>
        <v/>
      </c>
      <c r="DN5" s="9">
        <f>IF(DM5,DK5/(1+VATRate),DK5)</f>
        <v/>
      </c>
      <c r="DO5" s="12">
        <f>DK5-DN5</f>
        <v/>
      </c>
      <c r="DP5" s="12">
        <f>IF(DM5=0,0,IF(CL5=1,SUMPRODUCT(--(($CM$5:$CM5=$CM5-1)*($CL$5:$CL5&gt;=10)*($CL$5:$CL5&lt;=12)),$DO$5:$DO5),IF(CL5=4,SUMPRODUCT(--(($CM$5:$CM5=$CM5)*($CL$5:$CL5&gt;=1)*($CL$5:$CL5&lt;=3)),$DO$5:$DO5),IF(CL5=7,SUMPRODUCT(--(($CM$5:$CM5=$CM5)*($CL$5:$CL5&gt;=4)*($CL$5:$CL5&lt;=6)),$DO$5:$DO5),IF(CL5=10,SUMPRODUCT(--(($CM$5:$CM5=$CM5)*($CL$5:$CL5&gt;=7)*($CL$5:$CL5&lt;=9)),$DO$5:$DO5),0)))))</f>
        <v/>
      </c>
      <c r="DQ5" s="12">
        <f>DO5-DP5</f>
        <v/>
      </c>
      <c r="DR5" s="12">
        <f>IF(ProviderDelay&gt;=1,0,DN5*ProviderShare)</f>
        <v/>
      </c>
      <c r="DS5" s="12">
        <f>DK5*PaymentFee</f>
        <v/>
      </c>
      <c r="DT5" s="12">
        <f>DE5*OpsAI</f>
        <v/>
      </c>
      <c r="DU5" s="12">
        <f>MonthlyFixed</f>
        <v/>
      </c>
      <c r="DV5" s="12">
        <f>CS5*ReferralReward</f>
        <v/>
      </c>
      <c r="DW5" s="12">
        <f>CQ5</f>
        <v/>
      </c>
      <c r="DX5" s="9">
        <f>DN5-DR5-DS5-DT5-DU5-DV5-DW5</f>
        <v/>
      </c>
      <c r="DY5" s="9">
        <f>InitialInvestment+DK5-(DR5+DS5+DT5+DU5+DV5+DW5+DP5)</f>
        <v/>
      </c>
      <c r="DZ5" s="12">
        <f>IF(DE5&gt;0,DF5/DE5,0)</f>
        <v/>
      </c>
      <c r="EA5" s="11" t="n">
        <v>0</v>
      </c>
      <c r="EC5" s="12" t="n">
        <v>1</v>
      </c>
      <c r="ED5" s="12">
        <f>MOD(EC5-1+LaunchMonth-1,12)+1</f>
        <v/>
      </c>
      <c r="EE5" s="12">
        <f>INT((EC5-1+LaunchMonth-1)/12)+1</f>
        <v/>
      </c>
      <c r="EF5" s="12">
        <f>VLOOKUP(ED5,SeasonTable,2,FALSE)</f>
        <v/>
      </c>
      <c r="EG5" s="12">
        <f>(1+InflationRate)^INT((EC5-1)/12)</f>
        <v/>
      </c>
      <c r="EH5" s="11">
        <f>'Sens - Churn'!$A$13*VLOOKUP(ED5,ChurnSeasonTable,4,FALSE)</f>
        <v/>
      </c>
      <c r="EI5" s="12">
        <f>MktFixed1_3</f>
        <v/>
      </c>
      <c r="EJ5" s="12">
        <f>IF(EI5&gt;0,MAX(1,ROUND(EI5/CAC*EF5,0)),0)</f>
        <v/>
      </c>
      <c r="EK5" s="12">
        <f>IF(EJ5&gt;0,ROUND(EJ5*ReferralMix/(1-ReferralMix),0),0)</f>
        <v/>
      </c>
      <c r="EL5" s="12">
        <f>EJ5+EK5</f>
        <v/>
      </c>
      <c r="EM5" s="12">
        <f>ROUND(EL5*(1-AnnualMix),0)</f>
        <v/>
      </c>
      <c r="EN5" s="12">
        <f>EL5-EM5</f>
        <v/>
      </c>
      <c r="EO5" s="12">
        <f>ROUND(EM5*EssentialMix,0)</f>
        <v/>
      </c>
      <c r="EP5" s="12">
        <f>EM5-EO5</f>
        <v/>
      </c>
      <c r="EQ5" s="12">
        <f>ROUND(EN5*EssentialMix,0)</f>
        <v/>
      </c>
      <c r="ER5" s="12">
        <f>EN5-EQ5</f>
        <v/>
      </c>
      <c r="ES5" s="12">
        <f>EO5</f>
        <v/>
      </c>
      <c r="ET5" s="12">
        <f>EP5</f>
        <v/>
      </c>
      <c r="EU5" s="12">
        <f>EQ5</f>
        <v/>
      </c>
      <c r="EV5" s="12">
        <f>ER5</f>
        <v/>
      </c>
      <c r="EW5" s="12">
        <f>ES5+ET5+EU5+EV5</f>
        <v/>
      </c>
      <c r="EX5" s="9">
        <f>ES5*PriceEssMonthly*EG5+ET5*PricePremMonthly*EG5+EU5*PriceEssAnnual*EG5/12+EV5*PricePremAnnual*EG5/12</f>
        <v/>
      </c>
      <c r="EY5" s="9">
        <f>EX5*12</f>
        <v/>
      </c>
      <c r="EZ5" s="12">
        <f>ES5*PriceEssMonthly*EG5+ET5*PricePremMonthly*EG5</f>
        <v/>
      </c>
      <c r="FA5" s="12">
        <f>EQ5*PriceEssAnnual*EG5+ER5*PricePremAnnual*EG5</f>
        <v/>
      </c>
      <c r="FB5" s="12">
        <f>0+0</f>
        <v/>
      </c>
      <c r="FC5" s="9">
        <f>EZ5+FA5+FB5</f>
        <v/>
      </c>
      <c r="FD5" s="12">
        <f>SUM(FC$5:FC5)</f>
        <v/>
      </c>
      <c r="FE5" s="12">
        <f>FD5&gt;=VATThreshold</f>
        <v/>
      </c>
      <c r="FF5" s="9">
        <f>IF(FE5,FC5/(1+VATRate),FC5)</f>
        <v/>
      </c>
      <c r="FG5" s="12">
        <f>FC5-FF5</f>
        <v/>
      </c>
      <c r="FH5" s="12">
        <f>IF(FE5=0,0,IF(ED5=1,SUMPRODUCT(--(($EE$5:$EE5=$EE5-1)*($ED$5:$ED5&gt;=10)*($ED$5:$ED5&lt;=12)),$FG$5:$FG5),IF(ED5=4,SUMPRODUCT(--(($EE$5:$EE5=$EE5)*($ED$5:$ED5&gt;=1)*($ED$5:$ED5&lt;=3)),$FG$5:$FG5),IF(ED5=7,SUMPRODUCT(--(($EE$5:$EE5=$EE5)*($ED$5:$ED5&gt;=4)*($ED$5:$ED5&lt;=6)),$FG$5:$FG5),IF(ED5=10,SUMPRODUCT(--(($EE$5:$EE5=$EE5)*($ED$5:$ED5&gt;=7)*($ED$5:$ED5&lt;=9)),$FG$5:$FG5),0)))))</f>
        <v/>
      </c>
      <c r="FI5" s="12">
        <f>FG5-FH5</f>
        <v/>
      </c>
      <c r="FJ5" s="12">
        <f>IF(ProviderDelay&gt;=1,0,FF5*ProviderShare)</f>
        <v/>
      </c>
      <c r="FK5" s="12">
        <f>FC5*PaymentFee</f>
        <v/>
      </c>
      <c r="FL5" s="12">
        <f>EW5*OpsAI</f>
        <v/>
      </c>
      <c r="FM5" s="12">
        <f>MonthlyFixed</f>
        <v/>
      </c>
      <c r="FN5" s="12">
        <f>EK5*ReferralReward</f>
        <v/>
      </c>
      <c r="FO5" s="12">
        <f>EI5</f>
        <v/>
      </c>
      <c r="FP5" s="9">
        <f>FF5-FJ5-FK5-FL5-FM5-FN5-FO5</f>
        <v/>
      </c>
      <c r="FQ5" s="9">
        <f>InitialInvestment+FC5-(FJ5+FK5+FL5+FM5+FN5+FO5+FH5)</f>
        <v/>
      </c>
      <c r="FR5" s="12">
        <f>IF(EW5&gt;0,EX5/EW5,0)</f>
        <v/>
      </c>
      <c r="FS5" s="11" t="n">
        <v>0</v>
      </c>
      <c r="FU5" s="12" t="n">
        <v>1</v>
      </c>
      <c r="FV5" s="12">
        <f>MOD(FU5-1+LaunchMonth-1,12)+1</f>
        <v/>
      </c>
      <c r="FW5" s="12">
        <f>INT((FU5-1+LaunchMonth-1)/12)+1</f>
        <v/>
      </c>
      <c r="FX5" s="12">
        <f>VLOOKUP(FV5,SeasonTable,2,FALSE)</f>
        <v/>
      </c>
      <c r="FY5" s="12">
        <f>(1+InflationRate)^INT((FU5-1)/12)</f>
        <v/>
      </c>
      <c r="FZ5" s="11">
        <f>'Sens - Churn'!$A$14*VLOOKUP(FV5,ChurnSeasonTable,4,FALSE)</f>
        <v/>
      </c>
      <c r="GA5" s="12">
        <f>MktFixed1_3</f>
        <v/>
      </c>
      <c r="GB5" s="12">
        <f>IF(GA5&gt;0,MAX(1,ROUND(GA5/CAC*FX5,0)),0)</f>
        <v/>
      </c>
      <c r="GC5" s="12">
        <f>IF(GB5&gt;0,ROUND(GB5*ReferralMix/(1-ReferralMix),0),0)</f>
        <v/>
      </c>
      <c r="GD5" s="12">
        <f>GB5+GC5</f>
        <v/>
      </c>
      <c r="GE5" s="12">
        <f>ROUND(GD5*(1-AnnualMix),0)</f>
        <v/>
      </c>
      <c r="GF5" s="12">
        <f>GD5-GE5</f>
        <v/>
      </c>
      <c r="GG5" s="12">
        <f>ROUND(GE5*EssentialMix,0)</f>
        <v/>
      </c>
      <c r="GH5" s="12">
        <f>GE5-GG5</f>
        <v/>
      </c>
      <c r="GI5" s="12">
        <f>ROUND(GF5*EssentialMix,0)</f>
        <v/>
      </c>
      <c r="GJ5" s="12">
        <f>GF5-GI5</f>
        <v/>
      </c>
      <c r="GK5" s="12">
        <f>GG5</f>
        <v/>
      </c>
      <c r="GL5" s="12">
        <f>GH5</f>
        <v/>
      </c>
      <c r="GM5" s="12">
        <f>GI5</f>
        <v/>
      </c>
      <c r="GN5" s="12">
        <f>GJ5</f>
        <v/>
      </c>
      <c r="GO5" s="12">
        <f>GK5+GL5+GM5+GN5</f>
        <v/>
      </c>
      <c r="GP5" s="9">
        <f>GK5*PriceEssMonthly*FY5+GL5*PricePremMonthly*FY5+GM5*PriceEssAnnual*FY5/12+GN5*PricePremAnnual*FY5/12</f>
        <v/>
      </c>
      <c r="GQ5" s="9">
        <f>GP5*12</f>
        <v/>
      </c>
      <c r="GR5" s="12">
        <f>GK5*PriceEssMonthly*FY5+GL5*PricePremMonthly*FY5</f>
        <v/>
      </c>
      <c r="GS5" s="12">
        <f>GI5*PriceEssAnnual*FY5+GJ5*PricePremAnnual*FY5</f>
        <v/>
      </c>
      <c r="GT5" s="12">
        <f>0+0</f>
        <v/>
      </c>
      <c r="GU5" s="9">
        <f>GR5+GS5+GT5</f>
        <v/>
      </c>
      <c r="GV5" s="12">
        <f>SUM(GU$5:GU5)</f>
        <v/>
      </c>
      <c r="GW5" s="12">
        <f>GV5&gt;=VATThreshold</f>
        <v/>
      </c>
      <c r="GX5" s="9">
        <f>IF(GW5,GU5/(1+VATRate),GU5)</f>
        <v/>
      </c>
      <c r="GY5" s="12">
        <f>GU5-GX5</f>
        <v/>
      </c>
      <c r="GZ5" s="12">
        <f>IF(GW5=0,0,IF(FV5=1,SUMPRODUCT(--(($FW$5:$FW5=$FW5-1)*($FV$5:$FV5&gt;=10)*($FV$5:$FV5&lt;=12)),$GY$5:$GY5),IF(FV5=4,SUMPRODUCT(--(($FW$5:$FW5=$FW5)*($FV$5:$FV5&gt;=1)*($FV$5:$FV5&lt;=3)),$GY$5:$GY5),IF(FV5=7,SUMPRODUCT(--(($FW$5:$FW5=$FW5)*($FV$5:$FV5&gt;=4)*($FV$5:$FV5&lt;=6)),$GY$5:$GY5),IF(FV5=10,SUMPRODUCT(--(($FW$5:$FW5=$FW5)*($FV$5:$FV5&gt;=7)*($FV$5:$FV5&lt;=9)),$GY$5:$GY5),0)))))</f>
        <v/>
      </c>
      <c r="HA5" s="12">
        <f>GY5-GZ5</f>
        <v/>
      </c>
      <c r="HB5" s="12">
        <f>IF(ProviderDelay&gt;=1,0,GX5*ProviderShare)</f>
        <v/>
      </c>
      <c r="HC5" s="12">
        <f>GU5*PaymentFee</f>
        <v/>
      </c>
      <c r="HD5" s="12">
        <f>GO5*OpsAI</f>
        <v/>
      </c>
      <c r="HE5" s="12">
        <f>MonthlyFixed</f>
        <v/>
      </c>
      <c r="HF5" s="12">
        <f>GC5*ReferralReward</f>
        <v/>
      </c>
      <c r="HG5" s="12">
        <f>GA5</f>
        <v/>
      </c>
      <c r="HH5" s="9">
        <f>GX5-HB5-HC5-HD5-HE5-HF5-HG5</f>
        <v/>
      </c>
      <c r="HI5" s="9">
        <f>InitialInvestment+GU5-(HB5+HC5+HD5+HE5+HF5+HG5+GZ5)</f>
        <v/>
      </c>
      <c r="HJ5" s="12">
        <f>IF(GO5&gt;0,GP5/GO5,0)</f>
        <v/>
      </c>
      <c r="HK5" s="11" t="n">
        <v>0</v>
      </c>
      <c r="HM5" s="12" t="n">
        <v>1</v>
      </c>
      <c r="HN5" s="12">
        <f>MOD(HM5-1+LaunchMonth-1,12)+1</f>
        <v/>
      </c>
      <c r="HO5" s="12">
        <f>INT((HM5-1+LaunchMonth-1)/12)+1</f>
        <v/>
      </c>
      <c r="HP5" s="12">
        <f>VLOOKUP(HN5,SeasonTable,2,FALSE)</f>
        <v/>
      </c>
      <c r="HQ5" s="12">
        <f>(1+InflationRate)^INT((HM5-1)/12)</f>
        <v/>
      </c>
      <c r="HR5" s="11">
        <f>'Sens - Churn'!$A$15*VLOOKUP(HN5,ChurnSeasonTable,4,FALSE)</f>
        <v/>
      </c>
      <c r="HS5" s="12">
        <f>MktFixed1_3</f>
        <v/>
      </c>
      <c r="HT5" s="12">
        <f>IF(HS5&gt;0,MAX(1,ROUND(HS5/CAC*HP5,0)),0)</f>
        <v/>
      </c>
      <c r="HU5" s="12">
        <f>IF(HT5&gt;0,ROUND(HT5*ReferralMix/(1-ReferralMix),0),0)</f>
        <v/>
      </c>
      <c r="HV5" s="12">
        <f>HT5+HU5</f>
        <v/>
      </c>
      <c r="HW5" s="12">
        <f>ROUND(HV5*(1-AnnualMix),0)</f>
        <v/>
      </c>
      <c r="HX5" s="12">
        <f>HV5-HW5</f>
        <v/>
      </c>
      <c r="HY5" s="12">
        <f>ROUND(HW5*EssentialMix,0)</f>
        <v/>
      </c>
      <c r="HZ5" s="12">
        <f>HW5-HY5</f>
        <v/>
      </c>
      <c r="IA5" s="12">
        <f>ROUND(HX5*EssentialMix,0)</f>
        <v/>
      </c>
      <c r="IB5" s="12">
        <f>HX5-IA5</f>
        <v/>
      </c>
      <c r="IC5" s="12">
        <f>HY5</f>
        <v/>
      </c>
      <c r="ID5" s="12">
        <f>HZ5</f>
        <v/>
      </c>
      <c r="IE5" s="12">
        <f>IA5</f>
        <v/>
      </c>
      <c r="IF5" s="12">
        <f>IB5</f>
        <v/>
      </c>
      <c r="IG5" s="12">
        <f>IC5+ID5+IE5+IF5</f>
        <v/>
      </c>
      <c r="IH5" s="9">
        <f>IC5*PriceEssMonthly*HQ5+ID5*PricePremMonthly*HQ5+IE5*PriceEssAnnual*HQ5/12+IF5*PricePremAnnual*HQ5/12</f>
        <v/>
      </c>
      <c r="II5" s="9">
        <f>IH5*12</f>
        <v/>
      </c>
      <c r="IJ5" s="12">
        <f>IC5*PriceEssMonthly*HQ5+ID5*PricePremMonthly*HQ5</f>
        <v/>
      </c>
      <c r="IK5" s="12">
        <f>IA5*PriceEssAnnual*HQ5+IB5*PricePremAnnual*HQ5</f>
        <v/>
      </c>
      <c r="IL5" s="12">
        <f>0+0</f>
        <v/>
      </c>
      <c r="IM5" s="9">
        <f>IJ5+IK5+IL5</f>
        <v/>
      </c>
      <c r="IN5" s="12">
        <f>SUM(IM$5:IM5)</f>
        <v/>
      </c>
      <c r="IO5" s="12">
        <f>IN5&gt;=VATThreshold</f>
        <v/>
      </c>
      <c r="IP5" s="9">
        <f>IF(IO5,IM5/(1+VATRate),IM5)</f>
        <v/>
      </c>
      <c r="IQ5" s="12">
        <f>IM5-IP5</f>
        <v/>
      </c>
      <c r="IR5" s="12">
        <f>IF(IO5=0,0,IF(HN5=1,SUMPRODUCT(--(($HO$5:$HO5=$HO5-1)*($HN$5:$HN5&gt;=10)*($HN$5:$HN5&lt;=12)),$IQ$5:$IQ5),IF(HN5=4,SUMPRODUCT(--(($HO$5:$HO5=$HO5)*($HN$5:$HN5&gt;=1)*($HN$5:$HN5&lt;=3)),$IQ$5:$IQ5),IF(HN5=7,SUMPRODUCT(--(($HO$5:$HO5=$HO5)*($HN$5:$HN5&gt;=4)*($HN$5:$HN5&lt;=6)),$IQ$5:$IQ5),IF(HN5=10,SUMPRODUCT(--(($HO$5:$HO5=$HO5)*($HN$5:$HN5&gt;=7)*($HN$5:$HN5&lt;=9)),$IQ$5:$IQ5),0)))))</f>
        <v/>
      </c>
      <c r="IS5" s="12">
        <f>IQ5-IR5</f>
        <v/>
      </c>
      <c r="IT5" s="12">
        <f>IF(ProviderDelay&gt;=1,0,IP5*ProviderShare)</f>
        <v/>
      </c>
      <c r="IU5" s="12">
        <f>IM5*PaymentFee</f>
        <v/>
      </c>
      <c r="IV5" s="12">
        <f>IG5*OpsAI</f>
        <v/>
      </c>
      <c r="IW5" s="12">
        <f>MonthlyFixed</f>
        <v/>
      </c>
      <c r="IX5" s="12">
        <f>HU5*ReferralReward</f>
        <v/>
      </c>
      <c r="IY5" s="12">
        <f>HS5</f>
        <v/>
      </c>
      <c r="IZ5" s="9">
        <f>IP5-IT5-IU5-IV5-IW5-IX5-IY5</f>
        <v/>
      </c>
      <c r="JA5" s="9">
        <f>InitialInvestment+IM5-(IT5+IU5+IV5+IW5+IX5+IY5+IR5)</f>
        <v/>
      </c>
      <c r="JB5" s="12">
        <f>IF(IG5&gt;0,IH5/IG5,0)</f>
        <v/>
      </c>
      <c r="JC5" s="11" t="n">
        <v>0</v>
      </c>
      <c r="JE5" s="12" t="n">
        <v>1</v>
      </c>
      <c r="JF5" s="12">
        <f>MOD(JE5-1+LaunchMonth-1,12)+1</f>
        <v/>
      </c>
      <c r="JG5" s="12">
        <f>INT((JE5-1+LaunchMonth-1)/12)+1</f>
        <v/>
      </c>
      <c r="JH5" s="12">
        <f>VLOOKUP(JF5,SeasonTable,2,FALSE)</f>
        <v/>
      </c>
      <c r="JI5" s="12">
        <f>(1+InflationRate)^INT((JE5-1)/12)</f>
        <v/>
      </c>
      <c r="JJ5" s="11">
        <f>'Sens - Churn'!$A$16*VLOOKUP(JF5,ChurnSeasonTable,4,FALSE)</f>
        <v/>
      </c>
      <c r="JK5" s="12">
        <f>MktFixed1_3</f>
        <v/>
      </c>
      <c r="JL5" s="12">
        <f>IF(JK5&gt;0,MAX(1,ROUND(JK5/CAC*JH5,0)),0)</f>
        <v/>
      </c>
      <c r="JM5" s="12">
        <f>IF(JL5&gt;0,ROUND(JL5*ReferralMix/(1-ReferralMix),0),0)</f>
        <v/>
      </c>
      <c r="JN5" s="12">
        <f>JL5+JM5</f>
        <v/>
      </c>
      <c r="JO5" s="12">
        <f>ROUND(JN5*(1-AnnualMix),0)</f>
        <v/>
      </c>
      <c r="JP5" s="12">
        <f>JN5-JO5</f>
        <v/>
      </c>
      <c r="JQ5" s="12">
        <f>ROUND(JO5*EssentialMix,0)</f>
        <v/>
      </c>
      <c r="JR5" s="12">
        <f>JO5-JQ5</f>
        <v/>
      </c>
      <c r="JS5" s="12">
        <f>ROUND(JP5*EssentialMix,0)</f>
        <v/>
      </c>
      <c r="JT5" s="12">
        <f>JP5-JS5</f>
        <v/>
      </c>
      <c r="JU5" s="12">
        <f>JQ5</f>
        <v/>
      </c>
      <c r="JV5" s="12">
        <f>JR5</f>
        <v/>
      </c>
      <c r="JW5" s="12">
        <f>JS5</f>
        <v/>
      </c>
      <c r="JX5" s="12">
        <f>JT5</f>
        <v/>
      </c>
      <c r="JY5" s="12">
        <f>JU5+JV5+JW5+JX5</f>
        <v/>
      </c>
      <c r="JZ5" s="9">
        <f>JU5*PriceEssMonthly*JI5+JV5*PricePremMonthly*JI5+JW5*PriceEssAnnual*JI5/12+JX5*PricePremAnnual*JI5/12</f>
        <v/>
      </c>
      <c r="KA5" s="9">
        <f>JZ5*12</f>
        <v/>
      </c>
      <c r="KB5" s="12">
        <f>JU5*PriceEssMonthly*JI5+JV5*PricePremMonthly*JI5</f>
        <v/>
      </c>
      <c r="KC5" s="12">
        <f>JS5*PriceEssAnnual*JI5+JT5*PricePremAnnual*JI5</f>
        <v/>
      </c>
      <c r="KD5" s="12">
        <f>0+0</f>
        <v/>
      </c>
      <c r="KE5" s="9">
        <f>KB5+KC5+KD5</f>
        <v/>
      </c>
      <c r="KF5" s="12">
        <f>SUM(KE$5:KE5)</f>
        <v/>
      </c>
      <c r="KG5" s="12">
        <f>KF5&gt;=VATThreshold</f>
        <v/>
      </c>
      <c r="KH5" s="9">
        <f>IF(KG5,KE5/(1+VATRate),KE5)</f>
        <v/>
      </c>
      <c r="KI5" s="12">
        <f>KE5-KH5</f>
        <v/>
      </c>
      <c r="KJ5" s="12">
        <f>IF(KG5=0,0,IF(JF5=1,SUMPRODUCT(--(($JG$5:$JG5=$JG5-1)*($JF$5:$JF5&gt;=10)*($JF$5:$JF5&lt;=12)),$KI$5:$KI5),IF(JF5=4,SUMPRODUCT(--(($JG$5:$JG5=$JG5)*($JF$5:$JF5&gt;=1)*($JF$5:$JF5&lt;=3)),$KI$5:$KI5),IF(JF5=7,SUMPRODUCT(--(($JG$5:$JG5=$JG5)*($JF$5:$JF5&gt;=4)*($JF$5:$JF5&lt;=6)),$KI$5:$KI5),IF(JF5=10,SUMPRODUCT(--(($JG$5:$JG5=$JG5)*($JF$5:$JF5&gt;=7)*($JF$5:$JF5&lt;=9)),$KI$5:$KI5),0)))))</f>
        <v/>
      </c>
      <c r="KK5" s="12">
        <f>KI5-KJ5</f>
        <v/>
      </c>
      <c r="KL5" s="12">
        <f>IF(ProviderDelay&gt;=1,0,KH5*ProviderShare)</f>
        <v/>
      </c>
      <c r="KM5" s="12">
        <f>KE5*PaymentFee</f>
        <v/>
      </c>
      <c r="KN5" s="12">
        <f>JY5*OpsAI</f>
        <v/>
      </c>
      <c r="KO5" s="12">
        <f>MonthlyFixed</f>
        <v/>
      </c>
      <c r="KP5" s="12">
        <f>JM5*ReferralReward</f>
        <v/>
      </c>
      <c r="KQ5" s="12">
        <f>JK5</f>
        <v/>
      </c>
      <c r="KR5" s="9">
        <f>KH5-KL5-KM5-KN5-KO5-KP5-KQ5</f>
        <v/>
      </c>
      <c r="KS5" s="9">
        <f>InitialInvestment+KE5-(KL5+KM5+KN5+KO5+KP5+KQ5+KJ5)</f>
        <v/>
      </c>
      <c r="KT5" s="12">
        <f>IF(JY5&gt;0,JZ5/JY5,0)</f>
        <v/>
      </c>
      <c r="KU5" s="11" t="n">
        <v>0</v>
      </c>
      <c r="KW5" s="12" t="n">
        <v>1</v>
      </c>
      <c r="KX5" s="12">
        <f>MOD(KW5-1+LaunchMonth-1,12)+1</f>
        <v/>
      </c>
      <c r="KY5" s="12">
        <f>INT((KW5-1+LaunchMonth-1)/12)+1</f>
        <v/>
      </c>
      <c r="KZ5" s="12">
        <f>VLOOKUP(KX5,SeasonTable,2,FALSE)</f>
        <v/>
      </c>
      <c r="LA5" s="12">
        <f>(1+InflationRate)^INT((KW5-1)/12)</f>
        <v/>
      </c>
      <c r="LB5" s="11">
        <f>'Sens - Churn'!$A$17*VLOOKUP(KX5,ChurnSeasonTable,4,FALSE)</f>
        <v/>
      </c>
      <c r="LC5" s="12">
        <f>MktFixed1_3</f>
        <v/>
      </c>
      <c r="LD5" s="12">
        <f>IF(LC5&gt;0,MAX(1,ROUND(LC5/CAC*KZ5,0)),0)</f>
        <v/>
      </c>
      <c r="LE5" s="12">
        <f>IF(LD5&gt;0,ROUND(LD5*ReferralMix/(1-ReferralMix),0),0)</f>
        <v/>
      </c>
      <c r="LF5" s="12">
        <f>LD5+LE5</f>
        <v/>
      </c>
      <c r="LG5" s="12">
        <f>ROUND(LF5*(1-AnnualMix),0)</f>
        <v/>
      </c>
      <c r="LH5" s="12">
        <f>LF5-LG5</f>
        <v/>
      </c>
      <c r="LI5" s="12">
        <f>ROUND(LG5*EssentialMix,0)</f>
        <v/>
      </c>
      <c r="LJ5" s="12">
        <f>LG5-LI5</f>
        <v/>
      </c>
      <c r="LK5" s="12">
        <f>ROUND(LH5*EssentialMix,0)</f>
        <v/>
      </c>
      <c r="LL5" s="12">
        <f>LH5-LK5</f>
        <v/>
      </c>
      <c r="LM5" s="12">
        <f>LI5</f>
        <v/>
      </c>
      <c r="LN5" s="12">
        <f>LJ5</f>
        <v/>
      </c>
      <c r="LO5" s="12">
        <f>LK5</f>
        <v/>
      </c>
      <c r="LP5" s="12">
        <f>LL5</f>
        <v/>
      </c>
      <c r="LQ5" s="12">
        <f>LM5+LN5+LO5+LP5</f>
        <v/>
      </c>
      <c r="LR5" s="9">
        <f>LM5*PriceEssMonthly*LA5+LN5*PricePremMonthly*LA5+LO5*PriceEssAnnual*LA5/12+LP5*PricePremAnnual*LA5/12</f>
        <v/>
      </c>
      <c r="LS5" s="9">
        <f>LR5*12</f>
        <v/>
      </c>
      <c r="LT5" s="12">
        <f>LM5*PriceEssMonthly*LA5+LN5*PricePremMonthly*LA5</f>
        <v/>
      </c>
      <c r="LU5" s="12">
        <f>LK5*PriceEssAnnual*LA5+LL5*PricePremAnnual*LA5</f>
        <v/>
      </c>
      <c r="LV5" s="12">
        <f>0+0</f>
        <v/>
      </c>
      <c r="LW5" s="9">
        <f>LT5+LU5+LV5</f>
        <v/>
      </c>
      <c r="LX5" s="12">
        <f>SUM(LW$5:LW5)</f>
        <v/>
      </c>
      <c r="LY5" s="12">
        <f>LX5&gt;=VATThreshold</f>
        <v/>
      </c>
      <c r="LZ5" s="9">
        <f>IF(LY5,LW5/(1+VATRate),LW5)</f>
        <v/>
      </c>
      <c r="MA5" s="12">
        <f>LW5-LZ5</f>
        <v/>
      </c>
      <c r="MB5" s="12">
        <f>IF(LY5=0,0,IF(KX5=1,SUMPRODUCT(--(($KY$5:$KY5=$KY5-1)*($KX$5:$KX5&gt;=10)*($KX$5:$KX5&lt;=12)),$MA$5:$MA5),IF(KX5=4,SUMPRODUCT(--(($KY$5:$KY5=$KY5)*($KX$5:$KX5&gt;=1)*($KX$5:$KX5&lt;=3)),$MA$5:$MA5),IF(KX5=7,SUMPRODUCT(--(($KY$5:$KY5=$KY5)*($KX$5:$KX5&gt;=4)*($KX$5:$KX5&lt;=6)),$MA$5:$MA5),IF(KX5=10,SUMPRODUCT(--(($KY$5:$KY5=$KY5)*($KX$5:$KX5&gt;=7)*($KX$5:$KX5&lt;=9)),$MA$5:$MA5),0)))))</f>
        <v/>
      </c>
      <c r="MC5" s="12">
        <f>MA5-MB5</f>
        <v/>
      </c>
      <c r="MD5" s="12">
        <f>IF(ProviderDelay&gt;=1,0,LZ5*ProviderShare)</f>
        <v/>
      </c>
      <c r="ME5" s="12">
        <f>LW5*PaymentFee</f>
        <v/>
      </c>
      <c r="MF5" s="12">
        <f>LQ5*OpsAI</f>
        <v/>
      </c>
      <c r="MG5" s="12">
        <f>MonthlyFixed</f>
        <v/>
      </c>
      <c r="MH5" s="12">
        <f>LE5*ReferralReward</f>
        <v/>
      </c>
      <c r="MI5" s="12">
        <f>LC5</f>
        <v/>
      </c>
      <c r="MJ5" s="9">
        <f>LZ5-MD5-ME5-MF5-MG5-MH5-MI5</f>
        <v/>
      </c>
      <c r="MK5" s="9">
        <f>InitialInvestment+LW5-(MD5+ME5+MF5+MG5+MH5+MI5+MB5)</f>
        <v/>
      </c>
      <c r="ML5" s="12">
        <f>IF(LQ5&gt;0,LR5/LQ5,0)</f>
        <v/>
      </c>
      <c r="MM5" s="11" t="n">
        <v>0</v>
      </c>
      <c r="MO5" s="12" t="n">
        <v>1</v>
      </c>
      <c r="MP5" s="12">
        <f>MOD(MO5-1+LaunchMonth-1,12)+1</f>
        <v/>
      </c>
      <c r="MQ5" s="12">
        <f>INT((MO5-1+LaunchMonth-1)/12)+1</f>
        <v/>
      </c>
      <c r="MR5" s="12">
        <f>VLOOKUP(MP5,SeasonTable,2,FALSE)</f>
        <v/>
      </c>
      <c r="MS5" s="12">
        <f>(1+InflationRate)^INT((MO5-1)/12)</f>
        <v/>
      </c>
      <c r="MT5" s="11">
        <f>'Sens - Churn'!$A$18*VLOOKUP(MP5,ChurnSeasonTable,4,FALSE)</f>
        <v/>
      </c>
      <c r="MU5" s="12">
        <f>MktFixed1_3</f>
        <v/>
      </c>
      <c r="MV5" s="12">
        <f>IF(MU5&gt;0,MAX(1,ROUND(MU5/CAC*MR5,0)),0)</f>
        <v/>
      </c>
      <c r="MW5" s="12">
        <f>IF(MV5&gt;0,ROUND(MV5*ReferralMix/(1-ReferralMix),0),0)</f>
        <v/>
      </c>
      <c r="MX5" s="12">
        <f>MV5+MW5</f>
        <v/>
      </c>
      <c r="MY5" s="12">
        <f>ROUND(MX5*(1-AnnualMix),0)</f>
        <v/>
      </c>
      <c r="MZ5" s="12">
        <f>MX5-MY5</f>
        <v/>
      </c>
      <c r="NA5" s="12">
        <f>ROUND(MY5*EssentialMix,0)</f>
        <v/>
      </c>
      <c r="NB5" s="12">
        <f>MY5-NA5</f>
        <v/>
      </c>
      <c r="NC5" s="12">
        <f>ROUND(MZ5*EssentialMix,0)</f>
        <v/>
      </c>
      <c r="ND5" s="12">
        <f>MZ5-NC5</f>
        <v/>
      </c>
      <c r="NE5" s="12">
        <f>NA5</f>
        <v/>
      </c>
      <c r="NF5" s="12">
        <f>NB5</f>
        <v/>
      </c>
      <c r="NG5" s="12">
        <f>NC5</f>
        <v/>
      </c>
      <c r="NH5" s="12">
        <f>ND5</f>
        <v/>
      </c>
      <c r="NI5" s="12">
        <f>NE5+NF5+NG5+NH5</f>
        <v/>
      </c>
      <c r="NJ5" s="9">
        <f>NE5*PriceEssMonthly*MS5+NF5*PricePremMonthly*MS5+NG5*PriceEssAnnual*MS5/12+NH5*PricePremAnnual*MS5/12</f>
        <v/>
      </c>
      <c r="NK5" s="9">
        <f>NJ5*12</f>
        <v/>
      </c>
      <c r="NL5" s="12">
        <f>NE5*PriceEssMonthly*MS5+NF5*PricePremMonthly*MS5</f>
        <v/>
      </c>
      <c r="NM5" s="12">
        <f>NC5*PriceEssAnnual*MS5+ND5*PricePremAnnual*MS5</f>
        <v/>
      </c>
      <c r="NN5" s="12">
        <f>0+0</f>
        <v/>
      </c>
      <c r="NO5" s="9">
        <f>NL5+NM5+NN5</f>
        <v/>
      </c>
      <c r="NP5" s="12">
        <f>SUM(NO$5:NO5)</f>
        <v/>
      </c>
      <c r="NQ5" s="12">
        <f>NP5&gt;=VATThreshold</f>
        <v/>
      </c>
      <c r="NR5" s="9">
        <f>IF(NQ5,NO5/(1+VATRate),NO5)</f>
        <v/>
      </c>
      <c r="NS5" s="12">
        <f>NO5-NR5</f>
        <v/>
      </c>
      <c r="NT5" s="12">
        <f>IF(NQ5=0,0,IF(MP5=1,SUMPRODUCT(--(($MQ$5:$MQ5=$MQ5-1)*($MP$5:$MP5&gt;=10)*($MP$5:$MP5&lt;=12)),$NS$5:$NS5),IF(MP5=4,SUMPRODUCT(--(($MQ$5:$MQ5=$MQ5)*($MP$5:$MP5&gt;=1)*($MP$5:$MP5&lt;=3)),$NS$5:$NS5),IF(MP5=7,SUMPRODUCT(--(($MQ$5:$MQ5=$MQ5)*($MP$5:$MP5&gt;=4)*($MP$5:$MP5&lt;=6)),$NS$5:$NS5),IF(MP5=10,SUMPRODUCT(--(($MQ$5:$MQ5=$MQ5)*($MP$5:$MP5&gt;=7)*($MP$5:$MP5&lt;=9)),$NS$5:$NS5),0)))))</f>
        <v/>
      </c>
      <c r="NU5" s="12">
        <f>NS5-NT5</f>
        <v/>
      </c>
      <c r="NV5" s="12">
        <f>IF(ProviderDelay&gt;=1,0,NR5*ProviderShare)</f>
        <v/>
      </c>
      <c r="NW5" s="12">
        <f>NO5*PaymentFee</f>
        <v/>
      </c>
      <c r="NX5" s="12">
        <f>NI5*OpsAI</f>
        <v/>
      </c>
      <c r="NY5" s="12">
        <f>MonthlyFixed</f>
        <v/>
      </c>
      <c r="NZ5" s="12">
        <f>MW5*ReferralReward</f>
        <v/>
      </c>
      <c r="OA5" s="12">
        <f>MU5</f>
        <v/>
      </c>
      <c r="OB5" s="9">
        <f>NR5-NV5-NW5-NX5-NY5-NZ5-OA5</f>
        <v/>
      </c>
      <c r="OC5" s="9">
        <f>InitialInvestment+NO5-(NV5+NW5+NX5+NY5+NZ5+OA5+NT5)</f>
        <v/>
      </c>
      <c r="OD5" s="12">
        <f>IF(NI5&gt;0,NJ5/NI5,0)</f>
        <v/>
      </c>
      <c r="OE5" s="11" t="n">
        <v>0</v>
      </c>
      <c r="OG5" s="12" t="n">
        <v>1</v>
      </c>
      <c r="OH5" s="12">
        <f>MOD(OG5-1+LaunchMonth-1,12)+1</f>
        <v/>
      </c>
      <c r="OI5" s="12">
        <f>INT((OG5-1+LaunchMonth-1)/12)+1</f>
        <v/>
      </c>
      <c r="OJ5" s="12">
        <f>VLOOKUP(OH5,SeasonTable,2,FALSE)</f>
        <v/>
      </c>
      <c r="OK5" s="12">
        <f>(1+InflationRate)^INT((OG5-1)/12)</f>
        <v/>
      </c>
      <c r="OL5" s="11">
        <f>'Sens - Churn'!$A$19*VLOOKUP(OH5,ChurnSeasonTable,4,FALSE)</f>
        <v/>
      </c>
      <c r="OM5" s="12">
        <f>MktFixed1_3</f>
        <v/>
      </c>
      <c r="ON5" s="12">
        <f>IF(OM5&gt;0,MAX(1,ROUND(OM5/CAC*OJ5,0)),0)</f>
        <v/>
      </c>
      <c r="OO5" s="12">
        <f>IF(ON5&gt;0,ROUND(ON5*ReferralMix/(1-ReferralMix),0),0)</f>
        <v/>
      </c>
      <c r="OP5" s="12">
        <f>ON5+OO5</f>
        <v/>
      </c>
      <c r="OQ5" s="12">
        <f>ROUND(OP5*(1-AnnualMix),0)</f>
        <v/>
      </c>
      <c r="OR5" s="12">
        <f>OP5-OQ5</f>
        <v/>
      </c>
      <c r="OS5" s="12">
        <f>ROUND(OQ5*EssentialMix,0)</f>
        <v/>
      </c>
      <c r="OT5" s="12">
        <f>OQ5-OS5</f>
        <v/>
      </c>
      <c r="OU5" s="12">
        <f>ROUND(OR5*EssentialMix,0)</f>
        <v/>
      </c>
      <c r="OV5" s="12">
        <f>OR5-OU5</f>
        <v/>
      </c>
      <c r="OW5" s="12">
        <f>OS5</f>
        <v/>
      </c>
      <c r="OX5" s="12">
        <f>OT5</f>
        <v/>
      </c>
      <c r="OY5" s="12">
        <f>OU5</f>
        <v/>
      </c>
      <c r="OZ5" s="12">
        <f>OV5</f>
        <v/>
      </c>
      <c r="PA5" s="12">
        <f>OW5+OX5+OY5+OZ5</f>
        <v/>
      </c>
      <c r="PB5" s="9">
        <f>OW5*PriceEssMonthly*OK5+OX5*PricePremMonthly*OK5+OY5*PriceEssAnnual*OK5/12+OZ5*PricePremAnnual*OK5/12</f>
        <v/>
      </c>
      <c r="PC5" s="9">
        <f>PB5*12</f>
        <v/>
      </c>
      <c r="PD5" s="12">
        <f>OW5*PriceEssMonthly*OK5+OX5*PricePremMonthly*OK5</f>
        <v/>
      </c>
      <c r="PE5" s="12">
        <f>OU5*PriceEssAnnual*OK5+OV5*PricePremAnnual*OK5</f>
        <v/>
      </c>
      <c r="PF5" s="12">
        <f>0+0</f>
        <v/>
      </c>
      <c r="PG5" s="9">
        <f>PD5+PE5+PF5</f>
        <v/>
      </c>
      <c r="PH5" s="12">
        <f>SUM(PG$5:PG5)</f>
        <v/>
      </c>
      <c r="PI5" s="12">
        <f>PH5&gt;=VATThreshold</f>
        <v/>
      </c>
      <c r="PJ5" s="9">
        <f>IF(PI5,PG5/(1+VATRate),PG5)</f>
        <v/>
      </c>
      <c r="PK5" s="12">
        <f>PG5-PJ5</f>
        <v/>
      </c>
      <c r="PL5" s="12">
        <f>IF(PI5=0,0,IF(OH5=1,SUMPRODUCT(--(($OI$5:$OI5=$OI5-1)*($OH$5:$OH5&gt;=10)*($OH$5:$OH5&lt;=12)),$PK$5:$PK5),IF(OH5=4,SUMPRODUCT(--(($OI$5:$OI5=$OI5)*($OH$5:$OH5&gt;=1)*($OH$5:$OH5&lt;=3)),$PK$5:$PK5),IF(OH5=7,SUMPRODUCT(--(($OI$5:$OI5=$OI5)*($OH$5:$OH5&gt;=4)*($OH$5:$OH5&lt;=6)),$PK$5:$PK5),IF(OH5=10,SUMPRODUCT(--(($OI$5:$OI5=$OI5)*($OH$5:$OH5&gt;=7)*($OH$5:$OH5&lt;=9)),$PK$5:$PK5),0)))))</f>
        <v/>
      </c>
      <c r="PM5" s="12">
        <f>PK5-PL5</f>
        <v/>
      </c>
      <c r="PN5" s="12">
        <f>IF(ProviderDelay&gt;=1,0,PJ5*ProviderShare)</f>
        <v/>
      </c>
      <c r="PO5" s="12">
        <f>PG5*PaymentFee</f>
        <v/>
      </c>
      <c r="PP5" s="12">
        <f>PA5*OpsAI</f>
        <v/>
      </c>
      <c r="PQ5" s="12">
        <f>MonthlyFixed</f>
        <v/>
      </c>
      <c r="PR5" s="12">
        <f>OO5*ReferralReward</f>
        <v/>
      </c>
      <c r="PS5" s="12">
        <f>OM5</f>
        <v/>
      </c>
      <c r="PT5" s="9">
        <f>PJ5-PN5-PO5-PP5-PQ5-PR5-PS5</f>
        <v/>
      </c>
      <c r="PU5" s="9">
        <f>InitialInvestment+PG5-(PN5+PO5+PP5+PQ5+PR5+PS5+PL5)</f>
        <v/>
      </c>
      <c r="PV5" s="12">
        <f>IF(PA5&gt;0,PB5/PA5,0)</f>
        <v/>
      </c>
      <c r="PW5" s="11" t="n">
        <v>0</v>
      </c>
      <c r="PY5" s="12" t="n">
        <v>1</v>
      </c>
      <c r="PZ5" s="12">
        <f>MOD(PY5-1+LaunchMonth-1,12)+1</f>
        <v/>
      </c>
      <c r="QA5" s="12">
        <f>INT((PY5-1+LaunchMonth-1)/12)+1</f>
        <v/>
      </c>
      <c r="QB5" s="12">
        <f>VLOOKUP(PZ5,SeasonTable,2,FALSE)</f>
        <v/>
      </c>
      <c r="QC5" s="12">
        <f>(1+InflationRate)^INT((PY5-1)/12)</f>
        <v/>
      </c>
      <c r="QD5" s="11">
        <f>'Sens - Churn'!$A$20*VLOOKUP(PZ5,ChurnSeasonTable,4,FALSE)</f>
        <v/>
      </c>
      <c r="QE5" s="12">
        <f>MktFixed1_3</f>
        <v/>
      </c>
      <c r="QF5" s="12">
        <f>IF(QE5&gt;0,MAX(1,ROUND(QE5/CAC*QB5,0)),0)</f>
        <v/>
      </c>
      <c r="QG5" s="12">
        <f>IF(QF5&gt;0,ROUND(QF5*ReferralMix/(1-ReferralMix),0),0)</f>
        <v/>
      </c>
      <c r="QH5" s="12">
        <f>QF5+QG5</f>
        <v/>
      </c>
      <c r="QI5" s="12">
        <f>ROUND(QH5*(1-AnnualMix),0)</f>
        <v/>
      </c>
      <c r="QJ5" s="12">
        <f>QH5-QI5</f>
        <v/>
      </c>
      <c r="QK5" s="12">
        <f>ROUND(QI5*EssentialMix,0)</f>
        <v/>
      </c>
      <c r="QL5" s="12">
        <f>QI5-QK5</f>
        <v/>
      </c>
      <c r="QM5" s="12">
        <f>ROUND(QJ5*EssentialMix,0)</f>
        <v/>
      </c>
      <c r="QN5" s="12">
        <f>QJ5-QM5</f>
        <v/>
      </c>
      <c r="QO5" s="12">
        <f>QK5</f>
        <v/>
      </c>
      <c r="QP5" s="12">
        <f>QL5</f>
        <v/>
      </c>
      <c r="QQ5" s="12">
        <f>QM5</f>
        <v/>
      </c>
      <c r="QR5" s="12">
        <f>QN5</f>
        <v/>
      </c>
      <c r="QS5" s="12">
        <f>QO5+QP5+QQ5+QR5</f>
        <v/>
      </c>
      <c r="QT5" s="9">
        <f>QO5*PriceEssMonthly*QC5+QP5*PricePremMonthly*QC5+QQ5*PriceEssAnnual*QC5/12+QR5*PricePremAnnual*QC5/12</f>
        <v/>
      </c>
      <c r="QU5" s="9">
        <f>QT5*12</f>
        <v/>
      </c>
      <c r="QV5" s="12">
        <f>QO5*PriceEssMonthly*QC5+QP5*PricePremMonthly*QC5</f>
        <v/>
      </c>
      <c r="QW5" s="12">
        <f>QM5*PriceEssAnnual*QC5+QN5*PricePremAnnual*QC5</f>
        <v/>
      </c>
      <c r="QX5" s="12">
        <f>0+0</f>
        <v/>
      </c>
      <c r="QY5" s="9">
        <f>QV5+QW5+QX5</f>
        <v/>
      </c>
      <c r="QZ5" s="12">
        <f>SUM(QY$5:QY5)</f>
        <v/>
      </c>
      <c r="RA5" s="12">
        <f>QZ5&gt;=VATThreshold</f>
        <v/>
      </c>
      <c r="RB5" s="9">
        <f>IF(RA5,QY5/(1+VATRate),QY5)</f>
        <v/>
      </c>
      <c r="RC5" s="12">
        <f>QY5-RB5</f>
        <v/>
      </c>
      <c r="RD5" s="12">
        <f>IF(RA5=0,0,IF(PZ5=1,SUMPRODUCT(--(($QA$5:$QA5=$QA5-1)*($PZ$5:$PZ5&gt;=10)*($PZ$5:$PZ5&lt;=12)),$RC$5:$RC5),IF(PZ5=4,SUMPRODUCT(--(($QA$5:$QA5=$QA5)*($PZ$5:$PZ5&gt;=1)*($PZ$5:$PZ5&lt;=3)),$RC$5:$RC5),IF(PZ5=7,SUMPRODUCT(--(($QA$5:$QA5=$QA5)*($PZ$5:$PZ5&gt;=4)*($PZ$5:$PZ5&lt;=6)),$RC$5:$RC5),IF(PZ5=10,SUMPRODUCT(--(($QA$5:$QA5=$QA5)*($PZ$5:$PZ5&gt;=7)*($PZ$5:$PZ5&lt;=9)),$RC$5:$RC5),0)))))</f>
        <v/>
      </c>
      <c r="RE5" s="12">
        <f>RC5-RD5</f>
        <v/>
      </c>
      <c r="RF5" s="12">
        <f>IF(ProviderDelay&gt;=1,0,RB5*ProviderShare)</f>
        <v/>
      </c>
      <c r="RG5" s="12">
        <f>QY5*PaymentFee</f>
        <v/>
      </c>
      <c r="RH5" s="12">
        <f>QS5*OpsAI</f>
        <v/>
      </c>
      <c r="RI5" s="12">
        <f>MonthlyFixed</f>
        <v/>
      </c>
      <c r="RJ5" s="12">
        <f>QG5*ReferralReward</f>
        <v/>
      </c>
      <c r="RK5" s="12">
        <f>QE5</f>
        <v/>
      </c>
      <c r="RL5" s="9">
        <f>RB5-RF5-RG5-RH5-RI5-RJ5-RK5</f>
        <v/>
      </c>
      <c r="RM5" s="9">
        <f>InitialInvestment+QY5-(RF5+RG5+RH5+RI5+RJ5+RK5+RD5)</f>
        <v/>
      </c>
      <c r="RN5" s="12">
        <f>IF(QS5&gt;0,QT5/QS5,0)</f>
        <v/>
      </c>
      <c r="RO5" s="11" t="n">
        <v>0</v>
      </c>
      <c r="RQ5" s="12" t="n">
        <v>1</v>
      </c>
      <c r="RR5" s="12">
        <f>MOD(RQ5-1+LaunchMonth-1,12)+1</f>
        <v/>
      </c>
      <c r="RS5" s="12">
        <f>INT((RQ5-1+LaunchMonth-1)/12)+1</f>
        <v/>
      </c>
      <c r="RT5" s="12">
        <f>VLOOKUP(RR5,SeasonTable,2,FALSE)</f>
        <v/>
      </c>
      <c r="RU5" s="12">
        <f>(1+InflationRate)^INT((RQ5-1)/12)</f>
        <v/>
      </c>
      <c r="RV5" s="11">
        <f>'Sens - Churn'!$A$21*VLOOKUP(RR5,ChurnSeasonTable,4,FALSE)</f>
        <v/>
      </c>
      <c r="RW5" s="12">
        <f>MktFixed1_3</f>
        <v/>
      </c>
      <c r="RX5" s="12">
        <f>IF(RW5&gt;0,MAX(1,ROUND(RW5/CAC*RT5,0)),0)</f>
        <v/>
      </c>
      <c r="RY5" s="12">
        <f>IF(RX5&gt;0,ROUND(RX5*ReferralMix/(1-ReferralMix),0),0)</f>
        <v/>
      </c>
      <c r="RZ5" s="12">
        <f>RX5+RY5</f>
        <v/>
      </c>
      <c r="SA5" s="12">
        <f>ROUND(RZ5*(1-AnnualMix),0)</f>
        <v/>
      </c>
      <c r="SB5" s="12">
        <f>RZ5-SA5</f>
        <v/>
      </c>
      <c r="SC5" s="12">
        <f>ROUND(SA5*EssentialMix,0)</f>
        <v/>
      </c>
      <c r="SD5" s="12">
        <f>SA5-SC5</f>
        <v/>
      </c>
      <c r="SE5" s="12">
        <f>ROUND(SB5*EssentialMix,0)</f>
        <v/>
      </c>
      <c r="SF5" s="12">
        <f>SB5-SE5</f>
        <v/>
      </c>
      <c r="SG5" s="12">
        <f>SC5</f>
        <v/>
      </c>
      <c r="SH5" s="12">
        <f>SD5</f>
        <v/>
      </c>
      <c r="SI5" s="12">
        <f>SE5</f>
        <v/>
      </c>
      <c r="SJ5" s="12">
        <f>SF5</f>
        <v/>
      </c>
      <c r="SK5" s="12">
        <f>SG5+SH5+SI5+SJ5</f>
        <v/>
      </c>
      <c r="SL5" s="9">
        <f>SG5*PriceEssMonthly*RU5+SH5*PricePremMonthly*RU5+SI5*PriceEssAnnual*RU5/12+SJ5*PricePremAnnual*RU5/12</f>
        <v/>
      </c>
      <c r="SM5" s="9">
        <f>SL5*12</f>
        <v/>
      </c>
      <c r="SN5" s="12">
        <f>SG5*PriceEssMonthly*RU5+SH5*PricePremMonthly*RU5</f>
        <v/>
      </c>
      <c r="SO5" s="12">
        <f>SE5*PriceEssAnnual*RU5+SF5*PricePremAnnual*RU5</f>
        <v/>
      </c>
      <c r="SP5" s="12">
        <f>0+0</f>
        <v/>
      </c>
      <c r="SQ5" s="9">
        <f>SN5+SO5+SP5</f>
        <v/>
      </c>
      <c r="SR5" s="12">
        <f>SUM(SQ$5:SQ5)</f>
        <v/>
      </c>
      <c r="SS5" s="12">
        <f>SR5&gt;=VATThreshold</f>
        <v/>
      </c>
      <c r="ST5" s="9">
        <f>IF(SS5,SQ5/(1+VATRate),SQ5)</f>
        <v/>
      </c>
      <c r="SU5" s="12">
        <f>SQ5-ST5</f>
        <v/>
      </c>
      <c r="SV5" s="12">
        <f>IF(SS5=0,0,IF(RR5=1,SUMPRODUCT(--(($RS$5:$RS5=$RS5-1)*($RR$5:$RR5&gt;=10)*($RR$5:$RR5&lt;=12)),$SU$5:$SU5),IF(RR5=4,SUMPRODUCT(--(($RS$5:$RS5=$RS5)*($RR$5:$RR5&gt;=1)*($RR$5:$RR5&lt;=3)),$SU$5:$SU5),IF(RR5=7,SUMPRODUCT(--(($RS$5:$RS5=$RS5)*($RR$5:$RR5&gt;=4)*($RR$5:$RR5&lt;=6)),$SU$5:$SU5),IF(RR5=10,SUMPRODUCT(--(($RS$5:$RS5=$RS5)*($RR$5:$RR5&gt;=7)*($RR$5:$RR5&lt;=9)),$SU$5:$SU5),0)))))</f>
        <v/>
      </c>
      <c r="SW5" s="12">
        <f>SU5-SV5</f>
        <v/>
      </c>
      <c r="SX5" s="12">
        <f>IF(ProviderDelay&gt;=1,0,ST5*ProviderShare)</f>
        <v/>
      </c>
      <c r="SY5" s="12">
        <f>SQ5*PaymentFee</f>
        <v/>
      </c>
      <c r="SZ5" s="12">
        <f>SK5*OpsAI</f>
        <v/>
      </c>
      <c r="TA5" s="12">
        <f>MonthlyFixed</f>
        <v/>
      </c>
      <c r="TB5" s="12">
        <f>RY5*ReferralReward</f>
        <v/>
      </c>
      <c r="TC5" s="12">
        <f>RW5</f>
        <v/>
      </c>
      <c r="TD5" s="9">
        <f>ST5-SX5-SY5-SZ5-TA5-TB5-TC5</f>
        <v/>
      </c>
      <c r="TE5" s="9">
        <f>InitialInvestment+SQ5-(SX5+SY5+SZ5+TA5+TB5+TC5+SV5)</f>
        <v/>
      </c>
      <c r="TF5" s="12">
        <f>IF(SK5&gt;0,SL5/SK5,0)</f>
        <v/>
      </c>
      <c r="TG5" s="11" t="n">
        <v>0</v>
      </c>
      <c r="TI5" s="12" t="n">
        <v>1</v>
      </c>
      <c r="TJ5" s="12">
        <f>MOD(TI5-1+LaunchMonth-1,12)+1</f>
        <v/>
      </c>
      <c r="TK5" s="12">
        <f>INT((TI5-1+LaunchMonth-1)/12)+1</f>
        <v/>
      </c>
      <c r="TL5" s="12">
        <f>VLOOKUP(TJ5,SeasonTable,2,FALSE)</f>
        <v/>
      </c>
      <c r="TM5" s="12">
        <f>(1+InflationRate)^INT((TI5-1)/12)</f>
        <v/>
      </c>
      <c r="TN5" s="11">
        <f>MonthlyChurn*VLOOKUP(TJ5,ChurnSeasonTable,4,FALSE)</f>
        <v/>
      </c>
      <c r="TO5" s="12">
        <f>MktFixed1_3</f>
        <v/>
      </c>
      <c r="TP5" s="12">
        <f>IF(TO5&gt;0,MAX(1,ROUND(TO5/CAC*TL5,0)),0)</f>
        <v/>
      </c>
      <c r="TQ5" s="12">
        <f>IF(TP5&gt;0,ROUND(TP5*ReferralMix/(1-ReferralMix),0),0)</f>
        <v/>
      </c>
      <c r="TR5" s="12">
        <f>TP5+TQ5</f>
        <v/>
      </c>
      <c r="TS5" s="12">
        <f>ROUND(TR5*(1-'Sens - Annual Mix'!$A$9),0)</f>
        <v/>
      </c>
      <c r="TT5" s="12">
        <f>TR5-TS5</f>
        <v/>
      </c>
      <c r="TU5" s="12">
        <f>ROUND(TS5*EssentialMix,0)</f>
        <v/>
      </c>
      <c r="TV5" s="12">
        <f>TS5-TU5</f>
        <v/>
      </c>
      <c r="TW5" s="12">
        <f>ROUND(TT5*EssentialMix,0)</f>
        <v/>
      </c>
      <c r="TX5" s="12">
        <f>TT5-TW5</f>
        <v/>
      </c>
      <c r="TY5" s="12">
        <f>TU5</f>
        <v/>
      </c>
      <c r="TZ5" s="12">
        <f>TV5</f>
        <v/>
      </c>
      <c r="UA5" s="12">
        <f>TW5</f>
        <v/>
      </c>
      <c r="UB5" s="12">
        <f>TX5</f>
        <v/>
      </c>
      <c r="UC5" s="12">
        <f>TY5+TZ5+UA5+UB5</f>
        <v/>
      </c>
      <c r="UD5" s="9">
        <f>TY5*PriceEssMonthly*TM5+TZ5*PricePremMonthly*TM5+UA5*PriceEssAnnual*TM5/12+UB5*PricePremAnnual*TM5/12</f>
        <v/>
      </c>
      <c r="UE5" s="9">
        <f>UD5*12</f>
        <v/>
      </c>
      <c r="UF5" s="12">
        <f>TY5*PriceEssMonthly*TM5+TZ5*PricePremMonthly*TM5</f>
        <v/>
      </c>
      <c r="UG5" s="12">
        <f>TW5*PriceEssAnnual*TM5+TX5*PricePremAnnual*TM5</f>
        <v/>
      </c>
      <c r="UH5" s="12">
        <f>0+0</f>
        <v/>
      </c>
      <c r="UI5" s="9">
        <f>UF5+UG5+UH5</f>
        <v/>
      </c>
      <c r="UJ5" s="12">
        <f>SUM(UI$5:UI5)</f>
        <v/>
      </c>
      <c r="UK5" s="12">
        <f>UJ5&gt;=VATThreshold</f>
        <v/>
      </c>
      <c r="UL5" s="9">
        <f>IF(UK5,UI5/(1+VATRate),UI5)</f>
        <v/>
      </c>
      <c r="UM5" s="12">
        <f>UI5-UL5</f>
        <v/>
      </c>
      <c r="UN5" s="12">
        <f>IF(UK5=0,0,IF(TJ5=1,SUMPRODUCT(--(($TK$5:$TK5=$TK5-1)*($TJ$5:$TJ5&gt;=10)*($TJ$5:$TJ5&lt;=12)),$UM$5:$UM5),IF(TJ5=4,SUMPRODUCT(--(($TK$5:$TK5=$TK5)*($TJ$5:$TJ5&gt;=1)*($TJ$5:$TJ5&lt;=3)),$UM$5:$UM5),IF(TJ5=7,SUMPRODUCT(--(($TK$5:$TK5=$TK5)*($TJ$5:$TJ5&gt;=4)*($TJ$5:$TJ5&lt;=6)),$UM$5:$UM5),IF(TJ5=10,SUMPRODUCT(--(($TK$5:$TK5=$TK5)*($TJ$5:$TJ5&gt;=7)*($TJ$5:$TJ5&lt;=9)),$UM$5:$UM5),0)))))</f>
        <v/>
      </c>
      <c r="UO5" s="12">
        <f>UM5-UN5</f>
        <v/>
      </c>
      <c r="UP5" s="12">
        <f>IF(ProviderDelay&gt;=1,0,UL5*ProviderShare)</f>
        <v/>
      </c>
      <c r="UQ5" s="12">
        <f>UI5*PaymentFee</f>
        <v/>
      </c>
      <c r="UR5" s="12">
        <f>UC5*OpsAI</f>
        <v/>
      </c>
      <c r="US5" s="12">
        <f>MonthlyFixed</f>
        <v/>
      </c>
      <c r="UT5" s="12">
        <f>TQ5*ReferralReward</f>
        <v/>
      </c>
      <c r="UU5" s="12">
        <f>TO5</f>
        <v/>
      </c>
      <c r="UV5" s="9">
        <f>UL5-UP5-UQ5-UR5-US5-UT5-UU5</f>
        <v/>
      </c>
      <c r="UW5" s="9">
        <f>InitialInvestment+UI5-(UP5+UQ5+UR5+US5+UT5+UU5+UN5)</f>
        <v/>
      </c>
      <c r="UX5" s="12">
        <f>IF(UC5&gt;0,UD5/UC5,0)</f>
        <v/>
      </c>
      <c r="UY5" s="11" t="n">
        <v>0</v>
      </c>
      <c r="VA5" s="12" t="n">
        <v>1</v>
      </c>
      <c r="VB5" s="12">
        <f>MOD(VA5-1+LaunchMonth-1,12)+1</f>
        <v/>
      </c>
      <c r="VC5" s="12">
        <f>INT((VA5-1+LaunchMonth-1)/12)+1</f>
        <v/>
      </c>
      <c r="VD5" s="12">
        <f>VLOOKUP(VB5,SeasonTable,2,FALSE)</f>
        <v/>
      </c>
      <c r="VE5" s="12">
        <f>(1+InflationRate)^INT((VA5-1)/12)</f>
        <v/>
      </c>
      <c r="VF5" s="11">
        <f>MonthlyChurn*VLOOKUP(VB5,ChurnSeasonTable,4,FALSE)</f>
        <v/>
      </c>
      <c r="VG5" s="12">
        <f>MktFixed1_3</f>
        <v/>
      </c>
      <c r="VH5" s="12">
        <f>IF(VG5&gt;0,MAX(1,ROUND(VG5/CAC*VD5,0)),0)</f>
        <v/>
      </c>
      <c r="VI5" s="12">
        <f>IF(VH5&gt;0,ROUND(VH5*ReferralMix/(1-ReferralMix),0),0)</f>
        <v/>
      </c>
      <c r="VJ5" s="12">
        <f>VH5+VI5</f>
        <v/>
      </c>
      <c r="VK5" s="12">
        <f>ROUND(VJ5*(1-'Sens - Annual Mix'!$A$10),0)</f>
        <v/>
      </c>
      <c r="VL5" s="12">
        <f>VJ5-VK5</f>
        <v/>
      </c>
      <c r="VM5" s="12">
        <f>ROUND(VK5*EssentialMix,0)</f>
        <v/>
      </c>
      <c r="VN5" s="12">
        <f>VK5-VM5</f>
        <v/>
      </c>
      <c r="VO5" s="12">
        <f>ROUND(VL5*EssentialMix,0)</f>
        <v/>
      </c>
      <c r="VP5" s="12">
        <f>VL5-VO5</f>
        <v/>
      </c>
      <c r="VQ5" s="12">
        <f>VM5</f>
        <v/>
      </c>
      <c r="VR5" s="12">
        <f>VN5</f>
        <v/>
      </c>
      <c r="VS5" s="12">
        <f>VO5</f>
        <v/>
      </c>
      <c r="VT5" s="12">
        <f>VP5</f>
        <v/>
      </c>
      <c r="VU5" s="12">
        <f>VQ5+VR5+VS5+VT5</f>
        <v/>
      </c>
      <c r="VV5" s="9">
        <f>VQ5*PriceEssMonthly*VE5+VR5*PricePremMonthly*VE5+VS5*PriceEssAnnual*VE5/12+VT5*PricePremAnnual*VE5/12</f>
        <v/>
      </c>
      <c r="VW5" s="9">
        <f>VV5*12</f>
        <v/>
      </c>
      <c r="VX5" s="12">
        <f>VQ5*PriceEssMonthly*VE5+VR5*PricePremMonthly*VE5</f>
        <v/>
      </c>
      <c r="VY5" s="12">
        <f>VO5*PriceEssAnnual*VE5+VP5*PricePremAnnual*VE5</f>
        <v/>
      </c>
      <c r="VZ5" s="12">
        <f>0+0</f>
        <v/>
      </c>
      <c r="WA5" s="9">
        <f>VX5+VY5+VZ5</f>
        <v/>
      </c>
      <c r="WB5" s="12">
        <f>SUM(WA$5:WA5)</f>
        <v/>
      </c>
      <c r="WC5" s="12">
        <f>WB5&gt;=VATThreshold</f>
        <v/>
      </c>
      <c r="WD5" s="9">
        <f>IF(WC5,WA5/(1+VATRate),WA5)</f>
        <v/>
      </c>
      <c r="WE5" s="12">
        <f>WA5-WD5</f>
        <v/>
      </c>
      <c r="WF5" s="12">
        <f>IF(WC5=0,0,IF(VB5=1,SUMPRODUCT(--(($VC$5:$VC5=$VC5-1)*($VB$5:$VB5&gt;=10)*($VB$5:$VB5&lt;=12)),$WE$5:$WE5),IF(VB5=4,SUMPRODUCT(--(($VC$5:$VC5=$VC5)*($VB$5:$VB5&gt;=1)*($VB$5:$VB5&lt;=3)),$WE$5:$WE5),IF(VB5=7,SUMPRODUCT(--(($VC$5:$VC5=$VC5)*($VB$5:$VB5&gt;=4)*($VB$5:$VB5&lt;=6)),$WE$5:$WE5),IF(VB5=10,SUMPRODUCT(--(($VC$5:$VC5=$VC5)*($VB$5:$VB5&gt;=7)*($VB$5:$VB5&lt;=9)),$WE$5:$WE5),0)))))</f>
        <v/>
      </c>
      <c r="WG5" s="12">
        <f>WE5-WF5</f>
        <v/>
      </c>
      <c r="WH5" s="12">
        <f>IF(ProviderDelay&gt;=1,0,WD5*ProviderShare)</f>
        <v/>
      </c>
      <c r="WI5" s="12">
        <f>WA5*PaymentFee</f>
        <v/>
      </c>
      <c r="WJ5" s="12">
        <f>VU5*OpsAI</f>
        <v/>
      </c>
      <c r="WK5" s="12">
        <f>MonthlyFixed</f>
        <v/>
      </c>
      <c r="WL5" s="12">
        <f>VI5*ReferralReward</f>
        <v/>
      </c>
      <c r="WM5" s="12">
        <f>VG5</f>
        <v/>
      </c>
      <c r="WN5" s="9">
        <f>WD5-WH5-WI5-WJ5-WK5-WL5-WM5</f>
        <v/>
      </c>
      <c r="WO5" s="9">
        <f>InitialInvestment+WA5-(WH5+WI5+WJ5+WK5+WL5+WM5+WF5)</f>
        <v/>
      </c>
      <c r="WP5" s="12">
        <f>IF(VU5&gt;0,VV5/VU5,0)</f>
        <v/>
      </c>
      <c r="WQ5" s="11" t="n">
        <v>0</v>
      </c>
      <c r="WS5" s="12" t="n">
        <v>1</v>
      </c>
      <c r="WT5" s="12">
        <f>MOD(WS5-1+LaunchMonth-1,12)+1</f>
        <v/>
      </c>
      <c r="WU5" s="12">
        <f>INT((WS5-1+LaunchMonth-1)/12)+1</f>
        <v/>
      </c>
      <c r="WV5" s="12">
        <f>VLOOKUP(WT5,SeasonTable,2,FALSE)</f>
        <v/>
      </c>
      <c r="WW5" s="12">
        <f>(1+InflationRate)^INT((WS5-1)/12)</f>
        <v/>
      </c>
      <c r="WX5" s="11">
        <f>MonthlyChurn*VLOOKUP(WT5,ChurnSeasonTable,4,FALSE)</f>
        <v/>
      </c>
      <c r="WY5" s="12">
        <f>MktFixed1_3</f>
        <v/>
      </c>
      <c r="WZ5" s="12">
        <f>IF(WY5&gt;0,MAX(1,ROUND(WY5/CAC*WV5,0)),0)</f>
        <v/>
      </c>
      <c r="XA5" s="12">
        <f>IF(WZ5&gt;0,ROUND(WZ5*ReferralMix/(1-ReferralMix),0),0)</f>
        <v/>
      </c>
      <c r="XB5" s="12">
        <f>WZ5+XA5</f>
        <v/>
      </c>
      <c r="XC5" s="12">
        <f>ROUND(XB5*(1-'Sens - Annual Mix'!$A$11),0)</f>
        <v/>
      </c>
      <c r="XD5" s="12">
        <f>XB5-XC5</f>
        <v/>
      </c>
      <c r="XE5" s="12">
        <f>ROUND(XC5*EssentialMix,0)</f>
        <v/>
      </c>
      <c r="XF5" s="12">
        <f>XC5-XE5</f>
        <v/>
      </c>
      <c r="XG5" s="12">
        <f>ROUND(XD5*EssentialMix,0)</f>
        <v/>
      </c>
      <c r="XH5" s="12">
        <f>XD5-XG5</f>
        <v/>
      </c>
      <c r="XI5" s="12">
        <f>XE5</f>
        <v/>
      </c>
      <c r="XJ5" s="12">
        <f>XF5</f>
        <v/>
      </c>
      <c r="XK5" s="12">
        <f>XG5</f>
        <v/>
      </c>
      <c r="XL5" s="12">
        <f>XH5</f>
        <v/>
      </c>
      <c r="XM5" s="12">
        <f>XI5+XJ5+XK5+XL5</f>
        <v/>
      </c>
      <c r="XN5" s="9">
        <f>XI5*PriceEssMonthly*WW5+XJ5*PricePremMonthly*WW5+XK5*PriceEssAnnual*WW5/12+XL5*PricePremAnnual*WW5/12</f>
        <v/>
      </c>
      <c r="XO5" s="9">
        <f>XN5*12</f>
        <v/>
      </c>
      <c r="XP5" s="12">
        <f>XI5*PriceEssMonthly*WW5+XJ5*PricePremMonthly*WW5</f>
        <v/>
      </c>
      <c r="XQ5" s="12">
        <f>XG5*PriceEssAnnual*WW5+XH5*PricePremAnnual*WW5</f>
        <v/>
      </c>
      <c r="XR5" s="12">
        <f>0+0</f>
        <v/>
      </c>
      <c r="XS5" s="9">
        <f>XP5+XQ5+XR5</f>
        <v/>
      </c>
      <c r="XT5" s="12">
        <f>SUM(XS$5:XS5)</f>
        <v/>
      </c>
      <c r="XU5" s="12">
        <f>XT5&gt;=VATThreshold</f>
        <v/>
      </c>
      <c r="XV5" s="9">
        <f>IF(XU5,XS5/(1+VATRate),XS5)</f>
        <v/>
      </c>
      <c r="XW5" s="12">
        <f>XS5-XV5</f>
        <v/>
      </c>
      <c r="XX5" s="12">
        <f>IF(XU5=0,0,IF(WT5=1,SUMPRODUCT(--(($WU$5:$WU5=$WU5-1)*($WT$5:$WT5&gt;=10)*($WT$5:$WT5&lt;=12)),$XW$5:$XW5),IF(WT5=4,SUMPRODUCT(--(($WU$5:$WU5=$WU5)*($WT$5:$WT5&gt;=1)*($WT$5:$WT5&lt;=3)),$XW$5:$XW5),IF(WT5=7,SUMPRODUCT(--(($WU$5:$WU5=$WU5)*($WT$5:$WT5&gt;=4)*($WT$5:$WT5&lt;=6)),$XW$5:$XW5),IF(WT5=10,SUMPRODUCT(--(($WU$5:$WU5=$WU5)*($WT$5:$WT5&gt;=7)*($WT$5:$WT5&lt;=9)),$XW$5:$XW5),0)))))</f>
        <v/>
      </c>
      <c r="XY5" s="12">
        <f>XW5-XX5</f>
        <v/>
      </c>
      <c r="XZ5" s="12">
        <f>IF(ProviderDelay&gt;=1,0,XV5*ProviderShare)</f>
        <v/>
      </c>
      <c r="YA5" s="12">
        <f>XS5*PaymentFee</f>
        <v/>
      </c>
      <c r="YB5" s="12">
        <f>XM5*OpsAI</f>
        <v/>
      </c>
      <c r="YC5" s="12">
        <f>MonthlyFixed</f>
        <v/>
      </c>
      <c r="YD5" s="12">
        <f>XA5*ReferralReward</f>
        <v/>
      </c>
      <c r="YE5" s="12">
        <f>WY5</f>
        <v/>
      </c>
      <c r="YF5" s="9">
        <f>XV5-XZ5-YA5-YB5-YC5-YD5-YE5</f>
        <v/>
      </c>
      <c r="YG5" s="9">
        <f>InitialInvestment+XS5-(XZ5+YA5+YB5+YC5+YD5+YE5+XX5)</f>
        <v/>
      </c>
      <c r="YH5" s="12">
        <f>IF(XM5&gt;0,XN5/XM5,0)</f>
        <v/>
      </c>
      <c r="YI5" s="11" t="n">
        <v>0</v>
      </c>
      <c r="YK5" s="12" t="n">
        <v>1</v>
      </c>
      <c r="YL5" s="12">
        <f>MOD(YK5-1+LaunchMonth-1,12)+1</f>
        <v/>
      </c>
      <c r="YM5" s="12">
        <f>INT((YK5-1+LaunchMonth-1)/12)+1</f>
        <v/>
      </c>
      <c r="YN5" s="12">
        <f>VLOOKUP(YL5,SeasonTable,2,FALSE)</f>
        <v/>
      </c>
      <c r="YO5" s="12">
        <f>(1+InflationRate)^INT((YK5-1)/12)</f>
        <v/>
      </c>
      <c r="YP5" s="11">
        <f>MonthlyChurn*VLOOKUP(YL5,ChurnSeasonTable,4,FALSE)</f>
        <v/>
      </c>
      <c r="YQ5" s="12">
        <f>MktFixed1_3</f>
        <v/>
      </c>
      <c r="YR5" s="12">
        <f>IF(YQ5&gt;0,MAX(1,ROUND(YQ5/CAC*YN5,0)),0)</f>
        <v/>
      </c>
      <c r="YS5" s="12">
        <f>IF(YR5&gt;0,ROUND(YR5*ReferralMix/(1-ReferralMix),0),0)</f>
        <v/>
      </c>
      <c r="YT5" s="12">
        <f>YR5+YS5</f>
        <v/>
      </c>
      <c r="YU5" s="12">
        <f>ROUND(YT5*(1-'Sens - Annual Mix'!$A$12),0)</f>
        <v/>
      </c>
      <c r="YV5" s="12">
        <f>YT5-YU5</f>
        <v/>
      </c>
      <c r="YW5" s="12">
        <f>ROUND(YU5*EssentialMix,0)</f>
        <v/>
      </c>
      <c r="YX5" s="12">
        <f>YU5-YW5</f>
        <v/>
      </c>
      <c r="YY5" s="12">
        <f>ROUND(YV5*EssentialMix,0)</f>
        <v/>
      </c>
      <c r="YZ5" s="12">
        <f>YV5-YY5</f>
        <v/>
      </c>
      <c r="ZA5" s="12">
        <f>YW5</f>
        <v/>
      </c>
      <c r="ZB5" s="12">
        <f>YX5</f>
        <v/>
      </c>
      <c r="ZC5" s="12">
        <f>YY5</f>
        <v/>
      </c>
      <c r="ZD5" s="12">
        <f>YZ5</f>
        <v/>
      </c>
      <c r="ZE5" s="12">
        <f>ZA5+ZB5+ZC5+ZD5</f>
        <v/>
      </c>
      <c r="ZF5" s="9">
        <f>ZA5*PriceEssMonthly*YO5+ZB5*PricePremMonthly*YO5+ZC5*PriceEssAnnual*YO5/12+ZD5*PricePremAnnual*YO5/12</f>
        <v/>
      </c>
      <c r="ZG5" s="9">
        <f>ZF5*12</f>
        <v/>
      </c>
      <c r="ZH5" s="12">
        <f>ZA5*PriceEssMonthly*YO5+ZB5*PricePremMonthly*YO5</f>
        <v/>
      </c>
      <c r="ZI5" s="12">
        <f>YY5*PriceEssAnnual*YO5+YZ5*PricePremAnnual*YO5</f>
        <v/>
      </c>
      <c r="ZJ5" s="12">
        <f>0+0</f>
        <v/>
      </c>
      <c r="ZK5" s="9">
        <f>ZH5+ZI5+ZJ5</f>
        <v/>
      </c>
      <c r="ZL5" s="12">
        <f>SUM(ZK$5:ZK5)</f>
        <v/>
      </c>
      <c r="ZM5" s="12">
        <f>ZL5&gt;=VATThreshold</f>
        <v/>
      </c>
      <c r="ZN5" s="9">
        <f>IF(ZM5,ZK5/(1+VATRate),ZK5)</f>
        <v/>
      </c>
      <c r="ZO5" s="12">
        <f>ZK5-ZN5</f>
        <v/>
      </c>
      <c r="ZP5" s="12">
        <f>IF(ZM5=0,0,IF(YL5=1,SUMPRODUCT(--(($YM$5:$YM5=$YM5-1)*($YL$5:$YL5&gt;=10)*($YL$5:$YL5&lt;=12)),$ZO$5:$ZO5),IF(YL5=4,SUMPRODUCT(--(($YM$5:$YM5=$YM5)*($YL$5:$YL5&gt;=1)*($YL$5:$YL5&lt;=3)),$ZO$5:$ZO5),IF(YL5=7,SUMPRODUCT(--(($YM$5:$YM5=$YM5)*($YL$5:$YL5&gt;=4)*($YL$5:$YL5&lt;=6)),$ZO$5:$ZO5),IF(YL5=10,SUMPRODUCT(--(($YM$5:$YM5=$YM5)*($YL$5:$YL5&gt;=7)*($YL$5:$YL5&lt;=9)),$ZO$5:$ZO5),0)))))</f>
        <v/>
      </c>
      <c r="ZQ5" s="12">
        <f>ZO5-ZP5</f>
        <v/>
      </c>
      <c r="ZR5" s="12">
        <f>IF(ProviderDelay&gt;=1,0,ZN5*ProviderShare)</f>
        <v/>
      </c>
      <c r="ZS5" s="12">
        <f>ZK5*PaymentFee</f>
        <v/>
      </c>
      <c r="ZT5" s="12">
        <f>ZE5*OpsAI</f>
        <v/>
      </c>
      <c r="ZU5" s="12">
        <f>MonthlyFixed</f>
        <v/>
      </c>
      <c r="ZV5" s="12">
        <f>YS5*ReferralReward</f>
        <v/>
      </c>
      <c r="ZW5" s="12">
        <f>YQ5</f>
        <v/>
      </c>
      <c r="ZX5" s="9">
        <f>ZN5-ZR5-ZS5-ZT5-ZU5-ZV5-ZW5</f>
        <v/>
      </c>
      <c r="ZY5" s="9">
        <f>InitialInvestment+ZK5-(ZR5+ZS5+ZT5+ZU5+ZV5+ZW5+ZP5)</f>
        <v/>
      </c>
      <c r="ZZ5" s="12">
        <f>IF(ZE5&gt;0,ZF5/ZE5,0)</f>
        <v/>
      </c>
      <c r="AAA5" s="11" t="n">
        <v>0</v>
      </c>
      <c r="AAC5" s="12" t="n">
        <v>1</v>
      </c>
      <c r="AAD5" s="12">
        <f>MOD(AAC5-1+LaunchMonth-1,12)+1</f>
        <v/>
      </c>
      <c r="AAE5" s="12">
        <f>INT((AAC5-1+LaunchMonth-1)/12)+1</f>
        <v/>
      </c>
      <c r="AAF5" s="12">
        <f>VLOOKUP(AAD5,SeasonTable,2,FALSE)</f>
        <v/>
      </c>
      <c r="AAG5" s="12">
        <f>(1+InflationRate)^INT((AAC5-1)/12)</f>
        <v/>
      </c>
      <c r="AAH5" s="11">
        <f>MonthlyChurn*VLOOKUP(AAD5,ChurnSeasonTable,4,FALSE)</f>
        <v/>
      </c>
      <c r="AAI5" s="12">
        <f>MktFixed1_3</f>
        <v/>
      </c>
      <c r="AAJ5" s="12">
        <f>IF(AAI5&gt;0,MAX(1,ROUND(AAI5/CAC*AAF5,0)),0)</f>
        <v/>
      </c>
      <c r="AAK5" s="12">
        <f>IF(AAJ5&gt;0,ROUND(AAJ5*ReferralMix/(1-ReferralMix),0),0)</f>
        <v/>
      </c>
      <c r="AAL5" s="12">
        <f>AAJ5+AAK5</f>
        <v/>
      </c>
      <c r="AAM5" s="12">
        <f>ROUND(AAL5*(1-'Sens - Annual Mix'!$A$13),0)</f>
        <v/>
      </c>
      <c r="AAN5" s="12">
        <f>AAL5-AAM5</f>
        <v/>
      </c>
      <c r="AAO5" s="12">
        <f>ROUND(AAM5*EssentialMix,0)</f>
        <v/>
      </c>
      <c r="AAP5" s="12">
        <f>AAM5-AAO5</f>
        <v/>
      </c>
      <c r="AAQ5" s="12">
        <f>ROUND(AAN5*EssentialMix,0)</f>
        <v/>
      </c>
      <c r="AAR5" s="12">
        <f>AAN5-AAQ5</f>
        <v/>
      </c>
      <c r="AAS5" s="12">
        <f>AAO5</f>
        <v/>
      </c>
      <c r="AAT5" s="12">
        <f>AAP5</f>
        <v/>
      </c>
      <c r="AAU5" s="12">
        <f>AAQ5</f>
        <v/>
      </c>
      <c r="AAV5" s="12">
        <f>AAR5</f>
        <v/>
      </c>
      <c r="AAW5" s="12">
        <f>AAS5+AAT5+AAU5+AAV5</f>
        <v/>
      </c>
      <c r="AAX5" s="9">
        <f>AAS5*PriceEssMonthly*AAG5+AAT5*PricePremMonthly*AAG5+AAU5*PriceEssAnnual*AAG5/12+AAV5*PricePremAnnual*AAG5/12</f>
        <v/>
      </c>
      <c r="AAY5" s="9">
        <f>AAX5*12</f>
        <v/>
      </c>
      <c r="AAZ5" s="12">
        <f>AAS5*PriceEssMonthly*AAG5+AAT5*PricePremMonthly*AAG5</f>
        <v/>
      </c>
      <c r="ABA5" s="12">
        <f>AAQ5*PriceEssAnnual*AAG5+AAR5*PricePremAnnual*AAG5</f>
        <v/>
      </c>
      <c r="ABB5" s="12">
        <f>0+0</f>
        <v/>
      </c>
      <c r="ABC5" s="9">
        <f>AAZ5+ABA5+ABB5</f>
        <v/>
      </c>
      <c r="ABD5" s="12">
        <f>SUM(ABC$5:ABC5)</f>
        <v/>
      </c>
      <c r="ABE5" s="12">
        <f>ABD5&gt;=VATThreshold</f>
        <v/>
      </c>
      <c r="ABF5" s="9">
        <f>IF(ABE5,ABC5/(1+VATRate),ABC5)</f>
        <v/>
      </c>
      <c r="ABG5" s="12">
        <f>ABC5-ABF5</f>
        <v/>
      </c>
      <c r="ABH5" s="12">
        <f>IF(ABE5=0,0,IF(AAD5=1,SUMPRODUCT(--(($AAE$5:$AAE5=$AAE5-1)*($AAD$5:$AAD5&gt;=10)*($AAD$5:$AAD5&lt;=12)),$ABG$5:$ABG5),IF(AAD5=4,SUMPRODUCT(--(($AAE$5:$AAE5=$AAE5)*($AAD$5:$AAD5&gt;=1)*($AAD$5:$AAD5&lt;=3)),$ABG$5:$ABG5),IF(AAD5=7,SUMPRODUCT(--(($AAE$5:$AAE5=$AAE5)*($AAD$5:$AAD5&gt;=4)*($AAD$5:$AAD5&lt;=6)),$ABG$5:$ABG5),IF(AAD5=10,SUMPRODUCT(--(($AAE$5:$AAE5=$AAE5)*($AAD$5:$AAD5&gt;=7)*($AAD$5:$AAD5&lt;=9)),$ABG$5:$ABG5),0)))))</f>
        <v/>
      </c>
      <c r="ABI5" s="12">
        <f>ABG5-ABH5</f>
        <v/>
      </c>
      <c r="ABJ5" s="12">
        <f>IF(ProviderDelay&gt;=1,0,ABF5*ProviderShare)</f>
        <v/>
      </c>
      <c r="ABK5" s="12">
        <f>ABC5*PaymentFee</f>
        <v/>
      </c>
      <c r="ABL5" s="12">
        <f>AAW5*OpsAI</f>
        <v/>
      </c>
      <c r="ABM5" s="12">
        <f>MonthlyFixed</f>
        <v/>
      </c>
      <c r="ABN5" s="12">
        <f>AAK5*ReferralReward</f>
        <v/>
      </c>
      <c r="ABO5" s="12">
        <f>AAI5</f>
        <v/>
      </c>
      <c r="ABP5" s="9">
        <f>ABF5-ABJ5-ABK5-ABL5-ABM5-ABN5-ABO5</f>
        <v/>
      </c>
      <c r="ABQ5" s="9">
        <f>InitialInvestment+ABC5-(ABJ5+ABK5+ABL5+ABM5+ABN5+ABO5+ABH5)</f>
        <v/>
      </c>
      <c r="ABR5" s="12">
        <f>IF(AAW5&gt;0,AAX5/AAW5,0)</f>
        <v/>
      </c>
      <c r="ABS5" s="11" t="n">
        <v>0</v>
      </c>
      <c r="ABU5" s="12" t="n">
        <v>1</v>
      </c>
      <c r="ABV5" s="12">
        <f>MOD(ABU5-1+LaunchMonth-1,12)+1</f>
        <v/>
      </c>
      <c r="ABW5" s="12">
        <f>INT((ABU5-1+LaunchMonth-1)/12)+1</f>
        <v/>
      </c>
      <c r="ABX5" s="12">
        <f>VLOOKUP(ABV5,SeasonTable,2,FALSE)</f>
        <v/>
      </c>
      <c r="ABY5" s="12">
        <f>(1+InflationRate)^INT((ABU5-1)/12)</f>
        <v/>
      </c>
      <c r="ABZ5" s="11">
        <f>MonthlyChurn*VLOOKUP(ABV5,ChurnSeasonTable,4,FALSE)</f>
        <v/>
      </c>
      <c r="ACA5" s="12">
        <f>MktFixed1_3</f>
        <v/>
      </c>
      <c r="ACB5" s="12">
        <f>IF(ACA5&gt;0,MAX(1,ROUND(ACA5/CAC*ABX5,0)),0)</f>
        <v/>
      </c>
      <c r="ACC5" s="12">
        <f>IF(ACB5&gt;0,ROUND(ACB5*ReferralMix/(1-ReferralMix),0),0)</f>
        <v/>
      </c>
      <c r="ACD5" s="12">
        <f>ACB5+ACC5</f>
        <v/>
      </c>
      <c r="ACE5" s="12">
        <f>ROUND(ACD5*(1-'Sens - Annual Mix'!$A$14),0)</f>
        <v/>
      </c>
      <c r="ACF5" s="12">
        <f>ACD5-ACE5</f>
        <v/>
      </c>
      <c r="ACG5" s="12">
        <f>ROUND(ACE5*EssentialMix,0)</f>
        <v/>
      </c>
      <c r="ACH5" s="12">
        <f>ACE5-ACG5</f>
        <v/>
      </c>
      <c r="ACI5" s="12">
        <f>ROUND(ACF5*EssentialMix,0)</f>
        <v/>
      </c>
      <c r="ACJ5" s="12">
        <f>ACF5-ACI5</f>
        <v/>
      </c>
      <c r="ACK5" s="12">
        <f>ACG5</f>
        <v/>
      </c>
      <c r="ACL5" s="12">
        <f>ACH5</f>
        <v/>
      </c>
      <c r="ACM5" s="12">
        <f>ACI5</f>
        <v/>
      </c>
      <c r="ACN5" s="12">
        <f>ACJ5</f>
        <v/>
      </c>
      <c r="ACO5" s="12">
        <f>ACK5+ACL5+ACM5+ACN5</f>
        <v/>
      </c>
      <c r="ACP5" s="9">
        <f>ACK5*PriceEssMonthly*ABY5+ACL5*PricePremMonthly*ABY5+ACM5*PriceEssAnnual*ABY5/12+ACN5*PricePremAnnual*ABY5/12</f>
        <v/>
      </c>
      <c r="ACQ5" s="9">
        <f>ACP5*12</f>
        <v/>
      </c>
      <c r="ACR5" s="12">
        <f>ACK5*PriceEssMonthly*ABY5+ACL5*PricePremMonthly*ABY5</f>
        <v/>
      </c>
      <c r="ACS5" s="12">
        <f>ACI5*PriceEssAnnual*ABY5+ACJ5*PricePremAnnual*ABY5</f>
        <v/>
      </c>
      <c r="ACT5" s="12">
        <f>0+0</f>
        <v/>
      </c>
      <c r="ACU5" s="9">
        <f>ACR5+ACS5+ACT5</f>
        <v/>
      </c>
      <c r="ACV5" s="12">
        <f>SUM(ACU$5:ACU5)</f>
        <v/>
      </c>
      <c r="ACW5" s="12">
        <f>ACV5&gt;=VATThreshold</f>
        <v/>
      </c>
      <c r="ACX5" s="9">
        <f>IF(ACW5,ACU5/(1+VATRate),ACU5)</f>
        <v/>
      </c>
      <c r="ACY5" s="12">
        <f>ACU5-ACX5</f>
        <v/>
      </c>
      <c r="ACZ5" s="12">
        <f>IF(ACW5=0,0,IF(ABV5=1,SUMPRODUCT(--(($ABW$5:$ABW5=$ABW5-1)*($ABV$5:$ABV5&gt;=10)*($ABV$5:$ABV5&lt;=12)),$ACY$5:$ACY5),IF(ABV5=4,SUMPRODUCT(--(($ABW$5:$ABW5=$ABW5)*($ABV$5:$ABV5&gt;=1)*($ABV$5:$ABV5&lt;=3)),$ACY$5:$ACY5),IF(ABV5=7,SUMPRODUCT(--(($ABW$5:$ABW5=$ABW5)*($ABV$5:$ABV5&gt;=4)*($ABV$5:$ABV5&lt;=6)),$ACY$5:$ACY5),IF(ABV5=10,SUMPRODUCT(--(($ABW$5:$ABW5=$ABW5)*($ABV$5:$ABV5&gt;=7)*($ABV$5:$ABV5&lt;=9)),$ACY$5:$ACY5),0)))))</f>
        <v/>
      </c>
      <c r="ADA5" s="12">
        <f>ACY5-ACZ5</f>
        <v/>
      </c>
      <c r="ADB5" s="12">
        <f>IF(ProviderDelay&gt;=1,0,ACX5*ProviderShare)</f>
        <v/>
      </c>
      <c r="ADC5" s="12">
        <f>ACU5*PaymentFee</f>
        <v/>
      </c>
      <c r="ADD5" s="12">
        <f>ACO5*OpsAI</f>
        <v/>
      </c>
      <c r="ADE5" s="12">
        <f>MonthlyFixed</f>
        <v/>
      </c>
      <c r="ADF5" s="12">
        <f>ACC5*ReferralReward</f>
        <v/>
      </c>
      <c r="ADG5" s="12">
        <f>ACA5</f>
        <v/>
      </c>
      <c r="ADH5" s="9">
        <f>ACX5-ADB5-ADC5-ADD5-ADE5-ADF5-ADG5</f>
        <v/>
      </c>
      <c r="ADI5" s="9">
        <f>InitialInvestment+ACU5-(ADB5+ADC5+ADD5+ADE5+ADF5+ADG5+ACZ5)</f>
        <v/>
      </c>
      <c r="ADJ5" s="12">
        <f>IF(ACO5&gt;0,ACP5/ACO5,0)</f>
        <v/>
      </c>
      <c r="ADK5" s="11" t="n">
        <v>0</v>
      </c>
      <c r="ADM5" s="12" t="n">
        <v>1</v>
      </c>
      <c r="ADN5" s="12">
        <f>MOD(ADM5-1+LaunchMonth-1,12)+1</f>
        <v/>
      </c>
      <c r="ADO5" s="12">
        <f>INT((ADM5-1+LaunchMonth-1)/12)+1</f>
        <v/>
      </c>
      <c r="ADP5" s="12">
        <f>VLOOKUP(ADN5,SeasonTable,2,FALSE)</f>
        <v/>
      </c>
      <c r="ADQ5" s="12">
        <f>(1+InflationRate)^INT((ADM5-1)/12)</f>
        <v/>
      </c>
      <c r="ADR5" s="11">
        <f>MonthlyChurn*VLOOKUP(ADN5,ChurnSeasonTable,4,FALSE)</f>
        <v/>
      </c>
      <c r="ADS5" s="12">
        <f>MktFixed1_3</f>
        <v/>
      </c>
      <c r="ADT5" s="12">
        <f>IF(ADS5&gt;0,MAX(1,ROUND(ADS5/CAC*ADP5,0)),0)</f>
        <v/>
      </c>
      <c r="ADU5" s="12">
        <f>IF(ADT5&gt;0,ROUND(ADT5*ReferralMix/(1-ReferralMix),0),0)</f>
        <v/>
      </c>
      <c r="ADV5" s="12">
        <f>ADT5+ADU5</f>
        <v/>
      </c>
      <c r="ADW5" s="12">
        <f>ROUND(ADV5*(1-'Sens - Annual Mix'!$A$15),0)</f>
        <v/>
      </c>
      <c r="ADX5" s="12">
        <f>ADV5-ADW5</f>
        <v/>
      </c>
      <c r="ADY5" s="12">
        <f>ROUND(ADW5*EssentialMix,0)</f>
        <v/>
      </c>
      <c r="ADZ5" s="12">
        <f>ADW5-ADY5</f>
        <v/>
      </c>
      <c r="AEA5" s="12">
        <f>ROUND(ADX5*EssentialMix,0)</f>
        <v/>
      </c>
      <c r="AEB5" s="12">
        <f>ADX5-AEA5</f>
        <v/>
      </c>
      <c r="AEC5" s="12">
        <f>ADY5</f>
        <v/>
      </c>
      <c r="AED5" s="12">
        <f>ADZ5</f>
        <v/>
      </c>
      <c r="AEE5" s="12">
        <f>AEA5</f>
        <v/>
      </c>
      <c r="AEF5" s="12">
        <f>AEB5</f>
        <v/>
      </c>
      <c r="AEG5" s="12">
        <f>AEC5+AED5+AEE5+AEF5</f>
        <v/>
      </c>
      <c r="AEH5" s="9">
        <f>AEC5*PriceEssMonthly*ADQ5+AED5*PricePremMonthly*ADQ5+AEE5*PriceEssAnnual*ADQ5/12+AEF5*PricePremAnnual*ADQ5/12</f>
        <v/>
      </c>
      <c r="AEI5" s="9">
        <f>AEH5*12</f>
        <v/>
      </c>
      <c r="AEJ5" s="12">
        <f>AEC5*PriceEssMonthly*ADQ5+AED5*PricePremMonthly*ADQ5</f>
        <v/>
      </c>
      <c r="AEK5" s="12">
        <f>AEA5*PriceEssAnnual*ADQ5+AEB5*PricePremAnnual*ADQ5</f>
        <v/>
      </c>
      <c r="AEL5" s="12">
        <f>0+0</f>
        <v/>
      </c>
      <c r="AEM5" s="9">
        <f>AEJ5+AEK5+AEL5</f>
        <v/>
      </c>
      <c r="AEN5" s="12">
        <f>SUM(AEM$5:AEM5)</f>
        <v/>
      </c>
      <c r="AEO5" s="12">
        <f>AEN5&gt;=VATThreshold</f>
        <v/>
      </c>
      <c r="AEP5" s="9">
        <f>IF(AEO5,AEM5/(1+VATRate),AEM5)</f>
        <v/>
      </c>
      <c r="AEQ5" s="12">
        <f>AEM5-AEP5</f>
        <v/>
      </c>
      <c r="AER5" s="12">
        <f>IF(AEO5=0,0,IF(ADN5=1,SUMPRODUCT(--(($ADO$5:$ADO5=$ADO5-1)*($ADN$5:$ADN5&gt;=10)*($ADN$5:$ADN5&lt;=12)),$AEQ$5:$AEQ5),IF(ADN5=4,SUMPRODUCT(--(($ADO$5:$ADO5=$ADO5)*($ADN$5:$ADN5&gt;=1)*($ADN$5:$ADN5&lt;=3)),$AEQ$5:$AEQ5),IF(ADN5=7,SUMPRODUCT(--(($ADO$5:$ADO5=$ADO5)*($ADN$5:$ADN5&gt;=4)*($ADN$5:$ADN5&lt;=6)),$AEQ$5:$AEQ5),IF(ADN5=10,SUMPRODUCT(--(($ADO$5:$ADO5=$ADO5)*($ADN$5:$ADN5&gt;=7)*($ADN$5:$ADN5&lt;=9)),$AEQ$5:$AEQ5),0)))))</f>
        <v/>
      </c>
      <c r="AES5" s="12">
        <f>AEQ5-AER5</f>
        <v/>
      </c>
      <c r="AET5" s="12">
        <f>IF(ProviderDelay&gt;=1,0,AEP5*ProviderShare)</f>
        <v/>
      </c>
      <c r="AEU5" s="12">
        <f>AEM5*PaymentFee</f>
        <v/>
      </c>
      <c r="AEV5" s="12">
        <f>AEG5*OpsAI</f>
        <v/>
      </c>
      <c r="AEW5" s="12">
        <f>MonthlyFixed</f>
        <v/>
      </c>
      <c r="AEX5" s="12">
        <f>ADU5*ReferralReward</f>
        <v/>
      </c>
      <c r="AEY5" s="12">
        <f>ADS5</f>
        <v/>
      </c>
      <c r="AEZ5" s="9">
        <f>AEP5-AET5-AEU5-AEV5-AEW5-AEX5-AEY5</f>
        <v/>
      </c>
      <c r="AFA5" s="9">
        <f>InitialInvestment+AEM5-(AET5+AEU5+AEV5+AEW5+AEX5+AEY5+AER5)</f>
        <v/>
      </c>
      <c r="AFB5" s="12">
        <f>IF(AEG5&gt;0,AEH5/AEG5,0)</f>
        <v/>
      </c>
      <c r="AFC5" s="11" t="n">
        <v>0</v>
      </c>
      <c r="AFE5" s="12" t="n">
        <v>1</v>
      </c>
      <c r="AFF5" s="12">
        <f>MOD(AFE5-1+LaunchMonth-1,12)+1</f>
        <v/>
      </c>
      <c r="AFG5" s="12">
        <f>INT((AFE5-1+LaunchMonth-1)/12)+1</f>
        <v/>
      </c>
      <c r="AFH5" s="12">
        <f>VLOOKUP(AFF5,SeasonTable,2,FALSE)</f>
        <v/>
      </c>
      <c r="AFI5" s="12">
        <f>(1+InflationRate)^INT((AFE5-1)/12)</f>
        <v/>
      </c>
      <c r="AFJ5" s="11">
        <f>MonthlyChurn*VLOOKUP(AFF5,ChurnSeasonTable,4,FALSE)</f>
        <v/>
      </c>
      <c r="AFK5" s="12">
        <f>MktFixed1_3</f>
        <v/>
      </c>
      <c r="AFL5" s="12">
        <f>IF(AFK5&gt;0,MAX(1,ROUND(AFK5/'Sens - CAC &amp; Marketing'!$A$9*AFH5,0)),0)</f>
        <v/>
      </c>
      <c r="AFM5" s="12">
        <f>IF(AFL5&gt;0,ROUND(AFL5*ReferralMix/(1-ReferralMix),0),0)</f>
        <v/>
      </c>
      <c r="AFN5" s="12">
        <f>AFL5+AFM5</f>
        <v/>
      </c>
      <c r="AFO5" s="12">
        <f>ROUND(AFN5*(1-AnnualMix),0)</f>
        <v/>
      </c>
      <c r="AFP5" s="12">
        <f>AFN5-AFO5</f>
        <v/>
      </c>
      <c r="AFQ5" s="12">
        <f>ROUND(AFO5*EssentialMix,0)</f>
        <v/>
      </c>
      <c r="AFR5" s="12">
        <f>AFO5-AFQ5</f>
        <v/>
      </c>
      <c r="AFS5" s="12">
        <f>ROUND(AFP5*EssentialMix,0)</f>
        <v/>
      </c>
      <c r="AFT5" s="12">
        <f>AFP5-AFS5</f>
        <v/>
      </c>
      <c r="AFU5" s="12">
        <f>AFQ5</f>
        <v/>
      </c>
      <c r="AFV5" s="12">
        <f>AFR5</f>
        <v/>
      </c>
      <c r="AFW5" s="12">
        <f>AFS5</f>
        <v/>
      </c>
      <c r="AFX5" s="12">
        <f>AFT5</f>
        <v/>
      </c>
      <c r="AFY5" s="12">
        <f>AFU5+AFV5+AFW5+AFX5</f>
        <v/>
      </c>
      <c r="AFZ5" s="9">
        <f>AFU5*PriceEssMonthly*AFI5+AFV5*PricePremMonthly*AFI5+AFW5*PriceEssAnnual*AFI5/12+AFX5*PricePremAnnual*AFI5/12</f>
        <v/>
      </c>
      <c r="AGA5" s="9">
        <f>AFZ5*12</f>
        <v/>
      </c>
      <c r="AGB5" s="12">
        <f>AFU5*PriceEssMonthly*AFI5+AFV5*PricePremMonthly*AFI5</f>
        <v/>
      </c>
      <c r="AGC5" s="12">
        <f>AFS5*PriceEssAnnual*AFI5+AFT5*PricePremAnnual*AFI5</f>
        <v/>
      </c>
      <c r="AGD5" s="12">
        <f>0+0</f>
        <v/>
      </c>
      <c r="AGE5" s="9">
        <f>AGB5+AGC5+AGD5</f>
        <v/>
      </c>
      <c r="AGF5" s="12">
        <f>SUM(AGE$5:AGE5)</f>
        <v/>
      </c>
      <c r="AGG5" s="12">
        <f>AGF5&gt;=VATThreshold</f>
        <v/>
      </c>
      <c r="AGH5" s="9">
        <f>IF(AGG5,AGE5/(1+VATRate),AGE5)</f>
        <v/>
      </c>
      <c r="AGI5" s="12">
        <f>AGE5-AGH5</f>
        <v/>
      </c>
      <c r="AGJ5" s="12">
        <f>IF(AGG5=0,0,IF(AFF5=1,SUMPRODUCT(--(($AFG$5:$AFG5=$AFG5-1)*($AFF$5:$AFF5&gt;=10)*($AFF$5:$AFF5&lt;=12)),$AGI$5:$AGI5),IF(AFF5=4,SUMPRODUCT(--(($AFG$5:$AFG5=$AFG5)*($AFF$5:$AFF5&gt;=1)*($AFF$5:$AFF5&lt;=3)),$AGI$5:$AGI5),IF(AFF5=7,SUMPRODUCT(--(($AFG$5:$AFG5=$AFG5)*($AFF$5:$AFF5&gt;=4)*($AFF$5:$AFF5&lt;=6)),$AGI$5:$AGI5),IF(AFF5=10,SUMPRODUCT(--(($AFG$5:$AFG5=$AFG5)*($AFF$5:$AFF5&gt;=7)*($AFF$5:$AFF5&lt;=9)),$AGI$5:$AGI5),0)))))</f>
        <v/>
      </c>
      <c r="AGK5" s="12">
        <f>AGI5-AGJ5</f>
        <v/>
      </c>
      <c r="AGL5" s="12">
        <f>IF(ProviderDelay&gt;=1,0,AGH5*ProviderShare)</f>
        <v/>
      </c>
      <c r="AGM5" s="12">
        <f>AGE5*PaymentFee</f>
        <v/>
      </c>
      <c r="AGN5" s="12">
        <f>AFY5*OpsAI</f>
        <v/>
      </c>
      <c r="AGO5" s="12">
        <f>MonthlyFixed</f>
        <v/>
      </c>
      <c r="AGP5" s="12">
        <f>AFM5*ReferralReward</f>
        <v/>
      </c>
      <c r="AGQ5" s="12">
        <f>AFK5</f>
        <v/>
      </c>
      <c r="AGR5" s="9">
        <f>AGH5-AGL5-AGM5-AGN5-AGO5-AGP5-AGQ5</f>
        <v/>
      </c>
      <c r="AGS5" s="9">
        <f>InitialInvestment+AGE5-(AGL5+AGM5+AGN5+AGO5+AGP5+AGQ5+AGJ5)</f>
        <v/>
      </c>
      <c r="AGT5" s="12">
        <f>IF(AFY5&gt;0,AFZ5/AFY5,0)</f>
        <v/>
      </c>
      <c r="AGU5" s="11" t="n">
        <v>0</v>
      </c>
      <c r="AGW5" s="12" t="n">
        <v>1</v>
      </c>
      <c r="AGX5" s="12">
        <f>MOD(AGW5-1+LaunchMonth-1,12)+1</f>
        <v/>
      </c>
      <c r="AGY5" s="12">
        <f>INT((AGW5-1+LaunchMonth-1)/12)+1</f>
        <v/>
      </c>
      <c r="AGZ5" s="12">
        <f>VLOOKUP(AGX5,SeasonTable,2,FALSE)</f>
        <v/>
      </c>
      <c r="AHA5" s="12">
        <f>(1+InflationRate)^INT((AGW5-1)/12)</f>
        <v/>
      </c>
      <c r="AHB5" s="11">
        <f>MonthlyChurn*VLOOKUP(AGX5,ChurnSeasonTable,4,FALSE)</f>
        <v/>
      </c>
      <c r="AHC5" s="12">
        <f>MktFixed1_3</f>
        <v/>
      </c>
      <c r="AHD5" s="12">
        <f>IF(AHC5&gt;0,MAX(1,ROUND(AHC5/'Sens - CAC &amp; Marketing'!$A$10*AGZ5,0)),0)</f>
        <v/>
      </c>
      <c r="AHE5" s="12">
        <f>IF(AHD5&gt;0,ROUND(AHD5*ReferralMix/(1-ReferralMix),0),0)</f>
        <v/>
      </c>
      <c r="AHF5" s="12">
        <f>AHD5+AHE5</f>
        <v/>
      </c>
      <c r="AHG5" s="12">
        <f>ROUND(AHF5*(1-AnnualMix),0)</f>
        <v/>
      </c>
      <c r="AHH5" s="12">
        <f>AHF5-AHG5</f>
        <v/>
      </c>
      <c r="AHI5" s="12">
        <f>ROUND(AHG5*EssentialMix,0)</f>
        <v/>
      </c>
      <c r="AHJ5" s="12">
        <f>AHG5-AHI5</f>
        <v/>
      </c>
      <c r="AHK5" s="12">
        <f>ROUND(AHH5*EssentialMix,0)</f>
        <v/>
      </c>
      <c r="AHL5" s="12">
        <f>AHH5-AHK5</f>
        <v/>
      </c>
      <c r="AHM5" s="12">
        <f>AHI5</f>
        <v/>
      </c>
      <c r="AHN5" s="12">
        <f>AHJ5</f>
        <v/>
      </c>
      <c r="AHO5" s="12">
        <f>AHK5</f>
        <v/>
      </c>
      <c r="AHP5" s="12">
        <f>AHL5</f>
        <v/>
      </c>
      <c r="AHQ5" s="12">
        <f>AHM5+AHN5+AHO5+AHP5</f>
        <v/>
      </c>
      <c r="AHR5" s="9">
        <f>AHM5*PriceEssMonthly*AHA5+AHN5*PricePremMonthly*AHA5+AHO5*PriceEssAnnual*AHA5/12+AHP5*PricePremAnnual*AHA5/12</f>
        <v/>
      </c>
      <c r="AHS5" s="9">
        <f>AHR5*12</f>
        <v/>
      </c>
      <c r="AHT5" s="12">
        <f>AHM5*PriceEssMonthly*AHA5+AHN5*PricePremMonthly*AHA5</f>
        <v/>
      </c>
      <c r="AHU5" s="12">
        <f>AHK5*PriceEssAnnual*AHA5+AHL5*PricePremAnnual*AHA5</f>
        <v/>
      </c>
      <c r="AHV5" s="12">
        <f>0+0</f>
        <v/>
      </c>
      <c r="AHW5" s="9">
        <f>AHT5+AHU5+AHV5</f>
        <v/>
      </c>
      <c r="AHX5" s="12">
        <f>SUM(AHW$5:AHW5)</f>
        <v/>
      </c>
      <c r="AHY5" s="12">
        <f>AHX5&gt;=VATThreshold</f>
        <v/>
      </c>
      <c r="AHZ5" s="9">
        <f>IF(AHY5,AHW5/(1+VATRate),AHW5)</f>
        <v/>
      </c>
      <c r="AIA5" s="12">
        <f>AHW5-AHZ5</f>
        <v/>
      </c>
      <c r="AIB5" s="12">
        <f>IF(AHY5=0,0,IF(AGX5=1,SUMPRODUCT(--(($AGY$5:$AGY5=$AGY5-1)*($AGX$5:$AGX5&gt;=10)*($AGX$5:$AGX5&lt;=12)),$AIA$5:$AIA5),IF(AGX5=4,SUMPRODUCT(--(($AGY$5:$AGY5=$AGY5)*($AGX$5:$AGX5&gt;=1)*($AGX$5:$AGX5&lt;=3)),$AIA$5:$AIA5),IF(AGX5=7,SUMPRODUCT(--(($AGY$5:$AGY5=$AGY5)*($AGX$5:$AGX5&gt;=4)*($AGX$5:$AGX5&lt;=6)),$AIA$5:$AIA5),IF(AGX5=10,SUMPRODUCT(--(($AGY$5:$AGY5=$AGY5)*($AGX$5:$AGX5&gt;=7)*($AGX$5:$AGX5&lt;=9)),$AIA$5:$AIA5),0)))))</f>
        <v/>
      </c>
      <c r="AIC5" s="12">
        <f>AIA5-AIB5</f>
        <v/>
      </c>
      <c r="AID5" s="12">
        <f>IF(ProviderDelay&gt;=1,0,AHZ5*ProviderShare)</f>
        <v/>
      </c>
      <c r="AIE5" s="12">
        <f>AHW5*PaymentFee</f>
        <v/>
      </c>
      <c r="AIF5" s="12">
        <f>AHQ5*OpsAI</f>
        <v/>
      </c>
      <c r="AIG5" s="12">
        <f>MonthlyFixed</f>
        <v/>
      </c>
      <c r="AIH5" s="12">
        <f>AHE5*ReferralReward</f>
        <v/>
      </c>
      <c r="AII5" s="12">
        <f>AHC5</f>
        <v/>
      </c>
      <c r="AIJ5" s="9">
        <f>AHZ5-AID5-AIE5-AIF5-AIG5-AIH5-AII5</f>
        <v/>
      </c>
      <c r="AIK5" s="9">
        <f>InitialInvestment+AHW5-(AID5+AIE5+AIF5+AIG5+AIH5+AII5+AIB5)</f>
        <v/>
      </c>
      <c r="AIL5" s="12">
        <f>IF(AHQ5&gt;0,AHR5/AHQ5,0)</f>
        <v/>
      </c>
      <c r="AIM5" s="11" t="n">
        <v>0</v>
      </c>
      <c r="AIO5" s="12" t="n">
        <v>1</v>
      </c>
      <c r="AIP5" s="12">
        <f>MOD(AIO5-1+LaunchMonth-1,12)+1</f>
        <v/>
      </c>
      <c r="AIQ5" s="12">
        <f>INT((AIO5-1+LaunchMonth-1)/12)+1</f>
        <v/>
      </c>
      <c r="AIR5" s="12">
        <f>VLOOKUP(AIP5,SeasonTable,2,FALSE)</f>
        <v/>
      </c>
      <c r="AIS5" s="12">
        <f>(1+InflationRate)^INT((AIO5-1)/12)</f>
        <v/>
      </c>
      <c r="AIT5" s="11">
        <f>MonthlyChurn*VLOOKUP(AIP5,ChurnSeasonTable,4,FALSE)</f>
        <v/>
      </c>
      <c r="AIU5" s="12">
        <f>MktFixed1_3</f>
        <v/>
      </c>
      <c r="AIV5" s="12">
        <f>IF(AIU5&gt;0,MAX(1,ROUND(AIU5/'Sens - CAC &amp; Marketing'!$A$11*AIR5,0)),0)</f>
        <v/>
      </c>
      <c r="AIW5" s="12">
        <f>IF(AIV5&gt;0,ROUND(AIV5*ReferralMix/(1-ReferralMix),0),0)</f>
        <v/>
      </c>
      <c r="AIX5" s="12">
        <f>AIV5+AIW5</f>
        <v/>
      </c>
      <c r="AIY5" s="12">
        <f>ROUND(AIX5*(1-AnnualMix),0)</f>
        <v/>
      </c>
      <c r="AIZ5" s="12">
        <f>AIX5-AIY5</f>
        <v/>
      </c>
      <c r="AJA5" s="12">
        <f>ROUND(AIY5*EssentialMix,0)</f>
        <v/>
      </c>
      <c r="AJB5" s="12">
        <f>AIY5-AJA5</f>
        <v/>
      </c>
      <c r="AJC5" s="12">
        <f>ROUND(AIZ5*EssentialMix,0)</f>
        <v/>
      </c>
      <c r="AJD5" s="12">
        <f>AIZ5-AJC5</f>
        <v/>
      </c>
      <c r="AJE5" s="12">
        <f>AJA5</f>
        <v/>
      </c>
      <c r="AJF5" s="12">
        <f>AJB5</f>
        <v/>
      </c>
      <c r="AJG5" s="12">
        <f>AJC5</f>
        <v/>
      </c>
      <c r="AJH5" s="12">
        <f>AJD5</f>
        <v/>
      </c>
      <c r="AJI5" s="12">
        <f>AJE5+AJF5+AJG5+AJH5</f>
        <v/>
      </c>
      <c r="AJJ5" s="9">
        <f>AJE5*PriceEssMonthly*AIS5+AJF5*PricePremMonthly*AIS5+AJG5*PriceEssAnnual*AIS5/12+AJH5*PricePremAnnual*AIS5/12</f>
        <v/>
      </c>
      <c r="AJK5" s="9">
        <f>AJJ5*12</f>
        <v/>
      </c>
      <c r="AJL5" s="12">
        <f>AJE5*PriceEssMonthly*AIS5+AJF5*PricePremMonthly*AIS5</f>
        <v/>
      </c>
      <c r="AJM5" s="12">
        <f>AJC5*PriceEssAnnual*AIS5+AJD5*PricePremAnnual*AIS5</f>
        <v/>
      </c>
      <c r="AJN5" s="12">
        <f>0+0</f>
        <v/>
      </c>
      <c r="AJO5" s="9">
        <f>AJL5+AJM5+AJN5</f>
        <v/>
      </c>
      <c r="AJP5" s="12">
        <f>SUM(AJO$5:AJO5)</f>
        <v/>
      </c>
      <c r="AJQ5" s="12">
        <f>AJP5&gt;=VATThreshold</f>
        <v/>
      </c>
      <c r="AJR5" s="9">
        <f>IF(AJQ5,AJO5/(1+VATRate),AJO5)</f>
        <v/>
      </c>
      <c r="AJS5" s="12">
        <f>AJO5-AJR5</f>
        <v/>
      </c>
      <c r="AJT5" s="12">
        <f>IF(AJQ5=0,0,IF(AIP5=1,SUMPRODUCT(--(($AIQ$5:$AIQ5=$AIQ5-1)*($AIP$5:$AIP5&gt;=10)*($AIP$5:$AIP5&lt;=12)),$AJS$5:$AJS5),IF(AIP5=4,SUMPRODUCT(--(($AIQ$5:$AIQ5=$AIQ5)*($AIP$5:$AIP5&gt;=1)*($AIP$5:$AIP5&lt;=3)),$AJS$5:$AJS5),IF(AIP5=7,SUMPRODUCT(--(($AIQ$5:$AIQ5=$AIQ5)*($AIP$5:$AIP5&gt;=4)*($AIP$5:$AIP5&lt;=6)),$AJS$5:$AJS5),IF(AIP5=10,SUMPRODUCT(--(($AIQ$5:$AIQ5=$AIQ5)*($AIP$5:$AIP5&gt;=7)*($AIP$5:$AIP5&lt;=9)),$AJS$5:$AJS5),0)))))</f>
        <v/>
      </c>
      <c r="AJU5" s="12">
        <f>AJS5-AJT5</f>
        <v/>
      </c>
      <c r="AJV5" s="12">
        <f>IF(ProviderDelay&gt;=1,0,AJR5*ProviderShare)</f>
        <v/>
      </c>
      <c r="AJW5" s="12">
        <f>AJO5*PaymentFee</f>
        <v/>
      </c>
      <c r="AJX5" s="12">
        <f>AJI5*OpsAI</f>
        <v/>
      </c>
      <c r="AJY5" s="12">
        <f>MonthlyFixed</f>
        <v/>
      </c>
      <c r="AJZ5" s="12">
        <f>AIW5*ReferralReward</f>
        <v/>
      </c>
      <c r="AKA5" s="12">
        <f>AIU5</f>
        <v/>
      </c>
      <c r="AKB5" s="9">
        <f>AJR5-AJV5-AJW5-AJX5-AJY5-AJZ5-AKA5</f>
        <v/>
      </c>
      <c r="AKC5" s="9">
        <f>InitialInvestment+AJO5-(AJV5+AJW5+AJX5+AJY5+AJZ5+AKA5+AJT5)</f>
        <v/>
      </c>
      <c r="AKD5" s="12">
        <f>IF(AJI5&gt;0,AJJ5/AJI5,0)</f>
        <v/>
      </c>
      <c r="AKE5" s="11" t="n">
        <v>0</v>
      </c>
      <c r="AKG5" s="12" t="n">
        <v>1</v>
      </c>
      <c r="AKH5" s="12">
        <f>MOD(AKG5-1+LaunchMonth-1,12)+1</f>
        <v/>
      </c>
      <c r="AKI5" s="12">
        <f>INT((AKG5-1+LaunchMonth-1)/12)+1</f>
        <v/>
      </c>
      <c r="AKJ5" s="12">
        <f>VLOOKUP(AKH5,SeasonTable,2,FALSE)</f>
        <v/>
      </c>
      <c r="AKK5" s="12">
        <f>(1+InflationRate)^INT((AKG5-1)/12)</f>
        <v/>
      </c>
      <c r="AKL5" s="11">
        <f>MonthlyChurn*VLOOKUP(AKH5,ChurnSeasonTable,4,FALSE)</f>
        <v/>
      </c>
      <c r="AKM5" s="12">
        <f>MktFixed1_3</f>
        <v/>
      </c>
      <c r="AKN5" s="12">
        <f>IF(AKM5&gt;0,MAX(1,ROUND(AKM5/'Sens - CAC &amp; Marketing'!$A$12*AKJ5,0)),0)</f>
        <v/>
      </c>
      <c r="AKO5" s="12">
        <f>IF(AKN5&gt;0,ROUND(AKN5*ReferralMix/(1-ReferralMix),0),0)</f>
        <v/>
      </c>
      <c r="AKP5" s="12">
        <f>AKN5+AKO5</f>
        <v/>
      </c>
      <c r="AKQ5" s="12">
        <f>ROUND(AKP5*(1-AnnualMix),0)</f>
        <v/>
      </c>
      <c r="AKR5" s="12">
        <f>AKP5-AKQ5</f>
        <v/>
      </c>
      <c r="AKS5" s="12">
        <f>ROUND(AKQ5*EssentialMix,0)</f>
        <v/>
      </c>
      <c r="AKT5" s="12">
        <f>AKQ5-AKS5</f>
        <v/>
      </c>
      <c r="AKU5" s="12">
        <f>ROUND(AKR5*EssentialMix,0)</f>
        <v/>
      </c>
      <c r="AKV5" s="12">
        <f>AKR5-AKU5</f>
        <v/>
      </c>
      <c r="AKW5" s="12">
        <f>AKS5</f>
        <v/>
      </c>
      <c r="AKX5" s="12">
        <f>AKT5</f>
        <v/>
      </c>
      <c r="AKY5" s="12">
        <f>AKU5</f>
        <v/>
      </c>
      <c r="AKZ5" s="12">
        <f>AKV5</f>
        <v/>
      </c>
      <c r="ALA5" s="12">
        <f>AKW5+AKX5+AKY5+AKZ5</f>
        <v/>
      </c>
      <c r="ALB5" s="9">
        <f>AKW5*PriceEssMonthly*AKK5+AKX5*PricePremMonthly*AKK5+AKY5*PriceEssAnnual*AKK5/12+AKZ5*PricePremAnnual*AKK5/12</f>
        <v/>
      </c>
      <c r="ALC5" s="9">
        <f>ALB5*12</f>
        <v/>
      </c>
      <c r="ALD5" s="12">
        <f>AKW5*PriceEssMonthly*AKK5+AKX5*PricePremMonthly*AKK5</f>
        <v/>
      </c>
      <c r="ALE5" s="12">
        <f>AKU5*PriceEssAnnual*AKK5+AKV5*PricePremAnnual*AKK5</f>
        <v/>
      </c>
      <c r="ALF5" s="12">
        <f>0+0</f>
        <v/>
      </c>
      <c r="ALG5" s="9">
        <f>ALD5+ALE5+ALF5</f>
        <v/>
      </c>
      <c r="ALH5" s="12">
        <f>SUM(ALG$5:ALG5)</f>
        <v/>
      </c>
      <c r="ALI5" s="12">
        <f>ALH5&gt;=VATThreshold</f>
        <v/>
      </c>
      <c r="ALJ5" s="9">
        <f>IF(ALI5,ALG5/(1+VATRate),ALG5)</f>
        <v/>
      </c>
      <c r="ALK5" s="12">
        <f>ALG5-ALJ5</f>
        <v/>
      </c>
      <c r="ALL5" s="12">
        <f>IF(ALI5=0,0,IF(AKH5=1,SUMPRODUCT(--(($AKI$5:$AKI5=$AKI5-1)*($AKH$5:$AKH5&gt;=10)*($AKH$5:$AKH5&lt;=12)),$ALK$5:$ALK5),IF(AKH5=4,SUMPRODUCT(--(($AKI$5:$AKI5=$AKI5)*($AKH$5:$AKH5&gt;=1)*($AKH$5:$AKH5&lt;=3)),$ALK$5:$ALK5),IF(AKH5=7,SUMPRODUCT(--(($AKI$5:$AKI5=$AKI5)*($AKH$5:$AKH5&gt;=4)*($AKH$5:$AKH5&lt;=6)),$ALK$5:$ALK5),IF(AKH5=10,SUMPRODUCT(--(($AKI$5:$AKI5=$AKI5)*($AKH$5:$AKH5&gt;=7)*($AKH$5:$AKH5&lt;=9)),$ALK$5:$ALK5),0)))))</f>
        <v/>
      </c>
      <c r="ALM5" s="12">
        <f>ALK5-ALL5</f>
        <v/>
      </c>
      <c r="ALN5" s="12">
        <f>IF(ProviderDelay&gt;=1,0,ALJ5*ProviderShare)</f>
        <v/>
      </c>
      <c r="ALO5" s="12">
        <f>ALG5*PaymentFee</f>
        <v/>
      </c>
      <c r="ALP5" s="12">
        <f>ALA5*OpsAI</f>
        <v/>
      </c>
      <c r="ALQ5" s="12">
        <f>MonthlyFixed</f>
        <v/>
      </c>
      <c r="ALR5" s="12">
        <f>AKO5*ReferralReward</f>
        <v/>
      </c>
      <c r="ALS5" s="12">
        <f>AKM5</f>
        <v/>
      </c>
      <c r="ALT5" s="9">
        <f>ALJ5-ALN5-ALO5-ALP5-ALQ5-ALR5-ALS5</f>
        <v/>
      </c>
      <c r="ALU5" s="9">
        <f>InitialInvestment+ALG5-(ALN5+ALO5+ALP5+ALQ5+ALR5+ALS5+ALL5)</f>
        <v/>
      </c>
      <c r="ALV5" s="12">
        <f>IF(ALA5&gt;0,ALB5/ALA5,0)</f>
        <v/>
      </c>
      <c r="ALW5" s="11" t="n">
        <v>0</v>
      </c>
      <c r="ALY5" s="12" t="n">
        <v>1</v>
      </c>
      <c r="ALZ5" s="12">
        <f>MOD(ALY5-1+LaunchMonth-1,12)+1</f>
        <v/>
      </c>
      <c r="AMA5" s="12">
        <f>INT((ALY5-1+LaunchMonth-1)/12)+1</f>
        <v/>
      </c>
      <c r="AMB5" s="12">
        <f>VLOOKUP(ALZ5,SeasonTable,2,FALSE)</f>
        <v/>
      </c>
      <c r="AMC5" s="12">
        <f>(1+InflationRate)^INT((ALY5-1)/12)</f>
        <v/>
      </c>
      <c r="AMD5" s="11">
        <f>MonthlyChurn*VLOOKUP(ALZ5,ChurnSeasonTable,4,FALSE)</f>
        <v/>
      </c>
      <c r="AME5" s="12">
        <f>MktFixed1_3</f>
        <v/>
      </c>
      <c r="AMF5" s="12">
        <f>IF(AME5&gt;0,MAX(1,ROUND(AME5/'Sens - CAC &amp; Marketing'!$A$13*AMB5,0)),0)</f>
        <v/>
      </c>
      <c r="AMG5" s="12">
        <f>IF(AMF5&gt;0,ROUND(AMF5*ReferralMix/(1-ReferralMix),0),0)</f>
        <v/>
      </c>
      <c r="AMH5" s="12">
        <f>AMF5+AMG5</f>
        <v/>
      </c>
      <c r="AMI5" s="12">
        <f>ROUND(AMH5*(1-AnnualMix),0)</f>
        <v/>
      </c>
      <c r="AMJ5" s="12">
        <f>AMH5-AMI5</f>
        <v/>
      </c>
      <c r="AMK5" s="12">
        <f>ROUND(AMI5*EssentialMix,0)</f>
        <v/>
      </c>
      <c r="AML5" s="12">
        <f>AMI5-AMK5</f>
        <v/>
      </c>
      <c r="AMM5" s="12">
        <f>ROUND(AMJ5*EssentialMix,0)</f>
        <v/>
      </c>
      <c r="AMN5" s="12">
        <f>AMJ5-AMM5</f>
        <v/>
      </c>
      <c r="AMO5" s="12">
        <f>AMK5</f>
        <v/>
      </c>
      <c r="AMP5" s="12">
        <f>AML5</f>
        <v/>
      </c>
      <c r="AMQ5" s="12">
        <f>AMM5</f>
        <v/>
      </c>
      <c r="AMR5" s="12">
        <f>AMN5</f>
        <v/>
      </c>
      <c r="AMS5" s="12">
        <f>AMO5+AMP5+AMQ5+AMR5</f>
        <v/>
      </c>
      <c r="AMT5" s="9">
        <f>AMO5*PriceEssMonthly*AMC5+AMP5*PricePremMonthly*AMC5+AMQ5*PriceEssAnnual*AMC5/12+AMR5*PricePremAnnual*AMC5/12</f>
        <v/>
      </c>
      <c r="AMU5" s="9">
        <f>AMT5*12</f>
        <v/>
      </c>
      <c r="AMV5" s="12">
        <f>AMO5*PriceEssMonthly*AMC5+AMP5*PricePremMonthly*AMC5</f>
        <v/>
      </c>
      <c r="AMW5" s="12">
        <f>AMM5*PriceEssAnnual*AMC5+AMN5*PricePremAnnual*AMC5</f>
        <v/>
      </c>
      <c r="AMX5" s="12">
        <f>0+0</f>
        <v/>
      </c>
      <c r="AMY5" s="9">
        <f>AMV5+AMW5+AMX5</f>
        <v/>
      </c>
      <c r="AMZ5" s="12">
        <f>SUM(AMY$5:AMY5)</f>
        <v/>
      </c>
      <c r="ANA5" s="12">
        <f>AMZ5&gt;=VATThreshold</f>
        <v/>
      </c>
      <c r="ANB5" s="9">
        <f>IF(ANA5,AMY5/(1+VATRate),AMY5)</f>
        <v/>
      </c>
      <c r="ANC5" s="12">
        <f>AMY5-ANB5</f>
        <v/>
      </c>
      <c r="AND5" s="12">
        <f>IF(ANA5=0,0,IF(ALZ5=1,SUMPRODUCT(--(($AMA$5:$AMA5=$AMA5-1)*($ALZ$5:$ALZ5&gt;=10)*($ALZ$5:$ALZ5&lt;=12)),$ANC$5:$ANC5),IF(ALZ5=4,SUMPRODUCT(--(($AMA$5:$AMA5=$AMA5)*($ALZ$5:$ALZ5&gt;=1)*($ALZ$5:$ALZ5&lt;=3)),$ANC$5:$ANC5),IF(ALZ5=7,SUMPRODUCT(--(($AMA$5:$AMA5=$AMA5)*($ALZ$5:$ALZ5&gt;=4)*($ALZ$5:$ALZ5&lt;=6)),$ANC$5:$ANC5),IF(ALZ5=10,SUMPRODUCT(--(($AMA$5:$AMA5=$AMA5)*($ALZ$5:$ALZ5&gt;=7)*($ALZ$5:$ALZ5&lt;=9)),$ANC$5:$ANC5),0)))))</f>
        <v/>
      </c>
      <c r="ANE5" s="12">
        <f>ANC5-AND5</f>
        <v/>
      </c>
      <c r="ANF5" s="12">
        <f>IF(ProviderDelay&gt;=1,0,ANB5*ProviderShare)</f>
        <v/>
      </c>
      <c r="ANG5" s="12">
        <f>AMY5*PaymentFee</f>
        <v/>
      </c>
      <c r="ANH5" s="12">
        <f>AMS5*OpsAI</f>
        <v/>
      </c>
      <c r="ANI5" s="12">
        <f>MonthlyFixed</f>
        <v/>
      </c>
      <c r="ANJ5" s="12">
        <f>AMG5*ReferralReward</f>
        <v/>
      </c>
      <c r="ANK5" s="12">
        <f>AME5</f>
        <v/>
      </c>
      <c r="ANL5" s="9">
        <f>ANB5-ANF5-ANG5-ANH5-ANI5-ANJ5-ANK5</f>
        <v/>
      </c>
      <c r="ANM5" s="9">
        <f>InitialInvestment+AMY5-(ANF5+ANG5+ANH5+ANI5+ANJ5+ANK5+AND5)</f>
        <v/>
      </c>
      <c r="ANN5" s="12">
        <f>IF(AMS5&gt;0,AMT5/AMS5,0)</f>
        <v/>
      </c>
      <c r="ANO5" s="11" t="n">
        <v>0</v>
      </c>
      <c r="ANQ5" s="12" t="n">
        <v>1</v>
      </c>
      <c r="ANR5" s="12">
        <f>MOD(ANQ5-1+LaunchMonth-1,12)+1</f>
        <v/>
      </c>
      <c r="ANS5" s="12">
        <f>INT((ANQ5-1+LaunchMonth-1)/12)+1</f>
        <v/>
      </c>
      <c r="ANT5" s="12">
        <f>VLOOKUP(ANR5,SeasonTable,2,FALSE)</f>
        <v/>
      </c>
      <c r="ANU5" s="12">
        <f>(1+InflationRate)^INT((ANQ5-1)/12)</f>
        <v/>
      </c>
      <c r="ANV5" s="11">
        <f>MonthlyChurn*VLOOKUP(ANR5,ChurnSeasonTable,4,FALSE)</f>
        <v/>
      </c>
      <c r="ANW5" s="12">
        <f>MktFixed1_3</f>
        <v/>
      </c>
      <c r="ANX5" s="12">
        <f>IF(ANW5&gt;0,MAX(1,ROUND(ANW5/'Sens - CAC &amp; Marketing'!$A$14*ANT5,0)),0)</f>
        <v/>
      </c>
      <c r="ANY5" s="12">
        <f>IF(ANX5&gt;0,ROUND(ANX5*ReferralMix/(1-ReferralMix),0),0)</f>
        <v/>
      </c>
      <c r="ANZ5" s="12">
        <f>ANX5+ANY5</f>
        <v/>
      </c>
      <c r="AOA5" s="12">
        <f>ROUND(ANZ5*(1-AnnualMix),0)</f>
        <v/>
      </c>
      <c r="AOB5" s="12">
        <f>ANZ5-AOA5</f>
        <v/>
      </c>
      <c r="AOC5" s="12">
        <f>ROUND(AOA5*EssentialMix,0)</f>
        <v/>
      </c>
      <c r="AOD5" s="12">
        <f>AOA5-AOC5</f>
        <v/>
      </c>
      <c r="AOE5" s="12">
        <f>ROUND(AOB5*EssentialMix,0)</f>
        <v/>
      </c>
      <c r="AOF5" s="12">
        <f>AOB5-AOE5</f>
        <v/>
      </c>
      <c r="AOG5" s="12">
        <f>AOC5</f>
        <v/>
      </c>
      <c r="AOH5" s="12">
        <f>AOD5</f>
        <v/>
      </c>
      <c r="AOI5" s="12">
        <f>AOE5</f>
        <v/>
      </c>
      <c r="AOJ5" s="12">
        <f>AOF5</f>
        <v/>
      </c>
      <c r="AOK5" s="12">
        <f>AOG5+AOH5+AOI5+AOJ5</f>
        <v/>
      </c>
      <c r="AOL5" s="9">
        <f>AOG5*PriceEssMonthly*ANU5+AOH5*PricePremMonthly*ANU5+AOI5*PriceEssAnnual*ANU5/12+AOJ5*PricePremAnnual*ANU5/12</f>
        <v/>
      </c>
      <c r="AOM5" s="9">
        <f>AOL5*12</f>
        <v/>
      </c>
      <c r="AON5" s="12">
        <f>AOG5*PriceEssMonthly*ANU5+AOH5*PricePremMonthly*ANU5</f>
        <v/>
      </c>
      <c r="AOO5" s="12">
        <f>AOE5*PriceEssAnnual*ANU5+AOF5*PricePremAnnual*ANU5</f>
        <v/>
      </c>
      <c r="AOP5" s="12">
        <f>0+0</f>
        <v/>
      </c>
      <c r="AOQ5" s="9">
        <f>AON5+AOO5+AOP5</f>
        <v/>
      </c>
      <c r="AOR5" s="12">
        <f>SUM(AOQ$5:AOQ5)</f>
        <v/>
      </c>
      <c r="AOS5" s="12">
        <f>AOR5&gt;=VATThreshold</f>
        <v/>
      </c>
      <c r="AOT5" s="9">
        <f>IF(AOS5,AOQ5/(1+VATRate),AOQ5)</f>
        <v/>
      </c>
      <c r="AOU5" s="12">
        <f>AOQ5-AOT5</f>
        <v/>
      </c>
      <c r="AOV5" s="12">
        <f>IF(AOS5=0,0,IF(ANR5=1,SUMPRODUCT(--(($ANS$5:$ANS5=$ANS5-1)*($ANR$5:$ANR5&gt;=10)*($ANR$5:$ANR5&lt;=12)),$AOU$5:$AOU5),IF(ANR5=4,SUMPRODUCT(--(($ANS$5:$ANS5=$ANS5)*($ANR$5:$ANR5&gt;=1)*($ANR$5:$ANR5&lt;=3)),$AOU$5:$AOU5),IF(ANR5=7,SUMPRODUCT(--(($ANS$5:$ANS5=$ANS5)*($ANR$5:$ANR5&gt;=4)*($ANR$5:$ANR5&lt;=6)),$AOU$5:$AOU5),IF(ANR5=10,SUMPRODUCT(--(($ANS$5:$ANS5=$ANS5)*($ANR$5:$ANR5&gt;=7)*($ANR$5:$ANR5&lt;=9)),$AOU$5:$AOU5),0)))))</f>
        <v/>
      </c>
      <c r="AOW5" s="12">
        <f>AOU5-AOV5</f>
        <v/>
      </c>
      <c r="AOX5" s="12">
        <f>IF(ProviderDelay&gt;=1,0,AOT5*ProviderShare)</f>
        <v/>
      </c>
      <c r="AOY5" s="12">
        <f>AOQ5*PaymentFee</f>
        <v/>
      </c>
      <c r="AOZ5" s="12">
        <f>AOK5*OpsAI</f>
        <v/>
      </c>
      <c r="APA5" s="12">
        <f>MonthlyFixed</f>
        <v/>
      </c>
      <c r="APB5" s="12">
        <f>ANY5*ReferralReward</f>
        <v/>
      </c>
      <c r="APC5" s="12">
        <f>ANW5</f>
        <v/>
      </c>
      <c r="APD5" s="9">
        <f>AOT5-AOX5-AOY5-AOZ5-APA5-APB5-APC5</f>
        <v/>
      </c>
      <c r="APE5" s="9">
        <f>InitialInvestment+AOQ5-(AOX5+AOY5+AOZ5+APA5+APB5+APC5+AOV5)</f>
        <v/>
      </c>
      <c r="APF5" s="12">
        <f>IF(AOK5&gt;0,AOL5/AOK5,0)</f>
        <v/>
      </c>
      <c r="APG5" s="11" t="n">
        <v>0</v>
      </c>
      <c r="API5" s="12" t="n">
        <v>1</v>
      </c>
      <c r="APJ5" s="12">
        <f>MOD(API5-1+LaunchMonth-1,12)+1</f>
        <v/>
      </c>
      <c r="APK5" s="12">
        <f>INT((API5-1+LaunchMonth-1)/12)+1</f>
        <v/>
      </c>
      <c r="APL5" s="12">
        <f>VLOOKUP(APJ5,SeasonTable,2,FALSE)</f>
        <v/>
      </c>
      <c r="APM5" s="12">
        <f>(1+InflationRate)^INT((API5-1)/12)</f>
        <v/>
      </c>
      <c r="APN5" s="11">
        <f>MonthlyChurn*VLOOKUP(APJ5,ChurnSeasonTable,4,FALSE)</f>
        <v/>
      </c>
      <c r="APO5" s="12">
        <f>MktFixed1_3</f>
        <v/>
      </c>
      <c r="APP5" s="12">
        <f>IF(APO5&gt;0,MAX(1,ROUND(APO5/'Sens - CAC &amp; Marketing'!$A$15*APL5,0)),0)</f>
        <v/>
      </c>
      <c r="APQ5" s="12">
        <f>IF(APP5&gt;0,ROUND(APP5*ReferralMix/(1-ReferralMix),0),0)</f>
        <v/>
      </c>
      <c r="APR5" s="12">
        <f>APP5+APQ5</f>
        <v/>
      </c>
      <c r="APS5" s="12">
        <f>ROUND(APR5*(1-AnnualMix),0)</f>
        <v/>
      </c>
      <c r="APT5" s="12">
        <f>APR5-APS5</f>
        <v/>
      </c>
      <c r="APU5" s="12">
        <f>ROUND(APS5*EssentialMix,0)</f>
        <v/>
      </c>
      <c r="APV5" s="12">
        <f>APS5-APU5</f>
        <v/>
      </c>
      <c r="APW5" s="12">
        <f>ROUND(APT5*EssentialMix,0)</f>
        <v/>
      </c>
      <c r="APX5" s="12">
        <f>APT5-APW5</f>
        <v/>
      </c>
      <c r="APY5" s="12">
        <f>APU5</f>
        <v/>
      </c>
      <c r="APZ5" s="12">
        <f>APV5</f>
        <v/>
      </c>
      <c r="AQA5" s="12">
        <f>APW5</f>
        <v/>
      </c>
      <c r="AQB5" s="12">
        <f>APX5</f>
        <v/>
      </c>
      <c r="AQC5" s="12">
        <f>APY5+APZ5+AQA5+AQB5</f>
        <v/>
      </c>
      <c r="AQD5" s="9">
        <f>APY5*PriceEssMonthly*APM5+APZ5*PricePremMonthly*APM5+AQA5*PriceEssAnnual*APM5/12+AQB5*PricePremAnnual*APM5/12</f>
        <v/>
      </c>
      <c r="AQE5" s="9">
        <f>AQD5*12</f>
        <v/>
      </c>
      <c r="AQF5" s="12">
        <f>APY5*PriceEssMonthly*APM5+APZ5*PricePremMonthly*APM5</f>
        <v/>
      </c>
      <c r="AQG5" s="12">
        <f>APW5*PriceEssAnnual*APM5+APX5*PricePremAnnual*APM5</f>
        <v/>
      </c>
      <c r="AQH5" s="12">
        <f>0+0</f>
        <v/>
      </c>
      <c r="AQI5" s="9">
        <f>AQF5+AQG5+AQH5</f>
        <v/>
      </c>
      <c r="AQJ5" s="12">
        <f>SUM(AQI$5:AQI5)</f>
        <v/>
      </c>
      <c r="AQK5" s="12">
        <f>AQJ5&gt;=VATThreshold</f>
        <v/>
      </c>
      <c r="AQL5" s="9">
        <f>IF(AQK5,AQI5/(1+VATRate),AQI5)</f>
        <v/>
      </c>
      <c r="AQM5" s="12">
        <f>AQI5-AQL5</f>
        <v/>
      </c>
      <c r="AQN5" s="12">
        <f>IF(AQK5=0,0,IF(APJ5=1,SUMPRODUCT(--(($APK$5:$APK5=$APK5-1)*($APJ$5:$APJ5&gt;=10)*($APJ$5:$APJ5&lt;=12)),$AQM$5:$AQM5),IF(APJ5=4,SUMPRODUCT(--(($APK$5:$APK5=$APK5)*($APJ$5:$APJ5&gt;=1)*($APJ$5:$APJ5&lt;=3)),$AQM$5:$AQM5),IF(APJ5=7,SUMPRODUCT(--(($APK$5:$APK5=$APK5)*($APJ$5:$APJ5&gt;=4)*($APJ$5:$APJ5&lt;=6)),$AQM$5:$AQM5),IF(APJ5=10,SUMPRODUCT(--(($APK$5:$APK5=$APK5)*($APJ$5:$APJ5&gt;=7)*($APJ$5:$APJ5&lt;=9)),$AQM$5:$AQM5),0)))))</f>
        <v/>
      </c>
      <c r="AQO5" s="12">
        <f>AQM5-AQN5</f>
        <v/>
      </c>
      <c r="AQP5" s="12">
        <f>IF(ProviderDelay&gt;=1,0,AQL5*ProviderShare)</f>
        <v/>
      </c>
      <c r="AQQ5" s="12">
        <f>AQI5*PaymentFee</f>
        <v/>
      </c>
      <c r="AQR5" s="12">
        <f>AQC5*OpsAI</f>
        <v/>
      </c>
      <c r="AQS5" s="12">
        <f>MonthlyFixed</f>
        <v/>
      </c>
      <c r="AQT5" s="12">
        <f>APQ5*ReferralReward</f>
        <v/>
      </c>
      <c r="AQU5" s="12">
        <f>APO5</f>
        <v/>
      </c>
      <c r="AQV5" s="9">
        <f>AQL5-AQP5-AQQ5-AQR5-AQS5-AQT5-AQU5</f>
        <v/>
      </c>
      <c r="AQW5" s="9">
        <f>InitialInvestment+AQI5-(AQP5+AQQ5+AQR5+AQS5+AQT5+AQU5+AQN5)</f>
        <v/>
      </c>
      <c r="AQX5" s="12">
        <f>IF(AQC5&gt;0,AQD5/AQC5,0)</f>
        <v/>
      </c>
      <c r="AQY5" s="11" t="n">
        <v>0</v>
      </c>
      <c r="ARA5" s="12" t="n">
        <v>1</v>
      </c>
      <c r="ARB5" s="12">
        <f>MOD(ARA5-1+LaunchMonth-1,12)+1</f>
        <v/>
      </c>
      <c r="ARC5" s="12">
        <f>INT((ARA5-1+LaunchMonth-1)/12)+1</f>
        <v/>
      </c>
      <c r="ARD5" s="12">
        <f>VLOOKUP(ARB5,WinterPivotSeasonTable,5,FALSE)</f>
        <v/>
      </c>
      <c r="ARE5" s="12">
        <f>(1+InflationRate)^INT((ARA5-1)/12)</f>
        <v/>
      </c>
      <c r="ARF5" s="11">
        <f>MonthlyChurn*VLOOKUP(ARB5,WinterPivotChurnTable,6,FALSE)</f>
        <v/>
      </c>
      <c r="ARG5" s="12">
        <f>MktFixed1_3</f>
        <v/>
      </c>
      <c r="ARH5" s="12">
        <f>IF(ARG5&gt;0,MAX(1,ROUND(ARG5/CAC*ARD5,0)),0)</f>
        <v/>
      </c>
      <c r="ARI5" s="12">
        <f>IF(ARH5&gt;0,ROUND(ARH5*ReferralMix/(1-ReferralMix),0),0)</f>
        <v/>
      </c>
      <c r="ARJ5" s="12">
        <f>ARH5+ARI5</f>
        <v/>
      </c>
      <c r="ARK5" s="12">
        <f>ROUND(ARJ5*(1-AnnualMix),0)</f>
        <v/>
      </c>
      <c r="ARL5" s="12">
        <f>ARJ5-ARK5</f>
        <v/>
      </c>
      <c r="ARM5" s="12">
        <f>ROUND(ARK5*'Sens - Winter Pivot'!$B$6,0)</f>
        <v/>
      </c>
      <c r="ARN5" s="12">
        <f>ARK5-ARM5</f>
        <v/>
      </c>
      <c r="ARO5" s="12">
        <f>ROUND(ARL5*'Sens - Winter Pivot'!$B$6,0)</f>
        <v/>
      </c>
      <c r="ARP5" s="12">
        <f>ARL5-ARO5</f>
        <v/>
      </c>
      <c r="ARQ5" s="12">
        <f>ARM5</f>
        <v/>
      </c>
      <c r="ARR5" s="12">
        <f>ARN5</f>
        <v/>
      </c>
      <c r="ARS5" s="12">
        <f>ARO5</f>
        <v/>
      </c>
      <c r="ART5" s="12">
        <f>ARP5</f>
        <v/>
      </c>
      <c r="ARU5" s="12">
        <f>ARQ5+ARR5+ARS5+ART5</f>
        <v/>
      </c>
      <c r="ARV5" s="9">
        <f>ARQ5*PriceEssMonthly*ARE5+ARR5*(PricePremMonthly+'Sens - Winter Pivot'!$B$7)*ARE5+ARS5*PriceEssAnnual*ARE5/12+ART5*(PricePremAnnual+'Sens - Winter Pivot'!$B$7*12)*ARE5/12</f>
        <v/>
      </c>
      <c r="ARW5" s="9">
        <f>ARV5*12</f>
        <v/>
      </c>
      <c r="ARX5" s="12">
        <f>ARQ5*PriceEssMonthly*ARE5+ARR5*(PricePremMonthly+'Sens - Winter Pivot'!$B$7)*ARE5</f>
        <v/>
      </c>
      <c r="ARY5" s="12">
        <f>ARO5*PriceEssAnnual*ARE5+ARP5*(PricePremAnnual+'Sens - Winter Pivot'!$B$7*12)*ARE5</f>
        <v/>
      </c>
      <c r="ARZ5" s="12">
        <f>0+0</f>
        <v/>
      </c>
      <c r="ASA5" s="9">
        <f>ARX5+ARY5+ARZ5</f>
        <v/>
      </c>
      <c r="ASB5" s="12">
        <f>SUM(ASA$5:ASA5)</f>
        <v/>
      </c>
      <c r="ASC5" s="12">
        <f>ASB5&gt;=VATThreshold</f>
        <v/>
      </c>
      <c r="ASD5" s="9">
        <f>IF(ASC5,ASA5/(1+VATRate),ASA5)</f>
        <v/>
      </c>
      <c r="ASE5" s="12">
        <f>ASA5-ASD5</f>
        <v/>
      </c>
      <c r="ASF5" s="12">
        <f>IF(ASC5=0,0,IF(ARB5=1,SUMPRODUCT(--(($ARC$5:$ARC5=$ARC5-1)*($ARB$5:$ARB5&gt;=10)*($ARB$5:$ARB5&lt;=12)),$ASE$5:$ASE5),IF(ARB5=4,SUMPRODUCT(--(($ARC$5:$ARC5=$ARC5)*($ARB$5:$ARB5&gt;=1)*($ARB$5:$ARB5&lt;=3)),$ASE$5:$ASE5),IF(ARB5=7,SUMPRODUCT(--(($ARC$5:$ARC5=$ARC5)*($ARB$5:$ARB5&gt;=4)*($ARB$5:$ARB5&lt;=6)),$ASE$5:$ASE5),IF(ARB5=10,SUMPRODUCT(--(($ARC$5:$ARC5=$ARC5)*($ARB$5:$ARB5&gt;=7)*($ARB$5:$ARB5&lt;=9)),$ASE$5:$ASE5),0)))))</f>
        <v/>
      </c>
      <c r="ASG5" s="12">
        <f>ASE5-ASF5</f>
        <v/>
      </c>
      <c r="ASH5" s="12">
        <f>IF(ProviderDelay&gt;=1,0,ASD5*ProviderShare)</f>
        <v/>
      </c>
      <c r="ASI5" s="12">
        <f>ASA5*PaymentFee</f>
        <v/>
      </c>
      <c r="ASJ5" s="12">
        <f>ARU5*OpsAI</f>
        <v/>
      </c>
      <c r="ASK5" s="12">
        <f>MonthlyFixed</f>
        <v/>
      </c>
      <c r="ASL5" s="12">
        <f>ARI5*ReferralReward</f>
        <v/>
      </c>
      <c r="ASM5" s="12">
        <f>ARG5</f>
        <v/>
      </c>
      <c r="ASN5" s="9">
        <f>ASD5-ASH5-ASI5-ASJ5-ASK5-ASL5-ASM5</f>
        <v/>
      </c>
      <c r="ASO5" s="9">
        <f>InitialInvestment+ASA5-(ASH5+ASI5+ASJ5+ASK5+ASL5+ASM5+ASF5)</f>
        <v/>
      </c>
      <c r="ASP5" s="12">
        <f>IF(ARU5&gt;0,ARV5/ARU5,0)</f>
        <v/>
      </c>
      <c r="ASQ5" s="11" t="n">
        <v>0</v>
      </c>
    </row>
    <row r="6">
      <c r="A6" s="12" t="n">
        <v>2</v>
      </c>
      <c r="B6" s="12">
        <f>MOD(A6-1+LaunchMonth-1,12)+1</f>
        <v/>
      </c>
      <c r="C6" s="12">
        <f>INT((A6-1+LaunchMonth-1)/12)+1</f>
        <v/>
      </c>
      <c r="D6" s="12">
        <f>VLOOKUP(B6,SeasonTable,2,FALSE)</f>
        <v/>
      </c>
      <c r="E6" s="12">
        <f>(1+InflationRate)^INT((A6-1)/12)</f>
        <v/>
      </c>
      <c r="F6" s="11">
        <f>'Sens - Scenarios'!$B$5*VLOOKUP(B6,ChurnSeasonTable,4,FALSE)</f>
        <v/>
      </c>
      <c r="G6" s="12">
        <f>MktFixed1_3</f>
        <v/>
      </c>
      <c r="H6" s="12">
        <f>IF(G6&gt;0,MAX(1,ROUND(G6/'Sens - Scenarios'!$B$8*D6,0)),0)</f>
        <v/>
      </c>
      <c r="I6" s="12">
        <f>IF(H6&gt;0,ROUND(H6*ReferralMix/(1-ReferralMix),0),0)</f>
        <v/>
      </c>
      <c r="J6" s="12">
        <f>H6+I6</f>
        <v/>
      </c>
      <c r="K6" s="12">
        <f>ROUND(J6*(1-'Sens - Scenarios'!$B$7),0)</f>
        <v/>
      </c>
      <c r="L6" s="12">
        <f>J6-K6</f>
        <v/>
      </c>
      <c r="M6" s="12">
        <f>ROUND(K6*EssentialMix,0)</f>
        <v/>
      </c>
      <c r="N6" s="12">
        <f>K6-M6</f>
        <v/>
      </c>
      <c r="O6" s="12">
        <f>ROUND(L6*EssentialMix,0)</f>
        <v/>
      </c>
      <c r="P6" s="12">
        <f>L6-O6</f>
        <v/>
      </c>
      <c r="Q6" s="12">
        <f>M6+M5</f>
        <v/>
      </c>
      <c r="R6" s="12">
        <f>N6+N5</f>
        <v/>
      </c>
      <c r="S6" s="12">
        <f>SUM(O$5:O6)</f>
        <v/>
      </c>
      <c r="T6" s="12">
        <f>SUM(P$5:P6)</f>
        <v/>
      </c>
      <c r="U6" s="12">
        <f>Q6+R6+S6+T6</f>
        <v/>
      </c>
      <c r="V6" s="9">
        <f>Q6*PriceEssMonthly*E6+R6*PricePremMonthly*E6+S6*PriceEssAnnual*E6/12+T6*PricePremAnnual*E6/12</f>
        <v/>
      </c>
      <c r="W6" s="9">
        <f>V6*12</f>
        <v/>
      </c>
      <c r="X6" s="12">
        <f>Q6*PriceEssMonthly*E6+R6*PricePremMonthly*E6</f>
        <v/>
      </c>
      <c r="Y6" s="12">
        <f>O6*PriceEssAnnual*E6+P6*PricePremAnnual*E6</f>
        <v/>
      </c>
      <c r="Z6" s="12">
        <f>0+0</f>
        <v/>
      </c>
      <c r="AA6" s="9">
        <f>X6+Y6+Z6</f>
        <v/>
      </c>
      <c r="AB6" s="12">
        <f>SUM(AA$5:AA6)</f>
        <v/>
      </c>
      <c r="AC6" s="12">
        <f>OR(AC5,AB6&gt;=VATThreshold)</f>
        <v/>
      </c>
      <c r="AD6" s="9">
        <f>IF(AC6,AA6/(1+VATRate),AA6)</f>
        <v/>
      </c>
      <c r="AE6" s="12">
        <f>AA6-AD6</f>
        <v/>
      </c>
      <c r="AF6" s="12">
        <f>IF(AC6=0,0,IF(B6=1,SUMPRODUCT(--(($C$5:$C6=$C6-1)*($B$5:$B6&gt;=10)*($B$5:$B6&lt;=12)),$AE$5:$AE6),IF(B6=4,SUMPRODUCT(--(($C$5:$C6=$C6)*($B$5:$B6&gt;=1)*($B$5:$B6&lt;=3)),$AE$5:$AE6),IF(B6=7,SUMPRODUCT(--(($C$5:$C6=$C6)*($B$5:$B6&gt;=4)*($B$5:$B6&lt;=6)),$AE$5:$AE6),IF(B6=10,SUMPRODUCT(--(($C$5:$C6=$C6)*($B$5:$B6&gt;=7)*($B$5:$B6&lt;=9)),$AE$5:$AE6),0)))))</f>
        <v/>
      </c>
      <c r="AG6" s="12">
        <f>AG5+AE6-AF6</f>
        <v/>
      </c>
      <c r="AH6" s="12">
        <f>IF(ProviderDelay&gt;=1,AD5*ProviderShare,AD6*ProviderShare)</f>
        <v/>
      </c>
      <c r="AI6" s="12">
        <f>AA6*PaymentFee</f>
        <v/>
      </c>
      <c r="AJ6" s="12">
        <f>U6*OpsAI</f>
        <v/>
      </c>
      <c r="AK6" s="12">
        <f>MonthlyFixed</f>
        <v/>
      </c>
      <c r="AL6" s="12">
        <f>I6*ReferralReward</f>
        <v/>
      </c>
      <c r="AM6" s="12">
        <f>G6</f>
        <v/>
      </c>
      <c r="AN6" s="9">
        <f>AD6-AH6-AI6-AJ6-AK6-AL6-AM6</f>
        <v/>
      </c>
      <c r="AO6" s="9">
        <f>AO5+AA6-(AH6+AI6+AJ6+AK6+AL6+AM6+AF6)</f>
        <v/>
      </c>
      <c r="AP6" s="12">
        <f>IF(U6&gt;0,V6/U6,0)</f>
        <v/>
      </c>
      <c r="AQ6" s="11">
        <f>IF(U5&gt;0,MAX(0,(U5+J6-U6)/U5),0)</f>
        <v/>
      </c>
      <c r="AS6" s="12" t="n">
        <v>2</v>
      </c>
      <c r="AT6" s="12">
        <f>MOD(AS6-1+LaunchMonth-1,12)+1</f>
        <v/>
      </c>
      <c r="AU6" s="12">
        <f>INT((AS6-1+LaunchMonth-1)/12)+1</f>
        <v/>
      </c>
      <c r="AV6" s="12">
        <f>VLOOKUP(AT6,SeasonTable,2,FALSE)</f>
        <v/>
      </c>
      <c r="AW6" s="12">
        <f>(1+InflationRate)^INT((AS6-1)/12)</f>
        <v/>
      </c>
      <c r="AX6" s="11">
        <f>MonthlyChurn*VLOOKUP(AT6,ChurnSeasonTable,4,FALSE)</f>
        <v/>
      </c>
      <c r="AY6" s="12">
        <f>MktFixed1_3</f>
        <v/>
      </c>
      <c r="AZ6" s="12">
        <f>IF(AY6&gt;0,MAX(1,ROUND(AY6/CAC*AV6,0)),0)</f>
        <v/>
      </c>
      <c r="BA6" s="12">
        <f>IF(AZ6&gt;0,ROUND(AZ6*ReferralMix/(1-ReferralMix),0),0)</f>
        <v/>
      </c>
      <c r="BB6" s="12">
        <f>AZ6+BA6</f>
        <v/>
      </c>
      <c r="BC6" s="12">
        <f>ROUND(BB6*(1-AnnualMix),0)</f>
        <v/>
      </c>
      <c r="BD6" s="12">
        <f>BB6-BC6</f>
        <v/>
      </c>
      <c r="BE6" s="12">
        <f>ROUND(BC6*EssentialMix,0)</f>
        <v/>
      </c>
      <c r="BF6" s="12">
        <f>BC6-BE6</f>
        <v/>
      </c>
      <c r="BG6" s="12">
        <f>ROUND(BD6*EssentialMix,0)</f>
        <v/>
      </c>
      <c r="BH6" s="12">
        <f>BD6-BG6</f>
        <v/>
      </c>
      <c r="BI6" s="12">
        <f>BE6+BE5</f>
        <v/>
      </c>
      <c r="BJ6" s="12">
        <f>BF6+BF5</f>
        <v/>
      </c>
      <c r="BK6" s="12">
        <f>SUM(BG$5:BG6)</f>
        <v/>
      </c>
      <c r="BL6" s="12">
        <f>SUM(BH$5:BH6)</f>
        <v/>
      </c>
      <c r="BM6" s="12">
        <f>BI6+BJ6+BK6+BL6</f>
        <v/>
      </c>
      <c r="BN6" s="9">
        <f>BI6*PriceEssMonthly*AW6+BJ6*PricePremMonthly*AW6+BK6*PriceEssAnnual*AW6/12+BL6*PricePremAnnual*AW6/12</f>
        <v/>
      </c>
      <c r="BO6" s="9">
        <f>BN6*12</f>
        <v/>
      </c>
      <c r="BP6" s="12">
        <f>BI6*PriceEssMonthly*AW6+BJ6*PricePremMonthly*AW6</f>
        <v/>
      </c>
      <c r="BQ6" s="12">
        <f>BG6*PriceEssAnnual*AW6+BH6*PricePremAnnual*AW6</f>
        <v/>
      </c>
      <c r="BR6" s="12">
        <f>0+0</f>
        <v/>
      </c>
      <c r="BS6" s="9">
        <f>BP6+BQ6+BR6</f>
        <v/>
      </c>
      <c r="BT6" s="12">
        <f>SUM(BS$5:BS6)</f>
        <v/>
      </c>
      <c r="BU6" s="12">
        <f>OR(BU5,BT6&gt;=VATThreshold)</f>
        <v/>
      </c>
      <c r="BV6" s="9">
        <f>IF(BU6,BS6/(1+VATRate),BS6)</f>
        <v/>
      </c>
      <c r="BW6" s="12">
        <f>BS6-BV6</f>
        <v/>
      </c>
      <c r="BX6" s="12">
        <f>IF(BU6=0,0,IF(AT6=1,SUMPRODUCT(--(($AU$5:$AU6=$AU6-1)*($AT$5:$AT6&gt;=10)*($AT$5:$AT6&lt;=12)),$BW$5:$BW6),IF(AT6=4,SUMPRODUCT(--(($AU$5:$AU6=$AU6)*($AT$5:$AT6&gt;=1)*($AT$5:$AT6&lt;=3)),$BW$5:$BW6),IF(AT6=7,SUMPRODUCT(--(($AU$5:$AU6=$AU6)*($AT$5:$AT6&gt;=4)*($AT$5:$AT6&lt;=6)),$BW$5:$BW6),IF(AT6=10,SUMPRODUCT(--(($AU$5:$AU6=$AU6)*($AT$5:$AT6&gt;=7)*($AT$5:$AT6&lt;=9)),$BW$5:$BW6),0)))))</f>
        <v/>
      </c>
      <c r="BY6" s="12">
        <f>BY5+BW6-BX6</f>
        <v/>
      </c>
      <c r="BZ6" s="12">
        <f>IF(ProviderDelay&gt;=1,BV5*ProviderShare,BV6*ProviderShare)</f>
        <v/>
      </c>
      <c r="CA6" s="12">
        <f>BS6*PaymentFee</f>
        <v/>
      </c>
      <c r="CB6" s="12">
        <f>BM6*OpsAI</f>
        <v/>
      </c>
      <c r="CC6" s="12">
        <f>MonthlyFixed</f>
        <v/>
      </c>
      <c r="CD6" s="12">
        <f>BA6*ReferralReward</f>
        <v/>
      </c>
      <c r="CE6" s="12">
        <f>AY6</f>
        <v/>
      </c>
      <c r="CF6" s="9">
        <f>BV6-BZ6-CA6-CB6-CC6-CD6-CE6</f>
        <v/>
      </c>
      <c r="CG6" s="9">
        <f>CG5+BS6-(BZ6+CA6+CB6+CC6+CD6+CE6+BX6)</f>
        <v/>
      </c>
      <c r="CH6" s="12">
        <f>IF(BM6&gt;0,BN6/BM6,0)</f>
        <v/>
      </c>
      <c r="CI6" s="11">
        <f>IF(BM5&gt;0,MAX(0,(BM5+BB6-BM6)/BM5),0)</f>
        <v/>
      </c>
      <c r="CK6" s="12" t="n">
        <v>2</v>
      </c>
      <c r="CL6" s="12">
        <f>MOD(CK6-1+LaunchMonth-1,12)+1</f>
        <v/>
      </c>
      <c r="CM6" s="12">
        <f>INT((CK6-1+LaunchMonth-1)/12)+1</f>
        <v/>
      </c>
      <c r="CN6" s="12">
        <f>VLOOKUP(CL6,SeasonTable,2,FALSE)</f>
        <v/>
      </c>
      <c r="CO6" s="12">
        <f>(1+InflationRate)^INT((CK6-1)/12)</f>
        <v/>
      </c>
      <c r="CP6" s="11">
        <f>'Sens - Scenarios'!$D$5*VLOOKUP(CL6,ChurnSeasonTable,4,FALSE)</f>
        <v/>
      </c>
      <c r="CQ6" s="12">
        <f>MktFixed1_3</f>
        <v/>
      </c>
      <c r="CR6" s="12">
        <f>IF(CQ6&gt;0,MAX(1,ROUND(CQ6/'Sens - Scenarios'!$D$8*CN6,0)),0)</f>
        <v/>
      </c>
      <c r="CS6" s="12">
        <f>IF(CR6&gt;0,ROUND(CR6*ReferralMix/(1-ReferralMix),0),0)</f>
        <v/>
      </c>
      <c r="CT6" s="12">
        <f>CR6+CS6</f>
        <v/>
      </c>
      <c r="CU6" s="12">
        <f>ROUND(CT6*(1-'Sens - Scenarios'!$D$7),0)</f>
        <v/>
      </c>
      <c r="CV6" s="12">
        <f>CT6-CU6</f>
        <v/>
      </c>
      <c r="CW6" s="12">
        <f>ROUND(CU6*EssentialMix,0)</f>
        <v/>
      </c>
      <c r="CX6" s="12">
        <f>CU6-CW6</f>
        <v/>
      </c>
      <c r="CY6" s="12">
        <f>ROUND(CV6*EssentialMix,0)</f>
        <v/>
      </c>
      <c r="CZ6" s="12">
        <f>CV6-CY6</f>
        <v/>
      </c>
      <c r="DA6" s="12">
        <f>CW6+CW5</f>
        <v/>
      </c>
      <c r="DB6" s="12">
        <f>CX6+CX5</f>
        <v/>
      </c>
      <c r="DC6" s="12">
        <f>SUM(CY$5:CY6)</f>
        <v/>
      </c>
      <c r="DD6" s="12">
        <f>SUM(CZ$5:CZ6)</f>
        <v/>
      </c>
      <c r="DE6" s="12">
        <f>DA6+DB6+DC6+DD6</f>
        <v/>
      </c>
      <c r="DF6" s="9">
        <f>DA6*PriceEssMonthly*CO6+DB6*PricePremMonthly*CO6+DC6*PriceEssAnnual*CO6/12+DD6*PricePremAnnual*CO6/12</f>
        <v/>
      </c>
      <c r="DG6" s="9">
        <f>DF6*12</f>
        <v/>
      </c>
      <c r="DH6" s="12">
        <f>DA6*PriceEssMonthly*CO6+DB6*PricePremMonthly*CO6</f>
        <v/>
      </c>
      <c r="DI6" s="12">
        <f>CY6*PriceEssAnnual*CO6+CZ6*PricePremAnnual*CO6</f>
        <v/>
      </c>
      <c r="DJ6" s="12">
        <f>0+0</f>
        <v/>
      </c>
      <c r="DK6" s="9">
        <f>DH6+DI6+DJ6</f>
        <v/>
      </c>
      <c r="DL6" s="12">
        <f>SUM(DK$5:DK6)</f>
        <v/>
      </c>
      <c r="DM6" s="12">
        <f>OR(DM5,DL6&gt;=VATThreshold)</f>
        <v/>
      </c>
      <c r="DN6" s="9">
        <f>IF(DM6,DK6/(1+VATRate),DK6)</f>
        <v/>
      </c>
      <c r="DO6" s="12">
        <f>DK6-DN6</f>
        <v/>
      </c>
      <c r="DP6" s="12">
        <f>IF(DM6=0,0,IF(CL6=1,SUMPRODUCT(--(($CM$5:$CM6=$CM6-1)*($CL$5:$CL6&gt;=10)*($CL$5:$CL6&lt;=12)),$DO$5:$DO6),IF(CL6=4,SUMPRODUCT(--(($CM$5:$CM6=$CM6)*($CL$5:$CL6&gt;=1)*($CL$5:$CL6&lt;=3)),$DO$5:$DO6),IF(CL6=7,SUMPRODUCT(--(($CM$5:$CM6=$CM6)*($CL$5:$CL6&gt;=4)*($CL$5:$CL6&lt;=6)),$DO$5:$DO6),IF(CL6=10,SUMPRODUCT(--(($CM$5:$CM6=$CM6)*($CL$5:$CL6&gt;=7)*($CL$5:$CL6&lt;=9)),$DO$5:$DO6),0)))))</f>
        <v/>
      </c>
      <c r="DQ6" s="12">
        <f>DQ5+DO6-DP6</f>
        <v/>
      </c>
      <c r="DR6" s="12">
        <f>IF(ProviderDelay&gt;=1,DN5*ProviderShare,DN6*ProviderShare)</f>
        <v/>
      </c>
      <c r="DS6" s="12">
        <f>DK6*PaymentFee</f>
        <v/>
      </c>
      <c r="DT6" s="12">
        <f>DE6*OpsAI</f>
        <v/>
      </c>
      <c r="DU6" s="12">
        <f>MonthlyFixed</f>
        <v/>
      </c>
      <c r="DV6" s="12">
        <f>CS6*ReferralReward</f>
        <v/>
      </c>
      <c r="DW6" s="12">
        <f>CQ6</f>
        <v/>
      </c>
      <c r="DX6" s="9">
        <f>DN6-DR6-DS6-DT6-DU6-DV6-DW6</f>
        <v/>
      </c>
      <c r="DY6" s="9">
        <f>DY5+DK6-(DR6+DS6+DT6+DU6+DV6+DW6+DP6)</f>
        <v/>
      </c>
      <c r="DZ6" s="12">
        <f>IF(DE6&gt;0,DF6/DE6,0)</f>
        <v/>
      </c>
      <c r="EA6" s="11">
        <f>IF(DE5&gt;0,MAX(0,(DE5+CT6-DE6)/DE5),0)</f>
        <v/>
      </c>
      <c r="EC6" s="12" t="n">
        <v>2</v>
      </c>
      <c r="ED6" s="12">
        <f>MOD(EC6-1+LaunchMonth-1,12)+1</f>
        <v/>
      </c>
      <c r="EE6" s="12">
        <f>INT((EC6-1+LaunchMonth-1)/12)+1</f>
        <v/>
      </c>
      <c r="EF6" s="12">
        <f>VLOOKUP(ED6,SeasonTable,2,FALSE)</f>
        <v/>
      </c>
      <c r="EG6" s="12">
        <f>(1+InflationRate)^INT((EC6-1)/12)</f>
        <v/>
      </c>
      <c r="EH6" s="11">
        <f>'Sens - Churn'!$A$13*VLOOKUP(ED6,ChurnSeasonTable,4,FALSE)</f>
        <v/>
      </c>
      <c r="EI6" s="12">
        <f>MktFixed1_3</f>
        <v/>
      </c>
      <c r="EJ6" s="12">
        <f>IF(EI6&gt;0,MAX(1,ROUND(EI6/CAC*EF6,0)),0)</f>
        <v/>
      </c>
      <c r="EK6" s="12">
        <f>IF(EJ6&gt;0,ROUND(EJ6*ReferralMix/(1-ReferralMix),0),0)</f>
        <v/>
      </c>
      <c r="EL6" s="12">
        <f>EJ6+EK6</f>
        <v/>
      </c>
      <c r="EM6" s="12">
        <f>ROUND(EL6*(1-AnnualMix),0)</f>
        <v/>
      </c>
      <c r="EN6" s="12">
        <f>EL6-EM6</f>
        <v/>
      </c>
      <c r="EO6" s="12">
        <f>ROUND(EM6*EssentialMix,0)</f>
        <v/>
      </c>
      <c r="EP6" s="12">
        <f>EM6-EO6</f>
        <v/>
      </c>
      <c r="EQ6" s="12">
        <f>ROUND(EN6*EssentialMix,0)</f>
        <v/>
      </c>
      <c r="ER6" s="12">
        <f>EN6-EQ6</f>
        <v/>
      </c>
      <c r="ES6" s="12">
        <f>EO6+EO5</f>
        <v/>
      </c>
      <c r="ET6" s="12">
        <f>EP6+EP5</f>
        <v/>
      </c>
      <c r="EU6" s="12">
        <f>SUM(EQ$5:EQ6)</f>
        <v/>
      </c>
      <c r="EV6" s="12">
        <f>SUM(ER$5:ER6)</f>
        <v/>
      </c>
      <c r="EW6" s="12">
        <f>ES6+ET6+EU6+EV6</f>
        <v/>
      </c>
      <c r="EX6" s="9">
        <f>ES6*PriceEssMonthly*EG6+ET6*PricePremMonthly*EG6+EU6*PriceEssAnnual*EG6/12+EV6*PricePremAnnual*EG6/12</f>
        <v/>
      </c>
      <c r="EY6" s="9">
        <f>EX6*12</f>
        <v/>
      </c>
      <c r="EZ6" s="12">
        <f>ES6*PriceEssMonthly*EG6+ET6*PricePremMonthly*EG6</f>
        <v/>
      </c>
      <c r="FA6" s="12">
        <f>EQ6*PriceEssAnnual*EG6+ER6*PricePremAnnual*EG6</f>
        <v/>
      </c>
      <c r="FB6" s="12">
        <f>0+0</f>
        <v/>
      </c>
      <c r="FC6" s="9">
        <f>EZ6+FA6+FB6</f>
        <v/>
      </c>
      <c r="FD6" s="12">
        <f>SUM(FC$5:FC6)</f>
        <v/>
      </c>
      <c r="FE6" s="12">
        <f>OR(FE5,FD6&gt;=VATThreshold)</f>
        <v/>
      </c>
      <c r="FF6" s="9">
        <f>IF(FE6,FC6/(1+VATRate),FC6)</f>
        <v/>
      </c>
      <c r="FG6" s="12">
        <f>FC6-FF6</f>
        <v/>
      </c>
      <c r="FH6" s="12">
        <f>IF(FE6=0,0,IF(ED6=1,SUMPRODUCT(--(($EE$5:$EE6=$EE6-1)*($ED$5:$ED6&gt;=10)*($ED$5:$ED6&lt;=12)),$FG$5:$FG6),IF(ED6=4,SUMPRODUCT(--(($EE$5:$EE6=$EE6)*($ED$5:$ED6&gt;=1)*($ED$5:$ED6&lt;=3)),$FG$5:$FG6),IF(ED6=7,SUMPRODUCT(--(($EE$5:$EE6=$EE6)*($ED$5:$ED6&gt;=4)*($ED$5:$ED6&lt;=6)),$FG$5:$FG6),IF(ED6=10,SUMPRODUCT(--(($EE$5:$EE6=$EE6)*($ED$5:$ED6&gt;=7)*($ED$5:$ED6&lt;=9)),$FG$5:$FG6),0)))))</f>
        <v/>
      </c>
      <c r="FI6" s="12">
        <f>FI5+FG6-FH6</f>
        <v/>
      </c>
      <c r="FJ6" s="12">
        <f>IF(ProviderDelay&gt;=1,FF5*ProviderShare,FF6*ProviderShare)</f>
        <v/>
      </c>
      <c r="FK6" s="12">
        <f>FC6*PaymentFee</f>
        <v/>
      </c>
      <c r="FL6" s="12">
        <f>EW6*OpsAI</f>
        <v/>
      </c>
      <c r="FM6" s="12">
        <f>MonthlyFixed</f>
        <v/>
      </c>
      <c r="FN6" s="12">
        <f>EK6*ReferralReward</f>
        <v/>
      </c>
      <c r="FO6" s="12">
        <f>EI6</f>
        <v/>
      </c>
      <c r="FP6" s="9">
        <f>FF6-FJ6-FK6-FL6-FM6-FN6-FO6</f>
        <v/>
      </c>
      <c r="FQ6" s="9">
        <f>FQ5+FC6-(FJ6+FK6+FL6+FM6+FN6+FO6+FH6)</f>
        <v/>
      </c>
      <c r="FR6" s="12">
        <f>IF(EW6&gt;0,EX6/EW6,0)</f>
        <v/>
      </c>
      <c r="FS6" s="11">
        <f>IF(EW5&gt;0,MAX(0,(EW5+EL6-EW6)/EW5),0)</f>
        <v/>
      </c>
      <c r="FU6" s="12" t="n">
        <v>2</v>
      </c>
      <c r="FV6" s="12">
        <f>MOD(FU6-1+LaunchMonth-1,12)+1</f>
        <v/>
      </c>
      <c r="FW6" s="12">
        <f>INT((FU6-1+LaunchMonth-1)/12)+1</f>
        <v/>
      </c>
      <c r="FX6" s="12">
        <f>VLOOKUP(FV6,SeasonTable,2,FALSE)</f>
        <v/>
      </c>
      <c r="FY6" s="12">
        <f>(1+InflationRate)^INT((FU6-1)/12)</f>
        <v/>
      </c>
      <c r="FZ6" s="11">
        <f>'Sens - Churn'!$A$14*VLOOKUP(FV6,ChurnSeasonTable,4,FALSE)</f>
        <v/>
      </c>
      <c r="GA6" s="12">
        <f>MktFixed1_3</f>
        <v/>
      </c>
      <c r="GB6" s="12">
        <f>IF(GA6&gt;0,MAX(1,ROUND(GA6/CAC*FX6,0)),0)</f>
        <v/>
      </c>
      <c r="GC6" s="12">
        <f>IF(GB6&gt;0,ROUND(GB6*ReferralMix/(1-ReferralMix),0),0)</f>
        <v/>
      </c>
      <c r="GD6" s="12">
        <f>GB6+GC6</f>
        <v/>
      </c>
      <c r="GE6" s="12">
        <f>ROUND(GD6*(1-AnnualMix),0)</f>
        <v/>
      </c>
      <c r="GF6" s="12">
        <f>GD6-GE6</f>
        <v/>
      </c>
      <c r="GG6" s="12">
        <f>ROUND(GE6*EssentialMix,0)</f>
        <v/>
      </c>
      <c r="GH6" s="12">
        <f>GE6-GG6</f>
        <v/>
      </c>
      <c r="GI6" s="12">
        <f>ROUND(GF6*EssentialMix,0)</f>
        <v/>
      </c>
      <c r="GJ6" s="12">
        <f>GF6-GI6</f>
        <v/>
      </c>
      <c r="GK6" s="12">
        <f>GG6+GG5</f>
        <v/>
      </c>
      <c r="GL6" s="12">
        <f>GH6+GH5</f>
        <v/>
      </c>
      <c r="GM6" s="12">
        <f>SUM(GI$5:GI6)</f>
        <v/>
      </c>
      <c r="GN6" s="12">
        <f>SUM(GJ$5:GJ6)</f>
        <v/>
      </c>
      <c r="GO6" s="12">
        <f>GK6+GL6+GM6+GN6</f>
        <v/>
      </c>
      <c r="GP6" s="9">
        <f>GK6*PriceEssMonthly*FY6+GL6*PricePremMonthly*FY6+GM6*PriceEssAnnual*FY6/12+GN6*PricePremAnnual*FY6/12</f>
        <v/>
      </c>
      <c r="GQ6" s="9">
        <f>GP6*12</f>
        <v/>
      </c>
      <c r="GR6" s="12">
        <f>GK6*PriceEssMonthly*FY6+GL6*PricePremMonthly*FY6</f>
        <v/>
      </c>
      <c r="GS6" s="12">
        <f>GI6*PriceEssAnnual*FY6+GJ6*PricePremAnnual*FY6</f>
        <v/>
      </c>
      <c r="GT6" s="12">
        <f>0+0</f>
        <v/>
      </c>
      <c r="GU6" s="9">
        <f>GR6+GS6+GT6</f>
        <v/>
      </c>
      <c r="GV6" s="12">
        <f>SUM(GU$5:GU6)</f>
        <v/>
      </c>
      <c r="GW6" s="12">
        <f>OR(GW5,GV6&gt;=VATThreshold)</f>
        <v/>
      </c>
      <c r="GX6" s="9">
        <f>IF(GW6,GU6/(1+VATRate),GU6)</f>
        <v/>
      </c>
      <c r="GY6" s="12">
        <f>GU6-GX6</f>
        <v/>
      </c>
      <c r="GZ6" s="12">
        <f>IF(GW6=0,0,IF(FV6=1,SUMPRODUCT(--(($FW$5:$FW6=$FW6-1)*($FV$5:$FV6&gt;=10)*($FV$5:$FV6&lt;=12)),$GY$5:$GY6),IF(FV6=4,SUMPRODUCT(--(($FW$5:$FW6=$FW6)*($FV$5:$FV6&gt;=1)*($FV$5:$FV6&lt;=3)),$GY$5:$GY6),IF(FV6=7,SUMPRODUCT(--(($FW$5:$FW6=$FW6)*($FV$5:$FV6&gt;=4)*($FV$5:$FV6&lt;=6)),$GY$5:$GY6),IF(FV6=10,SUMPRODUCT(--(($FW$5:$FW6=$FW6)*($FV$5:$FV6&gt;=7)*($FV$5:$FV6&lt;=9)),$GY$5:$GY6),0)))))</f>
        <v/>
      </c>
      <c r="HA6" s="12">
        <f>HA5+GY6-GZ6</f>
        <v/>
      </c>
      <c r="HB6" s="12">
        <f>IF(ProviderDelay&gt;=1,GX5*ProviderShare,GX6*ProviderShare)</f>
        <v/>
      </c>
      <c r="HC6" s="12">
        <f>GU6*PaymentFee</f>
        <v/>
      </c>
      <c r="HD6" s="12">
        <f>GO6*OpsAI</f>
        <v/>
      </c>
      <c r="HE6" s="12">
        <f>MonthlyFixed</f>
        <v/>
      </c>
      <c r="HF6" s="12">
        <f>GC6*ReferralReward</f>
        <v/>
      </c>
      <c r="HG6" s="12">
        <f>GA6</f>
        <v/>
      </c>
      <c r="HH6" s="9">
        <f>GX6-HB6-HC6-HD6-HE6-HF6-HG6</f>
        <v/>
      </c>
      <c r="HI6" s="9">
        <f>HI5+GU6-(HB6+HC6+HD6+HE6+HF6+HG6+GZ6)</f>
        <v/>
      </c>
      <c r="HJ6" s="12">
        <f>IF(GO6&gt;0,GP6/GO6,0)</f>
        <v/>
      </c>
      <c r="HK6" s="11">
        <f>IF(GO5&gt;0,MAX(0,(GO5+GD6-GO6)/GO5),0)</f>
        <v/>
      </c>
      <c r="HM6" s="12" t="n">
        <v>2</v>
      </c>
      <c r="HN6" s="12">
        <f>MOD(HM6-1+LaunchMonth-1,12)+1</f>
        <v/>
      </c>
      <c r="HO6" s="12">
        <f>INT((HM6-1+LaunchMonth-1)/12)+1</f>
        <v/>
      </c>
      <c r="HP6" s="12">
        <f>VLOOKUP(HN6,SeasonTable,2,FALSE)</f>
        <v/>
      </c>
      <c r="HQ6" s="12">
        <f>(1+InflationRate)^INT((HM6-1)/12)</f>
        <v/>
      </c>
      <c r="HR6" s="11">
        <f>'Sens - Churn'!$A$15*VLOOKUP(HN6,ChurnSeasonTable,4,FALSE)</f>
        <v/>
      </c>
      <c r="HS6" s="12">
        <f>MktFixed1_3</f>
        <v/>
      </c>
      <c r="HT6" s="12">
        <f>IF(HS6&gt;0,MAX(1,ROUND(HS6/CAC*HP6,0)),0)</f>
        <v/>
      </c>
      <c r="HU6" s="12">
        <f>IF(HT6&gt;0,ROUND(HT6*ReferralMix/(1-ReferralMix),0),0)</f>
        <v/>
      </c>
      <c r="HV6" s="12">
        <f>HT6+HU6</f>
        <v/>
      </c>
      <c r="HW6" s="12">
        <f>ROUND(HV6*(1-AnnualMix),0)</f>
        <v/>
      </c>
      <c r="HX6" s="12">
        <f>HV6-HW6</f>
        <v/>
      </c>
      <c r="HY6" s="12">
        <f>ROUND(HW6*EssentialMix,0)</f>
        <v/>
      </c>
      <c r="HZ6" s="12">
        <f>HW6-HY6</f>
        <v/>
      </c>
      <c r="IA6" s="12">
        <f>ROUND(HX6*EssentialMix,0)</f>
        <v/>
      </c>
      <c r="IB6" s="12">
        <f>HX6-IA6</f>
        <v/>
      </c>
      <c r="IC6" s="12">
        <f>HY6+HY5</f>
        <v/>
      </c>
      <c r="ID6" s="12">
        <f>HZ6+HZ5</f>
        <v/>
      </c>
      <c r="IE6" s="12">
        <f>SUM(IA$5:IA6)</f>
        <v/>
      </c>
      <c r="IF6" s="12">
        <f>SUM(IB$5:IB6)</f>
        <v/>
      </c>
      <c r="IG6" s="12">
        <f>IC6+ID6+IE6+IF6</f>
        <v/>
      </c>
      <c r="IH6" s="9">
        <f>IC6*PriceEssMonthly*HQ6+ID6*PricePremMonthly*HQ6+IE6*PriceEssAnnual*HQ6/12+IF6*PricePremAnnual*HQ6/12</f>
        <v/>
      </c>
      <c r="II6" s="9">
        <f>IH6*12</f>
        <v/>
      </c>
      <c r="IJ6" s="12">
        <f>IC6*PriceEssMonthly*HQ6+ID6*PricePremMonthly*HQ6</f>
        <v/>
      </c>
      <c r="IK6" s="12">
        <f>IA6*PriceEssAnnual*HQ6+IB6*PricePremAnnual*HQ6</f>
        <v/>
      </c>
      <c r="IL6" s="12">
        <f>0+0</f>
        <v/>
      </c>
      <c r="IM6" s="9">
        <f>IJ6+IK6+IL6</f>
        <v/>
      </c>
      <c r="IN6" s="12">
        <f>SUM(IM$5:IM6)</f>
        <v/>
      </c>
      <c r="IO6" s="12">
        <f>OR(IO5,IN6&gt;=VATThreshold)</f>
        <v/>
      </c>
      <c r="IP6" s="9">
        <f>IF(IO6,IM6/(1+VATRate),IM6)</f>
        <v/>
      </c>
      <c r="IQ6" s="12">
        <f>IM6-IP6</f>
        <v/>
      </c>
      <c r="IR6" s="12">
        <f>IF(IO6=0,0,IF(HN6=1,SUMPRODUCT(--(($HO$5:$HO6=$HO6-1)*($HN$5:$HN6&gt;=10)*($HN$5:$HN6&lt;=12)),$IQ$5:$IQ6),IF(HN6=4,SUMPRODUCT(--(($HO$5:$HO6=$HO6)*($HN$5:$HN6&gt;=1)*($HN$5:$HN6&lt;=3)),$IQ$5:$IQ6),IF(HN6=7,SUMPRODUCT(--(($HO$5:$HO6=$HO6)*($HN$5:$HN6&gt;=4)*($HN$5:$HN6&lt;=6)),$IQ$5:$IQ6),IF(HN6=10,SUMPRODUCT(--(($HO$5:$HO6=$HO6)*($HN$5:$HN6&gt;=7)*($HN$5:$HN6&lt;=9)),$IQ$5:$IQ6),0)))))</f>
        <v/>
      </c>
      <c r="IS6" s="12">
        <f>IS5+IQ6-IR6</f>
        <v/>
      </c>
      <c r="IT6" s="12">
        <f>IF(ProviderDelay&gt;=1,IP5*ProviderShare,IP6*ProviderShare)</f>
        <v/>
      </c>
      <c r="IU6" s="12">
        <f>IM6*PaymentFee</f>
        <v/>
      </c>
      <c r="IV6" s="12">
        <f>IG6*OpsAI</f>
        <v/>
      </c>
      <c r="IW6" s="12">
        <f>MonthlyFixed</f>
        <v/>
      </c>
      <c r="IX6" s="12">
        <f>HU6*ReferralReward</f>
        <v/>
      </c>
      <c r="IY6" s="12">
        <f>HS6</f>
        <v/>
      </c>
      <c r="IZ6" s="9">
        <f>IP6-IT6-IU6-IV6-IW6-IX6-IY6</f>
        <v/>
      </c>
      <c r="JA6" s="9">
        <f>JA5+IM6-(IT6+IU6+IV6+IW6+IX6+IY6+IR6)</f>
        <v/>
      </c>
      <c r="JB6" s="12">
        <f>IF(IG6&gt;0,IH6/IG6,0)</f>
        <v/>
      </c>
      <c r="JC6" s="11">
        <f>IF(IG5&gt;0,MAX(0,(IG5+HV6-IG6)/IG5),0)</f>
        <v/>
      </c>
      <c r="JE6" s="12" t="n">
        <v>2</v>
      </c>
      <c r="JF6" s="12">
        <f>MOD(JE6-1+LaunchMonth-1,12)+1</f>
        <v/>
      </c>
      <c r="JG6" s="12">
        <f>INT((JE6-1+LaunchMonth-1)/12)+1</f>
        <v/>
      </c>
      <c r="JH6" s="12">
        <f>VLOOKUP(JF6,SeasonTable,2,FALSE)</f>
        <v/>
      </c>
      <c r="JI6" s="12">
        <f>(1+InflationRate)^INT((JE6-1)/12)</f>
        <v/>
      </c>
      <c r="JJ6" s="11">
        <f>'Sens - Churn'!$A$16*VLOOKUP(JF6,ChurnSeasonTable,4,FALSE)</f>
        <v/>
      </c>
      <c r="JK6" s="12">
        <f>MktFixed1_3</f>
        <v/>
      </c>
      <c r="JL6" s="12">
        <f>IF(JK6&gt;0,MAX(1,ROUND(JK6/CAC*JH6,0)),0)</f>
        <v/>
      </c>
      <c r="JM6" s="12">
        <f>IF(JL6&gt;0,ROUND(JL6*ReferralMix/(1-ReferralMix),0),0)</f>
        <v/>
      </c>
      <c r="JN6" s="12">
        <f>JL6+JM6</f>
        <v/>
      </c>
      <c r="JO6" s="12">
        <f>ROUND(JN6*(1-AnnualMix),0)</f>
        <v/>
      </c>
      <c r="JP6" s="12">
        <f>JN6-JO6</f>
        <v/>
      </c>
      <c r="JQ6" s="12">
        <f>ROUND(JO6*EssentialMix,0)</f>
        <v/>
      </c>
      <c r="JR6" s="12">
        <f>JO6-JQ6</f>
        <v/>
      </c>
      <c r="JS6" s="12">
        <f>ROUND(JP6*EssentialMix,0)</f>
        <v/>
      </c>
      <c r="JT6" s="12">
        <f>JP6-JS6</f>
        <v/>
      </c>
      <c r="JU6" s="12">
        <f>JQ6+JQ5</f>
        <v/>
      </c>
      <c r="JV6" s="12">
        <f>JR6+JR5</f>
        <v/>
      </c>
      <c r="JW6" s="12">
        <f>SUM(JS$5:JS6)</f>
        <v/>
      </c>
      <c r="JX6" s="12">
        <f>SUM(JT$5:JT6)</f>
        <v/>
      </c>
      <c r="JY6" s="12">
        <f>JU6+JV6+JW6+JX6</f>
        <v/>
      </c>
      <c r="JZ6" s="9">
        <f>JU6*PriceEssMonthly*JI6+JV6*PricePremMonthly*JI6+JW6*PriceEssAnnual*JI6/12+JX6*PricePremAnnual*JI6/12</f>
        <v/>
      </c>
      <c r="KA6" s="9">
        <f>JZ6*12</f>
        <v/>
      </c>
      <c r="KB6" s="12">
        <f>JU6*PriceEssMonthly*JI6+JV6*PricePremMonthly*JI6</f>
        <v/>
      </c>
      <c r="KC6" s="12">
        <f>JS6*PriceEssAnnual*JI6+JT6*PricePremAnnual*JI6</f>
        <v/>
      </c>
      <c r="KD6" s="12">
        <f>0+0</f>
        <v/>
      </c>
      <c r="KE6" s="9">
        <f>KB6+KC6+KD6</f>
        <v/>
      </c>
      <c r="KF6" s="12">
        <f>SUM(KE$5:KE6)</f>
        <v/>
      </c>
      <c r="KG6" s="12">
        <f>OR(KG5,KF6&gt;=VATThreshold)</f>
        <v/>
      </c>
      <c r="KH6" s="9">
        <f>IF(KG6,KE6/(1+VATRate),KE6)</f>
        <v/>
      </c>
      <c r="KI6" s="12">
        <f>KE6-KH6</f>
        <v/>
      </c>
      <c r="KJ6" s="12">
        <f>IF(KG6=0,0,IF(JF6=1,SUMPRODUCT(--(($JG$5:$JG6=$JG6-1)*($JF$5:$JF6&gt;=10)*($JF$5:$JF6&lt;=12)),$KI$5:$KI6),IF(JF6=4,SUMPRODUCT(--(($JG$5:$JG6=$JG6)*($JF$5:$JF6&gt;=1)*($JF$5:$JF6&lt;=3)),$KI$5:$KI6),IF(JF6=7,SUMPRODUCT(--(($JG$5:$JG6=$JG6)*($JF$5:$JF6&gt;=4)*($JF$5:$JF6&lt;=6)),$KI$5:$KI6),IF(JF6=10,SUMPRODUCT(--(($JG$5:$JG6=$JG6)*($JF$5:$JF6&gt;=7)*($JF$5:$JF6&lt;=9)),$KI$5:$KI6),0)))))</f>
        <v/>
      </c>
      <c r="KK6" s="12">
        <f>KK5+KI6-KJ6</f>
        <v/>
      </c>
      <c r="KL6" s="12">
        <f>IF(ProviderDelay&gt;=1,KH5*ProviderShare,KH6*ProviderShare)</f>
        <v/>
      </c>
      <c r="KM6" s="12">
        <f>KE6*PaymentFee</f>
        <v/>
      </c>
      <c r="KN6" s="12">
        <f>JY6*OpsAI</f>
        <v/>
      </c>
      <c r="KO6" s="12">
        <f>MonthlyFixed</f>
        <v/>
      </c>
      <c r="KP6" s="12">
        <f>JM6*ReferralReward</f>
        <v/>
      </c>
      <c r="KQ6" s="12">
        <f>JK6</f>
        <v/>
      </c>
      <c r="KR6" s="9">
        <f>KH6-KL6-KM6-KN6-KO6-KP6-KQ6</f>
        <v/>
      </c>
      <c r="KS6" s="9">
        <f>KS5+KE6-(KL6+KM6+KN6+KO6+KP6+KQ6+KJ6)</f>
        <v/>
      </c>
      <c r="KT6" s="12">
        <f>IF(JY6&gt;0,JZ6/JY6,0)</f>
        <v/>
      </c>
      <c r="KU6" s="11">
        <f>IF(JY5&gt;0,MAX(0,(JY5+JN6-JY6)/JY5),0)</f>
        <v/>
      </c>
      <c r="KW6" s="12" t="n">
        <v>2</v>
      </c>
      <c r="KX6" s="12">
        <f>MOD(KW6-1+LaunchMonth-1,12)+1</f>
        <v/>
      </c>
      <c r="KY6" s="12">
        <f>INT((KW6-1+LaunchMonth-1)/12)+1</f>
        <v/>
      </c>
      <c r="KZ6" s="12">
        <f>VLOOKUP(KX6,SeasonTable,2,FALSE)</f>
        <v/>
      </c>
      <c r="LA6" s="12">
        <f>(1+InflationRate)^INT((KW6-1)/12)</f>
        <v/>
      </c>
      <c r="LB6" s="11">
        <f>'Sens - Churn'!$A$17*VLOOKUP(KX6,ChurnSeasonTable,4,FALSE)</f>
        <v/>
      </c>
      <c r="LC6" s="12">
        <f>MktFixed1_3</f>
        <v/>
      </c>
      <c r="LD6" s="12">
        <f>IF(LC6&gt;0,MAX(1,ROUND(LC6/CAC*KZ6,0)),0)</f>
        <v/>
      </c>
      <c r="LE6" s="12">
        <f>IF(LD6&gt;0,ROUND(LD6*ReferralMix/(1-ReferralMix),0),0)</f>
        <v/>
      </c>
      <c r="LF6" s="12">
        <f>LD6+LE6</f>
        <v/>
      </c>
      <c r="LG6" s="12">
        <f>ROUND(LF6*(1-AnnualMix),0)</f>
        <v/>
      </c>
      <c r="LH6" s="12">
        <f>LF6-LG6</f>
        <v/>
      </c>
      <c r="LI6" s="12">
        <f>ROUND(LG6*EssentialMix,0)</f>
        <v/>
      </c>
      <c r="LJ6" s="12">
        <f>LG6-LI6</f>
        <v/>
      </c>
      <c r="LK6" s="12">
        <f>ROUND(LH6*EssentialMix,0)</f>
        <v/>
      </c>
      <c r="LL6" s="12">
        <f>LH6-LK6</f>
        <v/>
      </c>
      <c r="LM6" s="12">
        <f>LI6+LI5</f>
        <v/>
      </c>
      <c r="LN6" s="12">
        <f>LJ6+LJ5</f>
        <v/>
      </c>
      <c r="LO6" s="12">
        <f>SUM(LK$5:LK6)</f>
        <v/>
      </c>
      <c r="LP6" s="12">
        <f>SUM(LL$5:LL6)</f>
        <v/>
      </c>
      <c r="LQ6" s="12">
        <f>LM6+LN6+LO6+LP6</f>
        <v/>
      </c>
      <c r="LR6" s="9">
        <f>LM6*PriceEssMonthly*LA6+LN6*PricePremMonthly*LA6+LO6*PriceEssAnnual*LA6/12+LP6*PricePremAnnual*LA6/12</f>
        <v/>
      </c>
      <c r="LS6" s="9">
        <f>LR6*12</f>
        <v/>
      </c>
      <c r="LT6" s="12">
        <f>LM6*PriceEssMonthly*LA6+LN6*PricePremMonthly*LA6</f>
        <v/>
      </c>
      <c r="LU6" s="12">
        <f>LK6*PriceEssAnnual*LA6+LL6*PricePremAnnual*LA6</f>
        <v/>
      </c>
      <c r="LV6" s="12">
        <f>0+0</f>
        <v/>
      </c>
      <c r="LW6" s="9">
        <f>LT6+LU6+LV6</f>
        <v/>
      </c>
      <c r="LX6" s="12">
        <f>SUM(LW$5:LW6)</f>
        <v/>
      </c>
      <c r="LY6" s="12">
        <f>OR(LY5,LX6&gt;=VATThreshold)</f>
        <v/>
      </c>
      <c r="LZ6" s="9">
        <f>IF(LY6,LW6/(1+VATRate),LW6)</f>
        <v/>
      </c>
      <c r="MA6" s="12">
        <f>LW6-LZ6</f>
        <v/>
      </c>
      <c r="MB6" s="12">
        <f>IF(LY6=0,0,IF(KX6=1,SUMPRODUCT(--(($KY$5:$KY6=$KY6-1)*($KX$5:$KX6&gt;=10)*($KX$5:$KX6&lt;=12)),$MA$5:$MA6),IF(KX6=4,SUMPRODUCT(--(($KY$5:$KY6=$KY6)*($KX$5:$KX6&gt;=1)*($KX$5:$KX6&lt;=3)),$MA$5:$MA6),IF(KX6=7,SUMPRODUCT(--(($KY$5:$KY6=$KY6)*($KX$5:$KX6&gt;=4)*($KX$5:$KX6&lt;=6)),$MA$5:$MA6),IF(KX6=10,SUMPRODUCT(--(($KY$5:$KY6=$KY6)*($KX$5:$KX6&gt;=7)*($KX$5:$KX6&lt;=9)),$MA$5:$MA6),0)))))</f>
        <v/>
      </c>
      <c r="MC6" s="12">
        <f>MC5+MA6-MB6</f>
        <v/>
      </c>
      <c r="MD6" s="12">
        <f>IF(ProviderDelay&gt;=1,LZ5*ProviderShare,LZ6*ProviderShare)</f>
        <v/>
      </c>
      <c r="ME6" s="12">
        <f>LW6*PaymentFee</f>
        <v/>
      </c>
      <c r="MF6" s="12">
        <f>LQ6*OpsAI</f>
        <v/>
      </c>
      <c r="MG6" s="12">
        <f>MonthlyFixed</f>
        <v/>
      </c>
      <c r="MH6" s="12">
        <f>LE6*ReferralReward</f>
        <v/>
      </c>
      <c r="MI6" s="12">
        <f>LC6</f>
        <v/>
      </c>
      <c r="MJ6" s="9">
        <f>LZ6-MD6-ME6-MF6-MG6-MH6-MI6</f>
        <v/>
      </c>
      <c r="MK6" s="9">
        <f>MK5+LW6-(MD6+ME6+MF6+MG6+MH6+MI6+MB6)</f>
        <v/>
      </c>
      <c r="ML6" s="12">
        <f>IF(LQ6&gt;0,LR6/LQ6,0)</f>
        <v/>
      </c>
      <c r="MM6" s="11">
        <f>IF(LQ5&gt;0,MAX(0,(LQ5+LF6-LQ6)/LQ5),0)</f>
        <v/>
      </c>
      <c r="MO6" s="12" t="n">
        <v>2</v>
      </c>
      <c r="MP6" s="12">
        <f>MOD(MO6-1+LaunchMonth-1,12)+1</f>
        <v/>
      </c>
      <c r="MQ6" s="12">
        <f>INT((MO6-1+LaunchMonth-1)/12)+1</f>
        <v/>
      </c>
      <c r="MR6" s="12">
        <f>VLOOKUP(MP6,SeasonTable,2,FALSE)</f>
        <v/>
      </c>
      <c r="MS6" s="12">
        <f>(1+InflationRate)^INT((MO6-1)/12)</f>
        <v/>
      </c>
      <c r="MT6" s="11">
        <f>'Sens - Churn'!$A$18*VLOOKUP(MP6,ChurnSeasonTable,4,FALSE)</f>
        <v/>
      </c>
      <c r="MU6" s="12">
        <f>MktFixed1_3</f>
        <v/>
      </c>
      <c r="MV6" s="12">
        <f>IF(MU6&gt;0,MAX(1,ROUND(MU6/CAC*MR6,0)),0)</f>
        <v/>
      </c>
      <c r="MW6" s="12">
        <f>IF(MV6&gt;0,ROUND(MV6*ReferralMix/(1-ReferralMix),0),0)</f>
        <v/>
      </c>
      <c r="MX6" s="12">
        <f>MV6+MW6</f>
        <v/>
      </c>
      <c r="MY6" s="12">
        <f>ROUND(MX6*(1-AnnualMix),0)</f>
        <v/>
      </c>
      <c r="MZ6" s="12">
        <f>MX6-MY6</f>
        <v/>
      </c>
      <c r="NA6" s="12">
        <f>ROUND(MY6*EssentialMix,0)</f>
        <v/>
      </c>
      <c r="NB6" s="12">
        <f>MY6-NA6</f>
        <v/>
      </c>
      <c r="NC6" s="12">
        <f>ROUND(MZ6*EssentialMix,0)</f>
        <v/>
      </c>
      <c r="ND6" s="12">
        <f>MZ6-NC6</f>
        <v/>
      </c>
      <c r="NE6" s="12">
        <f>NA6+NA5</f>
        <v/>
      </c>
      <c r="NF6" s="12">
        <f>NB6+NB5</f>
        <v/>
      </c>
      <c r="NG6" s="12">
        <f>SUM(NC$5:NC6)</f>
        <v/>
      </c>
      <c r="NH6" s="12">
        <f>SUM(ND$5:ND6)</f>
        <v/>
      </c>
      <c r="NI6" s="12">
        <f>NE6+NF6+NG6+NH6</f>
        <v/>
      </c>
      <c r="NJ6" s="9">
        <f>NE6*PriceEssMonthly*MS6+NF6*PricePremMonthly*MS6+NG6*PriceEssAnnual*MS6/12+NH6*PricePremAnnual*MS6/12</f>
        <v/>
      </c>
      <c r="NK6" s="9">
        <f>NJ6*12</f>
        <v/>
      </c>
      <c r="NL6" s="12">
        <f>NE6*PriceEssMonthly*MS6+NF6*PricePremMonthly*MS6</f>
        <v/>
      </c>
      <c r="NM6" s="12">
        <f>NC6*PriceEssAnnual*MS6+ND6*PricePremAnnual*MS6</f>
        <v/>
      </c>
      <c r="NN6" s="12">
        <f>0+0</f>
        <v/>
      </c>
      <c r="NO6" s="9">
        <f>NL6+NM6+NN6</f>
        <v/>
      </c>
      <c r="NP6" s="12">
        <f>SUM(NO$5:NO6)</f>
        <v/>
      </c>
      <c r="NQ6" s="12">
        <f>OR(NQ5,NP6&gt;=VATThreshold)</f>
        <v/>
      </c>
      <c r="NR6" s="9">
        <f>IF(NQ6,NO6/(1+VATRate),NO6)</f>
        <v/>
      </c>
      <c r="NS6" s="12">
        <f>NO6-NR6</f>
        <v/>
      </c>
      <c r="NT6" s="12">
        <f>IF(NQ6=0,0,IF(MP6=1,SUMPRODUCT(--(($MQ$5:$MQ6=$MQ6-1)*($MP$5:$MP6&gt;=10)*($MP$5:$MP6&lt;=12)),$NS$5:$NS6),IF(MP6=4,SUMPRODUCT(--(($MQ$5:$MQ6=$MQ6)*($MP$5:$MP6&gt;=1)*($MP$5:$MP6&lt;=3)),$NS$5:$NS6),IF(MP6=7,SUMPRODUCT(--(($MQ$5:$MQ6=$MQ6)*($MP$5:$MP6&gt;=4)*($MP$5:$MP6&lt;=6)),$NS$5:$NS6),IF(MP6=10,SUMPRODUCT(--(($MQ$5:$MQ6=$MQ6)*($MP$5:$MP6&gt;=7)*($MP$5:$MP6&lt;=9)),$NS$5:$NS6),0)))))</f>
        <v/>
      </c>
      <c r="NU6" s="12">
        <f>NU5+NS6-NT6</f>
        <v/>
      </c>
      <c r="NV6" s="12">
        <f>IF(ProviderDelay&gt;=1,NR5*ProviderShare,NR6*ProviderShare)</f>
        <v/>
      </c>
      <c r="NW6" s="12">
        <f>NO6*PaymentFee</f>
        <v/>
      </c>
      <c r="NX6" s="12">
        <f>NI6*OpsAI</f>
        <v/>
      </c>
      <c r="NY6" s="12">
        <f>MonthlyFixed</f>
        <v/>
      </c>
      <c r="NZ6" s="12">
        <f>MW6*ReferralReward</f>
        <v/>
      </c>
      <c r="OA6" s="12">
        <f>MU6</f>
        <v/>
      </c>
      <c r="OB6" s="9">
        <f>NR6-NV6-NW6-NX6-NY6-NZ6-OA6</f>
        <v/>
      </c>
      <c r="OC6" s="9">
        <f>OC5+NO6-(NV6+NW6+NX6+NY6+NZ6+OA6+NT6)</f>
        <v/>
      </c>
      <c r="OD6" s="12">
        <f>IF(NI6&gt;0,NJ6/NI6,0)</f>
        <v/>
      </c>
      <c r="OE6" s="11">
        <f>IF(NI5&gt;0,MAX(0,(NI5+MX6-NI6)/NI5),0)</f>
        <v/>
      </c>
      <c r="OG6" s="12" t="n">
        <v>2</v>
      </c>
      <c r="OH6" s="12">
        <f>MOD(OG6-1+LaunchMonth-1,12)+1</f>
        <v/>
      </c>
      <c r="OI6" s="12">
        <f>INT((OG6-1+LaunchMonth-1)/12)+1</f>
        <v/>
      </c>
      <c r="OJ6" s="12">
        <f>VLOOKUP(OH6,SeasonTable,2,FALSE)</f>
        <v/>
      </c>
      <c r="OK6" s="12">
        <f>(1+InflationRate)^INT((OG6-1)/12)</f>
        <v/>
      </c>
      <c r="OL6" s="11">
        <f>'Sens - Churn'!$A$19*VLOOKUP(OH6,ChurnSeasonTable,4,FALSE)</f>
        <v/>
      </c>
      <c r="OM6" s="12">
        <f>MktFixed1_3</f>
        <v/>
      </c>
      <c r="ON6" s="12">
        <f>IF(OM6&gt;0,MAX(1,ROUND(OM6/CAC*OJ6,0)),0)</f>
        <v/>
      </c>
      <c r="OO6" s="12">
        <f>IF(ON6&gt;0,ROUND(ON6*ReferralMix/(1-ReferralMix),0),0)</f>
        <v/>
      </c>
      <c r="OP6" s="12">
        <f>ON6+OO6</f>
        <v/>
      </c>
      <c r="OQ6" s="12">
        <f>ROUND(OP6*(1-AnnualMix),0)</f>
        <v/>
      </c>
      <c r="OR6" s="12">
        <f>OP6-OQ6</f>
        <v/>
      </c>
      <c r="OS6" s="12">
        <f>ROUND(OQ6*EssentialMix,0)</f>
        <v/>
      </c>
      <c r="OT6" s="12">
        <f>OQ6-OS6</f>
        <v/>
      </c>
      <c r="OU6" s="12">
        <f>ROUND(OR6*EssentialMix,0)</f>
        <v/>
      </c>
      <c r="OV6" s="12">
        <f>OR6-OU6</f>
        <v/>
      </c>
      <c r="OW6" s="12">
        <f>OS6+OS5</f>
        <v/>
      </c>
      <c r="OX6" s="12">
        <f>OT6+OT5</f>
        <v/>
      </c>
      <c r="OY6" s="12">
        <f>SUM(OU$5:OU6)</f>
        <v/>
      </c>
      <c r="OZ6" s="12">
        <f>SUM(OV$5:OV6)</f>
        <v/>
      </c>
      <c r="PA6" s="12">
        <f>OW6+OX6+OY6+OZ6</f>
        <v/>
      </c>
      <c r="PB6" s="9">
        <f>OW6*PriceEssMonthly*OK6+OX6*PricePremMonthly*OK6+OY6*PriceEssAnnual*OK6/12+OZ6*PricePremAnnual*OK6/12</f>
        <v/>
      </c>
      <c r="PC6" s="9">
        <f>PB6*12</f>
        <v/>
      </c>
      <c r="PD6" s="12">
        <f>OW6*PriceEssMonthly*OK6+OX6*PricePremMonthly*OK6</f>
        <v/>
      </c>
      <c r="PE6" s="12">
        <f>OU6*PriceEssAnnual*OK6+OV6*PricePremAnnual*OK6</f>
        <v/>
      </c>
      <c r="PF6" s="12">
        <f>0+0</f>
        <v/>
      </c>
      <c r="PG6" s="9">
        <f>PD6+PE6+PF6</f>
        <v/>
      </c>
      <c r="PH6" s="12">
        <f>SUM(PG$5:PG6)</f>
        <v/>
      </c>
      <c r="PI6" s="12">
        <f>OR(PI5,PH6&gt;=VATThreshold)</f>
        <v/>
      </c>
      <c r="PJ6" s="9">
        <f>IF(PI6,PG6/(1+VATRate),PG6)</f>
        <v/>
      </c>
      <c r="PK6" s="12">
        <f>PG6-PJ6</f>
        <v/>
      </c>
      <c r="PL6" s="12">
        <f>IF(PI6=0,0,IF(OH6=1,SUMPRODUCT(--(($OI$5:$OI6=$OI6-1)*($OH$5:$OH6&gt;=10)*($OH$5:$OH6&lt;=12)),$PK$5:$PK6),IF(OH6=4,SUMPRODUCT(--(($OI$5:$OI6=$OI6)*($OH$5:$OH6&gt;=1)*($OH$5:$OH6&lt;=3)),$PK$5:$PK6),IF(OH6=7,SUMPRODUCT(--(($OI$5:$OI6=$OI6)*($OH$5:$OH6&gt;=4)*($OH$5:$OH6&lt;=6)),$PK$5:$PK6),IF(OH6=10,SUMPRODUCT(--(($OI$5:$OI6=$OI6)*($OH$5:$OH6&gt;=7)*($OH$5:$OH6&lt;=9)),$PK$5:$PK6),0)))))</f>
        <v/>
      </c>
      <c r="PM6" s="12">
        <f>PM5+PK6-PL6</f>
        <v/>
      </c>
      <c r="PN6" s="12">
        <f>IF(ProviderDelay&gt;=1,PJ5*ProviderShare,PJ6*ProviderShare)</f>
        <v/>
      </c>
      <c r="PO6" s="12">
        <f>PG6*PaymentFee</f>
        <v/>
      </c>
      <c r="PP6" s="12">
        <f>PA6*OpsAI</f>
        <v/>
      </c>
      <c r="PQ6" s="12">
        <f>MonthlyFixed</f>
        <v/>
      </c>
      <c r="PR6" s="12">
        <f>OO6*ReferralReward</f>
        <v/>
      </c>
      <c r="PS6" s="12">
        <f>OM6</f>
        <v/>
      </c>
      <c r="PT6" s="9">
        <f>PJ6-PN6-PO6-PP6-PQ6-PR6-PS6</f>
        <v/>
      </c>
      <c r="PU6" s="9">
        <f>PU5+PG6-(PN6+PO6+PP6+PQ6+PR6+PS6+PL6)</f>
        <v/>
      </c>
      <c r="PV6" s="12">
        <f>IF(PA6&gt;0,PB6/PA6,0)</f>
        <v/>
      </c>
      <c r="PW6" s="11">
        <f>IF(PA5&gt;0,MAX(0,(PA5+OP6-PA6)/PA5),0)</f>
        <v/>
      </c>
      <c r="PY6" s="12" t="n">
        <v>2</v>
      </c>
      <c r="PZ6" s="12">
        <f>MOD(PY6-1+LaunchMonth-1,12)+1</f>
        <v/>
      </c>
      <c r="QA6" s="12">
        <f>INT((PY6-1+LaunchMonth-1)/12)+1</f>
        <v/>
      </c>
      <c r="QB6" s="12">
        <f>VLOOKUP(PZ6,SeasonTable,2,FALSE)</f>
        <v/>
      </c>
      <c r="QC6" s="12">
        <f>(1+InflationRate)^INT((PY6-1)/12)</f>
        <v/>
      </c>
      <c r="QD6" s="11">
        <f>'Sens - Churn'!$A$20*VLOOKUP(PZ6,ChurnSeasonTable,4,FALSE)</f>
        <v/>
      </c>
      <c r="QE6" s="12">
        <f>MktFixed1_3</f>
        <v/>
      </c>
      <c r="QF6" s="12">
        <f>IF(QE6&gt;0,MAX(1,ROUND(QE6/CAC*QB6,0)),0)</f>
        <v/>
      </c>
      <c r="QG6" s="12">
        <f>IF(QF6&gt;0,ROUND(QF6*ReferralMix/(1-ReferralMix),0),0)</f>
        <v/>
      </c>
      <c r="QH6" s="12">
        <f>QF6+QG6</f>
        <v/>
      </c>
      <c r="QI6" s="12">
        <f>ROUND(QH6*(1-AnnualMix),0)</f>
        <v/>
      </c>
      <c r="QJ6" s="12">
        <f>QH6-QI6</f>
        <v/>
      </c>
      <c r="QK6" s="12">
        <f>ROUND(QI6*EssentialMix,0)</f>
        <v/>
      </c>
      <c r="QL6" s="12">
        <f>QI6-QK6</f>
        <v/>
      </c>
      <c r="QM6" s="12">
        <f>ROUND(QJ6*EssentialMix,0)</f>
        <v/>
      </c>
      <c r="QN6" s="12">
        <f>QJ6-QM6</f>
        <v/>
      </c>
      <c r="QO6" s="12">
        <f>QK6+QK5</f>
        <v/>
      </c>
      <c r="QP6" s="12">
        <f>QL6+QL5</f>
        <v/>
      </c>
      <c r="QQ6" s="12">
        <f>SUM(QM$5:QM6)</f>
        <v/>
      </c>
      <c r="QR6" s="12">
        <f>SUM(QN$5:QN6)</f>
        <v/>
      </c>
      <c r="QS6" s="12">
        <f>QO6+QP6+QQ6+QR6</f>
        <v/>
      </c>
      <c r="QT6" s="9">
        <f>QO6*PriceEssMonthly*QC6+QP6*PricePremMonthly*QC6+QQ6*PriceEssAnnual*QC6/12+QR6*PricePremAnnual*QC6/12</f>
        <v/>
      </c>
      <c r="QU6" s="9">
        <f>QT6*12</f>
        <v/>
      </c>
      <c r="QV6" s="12">
        <f>QO6*PriceEssMonthly*QC6+QP6*PricePremMonthly*QC6</f>
        <v/>
      </c>
      <c r="QW6" s="12">
        <f>QM6*PriceEssAnnual*QC6+QN6*PricePremAnnual*QC6</f>
        <v/>
      </c>
      <c r="QX6" s="12">
        <f>0+0</f>
        <v/>
      </c>
      <c r="QY6" s="9">
        <f>QV6+QW6+QX6</f>
        <v/>
      </c>
      <c r="QZ6" s="12">
        <f>SUM(QY$5:QY6)</f>
        <v/>
      </c>
      <c r="RA6" s="12">
        <f>OR(RA5,QZ6&gt;=VATThreshold)</f>
        <v/>
      </c>
      <c r="RB6" s="9">
        <f>IF(RA6,QY6/(1+VATRate),QY6)</f>
        <v/>
      </c>
      <c r="RC6" s="12">
        <f>QY6-RB6</f>
        <v/>
      </c>
      <c r="RD6" s="12">
        <f>IF(RA6=0,0,IF(PZ6=1,SUMPRODUCT(--(($QA$5:$QA6=$QA6-1)*($PZ$5:$PZ6&gt;=10)*($PZ$5:$PZ6&lt;=12)),$RC$5:$RC6),IF(PZ6=4,SUMPRODUCT(--(($QA$5:$QA6=$QA6)*($PZ$5:$PZ6&gt;=1)*($PZ$5:$PZ6&lt;=3)),$RC$5:$RC6),IF(PZ6=7,SUMPRODUCT(--(($QA$5:$QA6=$QA6)*($PZ$5:$PZ6&gt;=4)*($PZ$5:$PZ6&lt;=6)),$RC$5:$RC6),IF(PZ6=10,SUMPRODUCT(--(($QA$5:$QA6=$QA6)*($PZ$5:$PZ6&gt;=7)*($PZ$5:$PZ6&lt;=9)),$RC$5:$RC6),0)))))</f>
        <v/>
      </c>
      <c r="RE6" s="12">
        <f>RE5+RC6-RD6</f>
        <v/>
      </c>
      <c r="RF6" s="12">
        <f>IF(ProviderDelay&gt;=1,RB5*ProviderShare,RB6*ProviderShare)</f>
        <v/>
      </c>
      <c r="RG6" s="12">
        <f>QY6*PaymentFee</f>
        <v/>
      </c>
      <c r="RH6" s="12">
        <f>QS6*OpsAI</f>
        <v/>
      </c>
      <c r="RI6" s="12">
        <f>MonthlyFixed</f>
        <v/>
      </c>
      <c r="RJ6" s="12">
        <f>QG6*ReferralReward</f>
        <v/>
      </c>
      <c r="RK6" s="12">
        <f>QE6</f>
        <v/>
      </c>
      <c r="RL6" s="9">
        <f>RB6-RF6-RG6-RH6-RI6-RJ6-RK6</f>
        <v/>
      </c>
      <c r="RM6" s="9">
        <f>RM5+QY6-(RF6+RG6+RH6+RI6+RJ6+RK6+RD6)</f>
        <v/>
      </c>
      <c r="RN6" s="12">
        <f>IF(QS6&gt;0,QT6/QS6,0)</f>
        <v/>
      </c>
      <c r="RO6" s="11">
        <f>IF(QS5&gt;0,MAX(0,(QS5+QH6-QS6)/QS5),0)</f>
        <v/>
      </c>
      <c r="RQ6" s="12" t="n">
        <v>2</v>
      </c>
      <c r="RR6" s="12">
        <f>MOD(RQ6-1+LaunchMonth-1,12)+1</f>
        <v/>
      </c>
      <c r="RS6" s="12">
        <f>INT((RQ6-1+LaunchMonth-1)/12)+1</f>
        <v/>
      </c>
      <c r="RT6" s="12">
        <f>VLOOKUP(RR6,SeasonTable,2,FALSE)</f>
        <v/>
      </c>
      <c r="RU6" s="12">
        <f>(1+InflationRate)^INT((RQ6-1)/12)</f>
        <v/>
      </c>
      <c r="RV6" s="11">
        <f>'Sens - Churn'!$A$21*VLOOKUP(RR6,ChurnSeasonTable,4,FALSE)</f>
        <v/>
      </c>
      <c r="RW6" s="12">
        <f>MktFixed1_3</f>
        <v/>
      </c>
      <c r="RX6" s="12">
        <f>IF(RW6&gt;0,MAX(1,ROUND(RW6/CAC*RT6,0)),0)</f>
        <v/>
      </c>
      <c r="RY6" s="12">
        <f>IF(RX6&gt;0,ROUND(RX6*ReferralMix/(1-ReferralMix),0),0)</f>
        <v/>
      </c>
      <c r="RZ6" s="12">
        <f>RX6+RY6</f>
        <v/>
      </c>
      <c r="SA6" s="12">
        <f>ROUND(RZ6*(1-AnnualMix),0)</f>
        <v/>
      </c>
      <c r="SB6" s="12">
        <f>RZ6-SA6</f>
        <v/>
      </c>
      <c r="SC6" s="12">
        <f>ROUND(SA6*EssentialMix,0)</f>
        <v/>
      </c>
      <c r="SD6" s="12">
        <f>SA6-SC6</f>
        <v/>
      </c>
      <c r="SE6" s="12">
        <f>ROUND(SB6*EssentialMix,0)</f>
        <v/>
      </c>
      <c r="SF6" s="12">
        <f>SB6-SE6</f>
        <v/>
      </c>
      <c r="SG6" s="12">
        <f>SC6+SC5</f>
        <v/>
      </c>
      <c r="SH6" s="12">
        <f>SD6+SD5</f>
        <v/>
      </c>
      <c r="SI6" s="12">
        <f>SUM(SE$5:SE6)</f>
        <v/>
      </c>
      <c r="SJ6" s="12">
        <f>SUM(SF$5:SF6)</f>
        <v/>
      </c>
      <c r="SK6" s="12">
        <f>SG6+SH6+SI6+SJ6</f>
        <v/>
      </c>
      <c r="SL6" s="9">
        <f>SG6*PriceEssMonthly*RU6+SH6*PricePremMonthly*RU6+SI6*PriceEssAnnual*RU6/12+SJ6*PricePremAnnual*RU6/12</f>
        <v/>
      </c>
      <c r="SM6" s="9">
        <f>SL6*12</f>
        <v/>
      </c>
      <c r="SN6" s="12">
        <f>SG6*PriceEssMonthly*RU6+SH6*PricePremMonthly*RU6</f>
        <v/>
      </c>
      <c r="SO6" s="12">
        <f>SE6*PriceEssAnnual*RU6+SF6*PricePremAnnual*RU6</f>
        <v/>
      </c>
      <c r="SP6" s="12">
        <f>0+0</f>
        <v/>
      </c>
      <c r="SQ6" s="9">
        <f>SN6+SO6+SP6</f>
        <v/>
      </c>
      <c r="SR6" s="12">
        <f>SUM(SQ$5:SQ6)</f>
        <v/>
      </c>
      <c r="SS6" s="12">
        <f>OR(SS5,SR6&gt;=VATThreshold)</f>
        <v/>
      </c>
      <c r="ST6" s="9">
        <f>IF(SS6,SQ6/(1+VATRate),SQ6)</f>
        <v/>
      </c>
      <c r="SU6" s="12">
        <f>SQ6-ST6</f>
        <v/>
      </c>
      <c r="SV6" s="12">
        <f>IF(SS6=0,0,IF(RR6=1,SUMPRODUCT(--(($RS$5:$RS6=$RS6-1)*($RR$5:$RR6&gt;=10)*($RR$5:$RR6&lt;=12)),$SU$5:$SU6),IF(RR6=4,SUMPRODUCT(--(($RS$5:$RS6=$RS6)*($RR$5:$RR6&gt;=1)*($RR$5:$RR6&lt;=3)),$SU$5:$SU6),IF(RR6=7,SUMPRODUCT(--(($RS$5:$RS6=$RS6)*($RR$5:$RR6&gt;=4)*($RR$5:$RR6&lt;=6)),$SU$5:$SU6),IF(RR6=10,SUMPRODUCT(--(($RS$5:$RS6=$RS6)*($RR$5:$RR6&gt;=7)*($RR$5:$RR6&lt;=9)),$SU$5:$SU6),0)))))</f>
        <v/>
      </c>
      <c r="SW6" s="12">
        <f>SW5+SU6-SV6</f>
        <v/>
      </c>
      <c r="SX6" s="12">
        <f>IF(ProviderDelay&gt;=1,ST5*ProviderShare,ST6*ProviderShare)</f>
        <v/>
      </c>
      <c r="SY6" s="12">
        <f>SQ6*PaymentFee</f>
        <v/>
      </c>
      <c r="SZ6" s="12">
        <f>SK6*OpsAI</f>
        <v/>
      </c>
      <c r="TA6" s="12">
        <f>MonthlyFixed</f>
        <v/>
      </c>
      <c r="TB6" s="12">
        <f>RY6*ReferralReward</f>
        <v/>
      </c>
      <c r="TC6" s="12">
        <f>RW6</f>
        <v/>
      </c>
      <c r="TD6" s="9">
        <f>ST6-SX6-SY6-SZ6-TA6-TB6-TC6</f>
        <v/>
      </c>
      <c r="TE6" s="9">
        <f>TE5+SQ6-(SX6+SY6+SZ6+TA6+TB6+TC6+SV6)</f>
        <v/>
      </c>
      <c r="TF6" s="12">
        <f>IF(SK6&gt;0,SL6/SK6,0)</f>
        <v/>
      </c>
      <c r="TG6" s="11">
        <f>IF(SK5&gt;0,MAX(0,(SK5+RZ6-SK6)/SK5),0)</f>
        <v/>
      </c>
      <c r="TI6" s="12" t="n">
        <v>2</v>
      </c>
      <c r="TJ6" s="12">
        <f>MOD(TI6-1+LaunchMonth-1,12)+1</f>
        <v/>
      </c>
      <c r="TK6" s="12">
        <f>INT((TI6-1+LaunchMonth-1)/12)+1</f>
        <v/>
      </c>
      <c r="TL6" s="12">
        <f>VLOOKUP(TJ6,SeasonTable,2,FALSE)</f>
        <v/>
      </c>
      <c r="TM6" s="12">
        <f>(1+InflationRate)^INT((TI6-1)/12)</f>
        <v/>
      </c>
      <c r="TN6" s="11">
        <f>MonthlyChurn*VLOOKUP(TJ6,ChurnSeasonTable,4,FALSE)</f>
        <v/>
      </c>
      <c r="TO6" s="12">
        <f>MktFixed1_3</f>
        <v/>
      </c>
      <c r="TP6" s="12">
        <f>IF(TO6&gt;0,MAX(1,ROUND(TO6/CAC*TL6,0)),0)</f>
        <v/>
      </c>
      <c r="TQ6" s="12">
        <f>IF(TP6&gt;0,ROUND(TP6*ReferralMix/(1-ReferralMix),0),0)</f>
        <v/>
      </c>
      <c r="TR6" s="12">
        <f>TP6+TQ6</f>
        <v/>
      </c>
      <c r="TS6" s="12">
        <f>ROUND(TR6*(1-'Sens - Annual Mix'!$A$9),0)</f>
        <v/>
      </c>
      <c r="TT6" s="12">
        <f>TR6-TS6</f>
        <v/>
      </c>
      <c r="TU6" s="12">
        <f>ROUND(TS6*EssentialMix,0)</f>
        <v/>
      </c>
      <c r="TV6" s="12">
        <f>TS6-TU6</f>
        <v/>
      </c>
      <c r="TW6" s="12">
        <f>ROUND(TT6*EssentialMix,0)</f>
        <v/>
      </c>
      <c r="TX6" s="12">
        <f>TT6-TW6</f>
        <v/>
      </c>
      <c r="TY6" s="12">
        <f>TU6+TU5</f>
        <v/>
      </c>
      <c r="TZ6" s="12">
        <f>TV6+TV5</f>
        <v/>
      </c>
      <c r="UA6" s="12">
        <f>SUM(TW$5:TW6)</f>
        <v/>
      </c>
      <c r="UB6" s="12">
        <f>SUM(TX$5:TX6)</f>
        <v/>
      </c>
      <c r="UC6" s="12">
        <f>TY6+TZ6+UA6+UB6</f>
        <v/>
      </c>
      <c r="UD6" s="9">
        <f>TY6*PriceEssMonthly*TM6+TZ6*PricePremMonthly*TM6+UA6*PriceEssAnnual*TM6/12+UB6*PricePremAnnual*TM6/12</f>
        <v/>
      </c>
      <c r="UE6" s="9">
        <f>UD6*12</f>
        <v/>
      </c>
      <c r="UF6" s="12">
        <f>TY6*PriceEssMonthly*TM6+TZ6*PricePremMonthly*TM6</f>
        <v/>
      </c>
      <c r="UG6" s="12">
        <f>TW6*PriceEssAnnual*TM6+TX6*PricePremAnnual*TM6</f>
        <v/>
      </c>
      <c r="UH6" s="12">
        <f>0+0</f>
        <v/>
      </c>
      <c r="UI6" s="9">
        <f>UF6+UG6+UH6</f>
        <v/>
      </c>
      <c r="UJ6" s="12">
        <f>SUM(UI$5:UI6)</f>
        <v/>
      </c>
      <c r="UK6" s="12">
        <f>OR(UK5,UJ6&gt;=VATThreshold)</f>
        <v/>
      </c>
      <c r="UL6" s="9">
        <f>IF(UK6,UI6/(1+VATRate),UI6)</f>
        <v/>
      </c>
      <c r="UM6" s="12">
        <f>UI6-UL6</f>
        <v/>
      </c>
      <c r="UN6" s="12">
        <f>IF(UK6=0,0,IF(TJ6=1,SUMPRODUCT(--(($TK$5:$TK6=$TK6-1)*($TJ$5:$TJ6&gt;=10)*($TJ$5:$TJ6&lt;=12)),$UM$5:$UM6),IF(TJ6=4,SUMPRODUCT(--(($TK$5:$TK6=$TK6)*($TJ$5:$TJ6&gt;=1)*($TJ$5:$TJ6&lt;=3)),$UM$5:$UM6),IF(TJ6=7,SUMPRODUCT(--(($TK$5:$TK6=$TK6)*($TJ$5:$TJ6&gt;=4)*($TJ$5:$TJ6&lt;=6)),$UM$5:$UM6),IF(TJ6=10,SUMPRODUCT(--(($TK$5:$TK6=$TK6)*($TJ$5:$TJ6&gt;=7)*($TJ$5:$TJ6&lt;=9)),$UM$5:$UM6),0)))))</f>
        <v/>
      </c>
      <c r="UO6" s="12">
        <f>UO5+UM6-UN6</f>
        <v/>
      </c>
      <c r="UP6" s="12">
        <f>IF(ProviderDelay&gt;=1,UL5*ProviderShare,UL6*ProviderShare)</f>
        <v/>
      </c>
      <c r="UQ6" s="12">
        <f>UI6*PaymentFee</f>
        <v/>
      </c>
      <c r="UR6" s="12">
        <f>UC6*OpsAI</f>
        <v/>
      </c>
      <c r="US6" s="12">
        <f>MonthlyFixed</f>
        <v/>
      </c>
      <c r="UT6" s="12">
        <f>TQ6*ReferralReward</f>
        <v/>
      </c>
      <c r="UU6" s="12">
        <f>TO6</f>
        <v/>
      </c>
      <c r="UV6" s="9">
        <f>UL6-UP6-UQ6-UR6-US6-UT6-UU6</f>
        <v/>
      </c>
      <c r="UW6" s="9">
        <f>UW5+UI6-(UP6+UQ6+UR6+US6+UT6+UU6+UN6)</f>
        <v/>
      </c>
      <c r="UX6" s="12">
        <f>IF(UC6&gt;0,UD6/UC6,0)</f>
        <v/>
      </c>
      <c r="UY6" s="11">
        <f>IF(UC5&gt;0,MAX(0,(UC5+TR6-UC6)/UC5),0)</f>
        <v/>
      </c>
      <c r="VA6" s="12" t="n">
        <v>2</v>
      </c>
      <c r="VB6" s="12">
        <f>MOD(VA6-1+LaunchMonth-1,12)+1</f>
        <v/>
      </c>
      <c r="VC6" s="12">
        <f>INT((VA6-1+LaunchMonth-1)/12)+1</f>
        <v/>
      </c>
      <c r="VD6" s="12">
        <f>VLOOKUP(VB6,SeasonTable,2,FALSE)</f>
        <v/>
      </c>
      <c r="VE6" s="12">
        <f>(1+InflationRate)^INT((VA6-1)/12)</f>
        <v/>
      </c>
      <c r="VF6" s="11">
        <f>MonthlyChurn*VLOOKUP(VB6,ChurnSeasonTable,4,FALSE)</f>
        <v/>
      </c>
      <c r="VG6" s="12">
        <f>MktFixed1_3</f>
        <v/>
      </c>
      <c r="VH6" s="12">
        <f>IF(VG6&gt;0,MAX(1,ROUND(VG6/CAC*VD6,0)),0)</f>
        <v/>
      </c>
      <c r="VI6" s="12">
        <f>IF(VH6&gt;0,ROUND(VH6*ReferralMix/(1-ReferralMix),0),0)</f>
        <v/>
      </c>
      <c r="VJ6" s="12">
        <f>VH6+VI6</f>
        <v/>
      </c>
      <c r="VK6" s="12">
        <f>ROUND(VJ6*(1-'Sens - Annual Mix'!$A$10),0)</f>
        <v/>
      </c>
      <c r="VL6" s="12">
        <f>VJ6-VK6</f>
        <v/>
      </c>
      <c r="VM6" s="12">
        <f>ROUND(VK6*EssentialMix,0)</f>
        <v/>
      </c>
      <c r="VN6" s="12">
        <f>VK6-VM6</f>
        <v/>
      </c>
      <c r="VO6" s="12">
        <f>ROUND(VL6*EssentialMix,0)</f>
        <v/>
      </c>
      <c r="VP6" s="12">
        <f>VL6-VO6</f>
        <v/>
      </c>
      <c r="VQ6" s="12">
        <f>VM6+VM5</f>
        <v/>
      </c>
      <c r="VR6" s="12">
        <f>VN6+VN5</f>
        <v/>
      </c>
      <c r="VS6" s="12">
        <f>SUM(VO$5:VO6)</f>
        <v/>
      </c>
      <c r="VT6" s="12">
        <f>SUM(VP$5:VP6)</f>
        <v/>
      </c>
      <c r="VU6" s="12">
        <f>VQ6+VR6+VS6+VT6</f>
        <v/>
      </c>
      <c r="VV6" s="9">
        <f>VQ6*PriceEssMonthly*VE6+VR6*PricePremMonthly*VE6+VS6*PriceEssAnnual*VE6/12+VT6*PricePremAnnual*VE6/12</f>
        <v/>
      </c>
      <c r="VW6" s="9">
        <f>VV6*12</f>
        <v/>
      </c>
      <c r="VX6" s="12">
        <f>VQ6*PriceEssMonthly*VE6+VR6*PricePremMonthly*VE6</f>
        <v/>
      </c>
      <c r="VY6" s="12">
        <f>VO6*PriceEssAnnual*VE6+VP6*PricePremAnnual*VE6</f>
        <v/>
      </c>
      <c r="VZ6" s="12">
        <f>0+0</f>
        <v/>
      </c>
      <c r="WA6" s="9">
        <f>VX6+VY6+VZ6</f>
        <v/>
      </c>
      <c r="WB6" s="12">
        <f>SUM(WA$5:WA6)</f>
        <v/>
      </c>
      <c r="WC6" s="12">
        <f>OR(WC5,WB6&gt;=VATThreshold)</f>
        <v/>
      </c>
      <c r="WD6" s="9">
        <f>IF(WC6,WA6/(1+VATRate),WA6)</f>
        <v/>
      </c>
      <c r="WE6" s="12">
        <f>WA6-WD6</f>
        <v/>
      </c>
      <c r="WF6" s="12">
        <f>IF(WC6=0,0,IF(VB6=1,SUMPRODUCT(--(($VC$5:$VC6=$VC6-1)*($VB$5:$VB6&gt;=10)*($VB$5:$VB6&lt;=12)),$WE$5:$WE6),IF(VB6=4,SUMPRODUCT(--(($VC$5:$VC6=$VC6)*($VB$5:$VB6&gt;=1)*($VB$5:$VB6&lt;=3)),$WE$5:$WE6),IF(VB6=7,SUMPRODUCT(--(($VC$5:$VC6=$VC6)*($VB$5:$VB6&gt;=4)*($VB$5:$VB6&lt;=6)),$WE$5:$WE6),IF(VB6=10,SUMPRODUCT(--(($VC$5:$VC6=$VC6)*($VB$5:$VB6&gt;=7)*($VB$5:$VB6&lt;=9)),$WE$5:$WE6),0)))))</f>
        <v/>
      </c>
      <c r="WG6" s="12">
        <f>WG5+WE6-WF6</f>
        <v/>
      </c>
      <c r="WH6" s="12">
        <f>IF(ProviderDelay&gt;=1,WD5*ProviderShare,WD6*ProviderShare)</f>
        <v/>
      </c>
      <c r="WI6" s="12">
        <f>WA6*PaymentFee</f>
        <v/>
      </c>
      <c r="WJ6" s="12">
        <f>VU6*OpsAI</f>
        <v/>
      </c>
      <c r="WK6" s="12">
        <f>MonthlyFixed</f>
        <v/>
      </c>
      <c r="WL6" s="12">
        <f>VI6*ReferralReward</f>
        <v/>
      </c>
      <c r="WM6" s="12">
        <f>VG6</f>
        <v/>
      </c>
      <c r="WN6" s="9">
        <f>WD6-WH6-WI6-WJ6-WK6-WL6-WM6</f>
        <v/>
      </c>
      <c r="WO6" s="9">
        <f>WO5+WA6-(WH6+WI6+WJ6+WK6+WL6+WM6+WF6)</f>
        <v/>
      </c>
      <c r="WP6" s="12">
        <f>IF(VU6&gt;0,VV6/VU6,0)</f>
        <v/>
      </c>
      <c r="WQ6" s="11">
        <f>IF(VU5&gt;0,MAX(0,(VU5+VJ6-VU6)/VU5),0)</f>
        <v/>
      </c>
      <c r="WS6" s="12" t="n">
        <v>2</v>
      </c>
      <c r="WT6" s="12">
        <f>MOD(WS6-1+LaunchMonth-1,12)+1</f>
        <v/>
      </c>
      <c r="WU6" s="12">
        <f>INT((WS6-1+LaunchMonth-1)/12)+1</f>
        <v/>
      </c>
      <c r="WV6" s="12">
        <f>VLOOKUP(WT6,SeasonTable,2,FALSE)</f>
        <v/>
      </c>
      <c r="WW6" s="12">
        <f>(1+InflationRate)^INT((WS6-1)/12)</f>
        <v/>
      </c>
      <c r="WX6" s="11">
        <f>MonthlyChurn*VLOOKUP(WT6,ChurnSeasonTable,4,FALSE)</f>
        <v/>
      </c>
      <c r="WY6" s="12">
        <f>MktFixed1_3</f>
        <v/>
      </c>
      <c r="WZ6" s="12">
        <f>IF(WY6&gt;0,MAX(1,ROUND(WY6/CAC*WV6,0)),0)</f>
        <v/>
      </c>
      <c r="XA6" s="12">
        <f>IF(WZ6&gt;0,ROUND(WZ6*ReferralMix/(1-ReferralMix),0),0)</f>
        <v/>
      </c>
      <c r="XB6" s="12">
        <f>WZ6+XA6</f>
        <v/>
      </c>
      <c r="XC6" s="12">
        <f>ROUND(XB6*(1-'Sens - Annual Mix'!$A$11),0)</f>
        <v/>
      </c>
      <c r="XD6" s="12">
        <f>XB6-XC6</f>
        <v/>
      </c>
      <c r="XE6" s="12">
        <f>ROUND(XC6*EssentialMix,0)</f>
        <v/>
      </c>
      <c r="XF6" s="12">
        <f>XC6-XE6</f>
        <v/>
      </c>
      <c r="XG6" s="12">
        <f>ROUND(XD6*EssentialMix,0)</f>
        <v/>
      </c>
      <c r="XH6" s="12">
        <f>XD6-XG6</f>
        <v/>
      </c>
      <c r="XI6" s="12">
        <f>XE6+XE5</f>
        <v/>
      </c>
      <c r="XJ6" s="12">
        <f>XF6+XF5</f>
        <v/>
      </c>
      <c r="XK6" s="12">
        <f>SUM(XG$5:XG6)</f>
        <v/>
      </c>
      <c r="XL6" s="12">
        <f>SUM(XH$5:XH6)</f>
        <v/>
      </c>
      <c r="XM6" s="12">
        <f>XI6+XJ6+XK6+XL6</f>
        <v/>
      </c>
      <c r="XN6" s="9">
        <f>XI6*PriceEssMonthly*WW6+XJ6*PricePremMonthly*WW6+XK6*PriceEssAnnual*WW6/12+XL6*PricePremAnnual*WW6/12</f>
        <v/>
      </c>
      <c r="XO6" s="9">
        <f>XN6*12</f>
        <v/>
      </c>
      <c r="XP6" s="12">
        <f>XI6*PriceEssMonthly*WW6+XJ6*PricePremMonthly*WW6</f>
        <v/>
      </c>
      <c r="XQ6" s="12">
        <f>XG6*PriceEssAnnual*WW6+XH6*PricePremAnnual*WW6</f>
        <v/>
      </c>
      <c r="XR6" s="12">
        <f>0+0</f>
        <v/>
      </c>
      <c r="XS6" s="9">
        <f>XP6+XQ6+XR6</f>
        <v/>
      </c>
      <c r="XT6" s="12">
        <f>SUM(XS$5:XS6)</f>
        <v/>
      </c>
      <c r="XU6" s="12">
        <f>OR(XU5,XT6&gt;=VATThreshold)</f>
        <v/>
      </c>
      <c r="XV6" s="9">
        <f>IF(XU6,XS6/(1+VATRate),XS6)</f>
        <v/>
      </c>
      <c r="XW6" s="12">
        <f>XS6-XV6</f>
        <v/>
      </c>
      <c r="XX6" s="12">
        <f>IF(XU6=0,0,IF(WT6=1,SUMPRODUCT(--(($WU$5:$WU6=$WU6-1)*($WT$5:$WT6&gt;=10)*($WT$5:$WT6&lt;=12)),$XW$5:$XW6),IF(WT6=4,SUMPRODUCT(--(($WU$5:$WU6=$WU6)*($WT$5:$WT6&gt;=1)*($WT$5:$WT6&lt;=3)),$XW$5:$XW6),IF(WT6=7,SUMPRODUCT(--(($WU$5:$WU6=$WU6)*($WT$5:$WT6&gt;=4)*($WT$5:$WT6&lt;=6)),$XW$5:$XW6),IF(WT6=10,SUMPRODUCT(--(($WU$5:$WU6=$WU6)*($WT$5:$WT6&gt;=7)*($WT$5:$WT6&lt;=9)),$XW$5:$XW6),0)))))</f>
        <v/>
      </c>
      <c r="XY6" s="12">
        <f>XY5+XW6-XX6</f>
        <v/>
      </c>
      <c r="XZ6" s="12">
        <f>IF(ProviderDelay&gt;=1,XV5*ProviderShare,XV6*ProviderShare)</f>
        <v/>
      </c>
      <c r="YA6" s="12">
        <f>XS6*PaymentFee</f>
        <v/>
      </c>
      <c r="YB6" s="12">
        <f>XM6*OpsAI</f>
        <v/>
      </c>
      <c r="YC6" s="12">
        <f>MonthlyFixed</f>
        <v/>
      </c>
      <c r="YD6" s="12">
        <f>XA6*ReferralReward</f>
        <v/>
      </c>
      <c r="YE6" s="12">
        <f>WY6</f>
        <v/>
      </c>
      <c r="YF6" s="9">
        <f>XV6-XZ6-YA6-YB6-YC6-YD6-YE6</f>
        <v/>
      </c>
      <c r="YG6" s="9">
        <f>YG5+XS6-(XZ6+YA6+YB6+YC6+YD6+YE6+XX6)</f>
        <v/>
      </c>
      <c r="YH6" s="12">
        <f>IF(XM6&gt;0,XN6/XM6,0)</f>
        <v/>
      </c>
      <c r="YI6" s="11">
        <f>IF(XM5&gt;0,MAX(0,(XM5+XB6-XM6)/XM5),0)</f>
        <v/>
      </c>
      <c r="YK6" s="12" t="n">
        <v>2</v>
      </c>
      <c r="YL6" s="12">
        <f>MOD(YK6-1+LaunchMonth-1,12)+1</f>
        <v/>
      </c>
      <c r="YM6" s="12">
        <f>INT((YK6-1+LaunchMonth-1)/12)+1</f>
        <v/>
      </c>
      <c r="YN6" s="12">
        <f>VLOOKUP(YL6,SeasonTable,2,FALSE)</f>
        <v/>
      </c>
      <c r="YO6" s="12">
        <f>(1+InflationRate)^INT((YK6-1)/12)</f>
        <v/>
      </c>
      <c r="YP6" s="11">
        <f>MonthlyChurn*VLOOKUP(YL6,ChurnSeasonTable,4,FALSE)</f>
        <v/>
      </c>
      <c r="YQ6" s="12">
        <f>MktFixed1_3</f>
        <v/>
      </c>
      <c r="YR6" s="12">
        <f>IF(YQ6&gt;0,MAX(1,ROUND(YQ6/CAC*YN6,0)),0)</f>
        <v/>
      </c>
      <c r="YS6" s="12">
        <f>IF(YR6&gt;0,ROUND(YR6*ReferralMix/(1-ReferralMix),0),0)</f>
        <v/>
      </c>
      <c r="YT6" s="12">
        <f>YR6+YS6</f>
        <v/>
      </c>
      <c r="YU6" s="12">
        <f>ROUND(YT6*(1-'Sens - Annual Mix'!$A$12),0)</f>
        <v/>
      </c>
      <c r="YV6" s="12">
        <f>YT6-YU6</f>
        <v/>
      </c>
      <c r="YW6" s="12">
        <f>ROUND(YU6*EssentialMix,0)</f>
        <v/>
      </c>
      <c r="YX6" s="12">
        <f>YU6-YW6</f>
        <v/>
      </c>
      <c r="YY6" s="12">
        <f>ROUND(YV6*EssentialMix,0)</f>
        <v/>
      </c>
      <c r="YZ6" s="12">
        <f>YV6-YY6</f>
        <v/>
      </c>
      <c r="ZA6" s="12">
        <f>YW6+YW5</f>
        <v/>
      </c>
      <c r="ZB6" s="12">
        <f>YX6+YX5</f>
        <v/>
      </c>
      <c r="ZC6" s="12">
        <f>SUM(YY$5:YY6)</f>
        <v/>
      </c>
      <c r="ZD6" s="12">
        <f>SUM(YZ$5:YZ6)</f>
        <v/>
      </c>
      <c r="ZE6" s="12">
        <f>ZA6+ZB6+ZC6+ZD6</f>
        <v/>
      </c>
      <c r="ZF6" s="9">
        <f>ZA6*PriceEssMonthly*YO6+ZB6*PricePremMonthly*YO6+ZC6*PriceEssAnnual*YO6/12+ZD6*PricePremAnnual*YO6/12</f>
        <v/>
      </c>
      <c r="ZG6" s="9">
        <f>ZF6*12</f>
        <v/>
      </c>
      <c r="ZH6" s="12">
        <f>ZA6*PriceEssMonthly*YO6+ZB6*PricePremMonthly*YO6</f>
        <v/>
      </c>
      <c r="ZI6" s="12">
        <f>YY6*PriceEssAnnual*YO6+YZ6*PricePremAnnual*YO6</f>
        <v/>
      </c>
      <c r="ZJ6" s="12">
        <f>0+0</f>
        <v/>
      </c>
      <c r="ZK6" s="9">
        <f>ZH6+ZI6+ZJ6</f>
        <v/>
      </c>
      <c r="ZL6" s="12">
        <f>SUM(ZK$5:ZK6)</f>
        <v/>
      </c>
      <c r="ZM6" s="12">
        <f>OR(ZM5,ZL6&gt;=VATThreshold)</f>
        <v/>
      </c>
      <c r="ZN6" s="9">
        <f>IF(ZM6,ZK6/(1+VATRate),ZK6)</f>
        <v/>
      </c>
      <c r="ZO6" s="12">
        <f>ZK6-ZN6</f>
        <v/>
      </c>
      <c r="ZP6" s="12">
        <f>IF(ZM6=0,0,IF(YL6=1,SUMPRODUCT(--(($YM$5:$YM6=$YM6-1)*($YL$5:$YL6&gt;=10)*($YL$5:$YL6&lt;=12)),$ZO$5:$ZO6),IF(YL6=4,SUMPRODUCT(--(($YM$5:$YM6=$YM6)*($YL$5:$YL6&gt;=1)*($YL$5:$YL6&lt;=3)),$ZO$5:$ZO6),IF(YL6=7,SUMPRODUCT(--(($YM$5:$YM6=$YM6)*($YL$5:$YL6&gt;=4)*($YL$5:$YL6&lt;=6)),$ZO$5:$ZO6),IF(YL6=10,SUMPRODUCT(--(($YM$5:$YM6=$YM6)*($YL$5:$YL6&gt;=7)*($YL$5:$YL6&lt;=9)),$ZO$5:$ZO6),0)))))</f>
        <v/>
      </c>
      <c r="ZQ6" s="12">
        <f>ZQ5+ZO6-ZP6</f>
        <v/>
      </c>
      <c r="ZR6" s="12">
        <f>IF(ProviderDelay&gt;=1,ZN5*ProviderShare,ZN6*ProviderShare)</f>
        <v/>
      </c>
      <c r="ZS6" s="12">
        <f>ZK6*PaymentFee</f>
        <v/>
      </c>
      <c r="ZT6" s="12">
        <f>ZE6*OpsAI</f>
        <v/>
      </c>
      <c r="ZU6" s="12">
        <f>MonthlyFixed</f>
        <v/>
      </c>
      <c r="ZV6" s="12">
        <f>YS6*ReferralReward</f>
        <v/>
      </c>
      <c r="ZW6" s="12">
        <f>YQ6</f>
        <v/>
      </c>
      <c r="ZX6" s="9">
        <f>ZN6-ZR6-ZS6-ZT6-ZU6-ZV6-ZW6</f>
        <v/>
      </c>
      <c r="ZY6" s="9">
        <f>ZY5+ZK6-(ZR6+ZS6+ZT6+ZU6+ZV6+ZW6+ZP6)</f>
        <v/>
      </c>
      <c r="ZZ6" s="12">
        <f>IF(ZE6&gt;0,ZF6/ZE6,0)</f>
        <v/>
      </c>
      <c r="AAA6" s="11">
        <f>IF(ZE5&gt;0,MAX(0,(ZE5+YT6-ZE6)/ZE5),0)</f>
        <v/>
      </c>
      <c r="AAC6" s="12" t="n">
        <v>2</v>
      </c>
      <c r="AAD6" s="12">
        <f>MOD(AAC6-1+LaunchMonth-1,12)+1</f>
        <v/>
      </c>
      <c r="AAE6" s="12">
        <f>INT((AAC6-1+LaunchMonth-1)/12)+1</f>
        <v/>
      </c>
      <c r="AAF6" s="12">
        <f>VLOOKUP(AAD6,SeasonTable,2,FALSE)</f>
        <v/>
      </c>
      <c r="AAG6" s="12">
        <f>(1+InflationRate)^INT((AAC6-1)/12)</f>
        <v/>
      </c>
      <c r="AAH6" s="11">
        <f>MonthlyChurn*VLOOKUP(AAD6,ChurnSeasonTable,4,FALSE)</f>
        <v/>
      </c>
      <c r="AAI6" s="12">
        <f>MktFixed1_3</f>
        <v/>
      </c>
      <c r="AAJ6" s="12">
        <f>IF(AAI6&gt;0,MAX(1,ROUND(AAI6/CAC*AAF6,0)),0)</f>
        <v/>
      </c>
      <c r="AAK6" s="12">
        <f>IF(AAJ6&gt;0,ROUND(AAJ6*ReferralMix/(1-ReferralMix),0),0)</f>
        <v/>
      </c>
      <c r="AAL6" s="12">
        <f>AAJ6+AAK6</f>
        <v/>
      </c>
      <c r="AAM6" s="12">
        <f>ROUND(AAL6*(1-'Sens - Annual Mix'!$A$13),0)</f>
        <v/>
      </c>
      <c r="AAN6" s="12">
        <f>AAL6-AAM6</f>
        <v/>
      </c>
      <c r="AAO6" s="12">
        <f>ROUND(AAM6*EssentialMix,0)</f>
        <v/>
      </c>
      <c r="AAP6" s="12">
        <f>AAM6-AAO6</f>
        <v/>
      </c>
      <c r="AAQ6" s="12">
        <f>ROUND(AAN6*EssentialMix,0)</f>
        <v/>
      </c>
      <c r="AAR6" s="12">
        <f>AAN6-AAQ6</f>
        <v/>
      </c>
      <c r="AAS6" s="12">
        <f>AAO6+AAO5</f>
        <v/>
      </c>
      <c r="AAT6" s="12">
        <f>AAP6+AAP5</f>
        <v/>
      </c>
      <c r="AAU6" s="12">
        <f>SUM(AAQ$5:AAQ6)</f>
        <v/>
      </c>
      <c r="AAV6" s="12">
        <f>SUM(AAR$5:AAR6)</f>
        <v/>
      </c>
      <c r="AAW6" s="12">
        <f>AAS6+AAT6+AAU6+AAV6</f>
        <v/>
      </c>
      <c r="AAX6" s="9">
        <f>AAS6*PriceEssMonthly*AAG6+AAT6*PricePremMonthly*AAG6+AAU6*PriceEssAnnual*AAG6/12+AAV6*PricePremAnnual*AAG6/12</f>
        <v/>
      </c>
      <c r="AAY6" s="9">
        <f>AAX6*12</f>
        <v/>
      </c>
      <c r="AAZ6" s="12">
        <f>AAS6*PriceEssMonthly*AAG6+AAT6*PricePremMonthly*AAG6</f>
        <v/>
      </c>
      <c r="ABA6" s="12">
        <f>AAQ6*PriceEssAnnual*AAG6+AAR6*PricePremAnnual*AAG6</f>
        <v/>
      </c>
      <c r="ABB6" s="12">
        <f>0+0</f>
        <v/>
      </c>
      <c r="ABC6" s="9">
        <f>AAZ6+ABA6+ABB6</f>
        <v/>
      </c>
      <c r="ABD6" s="12">
        <f>SUM(ABC$5:ABC6)</f>
        <v/>
      </c>
      <c r="ABE6" s="12">
        <f>OR(ABE5,ABD6&gt;=VATThreshold)</f>
        <v/>
      </c>
      <c r="ABF6" s="9">
        <f>IF(ABE6,ABC6/(1+VATRate),ABC6)</f>
        <v/>
      </c>
      <c r="ABG6" s="12">
        <f>ABC6-ABF6</f>
        <v/>
      </c>
      <c r="ABH6" s="12">
        <f>IF(ABE6=0,0,IF(AAD6=1,SUMPRODUCT(--(($AAE$5:$AAE6=$AAE6-1)*($AAD$5:$AAD6&gt;=10)*($AAD$5:$AAD6&lt;=12)),$ABG$5:$ABG6),IF(AAD6=4,SUMPRODUCT(--(($AAE$5:$AAE6=$AAE6)*($AAD$5:$AAD6&gt;=1)*($AAD$5:$AAD6&lt;=3)),$ABG$5:$ABG6),IF(AAD6=7,SUMPRODUCT(--(($AAE$5:$AAE6=$AAE6)*($AAD$5:$AAD6&gt;=4)*($AAD$5:$AAD6&lt;=6)),$ABG$5:$ABG6),IF(AAD6=10,SUMPRODUCT(--(($AAE$5:$AAE6=$AAE6)*($AAD$5:$AAD6&gt;=7)*($AAD$5:$AAD6&lt;=9)),$ABG$5:$ABG6),0)))))</f>
        <v/>
      </c>
      <c r="ABI6" s="12">
        <f>ABI5+ABG6-ABH6</f>
        <v/>
      </c>
      <c r="ABJ6" s="12">
        <f>IF(ProviderDelay&gt;=1,ABF5*ProviderShare,ABF6*ProviderShare)</f>
        <v/>
      </c>
      <c r="ABK6" s="12">
        <f>ABC6*PaymentFee</f>
        <v/>
      </c>
      <c r="ABL6" s="12">
        <f>AAW6*OpsAI</f>
        <v/>
      </c>
      <c r="ABM6" s="12">
        <f>MonthlyFixed</f>
        <v/>
      </c>
      <c r="ABN6" s="12">
        <f>AAK6*ReferralReward</f>
        <v/>
      </c>
      <c r="ABO6" s="12">
        <f>AAI6</f>
        <v/>
      </c>
      <c r="ABP6" s="9">
        <f>ABF6-ABJ6-ABK6-ABL6-ABM6-ABN6-ABO6</f>
        <v/>
      </c>
      <c r="ABQ6" s="9">
        <f>ABQ5+ABC6-(ABJ6+ABK6+ABL6+ABM6+ABN6+ABO6+ABH6)</f>
        <v/>
      </c>
      <c r="ABR6" s="12">
        <f>IF(AAW6&gt;0,AAX6/AAW6,0)</f>
        <v/>
      </c>
      <c r="ABS6" s="11">
        <f>IF(AAW5&gt;0,MAX(0,(AAW5+AAL6-AAW6)/AAW5),0)</f>
        <v/>
      </c>
      <c r="ABU6" s="12" t="n">
        <v>2</v>
      </c>
      <c r="ABV6" s="12">
        <f>MOD(ABU6-1+LaunchMonth-1,12)+1</f>
        <v/>
      </c>
      <c r="ABW6" s="12">
        <f>INT((ABU6-1+LaunchMonth-1)/12)+1</f>
        <v/>
      </c>
      <c r="ABX6" s="12">
        <f>VLOOKUP(ABV6,SeasonTable,2,FALSE)</f>
        <v/>
      </c>
      <c r="ABY6" s="12">
        <f>(1+InflationRate)^INT((ABU6-1)/12)</f>
        <v/>
      </c>
      <c r="ABZ6" s="11">
        <f>MonthlyChurn*VLOOKUP(ABV6,ChurnSeasonTable,4,FALSE)</f>
        <v/>
      </c>
      <c r="ACA6" s="12">
        <f>MktFixed1_3</f>
        <v/>
      </c>
      <c r="ACB6" s="12">
        <f>IF(ACA6&gt;0,MAX(1,ROUND(ACA6/CAC*ABX6,0)),0)</f>
        <v/>
      </c>
      <c r="ACC6" s="12">
        <f>IF(ACB6&gt;0,ROUND(ACB6*ReferralMix/(1-ReferralMix),0),0)</f>
        <v/>
      </c>
      <c r="ACD6" s="12">
        <f>ACB6+ACC6</f>
        <v/>
      </c>
      <c r="ACE6" s="12">
        <f>ROUND(ACD6*(1-'Sens - Annual Mix'!$A$14),0)</f>
        <v/>
      </c>
      <c r="ACF6" s="12">
        <f>ACD6-ACE6</f>
        <v/>
      </c>
      <c r="ACG6" s="12">
        <f>ROUND(ACE6*EssentialMix,0)</f>
        <v/>
      </c>
      <c r="ACH6" s="12">
        <f>ACE6-ACG6</f>
        <v/>
      </c>
      <c r="ACI6" s="12">
        <f>ROUND(ACF6*EssentialMix,0)</f>
        <v/>
      </c>
      <c r="ACJ6" s="12">
        <f>ACF6-ACI6</f>
        <v/>
      </c>
      <c r="ACK6" s="12">
        <f>ACG6+ACG5</f>
        <v/>
      </c>
      <c r="ACL6" s="12">
        <f>ACH6+ACH5</f>
        <v/>
      </c>
      <c r="ACM6" s="12">
        <f>SUM(ACI$5:ACI6)</f>
        <v/>
      </c>
      <c r="ACN6" s="12">
        <f>SUM(ACJ$5:ACJ6)</f>
        <v/>
      </c>
      <c r="ACO6" s="12">
        <f>ACK6+ACL6+ACM6+ACN6</f>
        <v/>
      </c>
      <c r="ACP6" s="9">
        <f>ACK6*PriceEssMonthly*ABY6+ACL6*PricePremMonthly*ABY6+ACM6*PriceEssAnnual*ABY6/12+ACN6*PricePremAnnual*ABY6/12</f>
        <v/>
      </c>
      <c r="ACQ6" s="9">
        <f>ACP6*12</f>
        <v/>
      </c>
      <c r="ACR6" s="12">
        <f>ACK6*PriceEssMonthly*ABY6+ACL6*PricePremMonthly*ABY6</f>
        <v/>
      </c>
      <c r="ACS6" s="12">
        <f>ACI6*PriceEssAnnual*ABY6+ACJ6*PricePremAnnual*ABY6</f>
        <v/>
      </c>
      <c r="ACT6" s="12">
        <f>0+0</f>
        <v/>
      </c>
      <c r="ACU6" s="9">
        <f>ACR6+ACS6+ACT6</f>
        <v/>
      </c>
      <c r="ACV6" s="12">
        <f>SUM(ACU$5:ACU6)</f>
        <v/>
      </c>
      <c r="ACW6" s="12">
        <f>OR(ACW5,ACV6&gt;=VATThreshold)</f>
        <v/>
      </c>
      <c r="ACX6" s="9">
        <f>IF(ACW6,ACU6/(1+VATRate),ACU6)</f>
        <v/>
      </c>
      <c r="ACY6" s="12">
        <f>ACU6-ACX6</f>
        <v/>
      </c>
      <c r="ACZ6" s="12">
        <f>IF(ACW6=0,0,IF(ABV6=1,SUMPRODUCT(--(($ABW$5:$ABW6=$ABW6-1)*($ABV$5:$ABV6&gt;=10)*($ABV$5:$ABV6&lt;=12)),$ACY$5:$ACY6),IF(ABV6=4,SUMPRODUCT(--(($ABW$5:$ABW6=$ABW6)*($ABV$5:$ABV6&gt;=1)*($ABV$5:$ABV6&lt;=3)),$ACY$5:$ACY6),IF(ABV6=7,SUMPRODUCT(--(($ABW$5:$ABW6=$ABW6)*($ABV$5:$ABV6&gt;=4)*($ABV$5:$ABV6&lt;=6)),$ACY$5:$ACY6),IF(ABV6=10,SUMPRODUCT(--(($ABW$5:$ABW6=$ABW6)*($ABV$5:$ABV6&gt;=7)*($ABV$5:$ABV6&lt;=9)),$ACY$5:$ACY6),0)))))</f>
        <v/>
      </c>
      <c r="ADA6" s="12">
        <f>ADA5+ACY6-ACZ6</f>
        <v/>
      </c>
      <c r="ADB6" s="12">
        <f>IF(ProviderDelay&gt;=1,ACX5*ProviderShare,ACX6*ProviderShare)</f>
        <v/>
      </c>
      <c r="ADC6" s="12">
        <f>ACU6*PaymentFee</f>
        <v/>
      </c>
      <c r="ADD6" s="12">
        <f>ACO6*OpsAI</f>
        <v/>
      </c>
      <c r="ADE6" s="12">
        <f>MonthlyFixed</f>
        <v/>
      </c>
      <c r="ADF6" s="12">
        <f>ACC6*ReferralReward</f>
        <v/>
      </c>
      <c r="ADG6" s="12">
        <f>ACA6</f>
        <v/>
      </c>
      <c r="ADH6" s="9">
        <f>ACX6-ADB6-ADC6-ADD6-ADE6-ADF6-ADG6</f>
        <v/>
      </c>
      <c r="ADI6" s="9">
        <f>ADI5+ACU6-(ADB6+ADC6+ADD6+ADE6+ADF6+ADG6+ACZ6)</f>
        <v/>
      </c>
      <c r="ADJ6" s="12">
        <f>IF(ACO6&gt;0,ACP6/ACO6,0)</f>
        <v/>
      </c>
      <c r="ADK6" s="11">
        <f>IF(ACO5&gt;0,MAX(0,(ACO5+ACD6-ACO6)/ACO5),0)</f>
        <v/>
      </c>
      <c r="ADM6" s="12" t="n">
        <v>2</v>
      </c>
      <c r="ADN6" s="12">
        <f>MOD(ADM6-1+LaunchMonth-1,12)+1</f>
        <v/>
      </c>
      <c r="ADO6" s="12">
        <f>INT((ADM6-1+LaunchMonth-1)/12)+1</f>
        <v/>
      </c>
      <c r="ADP6" s="12">
        <f>VLOOKUP(ADN6,SeasonTable,2,FALSE)</f>
        <v/>
      </c>
      <c r="ADQ6" s="12">
        <f>(1+InflationRate)^INT((ADM6-1)/12)</f>
        <v/>
      </c>
      <c r="ADR6" s="11">
        <f>MonthlyChurn*VLOOKUP(ADN6,ChurnSeasonTable,4,FALSE)</f>
        <v/>
      </c>
      <c r="ADS6" s="12">
        <f>MktFixed1_3</f>
        <v/>
      </c>
      <c r="ADT6" s="12">
        <f>IF(ADS6&gt;0,MAX(1,ROUND(ADS6/CAC*ADP6,0)),0)</f>
        <v/>
      </c>
      <c r="ADU6" s="12">
        <f>IF(ADT6&gt;0,ROUND(ADT6*ReferralMix/(1-ReferralMix),0),0)</f>
        <v/>
      </c>
      <c r="ADV6" s="12">
        <f>ADT6+ADU6</f>
        <v/>
      </c>
      <c r="ADW6" s="12">
        <f>ROUND(ADV6*(1-'Sens - Annual Mix'!$A$15),0)</f>
        <v/>
      </c>
      <c r="ADX6" s="12">
        <f>ADV6-ADW6</f>
        <v/>
      </c>
      <c r="ADY6" s="12">
        <f>ROUND(ADW6*EssentialMix,0)</f>
        <v/>
      </c>
      <c r="ADZ6" s="12">
        <f>ADW6-ADY6</f>
        <v/>
      </c>
      <c r="AEA6" s="12">
        <f>ROUND(ADX6*EssentialMix,0)</f>
        <v/>
      </c>
      <c r="AEB6" s="12">
        <f>ADX6-AEA6</f>
        <v/>
      </c>
      <c r="AEC6" s="12">
        <f>ADY6+ADY5</f>
        <v/>
      </c>
      <c r="AED6" s="12">
        <f>ADZ6+ADZ5</f>
        <v/>
      </c>
      <c r="AEE6" s="12">
        <f>SUM(AEA$5:AEA6)</f>
        <v/>
      </c>
      <c r="AEF6" s="12">
        <f>SUM(AEB$5:AEB6)</f>
        <v/>
      </c>
      <c r="AEG6" s="12">
        <f>AEC6+AED6+AEE6+AEF6</f>
        <v/>
      </c>
      <c r="AEH6" s="9">
        <f>AEC6*PriceEssMonthly*ADQ6+AED6*PricePremMonthly*ADQ6+AEE6*PriceEssAnnual*ADQ6/12+AEF6*PricePremAnnual*ADQ6/12</f>
        <v/>
      </c>
      <c r="AEI6" s="9">
        <f>AEH6*12</f>
        <v/>
      </c>
      <c r="AEJ6" s="12">
        <f>AEC6*PriceEssMonthly*ADQ6+AED6*PricePremMonthly*ADQ6</f>
        <v/>
      </c>
      <c r="AEK6" s="12">
        <f>AEA6*PriceEssAnnual*ADQ6+AEB6*PricePremAnnual*ADQ6</f>
        <v/>
      </c>
      <c r="AEL6" s="12">
        <f>0+0</f>
        <v/>
      </c>
      <c r="AEM6" s="9">
        <f>AEJ6+AEK6+AEL6</f>
        <v/>
      </c>
      <c r="AEN6" s="12">
        <f>SUM(AEM$5:AEM6)</f>
        <v/>
      </c>
      <c r="AEO6" s="12">
        <f>OR(AEO5,AEN6&gt;=VATThreshold)</f>
        <v/>
      </c>
      <c r="AEP6" s="9">
        <f>IF(AEO6,AEM6/(1+VATRate),AEM6)</f>
        <v/>
      </c>
      <c r="AEQ6" s="12">
        <f>AEM6-AEP6</f>
        <v/>
      </c>
      <c r="AER6" s="12">
        <f>IF(AEO6=0,0,IF(ADN6=1,SUMPRODUCT(--(($ADO$5:$ADO6=$ADO6-1)*($ADN$5:$ADN6&gt;=10)*($ADN$5:$ADN6&lt;=12)),$AEQ$5:$AEQ6),IF(ADN6=4,SUMPRODUCT(--(($ADO$5:$ADO6=$ADO6)*($ADN$5:$ADN6&gt;=1)*($ADN$5:$ADN6&lt;=3)),$AEQ$5:$AEQ6),IF(ADN6=7,SUMPRODUCT(--(($ADO$5:$ADO6=$ADO6)*($ADN$5:$ADN6&gt;=4)*($ADN$5:$ADN6&lt;=6)),$AEQ$5:$AEQ6),IF(ADN6=10,SUMPRODUCT(--(($ADO$5:$ADO6=$ADO6)*($ADN$5:$ADN6&gt;=7)*($ADN$5:$ADN6&lt;=9)),$AEQ$5:$AEQ6),0)))))</f>
        <v/>
      </c>
      <c r="AES6" s="12">
        <f>AES5+AEQ6-AER6</f>
        <v/>
      </c>
      <c r="AET6" s="12">
        <f>IF(ProviderDelay&gt;=1,AEP5*ProviderShare,AEP6*ProviderShare)</f>
        <v/>
      </c>
      <c r="AEU6" s="12">
        <f>AEM6*PaymentFee</f>
        <v/>
      </c>
      <c r="AEV6" s="12">
        <f>AEG6*OpsAI</f>
        <v/>
      </c>
      <c r="AEW6" s="12">
        <f>MonthlyFixed</f>
        <v/>
      </c>
      <c r="AEX6" s="12">
        <f>ADU6*ReferralReward</f>
        <v/>
      </c>
      <c r="AEY6" s="12">
        <f>ADS6</f>
        <v/>
      </c>
      <c r="AEZ6" s="9">
        <f>AEP6-AET6-AEU6-AEV6-AEW6-AEX6-AEY6</f>
        <v/>
      </c>
      <c r="AFA6" s="9">
        <f>AFA5+AEM6-(AET6+AEU6+AEV6+AEW6+AEX6+AEY6+AER6)</f>
        <v/>
      </c>
      <c r="AFB6" s="12">
        <f>IF(AEG6&gt;0,AEH6/AEG6,0)</f>
        <v/>
      </c>
      <c r="AFC6" s="11">
        <f>IF(AEG5&gt;0,MAX(0,(AEG5+ADV6-AEG6)/AEG5),0)</f>
        <v/>
      </c>
      <c r="AFE6" s="12" t="n">
        <v>2</v>
      </c>
      <c r="AFF6" s="12">
        <f>MOD(AFE6-1+LaunchMonth-1,12)+1</f>
        <v/>
      </c>
      <c r="AFG6" s="12">
        <f>INT((AFE6-1+LaunchMonth-1)/12)+1</f>
        <v/>
      </c>
      <c r="AFH6" s="12">
        <f>VLOOKUP(AFF6,SeasonTable,2,FALSE)</f>
        <v/>
      </c>
      <c r="AFI6" s="12">
        <f>(1+InflationRate)^INT((AFE6-1)/12)</f>
        <v/>
      </c>
      <c r="AFJ6" s="11">
        <f>MonthlyChurn*VLOOKUP(AFF6,ChurnSeasonTable,4,FALSE)</f>
        <v/>
      </c>
      <c r="AFK6" s="12">
        <f>MktFixed1_3</f>
        <v/>
      </c>
      <c r="AFL6" s="12">
        <f>IF(AFK6&gt;0,MAX(1,ROUND(AFK6/'Sens - CAC &amp; Marketing'!$A$9*AFH6,0)),0)</f>
        <v/>
      </c>
      <c r="AFM6" s="12">
        <f>IF(AFL6&gt;0,ROUND(AFL6*ReferralMix/(1-ReferralMix),0),0)</f>
        <v/>
      </c>
      <c r="AFN6" s="12">
        <f>AFL6+AFM6</f>
        <v/>
      </c>
      <c r="AFO6" s="12">
        <f>ROUND(AFN6*(1-AnnualMix),0)</f>
        <v/>
      </c>
      <c r="AFP6" s="12">
        <f>AFN6-AFO6</f>
        <v/>
      </c>
      <c r="AFQ6" s="12">
        <f>ROUND(AFO6*EssentialMix,0)</f>
        <v/>
      </c>
      <c r="AFR6" s="12">
        <f>AFO6-AFQ6</f>
        <v/>
      </c>
      <c r="AFS6" s="12">
        <f>ROUND(AFP6*EssentialMix,0)</f>
        <v/>
      </c>
      <c r="AFT6" s="12">
        <f>AFP6-AFS6</f>
        <v/>
      </c>
      <c r="AFU6" s="12">
        <f>AFQ6+AFQ5</f>
        <v/>
      </c>
      <c r="AFV6" s="12">
        <f>AFR6+AFR5</f>
        <v/>
      </c>
      <c r="AFW6" s="12">
        <f>SUM(AFS$5:AFS6)</f>
        <v/>
      </c>
      <c r="AFX6" s="12">
        <f>SUM(AFT$5:AFT6)</f>
        <v/>
      </c>
      <c r="AFY6" s="12">
        <f>AFU6+AFV6+AFW6+AFX6</f>
        <v/>
      </c>
      <c r="AFZ6" s="9">
        <f>AFU6*PriceEssMonthly*AFI6+AFV6*PricePremMonthly*AFI6+AFW6*PriceEssAnnual*AFI6/12+AFX6*PricePremAnnual*AFI6/12</f>
        <v/>
      </c>
      <c r="AGA6" s="9">
        <f>AFZ6*12</f>
        <v/>
      </c>
      <c r="AGB6" s="12">
        <f>AFU6*PriceEssMonthly*AFI6+AFV6*PricePremMonthly*AFI6</f>
        <v/>
      </c>
      <c r="AGC6" s="12">
        <f>AFS6*PriceEssAnnual*AFI6+AFT6*PricePremAnnual*AFI6</f>
        <v/>
      </c>
      <c r="AGD6" s="12">
        <f>0+0</f>
        <v/>
      </c>
      <c r="AGE6" s="9">
        <f>AGB6+AGC6+AGD6</f>
        <v/>
      </c>
      <c r="AGF6" s="12">
        <f>SUM(AGE$5:AGE6)</f>
        <v/>
      </c>
      <c r="AGG6" s="12">
        <f>OR(AGG5,AGF6&gt;=VATThreshold)</f>
        <v/>
      </c>
      <c r="AGH6" s="9">
        <f>IF(AGG6,AGE6/(1+VATRate),AGE6)</f>
        <v/>
      </c>
      <c r="AGI6" s="12">
        <f>AGE6-AGH6</f>
        <v/>
      </c>
      <c r="AGJ6" s="12">
        <f>IF(AGG6=0,0,IF(AFF6=1,SUMPRODUCT(--(($AFG$5:$AFG6=$AFG6-1)*($AFF$5:$AFF6&gt;=10)*($AFF$5:$AFF6&lt;=12)),$AGI$5:$AGI6),IF(AFF6=4,SUMPRODUCT(--(($AFG$5:$AFG6=$AFG6)*($AFF$5:$AFF6&gt;=1)*($AFF$5:$AFF6&lt;=3)),$AGI$5:$AGI6),IF(AFF6=7,SUMPRODUCT(--(($AFG$5:$AFG6=$AFG6)*($AFF$5:$AFF6&gt;=4)*($AFF$5:$AFF6&lt;=6)),$AGI$5:$AGI6),IF(AFF6=10,SUMPRODUCT(--(($AFG$5:$AFG6=$AFG6)*($AFF$5:$AFF6&gt;=7)*($AFF$5:$AFF6&lt;=9)),$AGI$5:$AGI6),0)))))</f>
        <v/>
      </c>
      <c r="AGK6" s="12">
        <f>AGK5+AGI6-AGJ6</f>
        <v/>
      </c>
      <c r="AGL6" s="12">
        <f>IF(ProviderDelay&gt;=1,AGH5*ProviderShare,AGH6*ProviderShare)</f>
        <v/>
      </c>
      <c r="AGM6" s="12">
        <f>AGE6*PaymentFee</f>
        <v/>
      </c>
      <c r="AGN6" s="12">
        <f>AFY6*OpsAI</f>
        <v/>
      </c>
      <c r="AGO6" s="12">
        <f>MonthlyFixed</f>
        <v/>
      </c>
      <c r="AGP6" s="12">
        <f>AFM6*ReferralReward</f>
        <v/>
      </c>
      <c r="AGQ6" s="12">
        <f>AFK6</f>
        <v/>
      </c>
      <c r="AGR6" s="9">
        <f>AGH6-AGL6-AGM6-AGN6-AGO6-AGP6-AGQ6</f>
        <v/>
      </c>
      <c r="AGS6" s="9">
        <f>AGS5+AGE6-(AGL6+AGM6+AGN6+AGO6+AGP6+AGQ6+AGJ6)</f>
        <v/>
      </c>
      <c r="AGT6" s="12">
        <f>IF(AFY6&gt;0,AFZ6/AFY6,0)</f>
        <v/>
      </c>
      <c r="AGU6" s="11">
        <f>IF(AFY5&gt;0,MAX(0,(AFY5+AFN6-AFY6)/AFY5),0)</f>
        <v/>
      </c>
      <c r="AGW6" s="12" t="n">
        <v>2</v>
      </c>
      <c r="AGX6" s="12">
        <f>MOD(AGW6-1+LaunchMonth-1,12)+1</f>
        <v/>
      </c>
      <c r="AGY6" s="12">
        <f>INT((AGW6-1+LaunchMonth-1)/12)+1</f>
        <v/>
      </c>
      <c r="AGZ6" s="12">
        <f>VLOOKUP(AGX6,SeasonTable,2,FALSE)</f>
        <v/>
      </c>
      <c r="AHA6" s="12">
        <f>(1+InflationRate)^INT((AGW6-1)/12)</f>
        <v/>
      </c>
      <c r="AHB6" s="11">
        <f>MonthlyChurn*VLOOKUP(AGX6,ChurnSeasonTable,4,FALSE)</f>
        <v/>
      </c>
      <c r="AHC6" s="12">
        <f>MktFixed1_3</f>
        <v/>
      </c>
      <c r="AHD6" s="12">
        <f>IF(AHC6&gt;0,MAX(1,ROUND(AHC6/'Sens - CAC &amp; Marketing'!$A$10*AGZ6,0)),0)</f>
        <v/>
      </c>
      <c r="AHE6" s="12">
        <f>IF(AHD6&gt;0,ROUND(AHD6*ReferralMix/(1-ReferralMix),0),0)</f>
        <v/>
      </c>
      <c r="AHF6" s="12">
        <f>AHD6+AHE6</f>
        <v/>
      </c>
      <c r="AHG6" s="12">
        <f>ROUND(AHF6*(1-AnnualMix),0)</f>
        <v/>
      </c>
      <c r="AHH6" s="12">
        <f>AHF6-AHG6</f>
        <v/>
      </c>
      <c r="AHI6" s="12">
        <f>ROUND(AHG6*EssentialMix,0)</f>
        <v/>
      </c>
      <c r="AHJ6" s="12">
        <f>AHG6-AHI6</f>
        <v/>
      </c>
      <c r="AHK6" s="12">
        <f>ROUND(AHH6*EssentialMix,0)</f>
        <v/>
      </c>
      <c r="AHL6" s="12">
        <f>AHH6-AHK6</f>
        <v/>
      </c>
      <c r="AHM6" s="12">
        <f>AHI6+AHI5</f>
        <v/>
      </c>
      <c r="AHN6" s="12">
        <f>AHJ6+AHJ5</f>
        <v/>
      </c>
      <c r="AHO6" s="12">
        <f>SUM(AHK$5:AHK6)</f>
        <v/>
      </c>
      <c r="AHP6" s="12">
        <f>SUM(AHL$5:AHL6)</f>
        <v/>
      </c>
      <c r="AHQ6" s="12">
        <f>AHM6+AHN6+AHO6+AHP6</f>
        <v/>
      </c>
      <c r="AHR6" s="9">
        <f>AHM6*PriceEssMonthly*AHA6+AHN6*PricePremMonthly*AHA6+AHO6*PriceEssAnnual*AHA6/12+AHP6*PricePremAnnual*AHA6/12</f>
        <v/>
      </c>
      <c r="AHS6" s="9">
        <f>AHR6*12</f>
        <v/>
      </c>
      <c r="AHT6" s="12">
        <f>AHM6*PriceEssMonthly*AHA6+AHN6*PricePremMonthly*AHA6</f>
        <v/>
      </c>
      <c r="AHU6" s="12">
        <f>AHK6*PriceEssAnnual*AHA6+AHL6*PricePremAnnual*AHA6</f>
        <v/>
      </c>
      <c r="AHV6" s="12">
        <f>0+0</f>
        <v/>
      </c>
      <c r="AHW6" s="9">
        <f>AHT6+AHU6+AHV6</f>
        <v/>
      </c>
      <c r="AHX6" s="12">
        <f>SUM(AHW$5:AHW6)</f>
        <v/>
      </c>
      <c r="AHY6" s="12">
        <f>OR(AHY5,AHX6&gt;=VATThreshold)</f>
        <v/>
      </c>
      <c r="AHZ6" s="9">
        <f>IF(AHY6,AHW6/(1+VATRate),AHW6)</f>
        <v/>
      </c>
      <c r="AIA6" s="12">
        <f>AHW6-AHZ6</f>
        <v/>
      </c>
      <c r="AIB6" s="12">
        <f>IF(AHY6=0,0,IF(AGX6=1,SUMPRODUCT(--(($AGY$5:$AGY6=$AGY6-1)*($AGX$5:$AGX6&gt;=10)*($AGX$5:$AGX6&lt;=12)),$AIA$5:$AIA6),IF(AGX6=4,SUMPRODUCT(--(($AGY$5:$AGY6=$AGY6)*($AGX$5:$AGX6&gt;=1)*($AGX$5:$AGX6&lt;=3)),$AIA$5:$AIA6),IF(AGX6=7,SUMPRODUCT(--(($AGY$5:$AGY6=$AGY6)*($AGX$5:$AGX6&gt;=4)*($AGX$5:$AGX6&lt;=6)),$AIA$5:$AIA6),IF(AGX6=10,SUMPRODUCT(--(($AGY$5:$AGY6=$AGY6)*($AGX$5:$AGX6&gt;=7)*($AGX$5:$AGX6&lt;=9)),$AIA$5:$AIA6),0)))))</f>
        <v/>
      </c>
      <c r="AIC6" s="12">
        <f>AIC5+AIA6-AIB6</f>
        <v/>
      </c>
      <c r="AID6" s="12">
        <f>IF(ProviderDelay&gt;=1,AHZ5*ProviderShare,AHZ6*ProviderShare)</f>
        <v/>
      </c>
      <c r="AIE6" s="12">
        <f>AHW6*PaymentFee</f>
        <v/>
      </c>
      <c r="AIF6" s="12">
        <f>AHQ6*OpsAI</f>
        <v/>
      </c>
      <c r="AIG6" s="12">
        <f>MonthlyFixed</f>
        <v/>
      </c>
      <c r="AIH6" s="12">
        <f>AHE6*ReferralReward</f>
        <v/>
      </c>
      <c r="AII6" s="12">
        <f>AHC6</f>
        <v/>
      </c>
      <c r="AIJ6" s="9">
        <f>AHZ6-AID6-AIE6-AIF6-AIG6-AIH6-AII6</f>
        <v/>
      </c>
      <c r="AIK6" s="9">
        <f>AIK5+AHW6-(AID6+AIE6+AIF6+AIG6+AIH6+AII6+AIB6)</f>
        <v/>
      </c>
      <c r="AIL6" s="12">
        <f>IF(AHQ6&gt;0,AHR6/AHQ6,0)</f>
        <v/>
      </c>
      <c r="AIM6" s="11">
        <f>IF(AHQ5&gt;0,MAX(0,(AHQ5+AHF6-AHQ6)/AHQ5),0)</f>
        <v/>
      </c>
      <c r="AIO6" s="12" t="n">
        <v>2</v>
      </c>
      <c r="AIP6" s="12">
        <f>MOD(AIO6-1+LaunchMonth-1,12)+1</f>
        <v/>
      </c>
      <c r="AIQ6" s="12">
        <f>INT((AIO6-1+LaunchMonth-1)/12)+1</f>
        <v/>
      </c>
      <c r="AIR6" s="12">
        <f>VLOOKUP(AIP6,SeasonTable,2,FALSE)</f>
        <v/>
      </c>
      <c r="AIS6" s="12">
        <f>(1+InflationRate)^INT((AIO6-1)/12)</f>
        <v/>
      </c>
      <c r="AIT6" s="11">
        <f>MonthlyChurn*VLOOKUP(AIP6,ChurnSeasonTable,4,FALSE)</f>
        <v/>
      </c>
      <c r="AIU6" s="12">
        <f>MktFixed1_3</f>
        <v/>
      </c>
      <c r="AIV6" s="12">
        <f>IF(AIU6&gt;0,MAX(1,ROUND(AIU6/'Sens - CAC &amp; Marketing'!$A$11*AIR6,0)),0)</f>
        <v/>
      </c>
      <c r="AIW6" s="12">
        <f>IF(AIV6&gt;0,ROUND(AIV6*ReferralMix/(1-ReferralMix),0),0)</f>
        <v/>
      </c>
      <c r="AIX6" s="12">
        <f>AIV6+AIW6</f>
        <v/>
      </c>
      <c r="AIY6" s="12">
        <f>ROUND(AIX6*(1-AnnualMix),0)</f>
        <v/>
      </c>
      <c r="AIZ6" s="12">
        <f>AIX6-AIY6</f>
        <v/>
      </c>
      <c r="AJA6" s="12">
        <f>ROUND(AIY6*EssentialMix,0)</f>
        <v/>
      </c>
      <c r="AJB6" s="12">
        <f>AIY6-AJA6</f>
        <v/>
      </c>
      <c r="AJC6" s="12">
        <f>ROUND(AIZ6*EssentialMix,0)</f>
        <v/>
      </c>
      <c r="AJD6" s="12">
        <f>AIZ6-AJC6</f>
        <v/>
      </c>
      <c r="AJE6" s="12">
        <f>AJA6+AJA5</f>
        <v/>
      </c>
      <c r="AJF6" s="12">
        <f>AJB6+AJB5</f>
        <v/>
      </c>
      <c r="AJG6" s="12">
        <f>SUM(AJC$5:AJC6)</f>
        <v/>
      </c>
      <c r="AJH6" s="12">
        <f>SUM(AJD$5:AJD6)</f>
        <v/>
      </c>
      <c r="AJI6" s="12">
        <f>AJE6+AJF6+AJG6+AJH6</f>
        <v/>
      </c>
      <c r="AJJ6" s="9">
        <f>AJE6*PriceEssMonthly*AIS6+AJF6*PricePremMonthly*AIS6+AJG6*PriceEssAnnual*AIS6/12+AJH6*PricePremAnnual*AIS6/12</f>
        <v/>
      </c>
      <c r="AJK6" s="9">
        <f>AJJ6*12</f>
        <v/>
      </c>
      <c r="AJL6" s="12">
        <f>AJE6*PriceEssMonthly*AIS6+AJF6*PricePremMonthly*AIS6</f>
        <v/>
      </c>
      <c r="AJM6" s="12">
        <f>AJC6*PriceEssAnnual*AIS6+AJD6*PricePremAnnual*AIS6</f>
        <v/>
      </c>
      <c r="AJN6" s="12">
        <f>0+0</f>
        <v/>
      </c>
      <c r="AJO6" s="9">
        <f>AJL6+AJM6+AJN6</f>
        <v/>
      </c>
      <c r="AJP6" s="12">
        <f>SUM(AJO$5:AJO6)</f>
        <v/>
      </c>
      <c r="AJQ6" s="12">
        <f>OR(AJQ5,AJP6&gt;=VATThreshold)</f>
        <v/>
      </c>
      <c r="AJR6" s="9">
        <f>IF(AJQ6,AJO6/(1+VATRate),AJO6)</f>
        <v/>
      </c>
      <c r="AJS6" s="12">
        <f>AJO6-AJR6</f>
        <v/>
      </c>
      <c r="AJT6" s="12">
        <f>IF(AJQ6=0,0,IF(AIP6=1,SUMPRODUCT(--(($AIQ$5:$AIQ6=$AIQ6-1)*($AIP$5:$AIP6&gt;=10)*($AIP$5:$AIP6&lt;=12)),$AJS$5:$AJS6),IF(AIP6=4,SUMPRODUCT(--(($AIQ$5:$AIQ6=$AIQ6)*($AIP$5:$AIP6&gt;=1)*($AIP$5:$AIP6&lt;=3)),$AJS$5:$AJS6),IF(AIP6=7,SUMPRODUCT(--(($AIQ$5:$AIQ6=$AIQ6)*($AIP$5:$AIP6&gt;=4)*($AIP$5:$AIP6&lt;=6)),$AJS$5:$AJS6),IF(AIP6=10,SUMPRODUCT(--(($AIQ$5:$AIQ6=$AIQ6)*($AIP$5:$AIP6&gt;=7)*($AIP$5:$AIP6&lt;=9)),$AJS$5:$AJS6),0)))))</f>
        <v/>
      </c>
      <c r="AJU6" s="12">
        <f>AJU5+AJS6-AJT6</f>
        <v/>
      </c>
      <c r="AJV6" s="12">
        <f>IF(ProviderDelay&gt;=1,AJR5*ProviderShare,AJR6*ProviderShare)</f>
        <v/>
      </c>
      <c r="AJW6" s="12">
        <f>AJO6*PaymentFee</f>
        <v/>
      </c>
      <c r="AJX6" s="12">
        <f>AJI6*OpsAI</f>
        <v/>
      </c>
      <c r="AJY6" s="12">
        <f>MonthlyFixed</f>
        <v/>
      </c>
      <c r="AJZ6" s="12">
        <f>AIW6*ReferralReward</f>
        <v/>
      </c>
      <c r="AKA6" s="12">
        <f>AIU6</f>
        <v/>
      </c>
      <c r="AKB6" s="9">
        <f>AJR6-AJV6-AJW6-AJX6-AJY6-AJZ6-AKA6</f>
        <v/>
      </c>
      <c r="AKC6" s="9">
        <f>AKC5+AJO6-(AJV6+AJW6+AJX6+AJY6+AJZ6+AKA6+AJT6)</f>
        <v/>
      </c>
      <c r="AKD6" s="12">
        <f>IF(AJI6&gt;0,AJJ6/AJI6,0)</f>
        <v/>
      </c>
      <c r="AKE6" s="11">
        <f>IF(AJI5&gt;0,MAX(0,(AJI5+AIX6-AJI6)/AJI5),0)</f>
        <v/>
      </c>
      <c r="AKG6" s="12" t="n">
        <v>2</v>
      </c>
      <c r="AKH6" s="12">
        <f>MOD(AKG6-1+LaunchMonth-1,12)+1</f>
        <v/>
      </c>
      <c r="AKI6" s="12">
        <f>INT((AKG6-1+LaunchMonth-1)/12)+1</f>
        <v/>
      </c>
      <c r="AKJ6" s="12">
        <f>VLOOKUP(AKH6,SeasonTable,2,FALSE)</f>
        <v/>
      </c>
      <c r="AKK6" s="12">
        <f>(1+InflationRate)^INT((AKG6-1)/12)</f>
        <v/>
      </c>
      <c r="AKL6" s="11">
        <f>MonthlyChurn*VLOOKUP(AKH6,ChurnSeasonTable,4,FALSE)</f>
        <v/>
      </c>
      <c r="AKM6" s="12">
        <f>MktFixed1_3</f>
        <v/>
      </c>
      <c r="AKN6" s="12">
        <f>IF(AKM6&gt;0,MAX(1,ROUND(AKM6/'Sens - CAC &amp; Marketing'!$A$12*AKJ6,0)),0)</f>
        <v/>
      </c>
      <c r="AKO6" s="12">
        <f>IF(AKN6&gt;0,ROUND(AKN6*ReferralMix/(1-ReferralMix),0),0)</f>
        <v/>
      </c>
      <c r="AKP6" s="12">
        <f>AKN6+AKO6</f>
        <v/>
      </c>
      <c r="AKQ6" s="12">
        <f>ROUND(AKP6*(1-AnnualMix),0)</f>
        <v/>
      </c>
      <c r="AKR6" s="12">
        <f>AKP6-AKQ6</f>
        <v/>
      </c>
      <c r="AKS6" s="12">
        <f>ROUND(AKQ6*EssentialMix,0)</f>
        <v/>
      </c>
      <c r="AKT6" s="12">
        <f>AKQ6-AKS6</f>
        <v/>
      </c>
      <c r="AKU6" s="12">
        <f>ROUND(AKR6*EssentialMix,0)</f>
        <v/>
      </c>
      <c r="AKV6" s="12">
        <f>AKR6-AKU6</f>
        <v/>
      </c>
      <c r="AKW6" s="12">
        <f>AKS6+AKS5</f>
        <v/>
      </c>
      <c r="AKX6" s="12">
        <f>AKT6+AKT5</f>
        <v/>
      </c>
      <c r="AKY6" s="12">
        <f>SUM(AKU$5:AKU6)</f>
        <v/>
      </c>
      <c r="AKZ6" s="12">
        <f>SUM(AKV$5:AKV6)</f>
        <v/>
      </c>
      <c r="ALA6" s="12">
        <f>AKW6+AKX6+AKY6+AKZ6</f>
        <v/>
      </c>
      <c r="ALB6" s="9">
        <f>AKW6*PriceEssMonthly*AKK6+AKX6*PricePremMonthly*AKK6+AKY6*PriceEssAnnual*AKK6/12+AKZ6*PricePremAnnual*AKK6/12</f>
        <v/>
      </c>
      <c r="ALC6" s="9">
        <f>ALB6*12</f>
        <v/>
      </c>
      <c r="ALD6" s="12">
        <f>AKW6*PriceEssMonthly*AKK6+AKX6*PricePremMonthly*AKK6</f>
        <v/>
      </c>
      <c r="ALE6" s="12">
        <f>AKU6*PriceEssAnnual*AKK6+AKV6*PricePremAnnual*AKK6</f>
        <v/>
      </c>
      <c r="ALF6" s="12">
        <f>0+0</f>
        <v/>
      </c>
      <c r="ALG6" s="9">
        <f>ALD6+ALE6+ALF6</f>
        <v/>
      </c>
      <c r="ALH6" s="12">
        <f>SUM(ALG$5:ALG6)</f>
        <v/>
      </c>
      <c r="ALI6" s="12">
        <f>OR(ALI5,ALH6&gt;=VATThreshold)</f>
        <v/>
      </c>
      <c r="ALJ6" s="9">
        <f>IF(ALI6,ALG6/(1+VATRate),ALG6)</f>
        <v/>
      </c>
      <c r="ALK6" s="12">
        <f>ALG6-ALJ6</f>
        <v/>
      </c>
      <c r="ALL6" s="12">
        <f>IF(ALI6=0,0,IF(AKH6=1,SUMPRODUCT(--(($AKI$5:$AKI6=$AKI6-1)*($AKH$5:$AKH6&gt;=10)*($AKH$5:$AKH6&lt;=12)),$ALK$5:$ALK6),IF(AKH6=4,SUMPRODUCT(--(($AKI$5:$AKI6=$AKI6)*($AKH$5:$AKH6&gt;=1)*($AKH$5:$AKH6&lt;=3)),$ALK$5:$ALK6),IF(AKH6=7,SUMPRODUCT(--(($AKI$5:$AKI6=$AKI6)*($AKH$5:$AKH6&gt;=4)*($AKH$5:$AKH6&lt;=6)),$ALK$5:$ALK6),IF(AKH6=10,SUMPRODUCT(--(($AKI$5:$AKI6=$AKI6)*($AKH$5:$AKH6&gt;=7)*($AKH$5:$AKH6&lt;=9)),$ALK$5:$ALK6),0)))))</f>
        <v/>
      </c>
      <c r="ALM6" s="12">
        <f>ALM5+ALK6-ALL6</f>
        <v/>
      </c>
      <c r="ALN6" s="12">
        <f>IF(ProviderDelay&gt;=1,ALJ5*ProviderShare,ALJ6*ProviderShare)</f>
        <v/>
      </c>
      <c r="ALO6" s="12">
        <f>ALG6*PaymentFee</f>
        <v/>
      </c>
      <c r="ALP6" s="12">
        <f>ALA6*OpsAI</f>
        <v/>
      </c>
      <c r="ALQ6" s="12">
        <f>MonthlyFixed</f>
        <v/>
      </c>
      <c r="ALR6" s="12">
        <f>AKO6*ReferralReward</f>
        <v/>
      </c>
      <c r="ALS6" s="12">
        <f>AKM6</f>
        <v/>
      </c>
      <c r="ALT6" s="9">
        <f>ALJ6-ALN6-ALO6-ALP6-ALQ6-ALR6-ALS6</f>
        <v/>
      </c>
      <c r="ALU6" s="9">
        <f>ALU5+ALG6-(ALN6+ALO6+ALP6+ALQ6+ALR6+ALS6+ALL6)</f>
        <v/>
      </c>
      <c r="ALV6" s="12">
        <f>IF(ALA6&gt;0,ALB6/ALA6,0)</f>
        <v/>
      </c>
      <c r="ALW6" s="11">
        <f>IF(ALA5&gt;0,MAX(0,(ALA5+AKP6-ALA6)/ALA5),0)</f>
        <v/>
      </c>
      <c r="ALY6" s="12" t="n">
        <v>2</v>
      </c>
      <c r="ALZ6" s="12">
        <f>MOD(ALY6-1+LaunchMonth-1,12)+1</f>
        <v/>
      </c>
      <c r="AMA6" s="12">
        <f>INT((ALY6-1+LaunchMonth-1)/12)+1</f>
        <v/>
      </c>
      <c r="AMB6" s="12">
        <f>VLOOKUP(ALZ6,SeasonTable,2,FALSE)</f>
        <v/>
      </c>
      <c r="AMC6" s="12">
        <f>(1+InflationRate)^INT((ALY6-1)/12)</f>
        <v/>
      </c>
      <c r="AMD6" s="11">
        <f>MonthlyChurn*VLOOKUP(ALZ6,ChurnSeasonTable,4,FALSE)</f>
        <v/>
      </c>
      <c r="AME6" s="12">
        <f>MktFixed1_3</f>
        <v/>
      </c>
      <c r="AMF6" s="12">
        <f>IF(AME6&gt;0,MAX(1,ROUND(AME6/'Sens - CAC &amp; Marketing'!$A$13*AMB6,0)),0)</f>
        <v/>
      </c>
      <c r="AMG6" s="12">
        <f>IF(AMF6&gt;0,ROUND(AMF6*ReferralMix/(1-ReferralMix),0),0)</f>
        <v/>
      </c>
      <c r="AMH6" s="12">
        <f>AMF6+AMG6</f>
        <v/>
      </c>
      <c r="AMI6" s="12">
        <f>ROUND(AMH6*(1-AnnualMix),0)</f>
        <v/>
      </c>
      <c r="AMJ6" s="12">
        <f>AMH6-AMI6</f>
        <v/>
      </c>
      <c r="AMK6" s="12">
        <f>ROUND(AMI6*EssentialMix,0)</f>
        <v/>
      </c>
      <c r="AML6" s="12">
        <f>AMI6-AMK6</f>
        <v/>
      </c>
      <c r="AMM6" s="12">
        <f>ROUND(AMJ6*EssentialMix,0)</f>
        <v/>
      </c>
      <c r="AMN6" s="12">
        <f>AMJ6-AMM6</f>
        <v/>
      </c>
      <c r="AMO6" s="12">
        <f>AMK6+AMK5</f>
        <v/>
      </c>
      <c r="AMP6" s="12">
        <f>AML6+AML5</f>
        <v/>
      </c>
      <c r="AMQ6" s="12">
        <f>SUM(AMM$5:AMM6)</f>
        <v/>
      </c>
      <c r="AMR6" s="12">
        <f>SUM(AMN$5:AMN6)</f>
        <v/>
      </c>
      <c r="AMS6" s="12">
        <f>AMO6+AMP6+AMQ6+AMR6</f>
        <v/>
      </c>
      <c r="AMT6" s="9">
        <f>AMO6*PriceEssMonthly*AMC6+AMP6*PricePremMonthly*AMC6+AMQ6*PriceEssAnnual*AMC6/12+AMR6*PricePremAnnual*AMC6/12</f>
        <v/>
      </c>
      <c r="AMU6" s="9">
        <f>AMT6*12</f>
        <v/>
      </c>
      <c r="AMV6" s="12">
        <f>AMO6*PriceEssMonthly*AMC6+AMP6*PricePremMonthly*AMC6</f>
        <v/>
      </c>
      <c r="AMW6" s="12">
        <f>AMM6*PriceEssAnnual*AMC6+AMN6*PricePremAnnual*AMC6</f>
        <v/>
      </c>
      <c r="AMX6" s="12">
        <f>0+0</f>
        <v/>
      </c>
      <c r="AMY6" s="9">
        <f>AMV6+AMW6+AMX6</f>
        <v/>
      </c>
      <c r="AMZ6" s="12">
        <f>SUM(AMY$5:AMY6)</f>
        <v/>
      </c>
      <c r="ANA6" s="12">
        <f>OR(ANA5,AMZ6&gt;=VATThreshold)</f>
        <v/>
      </c>
      <c r="ANB6" s="9">
        <f>IF(ANA6,AMY6/(1+VATRate),AMY6)</f>
        <v/>
      </c>
      <c r="ANC6" s="12">
        <f>AMY6-ANB6</f>
        <v/>
      </c>
      <c r="AND6" s="12">
        <f>IF(ANA6=0,0,IF(ALZ6=1,SUMPRODUCT(--(($AMA$5:$AMA6=$AMA6-1)*($ALZ$5:$ALZ6&gt;=10)*($ALZ$5:$ALZ6&lt;=12)),$ANC$5:$ANC6),IF(ALZ6=4,SUMPRODUCT(--(($AMA$5:$AMA6=$AMA6)*($ALZ$5:$ALZ6&gt;=1)*($ALZ$5:$ALZ6&lt;=3)),$ANC$5:$ANC6),IF(ALZ6=7,SUMPRODUCT(--(($AMA$5:$AMA6=$AMA6)*($ALZ$5:$ALZ6&gt;=4)*($ALZ$5:$ALZ6&lt;=6)),$ANC$5:$ANC6),IF(ALZ6=10,SUMPRODUCT(--(($AMA$5:$AMA6=$AMA6)*($ALZ$5:$ALZ6&gt;=7)*($ALZ$5:$ALZ6&lt;=9)),$ANC$5:$ANC6),0)))))</f>
        <v/>
      </c>
      <c r="ANE6" s="12">
        <f>ANE5+ANC6-AND6</f>
        <v/>
      </c>
      <c r="ANF6" s="12">
        <f>IF(ProviderDelay&gt;=1,ANB5*ProviderShare,ANB6*ProviderShare)</f>
        <v/>
      </c>
      <c r="ANG6" s="12">
        <f>AMY6*PaymentFee</f>
        <v/>
      </c>
      <c r="ANH6" s="12">
        <f>AMS6*OpsAI</f>
        <v/>
      </c>
      <c r="ANI6" s="12">
        <f>MonthlyFixed</f>
        <v/>
      </c>
      <c r="ANJ6" s="12">
        <f>AMG6*ReferralReward</f>
        <v/>
      </c>
      <c r="ANK6" s="12">
        <f>AME6</f>
        <v/>
      </c>
      <c r="ANL6" s="9">
        <f>ANB6-ANF6-ANG6-ANH6-ANI6-ANJ6-ANK6</f>
        <v/>
      </c>
      <c r="ANM6" s="9">
        <f>ANM5+AMY6-(ANF6+ANG6+ANH6+ANI6+ANJ6+ANK6+AND6)</f>
        <v/>
      </c>
      <c r="ANN6" s="12">
        <f>IF(AMS6&gt;0,AMT6/AMS6,0)</f>
        <v/>
      </c>
      <c r="ANO6" s="11">
        <f>IF(AMS5&gt;0,MAX(0,(AMS5+AMH6-AMS6)/AMS5),0)</f>
        <v/>
      </c>
      <c r="ANQ6" s="12" t="n">
        <v>2</v>
      </c>
      <c r="ANR6" s="12">
        <f>MOD(ANQ6-1+LaunchMonth-1,12)+1</f>
        <v/>
      </c>
      <c r="ANS6" s="12">
        <f>INT((ANQ6-1+LaunchMonth-1)/12)+1</f>
        <v/>
      </c>
      <c r="ANT6" s="12">
        <f>VLOOKUP(ANR6,SeasonTable,2,FALSE)</f>
        <v/>
      </c>
      <c r="ANU6" s="12">
        <f>(1+InflationRate)^INT((ANQ6-1)/12)</f>
        <v/>
      </c>
      <c r="ANV6" s="11">
        <f>MonthlyChurn*VLOOKUP(ANR6,ChurnSeasonTable,4,FALSE)</f>
        <v/>
      </c>
      <c r="ANW6" s="12">
        <f>MktFixed1_3</f>
        <v/>
      </c>
      <c r="ANX6" s="12">
        <f>IF(ANW6&gt;0,MAX(1,ROUND(ANW6/'Sens - CAC &amp; Marketing'!$A$14*ANT6,0)),0)</f>
        <v/>
      </c>
      <c r="ANY6" s="12">
        <f>IF(ANX6&gt;0,ROUND(ANX6*ReferralMix/(1-ReferralMix),0),0)</f>
        <v/>
      </c>
      <c r="ANZ6" s="12">
        <f>ANX6+ANY6</f>
        <v/>
      </c>
      <c r="AOA6" s="12">
        <f>ROUND(ANZ6*(1-AnnualMix),0)</f>
        <v/>
      </c>
      <c r="AOB6" s="12">
        <f>ANZ6-AOA6</f>
        <v/>
      </c>
      <c r="AOC6" s="12">
        <f>ROUND(AOA6*EssentialMix,0)</f>
        <v/>
      </c>
      <c r="AOD6" s="12">
        <f>AOA6-AOC6</f>
        <v/>
      </c>
      <c r="AOE6" s="12">
        <f>ROUND(AOB6*EssentialMix,0)</f>
        <v/>
      </c>
      <c r="AOF6" s="12">
        <f>AOB6-AOE6</f>
        <v/>
      </c>
      <c r="AOG6" s="12">
        <f>AOC6+AOC5</f>
        <v/>
      </c>
      <c r="AOH6" s="12">
        <f>AOD6+AOD5</f>
        <v/>
      </c>
      <c r="AOI6" s="12">
        <f>SUM(AOE$5:AOE6)</f>
        <v/>
      </c>
      <c r="AOJ6" s="12">
        <f>SUM(AOF$5:AOF6)</f>
        <v/>
      </c>
      <c r="AOK6" s="12">
        <f>AOG6+AOH6+AOI6+AOJ6</f>
        <v/>
      </c>
      <c r="AOL6" s="9">
        <f>AOG6*PriceEssMonthly*ANU6+AOH6*PricePremMonthly*ANU6+AOI6*PriceEssAnnual*ANU6/12+AOJ6*PricePremAnnual*ANU6/12</f>
        <v/>
      </c>
      <c r="AOM6" s="9">
        <f>AOL6*12</f>
        <v/>
      </c>
      <c r="AON6" s="12">
        <f>AOG6*PriceEssMonthly*ANU6+AOH6*PricePremMonthly*ANU6</f>
        <v/>
      </c>
      <c r="AOO6" s="12">
        <f>AOE6*PriceEssAnnual*ANU6+AOF6*PricePremAnnual*ANU6</f>
        <v/>
      </c>
      <c r="AOP6" s="12">
        <f>0+0</f>
        <v/>
      </c>
      <c r="AOQ6" s="9">
        <f>AON6+AOO6+AOP6</f>
        <v/>
      </c>
      <c r="AOR6" s="12">
        <f>SUM(AOQ$5:AOQ6)</f>
        <v/>
      </c>
      <c r="AOS6" s="12">
        <f>OR(AOS5,AOR6&gt;=VATThreshold)</f>
        <v/>
      </c>
      <c r="AOT6" s="9">
        <f>IF(AOS6,AOQ6/(1+VATRate),AOQ6)</f>
        <v/>
      </c>
      <c r="AOU6" s="12">
        <f>AOQ6-AOT6</f>
        <v/>
      </c>
      <c r="AOV6" s="12">
        <f>IF(AOS6=0,0,IF(ANR6=1,SUMPRODUCT(--(($ANS$5:$ANS6=$ANS6-1)*($ANR$5:$ANR6&gt;=10)*($ANR$5:$ANR6&lt;=12)),$AOU$5:$AOU6),IF(ANR6=4,SUMPRODUCT(--(($ANS$5:$ANS6=$ANS6)*($ANR$5:$ANR6&gt;=1)*($ANR$5:$ANR6&lt;=3)),$AOU$5:$AOU6),IF(ANR6=7,SUMPRODUCT(--(($ANS$5:$ANS6=$ANS6)*($ANR$5:$ANR6&gt;=4)*($ANR$5:$ANR6&lt;=6)),$AOU$5:$AOU6),IF(ANR6=10,SUMPRODUCT(--(($ANS$5:$ANS6=$ANS6)*($ANR$5:$ANR6&gt;=7)*($ANR$5:$ANR6&lt;=9)),$AOU$5:$AOU6),0)))))</f>
        <v/>
      </c>
      <c r="AOW6" s="12">
        <f>AOW5+AOU6-AOV6</f>
        <v/>
      </c>
      <c r="AOX6" s="12">
        <f>IF(ProviderDelay&gt;=1,AOT5*ProviderShare,AOT6*ProviderShare)</f>
        <v/>
      </c>
      <c r="AOY6" s="12">
        <f>AOQ6*PaymentFee</f>
        <v/>
      </c>
      <c r="AOZ6" s="12">
        <f>AOK6*OpsAI</f>
        <v/>
      </c>
      <c r="APA6" s="12">
        <f>MonthlyFixed</f>
        <v/>
      </c>
      <c r="APB6" s="12">
        <f>ANY6*ReferralReward</f>
        <v/>
      </c>
      <c r="APC6" s="12">
        <f>ANW6</f>
        <v/>
      </c>
      <c r="APD6" s="9">
        <f>AOT6-AOX6-AOY6-AOZ6-APA6-APB6-APC6</f>
        <v/>
      </c>
      <c r="APE6" s="9">
        <f>APE5+AOQ6-(AOX6+AOY6+AOZ6+APA6+APB6+APC6+AOV6)</f>
        <v/>
      </c>
      <c r="APF6" s="12">
        <f>IF(AOK6&gt;0,AOL6/AOK6,0)</f>
        <v/>
      </c>
      <c r="APG6" s="11">
        <f>IF(AOK5&gt;0,MAX(0,(AOK5+ANZ6-AOK6)/AOK5),0)</f>
        <v/>
      </c>
      <c r="API6" s="12" t="n">
        <v>2</v>
      </c>
      <c r="APJ6" s="12">
        <f>MOD(API6-1+LaunchMonth-1,12)+1</f>
        <v/>
      </c>
      <c r="APK6" s="12">
        <f>INT((API6-1+LaunchMonth-1)/12)+1</f>
        <v/>
      </c>
      <c r="APL6" s="12">
        <f>VLOOKUP(APJ6,SeasonTable,2,FALSE)</f>
        <v/>
      </c>
      <c r="APM6" s="12">
        <f>(1+InflationRate)^INT((API6-1)/12)</f>
        <v/>
      </c>
      <c r="APN6" s="11">
        <f>MonthlyChurn*VLOOKUP(APJ6,ChurnSeasonTable,4,FALSE)</f>
        <v/>
      </c>
      <c r="APO6" s="12">
        <f>MktFixed1_3</f>
        <v/>
      </c>
      <c r="APP6" s="12">
        <f>IF(APO6&gt;0,MAX(1,ROUND(APO6/'Sens - CAC &amp; Marketing'!$A$15*APL6,0)),0)</f>
        <v/>
      </c>
      <c r="APQ6" s="12">
        <f>IF(APP6&gt;0,ROUND(APP6*ReferralMix/(1-ReferralMix),0),0)</f>
        <v/>
      </c>
      <c r="APR6" s="12">
        <f>APP6+APQ6</f>
        <v/>
      </c>
      <c r="APS6" s="12">
        <f>ROUND(APR6*(1-AnnualMix),0)</f>
        <v/>
      </c>
      <c r="APT6" s="12">
        <f>APR6-APS6</f>
        <v/>
      </c>
      <c r="APU6" s="12">
        <f>ROUND(APS6*EssentialMix,0)</f>
        <v/>
      </c>
      <c r="APV6" s="12">
        <f>APS6-APU6</f>
        <v/>
      </c>
      <c r="APW6" s="12">
        <f>ROUND(APT6*EssentialMix,0)</f>
        <v/>
      </c>
      <c r="APX6" s="12">
        <f>APT6-APW6</f>
        <v/>
      </c>
      <c r="APY6" s="12">
        <f>APU6+APU5</f>
        <v/>
      </c>
      <c r="APZ6" s="12">
        <f>APV6+APV5</f>
        <v/>
      </c>
      <c r="AQA6" s="12">
        <f>SUM(APW$5:APW6)</f>
        <v/>
      </c>
      <c r="AQB6" s="12">
        <f>SUM(APX$5:APX6)</f>
        <v/>
      </c>
      <c r="AQC6" s="12">
        <f>APY6+APZ6+AQA6+AQB6</f>
        <v/>
      </c>
      <c r="AQD6" s="9">
        <f>APY6*PriceEssMonthly*APM6+APZ6*PricePremMonthly*APM6+AQA6*PriceEssAnnual*APM6/12+AQB6*PricePremAnnual*APM6/12</f>
        <v/>
      </c>
      <c r="AQE6" s="9">
        <f>AQD6*12</f>
        <v/>
      </c>
      <c r="AQF6" s="12">
        <f>APY6*PriceEssMonthly*APM6+APZ6*PricePremMonthly*APM6</f>
        <v/>
      </c>
      <c r="AQG6" s="12">
        <f>APW6*PriceEssAnnual*APM6+APX6*PricePremAnnual*APM6</f>
        <v/>
      </c>
      <c r="AQH6" s="12">
        <f>0+0</f>
        <v/>
      </c>
      <c r="AQI6" s="9">
        <f>AQF6+AQG6+AQH6</f>
        <v/>
      </c>
      <c r="AQJ6" s="12">
        <f>SUM(AQI$5:AQI6)</f>
        <v/>
      </c>
      <c r="AQK6" s="12">
        <f>OR(AQK5,AQJ6&gt;=VATThreshold)</f>
        <v/>
      </c>
      <c r="AQL6" s="9">
        <f>IF(AQK6,AQI6/(1+VATRate),AQI6)</f>
        <v/>
      </c>
      <c r="AQM6" s="12">
        <f>AQI6-AQL6</f>
        <v/>
      </c>
      <c r="AQN6" s="12">
        <f>IF(AQK6=0,0,IF(APJ6=1,SUMPRODUCT(--(($APK$5:$APK6=$APK6-1)*($APJ$5:$APJ6&gt;=10)*($APJ$5:$APJ6&lt;=12)),$AQM$5:$AQM6),IF(APJ6=4,SUMPRODUCT(--(($APK$5:$APK6=$APK6)*($APJ$5:$APJ6&gt;=1)*($APJ$5:$APJ6&lt;=3)),$AQM$5:$AQM6),IF(APJ6=7,SUMPRODUCT(--(($APK$5:$APK6=$APK6)*($APJ$5:$APJ6&gt;=4)*($APJ$5:$APJ6&lt;=6)),$AQM$5:$AQM6),IF(APJ6=10,SUMPRODUCT(--(($APK$5:$APK6=$APK6)*($APJ$5:$APJ6&gt;=7)*($APJ$5:$APJ6&lt;=9)),$AQM$5:$AQM6),0)))))</f>
        <v/>
      </c>
      <c r="AQO6" s="12">
        <f>AQO5+AQM6-AQN6</f>
        <v/>
      </c>
      <c r="AQP6" s="12">
        <f>IF(ProviderDelay&gt;=1,AQL5*ProviderShare,AQL6*ProviderShare)</f>
        <v/>
      </c>
      <c r="AQQ6" s="12">
        <f>AQI6*PaymentFee</f>
        <v/>
      </c>
      <c r="AQR6" s="12">
        <f>AQC6*OpsAI</f>
        <v/>
      </c>
      <c r="AQS6" s="12">
        <f>MonthlyFixed</f>
        <v/>
      </c>
      <c r="AQT6" s="12">
        <f>APQ6*ReferralReward</f>
        <v/>
      </c>
      <c r="AQU6" s="12">
        <f>APO6</f>
        <v/>
      </c>
      <c r="AQV6" s="9">
        <f>AQL6-AQP6-AQQ6-AQR6-AQS6-AQT6-AQU6</f>
        <v/>
      </c>
      <c r="AQW6" s="9">
        <f>AQW5+AQI6-(AQP6+AQQ6+AQR6+AQS6+AQT6+AQU6+AQN6)</f>
        <v/>
      </c>
      <c r="AQX6" s="12">
        <f>IF(AQC6&gt;0,AQD6/AQC6,0)</f>
        <v/>
      </c>
      <c r="AQY6" s="11">
        <f>IF(AQC5&gt;0,MAX(0,(AQC5+APR6-AQC6)/AQC5),0)</f>
        <v/>
      </c>
      <c r="ARA6" s="12" t="n">
        <v>2</v>
      </c>
      <c r="ARB6" s="12">
        <f>MOD(ARA6-1+LaunchMonth-1,12)+1</f>
        <v/>
      </c>
      <c r="ARC6" s="12">
        <f>INT((ARA6-1+LaunchMonth-1)/12)+1</f>
        <v/>
      </c>
      <c r="ARD6" s="12">
        <f>VLOOKUP(ARB6,WinterPivotSeasonTable,5,FALSE)</f>
        <v/>
      </c>
      <c r="ARE6" s="12">
        <f>(1+InflationRate)^INT((ARA6-1)/12)</f>
        <v/>
      </c>
      <c r="ARF6" s="11">
        <f>MonthlyChurn*VLOOKUP(ARB6,WinterPivotChurnTable,6,FALSE)</f>
        <v/>
      </c>
      <c r="ARG6" s="12">
        <f>MktFixed1_3</f>
        <v/>
      </c>
      <c r="ARH6" s="12">
        <f>IF(ARG6&gt;0,MAX(1,ROUND(ARG6/CAC*ARD6,0)),0)</f>
        <v/>
      </c>
      <c r="ARI6" s="12">
        <f>IF(ARH6&gt;0,ROUND(ARH6*ReferralMix/(1-ReferralMix),0),0)</f>
        <v/>
      </c>
      <c r="ARJ6" s="12">
        <f>ARH6+ARI6</f>
        <v/>
      </c>
      <c r="ARK6" s="12">
        <f>ROUND(ARJ6*(1-AnnualMix),0)</f>
        <v/>
      </c>
      <c r="ARL6" s="12">
        <f>ARJ6-ARK6</f>
        <v/>
      </c>
      <c r="ARM6" s="12">
        <f>ROUND(ARK6*'Sens - Winter Pivot'!$B$6,0)</f>
        <v/>
      </c>
      <c r="ARN6" s="12">
        <f>ARK6-ARM6</f>
        <v/>
      </c>
      <c r="ARO6" s="12">
        <f>ROUND(ARL6*'Sens - Winter Pivot'!$B$6,0)</f>
        <v/>
      </c>
      <c r="ARP6" s="12">
        <f>ARL6-ARO6</f>
        <v/>
      </c>
      <c r="ARQ6" s="12">
        <f>ARM6+ARM5</f>
        <v/>
      </c>
      <c r="ARR6" s="12">
        <f>ARN6+ARN5</f>
        <v/>
      </c>
      <c r="ARS6" s="12">
        <f>SUM(ARO$5:ARO6)</f>
        <v/>
      </c>
      <c r="ART6" s="12">
        <f>SUM(ARP$5:ARP6)</f>
        <v/>
      </c>
      <c r="ARU6" s="12">
        <f>ARQ6+ARR6+ARS6+ART6</f>
        <v/>
      </c>
      <c r="ARV6" s="9">
        <f>ARQ6*PriceEssMonthly*ARE6+ARR6*(PricePremMonthly+'Sens - Winter Pivot'!$B$7)*ARE6+ARS6*PriceEssAnnual*ARE6/12+ART6*(PricePremAnnual+'Sens - Winter Pivot'!$B$7*12)*ARE6/12</f>
        <v/>
      </c>
      <c r="ARW6" s="9">
        <f>ARV6*12</f>
        <v/>
      </c>
      <c r="ARX6" s="12">
        <f>ARQ6*PriceEssMonthly*ARE6+ARR6*(PricePremMonthly+'Sens - Winter Pivot'!$B$7)*ARE6</f>
        <v/>
      </c>
      <c r="ARY6" s="12">
        <f>ARO6*PriceEssAnnual*ARE6+ARP6*(PricePremAnnual+'Sens - Winter Pivot'!$B$7*12)*ARE6</f>
        <v/>
      </c>
      <c r="ARZ6" s="12">
        <f>0+0</f>
        <v/>
      </c>
      <c r="ASA6" s="9">
        <f>ARX6+ARY6+ARZ6</f>
        <v/>
      </c>
      <c r="ASB6" s="12">
        <f>SUM(ASA$5:ASA6)</f>
        <v/>
      </c>
      <c r="ASC6" s="12">
        <f>OR(ASC5,ASB6&gt;=VATThreshold)</f>
        <v/>
      </c>
      <c r="ASD6" s="9">
        <f>IF(ASC6,ASA6/(1+VATRate),ASA6)</f>
        <v/>
      </c>
      <c r="ASE6" s="12">
        <f>ASA6-ASD6</f>
        <v/>
      </c>
      <c r="ASF6" s="12">
        <f>IF(ASC6=0,0,IF(ARB6=1,SUMPRODUCT(--(($ARC$5:$ARC6=$ARC6-1)*($ARB$5:$ARB6&gt;=10)*($ARB$5:$ARB6&lt;=12)),$ASE$5:$ASE6),IF(ARB6=4,SUMPRODUCT(--(($ARC$5:$ARC6=$ARC6)*($ARB$5:$ARB6&gt;=1)*($ARB$5:$ARB6&lt;=3)),$ASE$5:$ASE6),IF(ARB6=7,SUMPRODUCT(--(($ARC$5:$ARC6=$ARC6)*($ARB$5:$ARB6&gt;=4)*($ARB$5:$ARB6&lt;=6)),$ASE$5:$ASE6),IF(ARB6=10,SUMPRODUCT(--(($ARC$5:$ARC6=$ARC6)*($ARB$5:$ARB6&gt;=7)*($ARB$5:$ARB6&lt;=9)),$ASE$5:$ASE6),0)))))</f>
        <v/>
      </c>
      <c r="ASG6" s="12">
        <f>ASG5+ASE6-ASF6</f>
        <v/>
      </c>
      <c r="ASH6" s="12">
        <f>IF(ProviderDelay&gt;=1,ASD5*ProviderShare,ASD6*ProviderShare)</f>
        <v/>
      </c>
      <c r="ASI6" s="12">
        <f>ASA6*PaymentFee</f>
        <v/>
      </c>
      <c r="ASJ6" s="12">
        <f>ARU6*OpsAI</f>
        <v/>
      </c>
      <c r="ASK6" s="12">
        <f>MonthlyFixed</f>
        <v/>
      </c>
      <c r="ASL6" s="12">
        <f>ARI6*ReferralReward</f>
        <v/>
      </c>
      <c r="ASM6" s="12">
        <f>ARG6</f>
        <v/>
      </c>
      <c r="ASN6" s="9">
        <f>ASD6-ASH6-ASI6-ASJ6-ASK6-ASL6-ASM6</f>
        <v/>
      </c>
      <c r="ASO6" s="9">
        <f>ASO5+ASA6-(ASH6+ASI6+ASJ6+ASK6+ASL6+ASM6+ASF6)</f>
        <v/>
      </c>
      <c r="ASP6" s="12">
        <f>IF(ARU6&gt;0,ARV6/ARU6,0)</f>
        <v/>
      </c>
      <c r="ASQ6" s="11">
        <f>IF(ARU5&gt;0,MAX(0,(ARU5+ARJ6-ARU6)/ARU5),0)</f>
        <v/>
      </c>
    </row>
    <row r="7">
      <c r="A7" s="12" t="n">
        <v>3</v>
      </c>
      <c r="B7" s="12">
        <f>MOD(A7-1+LaunchMonth-1,12)+1</f>
        <v/>
      </c>
      <c r="C7" s="12">
        <f>INT((A7-1+LaunchMonth-1)/12)+1</f>
        <v/>
      </c>
      <c r="D7" s="12">
        <f>VLOOKUP(B7,SeasonTable,2,FALSE)</f>
        <v/>
      </c>
      <c r="E7" s="12">
        <f>(1+InflationRate)^INT((A7-1)/12)</f>
        <v/>
      </c>
      <c r="F7" s="11">
        <f>'Sens - Scenarios'!$B$5*VLOOKUP(B7,ChurnSeasonTable,4,FALSE)</f>
        <v/>
      </c>
      <c r="G7" s="12">
        <f>MktFixed1_3</f>
        <v/>
      </c>
      <c r="H7" s="12">
        <f>IF(G7&gt;0,MAX(1,ROUND(G7/'Sens - Scenarios'!$B$8*D7,0)),0)</f>
        <v/>
      </c>
      <c r="I7" s="12">
        <f>IF(H7&gt;0,ROUND(H7*ReferralMix/(1-ReferralMix),0),0)</f>
        <v/>
      </c>
      <c r="J7" s="12">
        <f>H7+I7</f>
        <v/>
      </c>
      <c r="K7" s="12">
        <f>ROUND(J7*(1-'Sens - Scenarios'!$B$7),0)</f>
        <v/>
      </c>
      <c r="L7" s="12">
        <f>J7-K7</f>
        <v/>
      </c>
      <c r="M7" s="12">
        <f>ROUND(K7*EssentialMix,0)</f>
        <v/>
      </c>
      <c r="N7" s="12">
        <f>K7-M7</f>
        <v/>
      </c>
      <c r="O7" s="12">
        <f>ROUND(L7*EssentialMix,0)</f>
        <v/>
      </c>
      <c r="P7" s="12">
        <f>L7-O7</f>
        <v/>
      </c>
      <c r="Q7" s="12">
        <f>M7+M6+M5</f>
        <v/>
      </c>
      <c r="R7" s="12">
        <f>N7+N6+N5</f>
        <v/>
      </c>
      <c r="S7" s="12">
        <f>SUM(O$5:O7)</f>
        <v/>
      </c>
      <c r="T7" s="12">
        <f>SUM(P$5:P7)</f>
        <v/>
      </c>
      <c r="U7" s="12">
        <f>Q7+R7+S7+T7</f>
        <v/>
      </c>
      <c r="V7" s="9">
        <f>Q7*PriceEssMonthly*E7+R7*PricePremMonthly*E7+S7*PriceEssAnnual*E7/12+T7*PricePremAnnual*E7/12</f>
        <v/>
      </c>
      <c r="W7" s="9">
        <f>V7*12</f>
        <v/>
      </c>
      <c r="X7" s="12">
        <f>Q7*PriceEssMonthly*E7+R7*PricePremMonthly*E7</f>
        <v/>
      </c>
      <c r="Y7" s="12">
        <f>O7*PriceEssAnnual*E7+P7*PricePremAnnual*E7</f>
        <v/>
      </c>
      <c r="Z7" s="12">
        <f>0+0</f>
        <v/>
      </c>
      <c r="AA7" s="9">
        <f>X7+Y7+Z7</f>
        <v/>
      </c>
      <c r="AB7" s="12">
        <f>SUM(AA$5:AA7)</f>
        <v/>
      </c>
      <c r="AC7" s="12">
        <f>OR(AC6,AB7&gt;=VATThreshold)</f>
        <v/>
      </c>
      <c r="AD7" s="9">
        <f>IF(AC7,AA7/(1+VATRate),AA7)</f>
        <v/>
      </c>
      <c r="AE7" s="12">
        <f>AA7-AD7</f>
        <v/>
      </c>
      <c r="AF7" s="12">
        <f>IF(AC7=0,0,IF(B7=1,SUMPRODUCT(--(($C$5:$C7=$C7-1)*($B$5:$B7&gt;=10)*($B$5:$B7&lt;=12)),$AE$5:$AE7),IF(B7=4,SUMPRODUCT(--(($C$5:$C7=$C7)*($B$5:$B7&gt;=1)*($B$5:$B7&lt;=3)),$AE$5:$AE7),IF(B7=7,SUMPRODUCT(--(($C$5:$C7=$C7)*($B$5:$B7&gt;=4)*($B$5:$B7&lt;=6)),$AE$5:$AE7),IF(B7=10,SUMPRODUCT(--(($C$5:$C7=$C7)*($B$5:$B7&gt;=7)*($B$5:$B7&lt;=9)),$AE$5:$AE7),0)))))</f>
        <v/>
      </c>
      <c r="AG7" s="12">
        <f>AG6+AE7-AF7</f>
        <v/>
      </c>
      <c r="AH7" s="12">
        <f>IF(ProviderDelay&gt;=1,AD6*ProviderShare,AD7*ProviderShare)</f>
        <v/>
      </c>
      <c r="AI7" s="12">
        <f>AA7*PaymentFee</f>
        <v/>
      </c>
      <c r="AJ7" s="12">
        <f>U7*OpsAI</f>
        <v/>
      </c>
      <c r="AK7" s="12">
        <f>MonthlyFixed</f>
        <v/>
      </c>
      <c r="AL7" s="12">
        <f>I7*ReferralReward</f>
        <v/>
      </c>
      <c r="AM7" s="12">
        <f>G7</f>
        <v/>
      </c>
      <c r="AN7" s="9">
        <f>AD7-AH7-AI7-AJ7-AK7-AL7-AM7</f>
        <v/>
      </c>
      <c r="AO7" s="9">
        <f>AO6+AA7-(AH7+AI7+AJ7+AK7+AL7+AM7+AF7)</f>
        <v/>
      </c>
      <c r="AP7" s="12">
        <f>IF(U7&gt;0,V7/U7,0)</f>
        <v/>
      </c>
      <c r="AQ7" s="11">
        <f>IF(U6&gt;0,MAX(0,(U6+J7-U7)/U6),0)</f>
        <v/>
      </c>
      <c r="AS7" s="12" t="n">
        <v>3</v>
      </c>
      <c r="AT7" s="12">
        <f>MOD(AS7-1+LaunchMonth-1,12)+1</f>
        <v/>
      </c>
      <c r="AU7" s="12">
        <f>INT((AS7-1+LaunchMonth-1)/12)+1</f>
        <v/>
      </c>
      <c r="AV7" s="12">
        <f>VLOOKUP(AT7,SeasonTable,2,FALSE)</f>
        <v/>
      </c>
      <c r="AW7" s="12">
        <f>(1+InflationRate)^INT((AS7-1)/12)</f>
        <v/>
      </c>
      <c r="AX7" s="11">
        <f>MonthlyChurn*VLOOKUP(AT7,ChurnSeasonTable,4,FALSE)</f>
        <v/>
      </c>
      <c r="AY7" s="12">
        <f>MktFixed1_3</f>
        <v/>
      </c>
      <c r="AZ7" s="12">
        <f>IF(AY7&gt;0,MAX(1,ROUND(AY7/CAC*AV7,0)),0)</f>
        <v/>
      </c>
      <c r="BA7" s="12">
        <f>IF(AZ7&gt;0,ROUND(AZ7*ReferralMix/(1-ReferralMix),0),0)</f>
        <v/>
      </c>
      <c r="BB7" s="12">
        <f>AZ7+BA7</f>
        <v/>
      </c>
      <c r="BC7" s="12">
        <f>ROUND(BB7*(1-AnnualMix),0)</f>
        <v/>
      </c>
      <c r="BD7" s="12">
        <f>BB7-BC7</f>
        <v/>
      </c>
      <c r="BE7" s="12">
        <f>ROUND(BC7*EssentialMix,0)</f>
        <v/>
      </c>
      <c r="BF7" s="12">
        <f>BC7-BE7</f>
        <v/>
      </c>
      <c r="BG7" s="12">
        <f>ROUND(BD7*EssentialMix,0)</f>
        <v/>
      </c>
      <c r="BH7" s="12">
        <f>BD7-BG7</f>
        <v/>
      </c>
      <c r="BI7" s="12">
        <f>BE7+BE6+BE5</f>
        <v/>
      </c>
      <c r="BJ7" s="12">
        <f>BF7+BF6+BF5</f>
        <v/>
      </c>
      <c r="BK7" s="12">
        <f>SUM(BG$5:BG7)</f>
        <v/>
      </c>
      <c r="BL7" s="12">
        <f>SUM(BH$5:BH7)</f>
        <v/>
      </c>
      <c r="BM7" s="12">
        <f>BI7+BJ7+BK7+BL7</f>
        <v/>
      </c>
      <c r="BN7" s="9">
        <f>BI7*PriceEssMonthly*AW7+BJ7*PricePremMonthly*AW7+BK7*PriceEssAnnual*AW7/12+BL7*PricePremAnnual*AW7/12</f>
        <v/>
      </c>
      <c r="BO7" s="9">
        <f>BN7*12</f>
        <v/>
      </c>
      <c r="BP7" s="12">
        <f>BI7*PriceEssMonthly*AW7+BJ7*PricePremMonthly*AW7</f>
        <v/>
      </c>
      <c r="BQ7" s="12">
        <f>BG7*PriceEssAnnual*AW7+BH7*PricePremAnnual*AW7</f>
        <v/>
      </c>
      <c r="BR7" s="12">
        <f>0+0</f>
        <v/>
      </c>
      <c r="BS7" s="9">
        <f>BP7+BQ7+BR7</f>
        <v/>
      </c>
      <c r="BT7" s="12">
        <f>SUM(BS$5:BS7)</f>
        <v/>
      </c>
      <c r="BU7" s="12">
        <f>OR(BU6,BT7&gt;=VATThreshold)</f>
        <v/>
      </c>
      <c r="BV7" s="9">
        <f>IF(BU7,BS7/(1+VATRate),BS7)</f>
        <v/>
      </c>
      <c r="BW7" s="12">
        <f>BS7-BV7</f>
        <v/>
      </c>
      <c r="BX7" s="12">
        <f>IF(BU7=0,0,IF(AT7=1,SUMPRODUCT(--(($AU$5:$AU7=$AU7-1)*($AT$5:$AT7&gt;=10)*($AT$5:$AT7&lt;=12)),$BW$5:$BW7),IF(AT7=4,SUMPRODUCT(--(($AU$5:$AU7=$AU7)*($AT$5:$AT7&gt;=1)*($AT$5:$AT7&lt;=3)),$BW$5:$BW7),IF(AT7=7,SUMPRODUCT(--(($AU$5:$AU7=$AU7)*($AT$5:$AT7&gt;=4)*($AT$5:$AT7&lt;=6)),$BW$5:$BW7),IF(AT7=10,SUMPRODUCT(--(($AU$5:$AU7=$AU7)*($AT$5:$AT7&gt;=7)*($AT$5:$AT7&lt;=9)),$BW$5:$BW7),0)))))</f>
        <v/>
      </c>
      <c r="BY7" s="12">
        <f>BY6+BW7-BX7</f>
        <v/>
      </c>
      <c r="BZ7" s="12">
        <f>IF(ProviderDelay&gt;=1,BV6*ProviderShare,BV7*ProviderShare)</f>
        <v/>
      </c>
      <c r="CA7" s="12">
        <f>BS7*PaymentFee</f>
        <v/>
      </c>
      <c r="CB7" s="12">
        <f>BM7*OpsAI</f>
        <v/>
      </c>
      <c r="CC7" s="12">
        <f>MonthlyFixed</f>
        <v/>
      </c>
      <c r="CD7" s="12">
        <f>BA7*ReferralReward</f>
        <v/>
      </c>
      <c r="CE7" s="12">
        <f>AY7</f>
        <v/>
      </c>
      <c r="CF7" s="9">
        <f>BV7-BZ7-CA7-CB7-CC7-CD7-CE7</f>
        <v/>
      </c>
      <c r="CG7" s="9">
        <f>CG6+BS7-(BZ7+CA7+CB7+CC7+CD7+CE7+BX7)</f>
        <v/>
      </c>
      <c r="CH7" s="12">
        <f>IF(BM7&gt;0,BN7/BM7,0)</f>
        <v/>
      </c>
      <c r="CI7" s="11">
        <f>IF(BM6&gt;0,MAX(0,(BM6+BB7-BM7)/BM6),0)</f>
        <v/>
      </c>
      <c r="CK7" s="12" t="n">
        <v>3</v>
      </c>
      <c r="CL7" s="12">
        <f>MOD(CK7-1+LaunchMonth-1,12)+1</f>
        <v/>
      </c>
      <c r="CM7" s="12">
        <f>INT((CK7-1+LaunchMonth-1)/12)+1</f>
        <v/>
      </c>
      <c r="CN7" s="12">
        <f>VLOOKUP(CL7,SeasonTable,2,FALSE)</f>
        <v/>
      </c>
      <c r="CO7" s="12">
        <f>(1+InflationRate)^INT((CK7-1)/12)</f>
        <v/>
      </c>
      <c r="CP7" s="11">
        <f>'Sens - Scenarios'!$D$5*VLOOKUP(CL7,ChurnSeasonTable,4,FALSE)</f>
        <v/>
      </c>
      <c r="CQ7" s="12">
        <f>MktFixed1_3</f>
        <v/>
      </c>
      <c r="CR7" s="12">
        <f>IF(CQ7&gt;0,MAX(1,ROUND(CQ7/'Sens - Scenarios'!$D$8*CN7,0)),0)</f>
        <v/>
      </c>
      <c r="CS7" s="12">
        <f>IF(CR7&gt;0,ROUND(CR7*ReferralMix/(1-ReferralMix),0),0)</f>
        <v/>
      </c>
      <c r="CT7" s="12">
        <f>CR7+CS7</f>
        <v/>
      </c>
      <c r="CU7" s="12">
        <f>ROUND(CT7*(1-'Sens - Scenarios'!$D$7),0)</f>
        <v/>
      </c>
      <c r="CV7" s="12">
        <f>CT7-CU7</f>
        <v/>
      </c>
      <c r="CW7" s="12">
        <f>ROUND(CU7*EssentialMix,0)</f>
        <v/>
      </c>
      <c r="CX7" s="12">
        <f>CU7-CW7</f>
        <v/>
      </c>
      <c r="CY7" s="12">
        <f>ROUND(CV7*EssentialMix,0)</f>
        <v/>
      </c>
      <c r="CZ7" s="12">
        <f>CV7-CY7</f>
        <v/>
      </c>
      <c r="DA7" s="12">
        <f>CW7+CW6+CW5</f>
        <v/>
      </c>
      <c r="DB7" s="12">
        <f>CX7+CX6+CX5</f>
        <v/>
      </c>
      <c r="DC7" s="12">
        <f>SUM(CY$5:CY7)</f>
        <v/>
      </c>
      <c r="DD7" s="12">
        <f>SUM(CZ$5:CZ7)</f>
        <v/>
      </c>
      <c r="DE7" s="12">
        <f>DA7+DB7+DC7+DD7</f>
        <v/>
      </c>
      <c r="DF7" s="9">
        <f>DA7*PriceEssMonthly*CO7+DB7*PricePremMonthly*CO7+DC7*PriceEssAnnual*CO7/12+DD7*PricePremAnnual*CO7/12</f>
        <v/>
      </c>
      <c r="DG7" s="9">
        <f>DF7*12</f>
        <v/>
      </c>
      <c r="DH7" s="12">
        <f>DA7*PriceEssMonthly*CO7+DB7*PricePremMonthly*CO7</f>
        <v/>
      </c>
      <c r="DI7" s="12">
        <f>CY7*PriceEssAnnual*CO7+CZ7*PricePremAnnual*CO7</f>
        <v/>
      </c>
      <c r="DJ7" s="12">
        <f>0+0</f>
        <v/>
      </c>
      <c r="DK7" s="9">
        <f>DH7+DI7+DJ7</f>
        <v/>
      </c>
      <c r="DL7" s="12">
        <f>SUM(DK$5:DK7)</f>
        <v/>
      </c>
      <c r="DM7" s="12">
        <f>OR(DM6,DL7&gt;=VATThreshold)</f>
        <v/>
      </c>
      <c r="DN7" s="9">
        <f>IF(DM7,DK7/(1+VATRate),DK7)</f>
        <v/>
      </c>
      <c r="DO7" s="12">
        <f>DK7-DN7</f>
        <v/>
      </c>
      <c r="DP7" s="12">
        <f>IF(DM7=0,0,IF(CL7=1,SUMPRODUCT(--(($CM$5:$CM7=$CM7-1)*($CL$5:$CL7&gt;=10)*($CL$5:$CL7&lt;=12)),$DO$5:$DO7),IF(CL7=4,SUMPRODUCT(--(($CM$5:$CM7=$CM7)*($CL$5:$CL7&gt;=1)*($CL$5:$CL7&lt;=3)),$DO$5:$DO7),IF(CL7=7,SUMPRODUCT(--(($CM$5:$CM7=$CM7)*($CL$5:$CL7&gt;=4)*($CL$5:$CL7&lt;=6)),$DO$5:$DO7),IF(CL7=10,SUMPRODUCT(--(($CM$5:$CM7=$CM7)*($CL$5:$CL7&gt;=7)*($CL$5:$CL7&lt;=9)),$DO$5:$DO7),0)))))</f>
        <v/>
      </c>
      <c r="DQ7" s="12">
        <f>DQ6+DO7-DP7</f>
        <v/>
      </c>
      <c r="DR7" s="12">
        <f>IF(ProviderDelay&gt;=1,DN6*ProviderShare,DN7*ProviderShare)</f>
        <v/>
      </c>
      <c r="DS7" s="12">
        <f>DK7*PaymentFee</f>
        <v/>
      </c>
      <c r="DT7" s="12">
        <f>DE7*OpsAI</f>
        <v/>
      </c>
      <c r="DU7" s="12">
        <f>MonthlyFixed</f>
        <v/>
      </c>
      <c r="DV7" s="12">
        <f>CS7*ReferralReward</f>
        <v/>
      </c>
      <c r="DW7" s="12">
        <f>CQ7</f>
        <v/>
      </c>
      <c r="DX7" s="9">
        <f>DN7-DR7-DS7-DT7-DU7-DV7-DW7</f>
        <v/>
      </c>
      <c r="DY7" s="9">
        <f>DY6+DK7-(DR7+DS7+DT7+DU7+DV7+DW7+DP7)</f>
        <v/>
      </c>
      <c r="DZ7" s="12">
        <f>IF(DE7&gt;0,DF7/DE7,0)</f>
        <v/>
      </c>
      <c r="EA7" s="11">
        <f>IF(DE6&gt;0,MAX(0,(DE6+CT7-DE7)/DE6),0)</f>
        <v/>
      </c>
      <c r="EC7" s="12" t="n">
        <v>3</v>
      </c>
      <c r="ED7" s="12">
        <f>MOD(EC7-1+LaunchMonth-1,12)+1</f>
        <v/>
      </c>
      <c r="EE7" s="12">
        <f>INT((EC7-1+LaunchMonth-1)/12)+1</f>
        <v/>
      </c>
      <c r="EF7" s="12">
        <f>VLOOKUP(ED7,SeasonTable,2,FALSE)</f>
        <v/>
      </c>
      <c r="EG7" s="12">
        <f>(1+InflationRate)^INT((EC7-1)/12)</f>
        <v/>
      </c>
      <c r="EH7" s="11">
        <f>'Sens - Churn'!$A$13*VLOOKUP(ED7,ChurnSeasonTable,4,FALSE)</f>
        <v/>
      </c>
      <c r="EI7" s="12">
        <f>MktFixed1_3</f>
        <v/>
      </c>
      <c r="EJ7" s="12">
        <f>IF(EI7&gt;0,MAX(1,ROUND(EI7/CAC*EF7,0)),0)</f>
        <v/>
      </c>
      <c r="EK7" s="12">
        <f>IF(EJ7&gt;0,ROUND(EJ7*ReferralMix/(1-ReferralMix),0),0)</f>
        <v/>
      </c>
      <c r="EL7" s="12">
        <f>EJ7+EK7</f>
        <v/>
      </c>
      <c r="EM7" s="12">
        <f>ROUND(EL7*(1-AnnualMix),0)</f>
        <v/>
      </c>
      <c r="EN7" s="12">
        <f>EL7-EM7</f>
        <v/>
      </c>
      <c r="EO7" s="12">
        <f>ROUND(EM7*EssentialMix,0)</f>
        <v/>
      </c>
      <c r="EP7" s="12">
        <f>EM7-EO7</f>
        <v/>
      </c>
      <c r="EQ7" s="12">
        <f>ROUND(EN7*EssentialMix,0)</f>
        <v/>
      </c>
      <c r="ER7" s="12">
        <f>EN7-EQ7</f>
        <v/>
      </c>
      <c r="ES7" s="12">
        <f>EO7+EO6+EO5</f>
        <v/>
      </c>
      <c r="ET7" s="12">
        <f>EP7+EP6+EP5</f>
        <v/>
      </c>
      <c r="EU7" s="12">
        <f>SUM(EQ$5:EQ7)</f>
        <v/>
      </c>
      <c r="EV7" s="12">
        <f>SUM(ER$5:ER7)</f>
        <v/>
      </c>
      <c r="EW7" s="12">
        <f>ES7+ET7+EU7+EV7</f>
        <v/>
      </c>
      <c r="EX7" s="9">
        <f>ES7*PriceEssMonthly*EG7+ET7*PricePremMonthly*EG7+EU7*PriceEssAnnual*EG7/12+EV7*PricePremAnnual*EG7/12</f>
        <v/>
      </c>
      <c r="EY7" s="9">
        <f>EX7*12</f>
        <v/>
      </c>
      <c r="EZ7" s="12">
        <f>ES7*PriceEssMonthly*EG7+ET7*PricePremMonthly*EG7</f>
        <v/>
      </c>
      <c r="FA7" s="12">
        <f>EQ7*PriceEssAnnual*EG7+ER7*PricePremAnnual*EG7</f>
        <v/>
      </c>
      <c r="FB7" s="12">
        <f>0+0</f>
        <v/>
      </c>
      <c r="FC7" s="9">
        <f>EZ7+FA7+FB7</f>
        <v/>
      </c>
      <c r="FD7" s="12">
        <f>SUM(FC$5:FC7)</f>
        <v/>
      </c>
      <c r="FE7" s="12">
        <f>OR(FE6,FD7&gt;=VATThreshold)</f>
        <v/>
      </c>
      <c r="FF7" s="9">
        <f>IF(FE7,FC7/(1+VATRate),FC7)</f>
        <v/>
      </c>
      <c r="FG7" s="12">
        <f>FC7-FF7</f>
        <v/>
      </c>
      <c r="FH7" s="12">
        <f>IF(FE7=0,0,IF(ED7=1,SUMPRODUCT(--(($EE$5:$EE7=$EE7-1)*($ED$5:$ED7&gt;=10)*($ED$5:$ED7&lt;=12)),$FG$5:$FG7),IF(ED7=4,SUMPRODUCT(--(($EE$5:$EE7=$EE7)*($ED$5:$ED7&gt;=1)*($ED$5:$ED7&lt;=3)),$FG$5:$FG7),IF(ED7=7,SUMPRODUCT(--(($EE$5:$EE7=$EE7)*($ED$5:$ED7&gt;=4)*($ED$5:$ED7&lt;=6)),$FG$5:$FG7),IF(ED7=10,SUMPRODUCT(--(($EE$5:$EE7=$EE7)*($ED$5:$ED7&gt;=7)*($ED$5:$ED7&lt;=9)),$FG$5:$FG7),0)))))</f>
        <v/>
      </c>
      <c r="FI7" s="12">
        <f>FI6+FG7-FH7</f>
        <v/>
      </c>
      <c r="FJ7" s="12">
        <f>IF(ProviderDelay&gt;=1,FF6*ProviderShare,FF7*ProviderShare)</f>
        <v/>
      </c>
      <c r="FK7" s="12">
        <f>FC7*PaymentFee</f>
        <v/>
      </c>
      <c r="FL7" s="12">
        <f>EW7*OpsAI</f>
        <v/>
      </c>
      <c r="FM7" s="12">
        <f>MonthlyFixed</f>
        <v/>
      </c>
      <c r="FN7" s="12">
        <f>EK7*ReferralReward</f>
        <v/>
      </c>
      <c r="FO7" s="12">
        <f>EI7</f>
        <v/>
      </c>
      <c r="FP7" s="9">
        <f>FF7-FJ7-FK7-FL7-FM7-FN7-FO7</f>
        <v/>
      </c>
      <c r="FQ7" s="9">
        <f>FQ6+FC7-(FJ7+FK7+FL7+FM7+FN7+FO7+FH7)</f>
        <v/>
      </c>
      <c r="FR7" s="12">
        <f>IF(EW7&gt;0,EX7/EW7,0)</f>
        <v/>
      </c>
      <c r="FS7" s="11">
        <f>IF(EW6&gt;0,MAX(0,(EW6+EL7-EW7)/EW6),0)</f>
        <v/>
      </c>
      <c r="FU7" s="12" t="n">
        <v>3</v>
      </c>
      <c r="FV7" s="12">
        <f>MOD(FU7-1+LaunchMonth-1,12)+1</f>
        <v/>
      </c>
      <c r="FW7" s="12">
        <f>INT((FU7-1+LaunchMonth-1)/12)+1</f>
        <v/>
      </c>
      <c r="FX7" s="12">
        <f>VLOOKUP(FV7,SeasonTable,2,FALSE)</f>
        <v/>
      </c>
      <c r="FY7" s="12">
        <f>(1+InflationRate)^INT((FU7-1)/12)</f>
        <v/>
      </c>
      <c r="FZ7" s="11">
        <f>'Sens - Churn'!$A$14*VLOOKUP(FV7,ChurnSeasonTable,4,FALSE)</f>
        <v/>
      </c>
      <c r="GA7" s="12">
        <f>MktFixed1_3</f>
        <v/>
      </c>
      <c r="GB7" s="12">
        <f>IF(GA7&gt;0,MAX(1,ROUND(GA7/CAC*FX7,0)),0)</f>
        <v/>
      </c>
      <c r="GC7" s="12">
        <f>IF(GB7&gt;0,ROUND(GB7*ReferralMix/(1-ReferralMix),0),0)</f>
        <v/>
      </c>
      <c r="GD7" s="12">
        <f>GB7+GC7</f>
        <v/>
      </c>
      <c r="GE7" s="12">
        <f>ROUND(GD7*(1-AnnualMix),0)</f>
        <v/>
      </c>
      <c r="GF7" s="12">
        <f>GD7-GE7</f>
        <v/>
      </c>
      <c r="GG7" s="12">
        <f>ROUND(GE7*EssentialMix,0)</f>
        <v/>
      </c>
      <c r="GH7" s="12">
        <f>GE7-GG7</f>
        <v/>
      </c>
      <c r="GI7" s="12">
        <f>ROUND(GF7*EssentialMix,0)</f>
        <v/>
      </c>
      <c r="GJ7" s="12">
        <f>GF7-GI7</f>
        <v/>
      </c>
      <c r="GK7" s="12">
        <f>GG7+GG6+GG5</f>
        <v/>
      </c>
      <c r="GL7" s="12">
        <f>GH7+GH6+GH5</f>
        <v/>
      </c>
      <c r="GM7" s="12">
        <f>SUM(GI$5:GI7)</f>
        <v/>
      </c>
      <c r="GN7" s="12">
        <f>SUM(GJ$5:GJ7)</f>
        <v/>
      </c>
      <c r="GO7" s="12">
        <f>GK7+GL7+GM7+GN7</f>
        <v/>
      </c>
      <c r="GP7" s="9">
        <f>GK7*PriceEssMonthly*FY7+GL7*PricePremMonthly*FY7+GM7*PriceEssAnnual*FY7/12+GN7*PricePremAnnual*FY7/12</f>
        <v/>
      </c>
      <c r="GQ7" s="9">
        <f>GP7*12</f>
        <v/>
      </c>
      <c r="GR7" s="12">
        <f>GK7*PriceEssMonthly*FY7+GL7*PricePremMonthly*FY7</f>
        <v/>
      </c>
      <c r="GS7" s="12">
        <f>GI7*PriceEssAnnual*FY7+GJ7*PricePremAnnual*FY7</f>
        <v/>
      </c>
      <c r="GT7" s="12">
        <f>0+0</f>
        <v/>
      </c>
      <c r="GU7" s="9">
        <f>GR7+GS7+GT7</f>
        <v/>
      </c>
      <c r="GV7" s="12">
        <f>SUM(GU$5:GU7)</f>
        <v/>
      </c>
      <c r="GW7" s="12">
        <f>OR(GW6,GV7&gt;=VATThreshold)</f>
        <v/>
      </c>
      <c r="GX7" s="9">
        <f>IF(GW7,GU7/(1+VATRate),GU7)</f>
        <v/>
      </c>
      <c r="GY7" s="12">
        <f>GU7-GX7</f>
        <v/>
      </c>
      <c r="GZ7" s="12">
        <f>IF(GW7=0,0,IF(FV7=1,SUMPRODUCT(--(($FW$5:$FW7=$FW7-1)*($FV$5:$FV7&gt;=10)*($FV$5:$FV7&lt;=12)),$GY$5:$GY7),IF(FV7=4,SUMPRODUCT(--(($FW$5:$FW7=$FW7)*($FV$5:$FV7&gt;=1)*($FV$5:$FV7&lt;=3)),$GY$5:$GY7),IF(FV7=7,SUMPRODUCT(--(($FW$5:$FW7=$FW7)*($FV$5:$FV7&gt;=4)*($FV$5:$FV7&lt;=6)),$GY$5:$GY7),IF(FV7=10,SUMPRODUCT(--(($FW$5:$FW7=$FW7)*($FV$5:$FV7&gt;=7)*($FV$5:$FV7&lt;=9)),$GY$5:$GY7),0)))))</f>
        <v/>
      </c>
      <c r="HA7" s="12">
        <f>HA6+GY7-GZ7</f>
        <v/>
      </c>
      <c r="HB7" s="12">
        <f>IF(ProviderDelay&gt;=1,GX6*ProviderShare,GX7*ProviderShare)</f>
        <v/>
      </c>
      <c r="HC7" s="12">
        <f>GU7*PaymentFee</f>
        <v/>
      </c>
      <c r="HD7" s="12">
        <f>GO7*OpsAI</f>
        <v/>
      </c>
      <c r="HE7" s="12">
        <f>MonthlyFixed</f>
        <v/>
      </c>
      <c r="HF7" s="12">
        <f>GC7*ReferralReward</f>
        <v/>
      </c>
      <c r="HG7" s="12">
        <f>GA7</f>
        <v/>
      </c>
      <c r="HH7" s="9">
        <f>GX7-HB7-HC7-HD7-HE7-HF7-HG7</f>
        <v/>
      </c>
      <c r="HI7" s="9">
        <f>HI6+GU7-(HB7+HC7+HD7+HE7+HF7+HG7+GZ7)</f>
        <v/>
      </c>
      <c r="HJ7" s="12">
        <f>IF(GO7&gt;0,GP7/GO7,0)</f>
        <v/>
      </c>
      <c r="HK7" s="11">
        <f>IF(GO6&gt;0,MAX(0,(GO6+GD7-GO7)/GO6),0)</f>
        <v/>
      </c>
      <c r="HM7" s="12" t="n">
        <v>3</v>
      </c>
      <c r="HN7" s="12">
        <f>MOD(HM7-1+LaunchMonth-1,12)+1</f>
        <v/>
      </c>
      <c r="HO7" s="12">
        <f>INT((HM7-1+LaunchMonth-1)/12)+1</f>
        <v/>
      </c>
      <c r="HP7" s="12">
        <f>VLOOKUP(HN7,SeasonTable,2,FALSE)</f>
        <v/>
      </c>
      <c r="HQ7" s="12">
        <f>(1+InflationRate)^INT((HM7-1)/12)</f>
        <v/>
      </c>
      <c r="HR7" s="11">
        <f>'Sens - Churn'!$A$15*VLOOKUP(HN7,ChurnSeasonTable,4,FALSE)</f>
        <v/>
      </c>
      <c r="HS7" s="12">
        <f>MktFixed1_3</f>
        <v/>
      </c>
      <c r="HT7" s="12">
        <f>IF(HS7&gt;0,MAX(1,ROUND(HS7/CAC*HP7,0)),0)</f>
        <v/>
      </c>
      <c r="HU7" s="12">
        <f>IF(HT7&gt;0,ROUND(HT7*ReferralMix/(1-ReferralMix),0),0)</f>
        <v/>
      </c>
      <c r="HV7" s="12">
        <f>HT7+HU7</f>
        <v/>
      </c>
      <c r="HW7" s="12">
        <f>ROUND(HV7*(1-AnnualMix),0)</f>
        <v/>
      </c>
      <c r="HX7" s="12">
        <f>HV7-HW7</f>
        <v/>
      </c>
      <c r="HY7" s="12">
        <f>ROUND(HW7*EssentialMix,0)</f>
        <v/>
      </c>
      <c r="HZ7" s="12">
        <f>HW7-HY7</f>
        <v/>
      </c>
      <c r="IA7" s="12">
        <f>ROUND(HX7*EssentialMix,0)</f>
        <v/>
      </c>
      <c r="IB7" s="12">
        <f>HX7-IA7</f>
        <v/>
      </c>
      <c r="IC7" s="12">
        <f>HY7+HY6+HY5</f>
        <v/>
      </c>
      <c r="ID7" s="12">
        <f>HZ7+HZ6+HZ5</f>
        <v/>
      </c>
      <c r="IE7" s="12">
        <f>SUM(IA$5:IA7)</f>
        <v/>
      </c>
      <c r="IF7" s="12">
        <f>SUM(IB$5:IB7)</f>
        <v/>
      </c>
      <c r="IG7" s="12">
        <f>IC7+ID7+IE7+IF7</f>
        <v/>
      </c>
      <c r="IH7" s="9">
        <f>IC7*PriceEssMonthly*HQ7+ID7*PricePremMonthly*HQ7+IE7*PriceEssAnnual*HQ7/12+IF7*PricePremAnnual*HQ7/12</f>
        <v/>
      </c>
      <c r="II7" s="9">
        <f>IH7*12</f>
        <v/>
      </c>
      <c r="IJ7" s="12">
        <f>IC7*PriceEssMonthly*HQ7+ID7*PricePremMonthly*HQ7</f>
        <v/>
      </c>
      <c r="IK7" s="12">
        <f>IA7*PriceEssAnnual*HQ7+IB7*PricePremAnnual*HQ7</f>
        <v/>
      </c>
      <c r="IL7" s="12">
        <f>0+0</f>
        <v/>
      </c>
      <c r="IM7" s="9">
        <f>IJ7+IK7+IL7</f>
        <v/>
      </c>
      <c r="IN7" s="12">
        <f>SUM(IM$5:IM7)</f>
        <v/>
      </c>
      <c r="IO7" s="12">
        <f>OR(IO6,IN7&gt;=VATThreshold)</f>
        <v/>
      </c>
      <c r="IP7" s="9">
        <f>IF(IO7,IM7/(1+VATRate),IM7)</f>
        <v/>
      </c>
      <c r="IQ7" s="12">
        <f>IM7-IP7</f>
        <v/>
      </c>
      <c r="IR7" s="12">
        <f>IF(IO7=0,0,IF(HN7=1,SUMPRODUCT(--(($HO$5:$HO7=$HO7-1)*($HN$5:$HN7&gt;=10)*($HN$5:$HN7&lt;=12)),$IQ$5:$IQ7),IF(HN7=4,SUMPRODUCT(--(($HO$5:$HO7=$HO7)*($HN$5:$HN7&gt;=1)*($HN$5:$HN7&lt;=3)),$IQ$5:$IQ7),IF(HN7=7,SUMPRODUCT(--(($HO$5:$HO7=$HO7)*($HN$5:$HN7&gt;=4)*($HN$5:$HN7&lt;=6)),$IQ$5:$IQ7),IF(HN7=10,SUMPRODUCT(--(($HO$5:$HO7=$HO7)*($HN$5:$HN7&gt;=7)*($HN$5:$HN7&lt;=9)),$IQ$5:$IQ7),0)))))</f>
        <v/>
      </c>
      <c r="IS7" s="12">
        <f>IS6+IQ7-IR7</f>
        <v/>
      </c>
      <c r="IT7" s="12">
        <f>IF(ProviderDelay&gt;=1,IP6*ProviderShare,IP7*ProviderShare)</f>
        <v/>
      </c>
      <c r="IU7" s="12">
        <f>IM7*PaymentFee</f>
        <v/>
      </c>
      <c r="IV7" s="12">
        <f>IG7*OpsAI</f>
        <v/>
      </c>
      <c r="IW7" s="12">
        <f>MonthlyFixed</f>
        <v/>
      </c>
      <c r="IX7" s="12">
        <f>HU7*ReferralReward</f>
        <v/>
      </c>
      <c r="IY7" s="12">
        <f>HS7</f>
        <v/>
      </c>
      <c r="IZ7" s="9">
        <f>IP7-IT7-IU7-IV7-IW7-IX7-IY7</f>
        <v/>
      </c>
      <c r="JA7" s="9">
        <f>JA6+IM7-(IT7+IU7+IV7+IW7+IX7+IY7+IR7)</f>
        <v/>
      </c>
      <c r="JB7" s="12">
        <f>IF(IG7&gt;0,IH7/IG7,0)</f>
        <v/>
      </c>
      <c r="JC7" s="11">
        <f>IF(IG6&gt;0,MAX(0,(IG6+HV7-IG7)/IG6),0)</f>
        <v/>
      </c>
      <c r="JE7" s="12" t="n">
        <v>3</v>
      </c>
      <c r="JF7" s="12">
        <f>MOD(JE7-1+LaunchMonth-1,12)+1</f>
        <v/>
      </c>
      <c r="JG7" s="12">
        <f>INT((JE7-1+LaunchMonth-1)/12)+1</f>
        <v/>
      </c>
      <c r="JH7" s="12">
        <f>VLOOKUP(JF7,SeasonTable,2,FALSE)</f>
        <v/>
      </c>
      <c r="JI7" s="12">
        <f>(1+InflationRate)^INT((JE7-1)/12)</f>
        <v/>
      </c>
      <c r="JJ7" s="11">
        <f>'Sens - Churn'!$A$16*VLOOKUP(JF7,ChurnSeasonTable,4,FALSE)</f>
        <v/>
      </c>
      <c r="JK7" s="12">
        <f>MktFixed1_3</f>
        <v/>
      </c>
      <c r="JL7" s="12">
        <f>IF(JK7&gt;0,MAX(1,ROUND(JK7/CAC*JH7,0)),0)</f>
        <v/>
      </c>
      <c r="JM7" s="12">
        <f>IF(JL7&gt;0,ROUND(JL7*ReferralMix/(1-ReferralMix),0),0)</f>
        <v/>
      </c>
      <c r="JN7" s="12">
        <f>JL7+JM7</f>
        <v/>
      </c>
      <c r="JO7" s="12">
        <f>ROUND(JN7*(1-AnnualMix),0)</f>
        <v/>
      </c>
      <c r="JP7" s="12">
        <f>JN7-JO7</f>
        <v/>
      </c>
      <c r="JQ7" s="12">
        <f>ROUND(JO7*EssentialMix,0)</f>
        <v/>
      </c>
      <c r="JR7" s="12">
        <f>JO7-JQ7</f>
        <v/>
      </c>
      <c r="JS7" s="12">
        <f>ROUND(JP7*EssentialMix,0)</f>
        <v/>
      </c>
      <c r="JT7" s="12">
        <f>JP7-JS7</f>
        <v/>
      </c>
      <c r="JU7" s="12">
        <f>JQ7+JQ6+JQ5</f>
        <v/>
      </c>
      <c r="JV7" s="12">
        <f>JR7+JR6+JR5</f>
        <v/>
      </c>
      <c r="JW7" s="12">
        <f>SUM(JS$5:JS7)</f>
        <v/>
      </c>
      <c r="JX7" s="12">
        <f>SUM(JT$5:JT7)</f>
        <v/>
      </c>
      <c r="JY7" s="12">
        <f>JU7+JV7+JW7+JX7</f>
        <v/>
      </c>
      <c r="JZ7" s="9">
        <f>JU7*PriceEssMonthly*JI7+JV7*PricePremMonthly*JI7+JW7*PriceEssAnnual*JI7/12+JX7*PricePremAnnual*JI7/12</f>
        <v/>
      </c>
      <c r="KA7" s="9">
        <f>JZ7*12</f>
        <v/>
      </c>
      <c r="KB7" s="12">
        <f>JU7*PriceEssMonthly*JI7+JV7*PricePremMonthly*JI7</f>
        <v/>
      </c>
      <c r="KC7" s="12">
        <f>JS7*PriceEssAnnual*JI7+JT7*PricePremAnnual*JI7</f>
        <v/>
      </c>
      <c r="KD7" s="12">
        <f>0+0</f>
        <v/>
      </c>
      <c r="KE7" s="9">
        <f>KB7+KC7+KD7</f>
        <v/>
      </c>
      <c r="KF7" s="12">
        <f>SUM(KE$5:KE7)</f>
        <v/>
      </c>
      <c r="KG7" s="12">
        <f>OR(KG6,KF7&gt;=VATThreshold)</f>
        <v/>
      </c>
      <c r="KH7" s="9">
        <f>IF(KG7,KE7/(1+VATRate),KE7)</f>
        <v/>
      </c>
      <c r="KI7" s="12">
        <f>KE7-KH7</f>
        <v/>
      </c>
      <c r="KJ7" s="12">
        <f>IF(KG7=0,0,IF(JF7=1,SUMPRODUCT(--(($JG$5:$JG7=$JG7-1)*($JF$5:$JF7&gt;=10)*($JF$5:$JF7&lt;=12)),$KI$5:$KI7),IF(JF7=4,SUMPRODUCT(--(($JG$5:$JG7=$JG7)*($JF$5:$JF7&gt;=1)*($JF$5:$JF7&lt;=3)),$KI$5:$KI7),IF(JF7=7,SUMPRODUCT(--(($JG$5:$JG7=$JG7)*($JF$5:$JF7&gt;=4)*($JF$5:$JF7&lt;=6)),$KI$5:$KI7),IF(JF7=10,SUMPRODUCT(--(($JG$5:$JG7=$JG7)*($JF$5:$JF7&gt;=7)*($JF$5:$JF7&lt;=9)),$KI$5:$KI7),0)))))</f>
        <v/>
      </c>
      <c r="KK7" s="12">
        <f>KK6+KI7-KJ7</f>
        <v/>
      </c>
      <c r="KL7" s="12">
        <f>IF(ProviderDelay&gt;=1,KH6*ProviderShare,KH7*ProviderShare)</f>
        <v/>
      </c>
      <c r="KM7" s="12">
        <f>KE7*PaymentFee</f>
        <v/>
      </c>
      <c r="KN7" s="12">
        <f>JY7*OpsAI</f>
        <v/>
      </c>
      <c r="KO7" s="12">
        <f>MonthlyFixed</f>
        <v/>
      </c>
      <c r="KP7" s="12">
        <f>JM7*ReferralReward</f>
        <v/>
      </c>
      <c r="KQ7" s="12">
        <f>JK7</f>
        <v/>
      </c>
      <c r="KR7" s="9">
        <f>KH7-KL7-KM7-KN7-KO7-KP7-KQ7</f>
        <v/>
      </c>
      <c r="KS7" s="9">
        <f>KS6+KE7-(KL7+KM7+KN7+KO7+KP7+KQ7+KJ7)</f>
        <v/>
      </c>
      <c r="KT7" s="12">
        <f>IF(JY7&gt;0,JZ7/JY7,0)</f>
        <v/>
      </c>
      <c r="KU7" s="11">
        <f>IF(JY6&gt;0,MAX(0,(JY6+JN7-JY7)/JY6),0)</f>
        <v/>
      </c>
      <c r="KW7" s="12" t="n">
        <v>3</v>
      </c>
      <c r="KX7" s="12">
        <f>MOD(KW7-1+LaunchMonth-1,12)+1</f>
        <v/>
      </c>
      <c r="KY7" s="12">
        <f>INT((KW7-1+LaunchMonth-1)/12)+1</f>
        <v/>
      </c>
      <c r="KZ7" s="12">
        <f>VLOOKUP(KX7,SeasonTable,2,FALSE)</f>
        <v/>
      </c>
      <c r="LA7" s="12">
        <f>(1+InflationRate)^INT((KW7-1)/12)</f>
        <v/>
      </c>
      <c r="LB7" s="11">
        <f>'Sens - Churn'!$A$17*VLOOKUP(KX7,ChurnSeasonTable,4,FALSE)</f>
        <v/>
      </c>
      <c r="LC7" s="12">
        <f>MktFixed1_3</f>
        <v/>
      </c>
      <c r="LD7" s="12">
        <f>IF(LC7&gt;0,MAX(1,ROUND(LC7/CAC*KZ7,0)),0)</f>
        <v/>
      </c>
      <c r="LE7" s="12">
        <f>IF(LD7&gt;0,ROUND(LD7*ReferralMix/(1-ReferralMix),0),0)</f>
        <v/>
      </c>
      <c r="LF7" s="12">
        <f>LD7+LE7</f>
        <v/>
      </c>
      <c r="LG7" s="12">
        <f>ROUND(LF7*(1-AnnualMix),0)</f>
        <v/>
      </c>
      <c r="LH7" s="12">
        <f>LF7-LG7</f>
        <v/>
      </c>
      <c r="LI7" s="12">
        <f>ROUND(LG7*EssentialMix,0)</f>
        <v/>
      </c>
      <c r="LJ7" s="12">
        <f>LG7-LI7</f>
        <v/>
      </c>
      <c r="LK7" s="12">
        <f>ROUND(LH7*EssentialMix,0)</f>
        <v/>
      </c>
      <c r="LL7" s="12">
        <f>LH7-LK7</f>
        <v/>
      </c>
      <c r="LM7" s="12">
        <f>LI7+LI6+LI5</f>
        <v/>
      </c>
      <c r="LN7" s="12">
        <f>LJ7+LJ6+LJ5</f>
        <v/>
      </c>
      <c r="LO7" s="12">
        <f>SUM(LK$5:LK7)</f>
        <v/>
      </c>
      <c r="LP7" s="12">
        <f>SUM(LL$5:LL7)</f>
        <v/>
      </c>
      <c r="LQ7" s="12">
        <f>LM7+LN7+LO7+LP7</f>
        <v/>
      </c>
      <c r="LR7" s="9">
        <f>LM7*PriceEssMonthly*LA7+LN7*PricePremMonthly*LA7+LO7*PriceEssAnnual*LA7/12+LP7*PricePremAnnual*LA7/12</f>
        <v/>
      </c>
      <c r="LS7" s="9">
        <f>LR7*12</f>
        <v/>
      </c>
      <c r="LT7" s="12">
        <f>LM7*PriceEssMonthly*LA7+LN7*PricePremMonthly*LA7</f>
        <v/>
      </c>
      <c r="LU7" s="12">
        <f>LK7*PriceEssAnnual*LA7+LL7*PricePremAnnual*LA7</f>
        <v/>
      </c>
      <c r="LV7" s="12">
        <f>0+0</f>
        <v/>
      </c>
      <c r="LW7" s="9">
        <f>LT7+LU7+LV7</f>
        <v/>
      </c>
      <c r="LX7" s="12">
        <f>SUM(LW$5:LW7)</f>
        <v/>
      </c>
      <c r="LY7" s="12">
        <f>OR(LY6,LX7&gt;=VATThreshold)</f>
        <v/>
      </c>
      <c r="LZ7" s="9">
        <f>IF(LY7,LW7/(1+VATRate),LW7)</f>
        <v/>
      </c>
      <c r="MA7" s="12">
        <f>LW7-LZ7</f>
        <v/>
      </c>
      <c r="MB7" s="12">
        <f>IF(LY7=0,0,IF(KX7=1,SUMPRODUCT(--(($KY$5:$KY7=$KY7-1)*($KX$5:$KX7&gt;=10)*($KX$5:$KX7&lt;=12)),$MA$5:$MA7),IF(KX7=4,SUMPRODUCT(--(($KY$5:$KY7=$KY7)*($KX$5:$KX7&gt;=1)*($KX$5:$KX7&lt;=3)),$MA$5:$MA7),IF(KX7=7,SUMPRODUCT(--(($KY$5:$KY7=$KY7)*($KX$5:$KX7&gt;=4)*($KX$5:$KX7&lt;=6)),$MA$5:$MA7),IF(KX7=10,SUMPRODUCT(--(($KY$5:$KY7=$KY7)*($KX$5:$KX7&gt;=7)*($KX$5:$KX7&lt;=9)),$MA$5:$MA7),0)))))</f>
        <v/>
      </c>
      <c r="MC7" s="12">
        <f>MC6+MA7-MB7</f>
        <v/>
      </c>
      <c r="MD7" s="12">
        <f>IF(ProviderDelay&gt;=1,LZ6*ProviderShare,LZ7*ProviderShare)</f>
        <v/>
      </c>
      <c r="ME7" s="12">
        <f>LW7*PaymentFee</f>
        <v/>
      </c>
      <c r="MF7" s="12">
        <f>LQ7*OpsAI</f>
        <v/>
      </c>
      <c r="MG7" s="12">
        <f>MonthlyFixed</f>
        <v/>
      </c>
      <c r="MH7" s="12">
        <f>LE7*ReferralReward</f>
        <v/>
      </c>
      <c r="MI7" s="12">
        <f>LC7</f>
        <v/>
      </c>
      <c r="MJ7" s="9">
        <f>LZ7-MD7-ME7-MF7-MG7-MH7-MI7</f>
        <v/>
      </c>
      <c r="MK7" s="9">
        <f>MK6+LW7-(MD7+ME7+MF7+MG7+MH7+MI7+MB7)</f>
        <v/>
      </c>
      <c r="ML7" s="12">
        <f>IF(LQ7&gt;0,LR7/LQ7,0)</f>
        <v/>
      </c>
      <c r="MM7" s="11">
        <f>IF(LQ6&gt;0,MAX(0,(LQ6+LF7-LQ7)/LQ6),0)</f>
        <v/>
      </c>
      <c r="MO7" s="12" t="n">
        <v>3</v>
      </c>
      <c r="MP7" s="12">
        <f>MOD(MO7-1+LaunchMonth-1,12)+1</f>
        <v/>
      </c>
      <c r="MQ7" s="12">
        <f>INT((MO7-1+LaunchMonth-1)/12)+1</f>
        <v/>
      </c>
      <c r="MR7" s="12">
        <f>VLOOKUP(MP7,SeasonTable,2,FALSE)</f>
        <v/>
      </c>
      <c r="MS7" s="12">
        <f>(1+InflationRate)^INT((MO7-1)/12)</f>
        <v/>
      </c>
      <c r="MT7" s="11">
        <f>'Sens - Churn'!$A$18*VLOOKUP(MP7,ChurnSeasonTable,4,FALSE)</f>
        <v/>
      </c>
      <c r="MU7" s="12">
        <f>MktFixed1_3</f>
        <v/>
      </c>
      <c r="MV7" s="12">
        <f>IF(MU7&gt;0,MAX(1,ROUND(MU7/CAC*MR7,0)),0)</f>
        <v/>
      </c>
      <c r="MW7" s="12">
        <f>IF(MV7&gt;0,ROUND(MV7*ReferralMix/(1-ReferralMix),0),0)</f>
        <v/>
      </c>
      <c r="MX7" s="12">
        <f>MV7+MW7</f>
        <v/>
      </c>
      <c r="MY7" s="12">
        <f>ROUND(MX7*(1-AnnualMix),0)</f>
        <v/>
      </c>
      <c r="MZ7" s="12">
        <f>MX7-MY7</f>
        <v/>
      </c>
      <c r="NA7" s="12">
        <f>ROUND(MY7*EssentialMix,0)</f>
        <v/>
      </c>
      <c r="NB7" s="12">
        <f>MY7-NA7</f>
        <v/>
      </c>
      <c r="NC7" s="12">
        <f>ROUND(MZ7*EssentialMix,0)</f>
        <v/>
      </c>
      <c r="ND7" s="12">
        <f>MZ7-NC7</f>
        <v/>
      </c>
      <c r="NE7" s="12">
        <f>NA7+NA6+NA5</f>
        <v/>
      </c>
      <c r="NF7" s="12">
        <f>NB7+NB6+NB5</f>
        <v/>
      </c>
      <c r="NG7" s="12">
        <f>SUM(NC$5:NC7)</f>
        <v/>
      </c>
      <c r="NH7" s="12">
        <f>SUM(ND$5:ND7)</f>
        <v/>
      </c>
      <c r="NI7" s="12">
        <f>NE7+NF7+NG7+NH7</f>
        <v/>
      </c>
      <c r="NJ7" s="9">
        <f>NE7*PriceEssMonthly*MS7+NF7*PricePremMonthly*MS7+NG7*PriceEssAnnual*MS7/12+NH7*PricePremAnnual*MS7/12</f>
        <v/>
      </c>
      <c r="NK7" s="9">
        <f>NJ7*12</f>
        <v/>
      </c>
      <c r="NL7" s="12">
        <f>NE7*PriceEssMonthly*MS7+NF7*PricePremMonthly*MS7</f>
        <v/>
      </c>
      <c r="NM7" s="12">
        <f>NC7*PriceEssAnnual*MS7+ND7*PricePremAnnual*MS7</f>
        <v/>
      </c>
      <c r="NN7" s="12">
        <f>0+0</f>
        <v/>
      </c>
      <c r="NO7" s="9">
        <f>NL7+NM7+NN7</f>
        <v/>
      </c>
      <c r="NP7" s="12">
        <f>SUM(NO$5:NO7)</f>
        <v/>
      </c>
      <c r="NQ7" s="12">
        <f>OR(NQ6,NP7&gt;=VATThreshold)</f>
        <v/>
      </c>
      <c r="NR7" s="9">
        <f>IF(NQ7,NO7/(1+VATRate),NO7)</f>
        <v/>
      </c>
      <c r="NS7" s="12">
        <f>NO7-NR7</f>
        <v/>
      </c>
      <c r="NT7" s="12">
        <f>IF(NQ7=0,0,IF(MP7=1,SUMPRODUCT(--(($MQ$5:$MQ7=$MQ7-1)*($MP$5:$MP7&gt;=10)*($MP$5:$MP7&lt;=12)),$NS$5:$NS7),IF(MP7=4,SUMPRODUCT(--(($MQ$5:$MQ7=$MQ7)*($MP$5:$MP7&gt;=1)*($MP$5:$MP7&lt;=3)),$NS$5:$NS7),IF(MP7=7,SUMPRODUCT(--(($MQ$5:$MQ7=$MQ7)*($MP$5:$MP7&gt;=4)*($MP$5:$MP7&lt;=6)),$NS$5:$NS7),IF(MP7=10,SUMPRODUCT(--(($MQ$5:$MQ7=$MQ7)*($MP$5:$MP7&gt;=7)*($MP$5:$MP7&lt;=9)),$NS$5:$NS7),0)))))</f>
        <v/>
      </c>
      <c r="NU7" s="12">
        <f>NU6+NS7-NT7</f>
        <v/>
      </c>
      <c r="NV7" s="12">
        <f>IF(ProviderDelay&gt;=1,NR6*ProviderShare,NR7*ProviderShare)</f>
        <v/>
      </c>
      <c r="NW7" s="12">
        <f>NO7*PaymentFee</f>
        <v/>
      </c>
      <c r="NX7" s="12">
        <f>NI7*OpsAI</f>
        <v/>
      </c>
      <c r="NY7" s="12">
        <f>MonthlyFixed</f>
        <v/>
      </c>
      <c r="NZ7" s="12">
        <f>MW7*ReferralReward</f>
        <v/>
      </c>
      <c r="OA7" s="12">
        <f>MU7</f>
        <v/>
      </c>
      <c r="OB7" s="9">
        <f>NR7-NV7-NW7-NX7-NY7-NZ7-OA7</f>
        <v/>
      </c>
      <c r="OC7" s="9">
        <f>OC6+NO7-(NV7+NW7+NX7+NY7+NZ7+OA7+NT7)</f>
        <v/>
      </c>
      <c r="OD7" s="12">
        <f>IF(NI7&gt;0,NJ7/NI7,0)</f>
        <v/>
      </c>
      <c r="OE7" s="11">
        <f>IF(NI6&gt;0,MAX(0,(NI6+MX7-NI7)/NI6),0)</f>
        <v/>
      </c>
      <c r="OG7" s="12" t="n">
        <v>3</v>
      </c>
      <c r="OH7" s="12">
        <f>MOD(OG7-1+LaunchMonth-1,12)+1</f>
        <v/>
      </c>
      <c r="OI7" s="12">
        <f>INT((OG7-1+LaunchMonth-1)/12)+1</f>
        <v/>
      </c>
      <c r="OJ7" s="12">
        <f>VLOOKUP(OH7,SeasonTable,2,FALSE)</f>
        <v/>
      </c>
      <c r="OK7" s="12">
        <f>(1+InflationRate)^INT((OG7-1)/12)</f>
        <v/>
      </c>
      <c r="OL7" s="11">
        <f>'Sens - Churn'!$A$19*VLOOKUP(OH7,ChurnSeasonTable,4,FALSE)</f>
        <v/>
      </c>
      <c r="OM7" s="12">
        <f>MktFixed1_3</f>
        <v/>
      </c>
      <c r="ON7" s="12">
        <f>IF(OM7&gt;0,MAX(1,ROUND(OM7/CAC*OJ7,0)),0)</f>
        <v/>
      </c>
      <c r="OO7" s="12">
        <f>IF(ON7&gt;0,ROUND(ON7*ReferralMix/(1-ReferralMix),0),0)</f>
        <v/>
      </c>
      <c r="OP7" s="12">
        <f>ON7+OO7</f>
        <v/>
      </c>
      <c r="OQ7" s="12">
        <f>ROUND(OP7*(1-AnnualMix),0)</f>
        <v/>
      </c>
      <c r="OR7" s="12">
        <f>OP7-OQ7</f>
        <v/>
      </c>
      <c r="OS7" s="12">
        <f>ROUND(OQ7*EssentialMix,0)</f>
        <v/>
      </c>
      <c r="OT7" s="12">
        <f>OQ7-OS7</f>
        <v/>
      </c>
      <c r="OU7" s="12">
        <f>ROUND(OR7*EssentialMix,0)</f>
        <v/>
      </c>
      <c r="OV7" s="12">
        <f>OR7-OU7</f>
        <v/>
      </c>
      <c r="OW7" s="12">
        <f>OS7+OS6+OS5</f>
        <v/>
      </c>
      <c r="OX7" s="12">
        <f>OT7+OT6+OT5</f>
        <v/>
      </c>
      <c r="OY7" s="12">
        <f>SUM(OU$5:OU7)</f>
        <v/>
      </c>
      <c r="OZ7" s="12">
        <f>SUM(OV$5:OV7)</f>
        <v/>
      </c>
      <c r="PA7" s="12">
        <f>OW7+OX7+OY7+OZ7</f>
        <v/>
      </c>
      <c r="PB7" s="9">
        <f>OW7*PriceEssMonthly*OK7+OX7*PricePremMonthly*OK7+OY7*PriceEssAnnual*OK7/12+OZ7*PricePremAnnual*OK7/12</f>
        <v/>
      </c>
      <c r="PC7" s="9">
        <f>PB7*12</f>
        <v/>
      </c>
      <c r="PD7" s="12">
        <f>OW7*PriceEssMonthly*OK7+OX7*PricePremMonthly*OK7</f>
        <v/>
      </c>
      <c r="PE7" s="12">
        <f>OU7*PriceEssAnnual*OK7+OV7*PricePremAnnual*OK7</f>
        <v/>
      </c>
      <c r="PF7" s="12">
        <f>0+0</f>
        <v/>
      </c>
      <c r="PG7" s="9">
        <f>PD7+PE7+PF7</f>
        <v/>
      </c>
      <c r="PH7" s="12">
        <f>SUM(PG$5:PG7)</f>
        <v/>
      </c>
      <c r="PI7" s="12">
        <f>OR(PI6,PH7&gt;=VATThreshold)</f>
        <v/>
      </c>
      <c r="PJ7" s="9">
        <f>IF(PI7,PG7/(1+VATRate),PG7)</f>
        <v/>
      </c>
      <c r="PK7" s="12">
        <f>PG7-PJ7</f>
        <v/>
      </c>
      <c r="PL7" s="12">
        <f>IF(PI7=0,0,IF(OH7=1,SUMPRODUCT(--(($OI$5:$OI7=$OI7-1)*($OH$5:$OH7&gt;=10)*($OH$5:$OH7&lt;=12)),$PK$5:$PK7),IF(OH7=4,SUMPRODUCT(--(($OI$5:$OI7=$OI7)*($OH$5:$OH7&gt;=1)*($OH$5:$OH7&lt;=3)),$PK$5:$PK7),IF(OH7=7,SUMPRODUCT(--(($OI$5:$OI7=$OI7)*($OH$5:$OH7&gt;=4)*($OH$5:$OH7&lt;=6)),$PK$5:$PK7),IF(OH7=10,SUMPRODUCT(--(($OI$5:$OI7=$OI7)*($OH$5:$OH7&gt;=7)*($OH$5:$OH7&lt;=9)),$PK$5:$PK7),0)))))</f>
        <v/>
      </c>
      <c r="PM7" s="12">
        <f>PM6+PK7-PL7</f>
        <v/>
      </c>
      <c r="PN7" s="12">
        <f>IF(ProviderDelay&gt;=1,PJ6*ProviderShare,PJ7*ProviderShare)</f>
        <v/>
      </c>
      <c r="PO7" s="12">
        <f>PG7*PaymentFee</f>
        <v/>
      </c>
      <c r="PP7" s="12">
        <f>PA7*OpsAI</f>
        <v/>
      </c>
      <c r="PQ7" s="12">
        <f>MonthlyFixed</f>
        <v/>
      </c>
      <c r="PR7" s="12">
        <f>OO7*ReferralReward</f>
        <v/>
      </c>
      <c r="PS7" s="12">
        <f>OM7</f>
        <v/>
      </c>
      <c r="PT7" s="9">
        <f>PJ7-PN7-PO7-PP7-PQ7-PR7-PS7</f>
        <v/>
      </c>
      <c r="PU7" s="9">
        <f>PU6+PG7-(PN7+PO7+PP7+PQ7+PR7+PS7+PL7)</f>
        <v/>
      </c>
      <c r="PV7" s="12">
        <f>IF(PA7&gt;0,PB7/PA7,0)</f>
        <v/>
      </c>
      <c r="PW7" s="11">
        <f>IF(PA6&gt;0,MAX(0,(PA6+OP7-PA7)/PA6),0)</f>
        <v/>
      </c>
      <c r="PY7" s="12" t="n">
        <v>3</v>
      </c>
      <c r="PZ7" s="12">
        <f>MOD(PY7-1+LaunchMonth-1,12)+1</f>
        <v/>
      </c>
      <c r="QA7" s="12">
        <f>INT((PY7-1+LaunchMonth-1)/12)+1</f>
        <v/>
      </c>
      <c r="QB7" s="12">
        <f>VLOOKUP(PZ7,SeasonTable,2,FALSE)</f>
        <v/>
      </c>
      <c r="QC7" s="12">
        <f>(1+InflationRate)^INT((PY7-1)/12)</f>
        <v/>
      </c>
      <c r="QD7" s="11">
        <f>'Sens - Churn'!$A$20*VLOOKUP(PZ7,ChurnSeasonTable,4,FALSE)</f>
        <v/>
      </c>
      <c r="QE7" s="12">
        <f>MktFixed1_3</f>
        <v/>
      </c>
      <c r="QF7" s="12">
        <f>IF(QE7&gt;0,MAX(1,ROUND(QE7/CAC*QB7,0)),0)</f>
        <v/>
      </c>
      <c r="QG7" s="12">
        <f>IF(QF7&gt;0,ROUND(QF7*ReferralMix/(1-ReferralMix),0),0)</f>
        <v/>
      </c>
      <c r="QH7" s="12">
        <f>QF7+QG7</f>
        <v/>
      </c>
      <c r="QI7" s="12">
        <f>ROUND(QH7*(1-AnnualMix),0)</f>
        <v/>
      </c>
      <c r="QJ7" s="12">
        <f>QH7-QI7</f>
        <v/>
      </c>
      <c r="QK7" s="12">
        <f>ROUND(QI7*EssentialMix,0)</f>
        <v/>
      </c>
      <c r="QL7" s="12">
        <f>QI7-QK7</f>
        <v/>
      </c>
      <c r="QM7" s="12">
        <f>ROUND(QJ7*EssentialMix,0)</f>
        <v/>
      </c>
      <c r="QN7" s="12">
        <f>QJ7-QM7</f>
        <v/>
      </c>
      <c r="QO7" s="12">
        <f>QK7+QK6+QK5</f>
        <v/>
      </c>
      <c r="QP7" s="12">
        <f>QL7+QL6+QL5</f>
        <v/>
      </c>
      <c r="QQ7" s="12">
        <f>SUM(QM$5:QM7)</f>
        <v/>
      </c>
      <c r="QR7" s="12">
        <f>SUM(QN$5:QN7)</f>
        <v/>
      </c>
      <c r="QS7" s="12">
        <f>QO7+QP7+QQ7+QR7</f>
        <v/>
      </c>
      <c r="QT7" s="9">
        <f>QO7*PriceEssMonthly*QC7+QP7*PricePremMonthly*QC7+QQ7*PriceEssAnnual*QC7/12+QR7*PricePremAnnual*QC7/12</f>
        <v/>
      </c>
      <c r="QU7" s="9">
        <f>QT7*12</f>
        <v/>
      </c>
      <c r="QV7" s="12">
        <f>QO7*PriceEssMonthly*QC7+QP7*PricePremMonthly*QC7</f>
        <v/>
      </c>
      <c r="QW7" s="12">
        <f>QM7*PriceEssAnnual*QC7+QN7*PricePremAnnual*QC7</f>
        <v/>
      </c>
      <c r="QX7" s="12">
        <f>0+0</f>
        <v/>
      </c>
      <c r="QY7" s="9">
        <f>QV7+QW7+QX7</f>
        <v/>
      </c>
      <c r="QZ7" s="12">
        <f>SUM(QY$5:QY7)</f>
        <v/>
      </c>
      <c r="RA7" s="12">
        <f>OR(RA6,QZ7&gt;=VATThreshold)</f>
        <v/>
      </c>
      <c r="RB7" s="9">
        <f>IF(RA7,QY7/(1+VATRate),QY7)</f>
        <v/>
      </c>
      <c r="RC7" s="12">
        <f>QY7-RB7</f>
        <v/>
      </c>
      <c r="RD7" s="12">
        <f>IF(RA7=0,0,IF(PZ7=1,SUMPRODUCT(--(($QA$5:$QA7=$QA7-1)*($PZ$5:$PZ7&gt;=10)*($PZ$5:$PZ7&lt;=12)),$RC$5:$RC7),IF(PZ7=4,SUMPRODUCT(--(($QA$5:$QA7=$QA7)*($PZ$5:$PZ7&gt;=1)*($PZ$5:$PZ7&lt;=3)),$RC$5:$RC7),IF(PZ7=7,SUMPRODUCT(--(($QA$5:$QA7=$QA7)*($PZ$5:$PZ7&gt;=4)*($PZ$5:$PZ7&lt;=6)),$RC$5:$RC7),IF(PZ7=10,SUMPRODUCT(--(($QA$5:$QA7=$QA7)*($PZ$5:$PZ7&gt;=7)*($PZ$5:$PZ7&lt;=9)),$RC$5:$RC7),0)))))</f>
        <v/>
      </c>
      <c r="RE7" s="12">
        <f>RE6+RC7-RD7</f>
        <v/>
      </c>
      <c r="RF7" s="12">
        <f>IF(ProviderDelay&gt;=1,RB6*ProviderShare,RB7*ProviderShare)</f>
        <v/>
      </c>
      <c r="RG7" s="12">
        <f>QY7*PaymentFee</f>
        <v/>
      </c>
      <c r="RH7" s="12">
        <f>QS7*OpsAI</f>
        <v/>
      </c>
      <c r="RI7" s="12">
        <f>MonthlyFixed</f>
        <v/>
      </c>
      <c r="RJ7" s="12">
        <f>QG7*ReferralReward</f>
        <v/>
      </c>
      <c r="RK7" s="12">
        <f>QE7</f>
        <v/>
      </c>
      <c r="RL7" s="9">
        <f>RB7-RF7-RG7-RH7-RI7-RJ7-RK7</f>
        <v/>
      </c>
      <c r="RM7" s="9">
        <f>RM6+QY7-(RF7+RG7+RH7+RI7+RJ7+RK7+RD7)</f>
        <v/>
      </c>
      <c r="RN7" s="12">
        <f>IF(QS7&gt;0,QT7/QS7,0)</f>
        <v/>
      </c>
      <c r="RO7" s="11">
        <f>IF(QS6&gt;0,MAX(0,(QS6+QH7-QS7)/QS6),0)</f>
        <v/>
      </c>
      <c r="RQ7" s="12" t="n">
        <v>3</v>
      </c>
      <c r="RR7" s="12">
        <f>MOD(RQ7-1+LaunchMonth-1,12)+1</f>
        <v/>
      </c>
      <c r="RS7" s="12">
        <f>INT((RQ7-1+LaunchMonth-1)/12)+1</f>
        <v/>
      </c>
      <c r="RT7" s="12">
        <f>VLOOKUP(RR7,SeasonTable,2,FALSE)</f>
        <v/>
      </c>
      <c r="RU7" s="12">
        <f>(1+InflationRate)^INT((RQ7-1)/12)</f>
        <v/>
      </c>
      <c r="RV7" s="11">
        <f>'Sens - Churn'!$A$21*VLOOKUP(RR7,ChurnSeasonTable,4,FALSE)</f>
        <v/>
      </c>
      <c r="RW7" s="12">
        <f>MktFixed1_3</f>
        <v/>
      </c>
      <c r="RX7" s="12">
        <f>IF(RW7&gt;0,MAX(1,ROUND(RW7/CAC*RT7,0)),0)</f>
        <v/>
      </c>
      <c r="RY7" s="12">
        <f>IF(RX7&gt;0,ROUND(RX7*ReferralMix/(1-ReferralMix),0),0)</f>
        <v/>
      </c>
      <c r="RZ7" s="12">
        <f>RX7+RY7</f>
        <v/>
      </c>
      <c r="SA7" s="12">
        <f>ROUND(RZ7*(1-AnnualMix),0)</f>
        <v/>
      </c>
      <c r="SB7" s="12">
        <f>RZ7-SA7</f>
        <v/>
      </c>
      <c r="SC7" s="12">
        <f>ROUND(SA7*EssentialMix,0)</f>
        <v/>
      </c>
      <c r="SD7" s="12">
        <f>SA7-SC7</f>
        <v/>
      </c>
      <c r="SE7" s="12">
        <f>ROUND(SB7*EssentialMix,0)</f>
        <v/>
      </c>
      <c r="SF7" s="12">
        <f>SB7-SE7</f>
        <v/>
      </c>
      <c r="SG7" s="12">
        <f>SC7+SC6+SC5</f>
        <v/>
      </c>
      <c r="SH7" s="12">
        <f>SD7+SD6+SD5</f>
        <v/>
      </c>
      <c r="SI7" s="12">
        <f>SUM(SE$5:SE7)</f>
        <v/>
      </c>
      <c r="SJ7" s="12">
        <f>SUM(SF$5:SF7)</f>
        <v/>
      </c>
      <c r="SK7" s="12">
        <f>SG7+SH7+SI7+SJ7</f>
        <v/>
      </c>
      <c r="SL7" s="9">
        <f>SG7*PriceEssMonthly*RU7+SH7*PricePremMonthly*RU7+SI7*PriceEssAnnual*RU7/12+SJ7*PricePremAnnual*RU7/12</f>
        <v/>
      </c>
      <c r="SM7" s="9">
        <f>SL7*12</f>
        <v/>
      </c>
      <c r="SN7" s="12">
        <f>SG7*PriceEssMonthly*RU7+SH7*PricePremMonthly*RU7</f>
        <v/>
      </c>
      <c r="SO7" s="12">
        <f>SE7*PriceEssAnnual*RU7+SF7*PricePremAnnual*RU7</f>
        <v/>
      </c>
      <c r="SP7" s="12">
        <f>0+0</f>
        <v/>
      </c>
      <c r="SQ7" s="9">
        <f>SN7+SO7+SP7</f>
        <v/>
      </c>
      <c r="SR7" s="12">
        <f>SUM(SQ$5:SQ7)</f>
        <v/>
      </c>
      <c r="SS7" s="12">
        <f>OR(SS6,SR7&gt;=VATThreshold)</f>
        <v/>
      </c>
      <c r="ST7" s="9">
        <f>IF(SS7,SQ7/(1+VATRate),SQ7)</f>
        <v/>
      </c>
      <c r="SU7" s="12">
        <f>SQ7-ST7</f>
        <v/>
      </c>
      <c r="SV7" s="12">
        <f>IF(SS7=0,0,IF(RR7=1,SUMPRODUCT(--(($RS$5:$RS7=$RS7-1)*($RR$5:$RR7&gt;=10)*($RR$5:$RR7&lt;=12)),$SU$5:$SU7),IF(RR7=4,SUMPRODUCT(--(($RS$5:$RS7=$RS7)*($RR$5:$RR7&gt;=1)*($RR$5:$RR7&lt;=3)),$SU$5:$SU7),IF(RR7=7,SUMPRODUCT(--(($RS$5:$RS7=$RS7)*($RR$5:$RR7&gt;=4)*($RR$5:$RR7&lt;=6)),$SU$5:$SU7),IF(RR7=10,SUMPRODUCT(--(($RS$5:$RS7=$RS7)*($RR$5:$RR7&gt;=7)*($RR$5:$RR7&lt;=9)),$SU$5:$SU7),0)))))</f>
        <v/>
      </c>
      <c r="SW7" s="12">
        <f>SW6+SU7-SV7</f>
        <v/>
      </c>
      <c r="SX7" s="12">
        <f>IF(ProviderDelay&gt;=1,ST6*ProviderShare,ST7*ProviderShare)</f>
        <v/>
      </c>
      <c r="SY7" s="12">
        <f>SQ7*PaymentFee</f>
        <v/>
      </c>
      <c r="SZ7" s="12">
        <f>SK7*OpsAI</f>
        <v/>
      </c>
      <c r="TA7" s="12">
        <f>MonthlyFixed</f>
        <v/>
      </c>
      <c r="TB7" s="12">
        <f>RY7*ReferralReward</f>
        <v/>
      </c>
      <c r="TC7" s="12">
        <f>RW7</f>
        <v/>
      </c>
      <c r="TD7" s="9">
        <f>ST7-SX7-SY7-SZ7-TA7-TB7-TC7</f>
        <v/>
      </c>
      <c r="TE7" s="9">
        <f>TE6+SQ7-(SX7+SY7+SZ7+TA7+TB7+TC7+SV7)</f>
        <v/>
      </c>
      <c r="TF7" s="12">
        <f>IF(SK7&gt;0,SL7/SK7,0)</f>
        <v/>
      </c>
      <c r="TG7" s="11">
        <f>IF(SK6&gt;0,MAX(0,(SK6+RZ7-SK7)/SK6),0)</f>
        <v/>
      </c>
      <c r="TI7" s="12" t="n">
        <v>3</v>
      </c>
      <c r="TJ7" s="12">
        <f>MOD(TI7-1+LaunchMonth-1,12)+1</f>
        <v/>
      </c>
      <c r="TK7" s="12">
        <f>INT((TI7-1+LaunchMonth-1)/12)+1</f>
        <v/>
      </c>
      <c r="TL7" s="12">
        <f>VLOOKUP(TJ7,SeasonTable,2,FALSE)</f>
        <v/>
      </c>
      <c r="TM7" s="12">
        <f>(1+InflationRate)^INT((TI7-1)/12)</f>
        <v/>
      </c>
      <c r="TN7" s="11">
        <f>MonthlyChurn*VLOOKUP(TJ7,ChurnSeasonTable,4,FALSE)</f>
        <v/>
      </c>
      <c r="TO7" s="12">
        <f>MktFixed1_3</f>
        <v/>
      </c>
      <c r="TP7" s="12">
        <f>IF(TO7&gt;0,MAX(1,ROUND(TO7/CAC*TL7,0)),0)</f>
        <v/>
      </c>
      <c r="TQ7" s="12">
        <f>IF(TP7&gt;0,ROUND(TP7*ReferralMix/(1-ReferralMix),0),0)</f>
        <v/>
      </c>
      <c r="TR7" s="12">
        <f>TP7+TQ7</f>
        <v/>
      </c>
      <c r="TS7" s="12">
        <f>ROUND(TR7*(1-'Sens - Annual Mix'!$A$9),0)</f>
        <v/>
      </c>
      <c r="TT7" s="12">
        <f>TR7-TS7</f>
        <v/>
      </c>
      <c r="TU7" s="12">
        <f>ROUND(TS7*EssentialMix,0)</f>
        <v/>
      </c>
      <c r="TV7" s="12">
        <f>TS7-TU7</f>
        <v/>
      </c>
      <c r="TW7" s="12">
        <f>ROUND(TT7*EssentialMix,0)</f>
        <v/>
      </c>
      <c r="TX7" s="12">
        <f>TT7-TW7</f>
        <v/>
      </c>
      <c r="TY7" s="12">
        <f>TU7+TU6+TU5</f>
        <v/>
      </c>
      <c r="TZ7" s="12">
        <f>TV7+TV6+TV5</f>
        <v/>
      </c>
      <c r="UA7" s="12">
        <f>SUM(TW$5:TW7)</f>
        <v/>
      </c>
      <c r="UB7" s="12">
        <f>SUM(TX$5:TX7)</f>
        <v/>
      </c>
      <c r="UC7" s="12">
        <f>TY7+TZ7+UA7+UB7</f>
        <v/>
      </c>
      <c r="UD7" s="9">
        <f>TY7*PriceEssMonthly*TM7+TZ7*PricePremMonthly*TM7+UA7*PriceEssAnnual*TM7/12+UB7*PricePremAnnual*TM7/12</f>
        <v/>
      </c>
      <c r="UE7" s="9">
        <f>UD7*12</f>
        <v/>
      </c>
      <c r="UF7" s="12">
        <f>TY7*PriceEssMonthly*TM7+TZ7*PricePremMonthly*TM7</f>
        <v/>
      </c>
      <c r="UG7" s="12">
        <f>TW7*PriceEssAnnual*TM7+TX7*PricePremAnnual*TM7</f>
        <v/>
      </c>
      <c r="UH7" s="12">
        <f>0+0</f>
        <v/>
      </c>
      <c r="UI7" s="9">
        <f>UF7+UG7+UH7</f>
        <v/>
      </c>
      <c r="UJ7" s="12">
        <f>SUM(UI$5:UI7)</f>
        <v/>
      </c>
      <c r="UK7" s="12">
        <f>OR(UK6,UJ7&gt;=VATThreshold)</f>
        <v/>
      </c>
      <c r="UL7" s="9">
        <f>IF(UK7,UI7/(1+VATRate),UI7)</f>
        <v/>
      </c>
      <c r="UM7" s="12">
        <f>UI7-UL7</f>
        <v/>
      </c>
      <c r="UN7" s="12">
        <f>IF(UK7=0,0,IF(TJ7=1,SUMPRODUCT(--(($TK$5:$TK7=$TK7-1)*($TJ$5:$TJ7&gt;=10)*($TJ$5:$TJ7&lt;=12)),$UM$5:$UM7),IF(TJ7=4,SUMPRODUCT(--(($TK$5:$TK7=$TK7)*($TJ$5:$TJ7&gt;=1)*($TJ$5:$TJ7&lt;=3)),$UM$5:$UM7),IF(TJ7=7,SUMPRODUCT(--(($TK$5:$TK7=$TK7)*($TJ$5:$TJ7&gt;=4)*($TJ$5:$TJ7&lt;=6)),$UM$5:$UM7),IF(TJ7=10,SUMPRODUCT(--(($TK$5:$TK7=$TK7)*($TJ$5:$TJ7&gt;=7)*($TJ$5:$TJ7&lt;=9)),$UM$5:$UM7),0)))))</f>
        <v/>
      </c>
      <c r="UO7" s="12">
        <f>UO6+UM7-UN7</f>
        <v/>
      </c>
      <c r="UP7" s="12">
        <f>IF(ProviderDelay&gt;=1,UL6*ProviderShare,UL7*ProviderShare)</f>
        <v/>
      </c>
      <c r="UQ7" s="12">
        <f>UI7*PaymentFee</f>
        <v/>
      </c>
      <c r="UR7" s="12">
        <f>UC7*OpsAI</f>
        <v/>
      </c>
      <c r="US7" s="12">
        <f>MonthlyFixed</f>
        <v/>
      </c>
      <c r="UT7" s="12">
        <f>TQ7*ReferralReward</f>
        <v/>
      </c>
      <c r="UU7" s="12">
        <f>TO7</f>
        <v/>
      </c>
      <c r="UV7" s="9">
        <f>UL7-UP7-UQ7-UR7-US7-UT7-UU7</f>
        <v/>
      </c>
      <c r="UW7" s="9">
        <f>UW6+UI7-(UP7+UQ7+UR7+US7+UT7+UU7+UN7)</f>
        <v/>
      </c>
      <c r="UX7" s="12">
        <f>IF(UC7&gt;0,UD7/UC7,0)</f>
        <v/>
      </c>
      <c r="UY7" s="11">
        <f>IF(UC6&gt;0,MAX(0,(UC6+TR7-UC7)/UC6),0)</f>
        <v/>
      </c>
      <c r="VA7" s="12" t="n">
        <v>3</v>
      </c>
      <c r="VB7" s="12">
        <f>MOD(VA7-1+LaunchMonth-1,12)+1</f>
        <v/>
      </c>
      <c r="VC7" s="12">
        <f>INT((VA7-1+LaunchMonth-1)/12)+1</f>
        <v/>
      </c>
      <c r="VD7" s="12">
        <f>VLOOKUP(VB7,SeasonTable,2,FALSE)</f>
        <v/>
      </c>
      <c r="VE7" s="12">
        <f>(1+InflationRate)^INT((VA7-1)/12)</f>
        <v/>
      </c>
      <c r="VF7" s="11">
        <f>MonthlyChurn*VLOOKUP(VB7,ChurnSeasonTable,4,FALSE)</f>
        <v/>
      </c>
      <c r="VG7" s="12">
        <f>MktFixed1_3</f>
        <v/>
      </c>
      <c r="VH7" s="12">
        <f>IF(VG7&gt;0,MAX(1,ROUND(VG7/CAC*VD7,0)),0)</f>
        <v/>
      </c>
      <c r="VI7" s="12">
        <f>IF(VH7&gt;0,ROUND(VH7*ReferralMix/(1-ReferralMix),0),0)</f>
        <v/>
      </c>
      <c r="VJ7" s="12">
        <f>VH7+VI7</f>
        <v/>
      </c>
      <c r="VK7" s="12">
        <f>ROUND(VJ7*(1-'Sens - Annual Mix'!$A$10),0)</f>
        <v/>
      </c>
      <c r="VL7" s="12">
        <f>VJ7-VK7</f>
        <v/>
      </c>
      <c r="VM7" s="12">
        <f>ROUND(VK7*EssentialMix,0)</f>
        <v/>
      </c>
      <c r="VN7" s="12">
        <f>VK7-VM7</f>
        <v/>
      </c>
      <c r="VO7" s="12">
        <f>ROUND(VL7*EssentialMix,0)</f>
        <v/>
      </c>
      <c r="VP7" s="12">
        <f>VL7-VO7</f>
        <v/>
      </c>
      <c r="VQ7" s="12">
        <f>VM7+VM6+VM5</f>
        <v/>
      </c>
      <c r="VR7" s="12">
        <f>VN7+VN6+VN5</f>
        <v/>
      </c>
      <c r="VS7" s="12">
        <f>SUM(VO$5:VO7)</f>
        <v/>
      </c>
      <c r="VT7" s="12">
        <f>SUM(VP$5:VP7)</f>
        <v/>
      </c>
      <c r="VU7" s="12">
        <f>VQ7+VR7+VS7+VT7</f>
        <v/>
      </c>
      <c r="VV7" s="9">
        <f>VQ7*PriceEssMonthly*VE7+VR7*PricePremMonthly*VE7+VS7*PriceEssAnnual*VE7/12+VT7*PricePremAnnual*VE7/12</f>
        <v/>
      </c>
      <c r="VW7" s="9">
        <f>VV7*12</f>
        <v/>
      </c>
      <c r="VX7" s="12">
        <f>VQ7*PriceEssMonthly*VE7+VR7*PricePremMonthly*VE7</f>
        <v/>
      </c>
      <c r="VY7" s="12">
        <f>VO7*PriceEssAnnual*VE7+VP7*PricePremAnnual*VE7</f>
        <v/>
      </c>
      <c r="VZ7" s="12">
        <f>0+0</f>
        <v/>
      </c>
      <c r="WA7" s="9">
        <f>VX7+VY7+VZ7</f>
        <v/>
      </c>
      <c r="WB7" s="12">
        <f>SUM(WA$5:WA7)</f>
        <v/>
      </c>
      <c r="WC7" s="12">
        <f>OR(WC6,WB7&gt;=VATThreshold)</f>
        <v/>
      </c>
      <c r="WD7" s="9">
        <f>IF(WC7,WA7/(1+VATRate),WA7)</f>
        <v/>
      </c>
      <c r="WE7" s="12">
        <f>WA7-WD7</f>
        <v/>
      </c>
      <c r="WF7" s="12">
        <f>IF(WC7=0,0,IF(VB7=1,SUMPRODUCT(--(($VC$5:$VC7=$VC7-1)*($VB$5:$VB7&gt;=10)*($VB$5:$VB7&lt;=12)),$WE$5:$WE7),IF(VB7=4,SUMPRODUCT(--(($VC$5:$VC7=$VC7)*($VB$5:$VB7&gt;=1)*($VB$5:$VB7&lt;=3)),$WE$5:$WE7),IF(VB7=7,SUMPRODUCT(--(($VC$5:$VC7=$VC7)*($VB$5:$VB7&gt;=4)*($VB$5:$VB7&lt;=6)),$WE$5:$WE7),IF(VB7=10,SUMPRODUCT(--(($VC$5:$VC7=$VC7)*($VB$5:$VB7&gt;=7)*($VB$5:$VB7&lt;=9)),$WE$5:$WE7),0)))))</f>
        <v/>
      </c>
      <c r="WG7" s="12">
        <f>WG6+WE7-WF7</f>
        <v/>
      </c>
      <c r="WH7" s="12">
        <f>IF(ProviderDelay&gt;=1,WD6*ProviderShare,WD7*ProviderShare)</f>
        <v/>
      </c>
      <c r="WI7" s="12">
        <f>WA7*PaymentFee</f>
        <v/>
      </c>
      <c r="WJ7" s="12">
        <f>VU7*OpsAI</f>
        <v/>
      </c>
      <c r="WK7" s="12">
        <f>MonthlyFixed</f>
        <v/>
      </c>
      <c r="WL7" s="12">
        <f>VI7*ReferralReward</f>
        <v/>
      </c>
      <c r="WM7" s="12">
        <f>VG7</f>
        <v/>
      </c>
      <c r="WN7" s="9">
        <f>WD7-WH7-WI7-WJ7-WK7-WL7-WM7</f>
        <v/>
      </c>
      <c r="WO7" s="9">
        <f>WO6+WA7-(WH7+WI7+WJ7+WK7+WL7+WM7+WF7)</f>
        <v/>
      </c>
      <c r="WP7" s="12">
        <f>IF(VU7&gt;0,VV7/VU7,0)</f>
        <v/>
      </c>
      <c r="WQ7" s="11">
        <f>IF(VU6&gt;0,MAX(0,(VU6+VJ7-VU7)/VU6),0)</f>
        <v/>
      </c>
      <c r="WS7" s="12" t="n">
        <v>3</v>
      </c>
      <c r="WT7" s="12">
        <f>MOD(WS7-1+LaunchMonth-1,12)+1</f>
        <v/>
      </c>
      <c r="WU7" s="12">
        <f>INT((WS7-1+LaunchMonth-1)/12)+1</f>
        <v/>
      </c>
      <c r="WV7" s="12">
        <f>VLOOKUP(WT7,SeasonTable,2,FALSE)</f>
        <v/>
      </c>
      <c r="WW7" s="12">
        <f>(1+InflationRate)^INT((WS7-1)/12)</f>
        <v/>
      </c>
      <c r="WX7" s="11">
        <f>MonthlyChurn*VLOOKUP(WT7,ChurnSeasonTable,4,FALSE)</f>
        <v/>
      </c>
      <c r="WY7" s="12">
        <f>MktFixed1_3</f>
        <v/>
      </c>
      <c r="WZ7" s="12">
        <f>IF(WY7&gt;0,MAX(1,ROUND(WY7/CAC*WV7,0)),0)</f>
        <v/>
      </c>
      <c r="XA7" s="12">
        <f>IF(WZ7&gt;0,ROUND(WZ7*ReferralMix/(1-ReferralMix),0),0)</f>
        <v/>
      </c>
      <c r="XB7" s="12">
        <f>WZ7+XA7</f>
        <v/>
      </c>
      <c r="XC7" s="12">
        <f>ROUND(XB7*(1-'Sens - Annual Mix'!$A$11),0)</f>
        <v/>
      </c>
      <c r="XD7" s="12">
        <f>XB7-XC7</f>
        <v/>
      </c>
      <c r="XE7" s="12">
        <f>ROUND(XC7*EssentialMix,0)</f>
        <v/>
      </c>
      <c r="XF7" s="12">
        <f>XC7-XE7</f>
        <v/>
      </c>
      <c r="XG7" s="12">
        <f>ROUND(XD7*EssentialMix,0)</f>
        <v/>
      </c>
      <c r="XH7" s="12">
        <f>XD7-XG7</f>
        <v/>
      </c>
      <c r="XI7" s="12">
        <f>XE7+XE6+XE5</f>
        <v/>
      </c>
      <c r="XJ7" s="12">
        <f>XF7+XF6+XF5</f>
        <v/>
      </c>
      <c r="XK7" s="12">
        <f>SUM(XG$5:XG7)</f>
        <v/>
      </c>
      <c r="XL7" s="12">
        <f>SUM(XH$5:XH7)</f>
        <v/>
      </c>
      <c r="XM7" s="12">
        <f>XI7+XJ7+XK7+XL7</f>
        <v/>
      </c>
      <c r="XN7" s="9">
        <f>XI7*PriceEssMonthly*WW7+XJ7*PricePremMonthly*WW7+XK7*PriceEssAnnual*WW7/12+XL7*PricePremAnnual*WW7/12</f>
        <v/>
      </c>
      <c r="XO7" s="9">
        <f>XN7*12</f>
        <v/>
      </c>
      <c r="XP7" s="12">
        <f>XI7*PriceEssMonthly*WW7+XJ7*PricePremMonthly*WW7</f>
        <v/>
      </c>
      <c r="XQ7" s="12">
        <f>XG7*PriceEssAnnual*WW7+XH7*PricePremAnnual*WW7</f>
        <v/>
      </c>
      <c r="XR7" s="12">
        <f>0+0</f>
        <v/>
      </c>
      <c r="XS7" s="9">
        <f>XP7+XQ7+XR7</f>
        <v/>
      </c>
      <c r="XT7" s="12">
        <f>SUM(XS$5:XS7)</f>
        <v/>
      </c>
      <c r="XU7" s="12">
        <f>OR(XU6,XT7&gt;=VATThreshold)</f>
        <v/>
      </c>
      <c r="XV7" s="9">
        <f>IF(XU7,XS7/(1+VATRate),XS7)</f>
        <v/>
      </c>
      <c r="XW7" s="12">
        <f>XS7-XV7</f>
        <v/>
      </c>
      <c r="XX7" s="12">
        <f>IF(XU7=0,0,IF(WT7=1,SUMPRODUCT(--(($WU$5:$WU7=$WU7-1)*($WT$5:$WT7&gt;=10)*($WT$5:$WT7&lt;=12)),$XW$5:$XW7),IF(WT7=4,SUMPRODUCT(--(($WU$5:$WU7=$WU7)*($WT$5:$WT7&gt;=1)*($WT$5:$WT7&lt;=3)),$XW$5:$XW7),IF(WT7=7,SUMPRODUCT(--(($WU$5:$WU7=$WU7)*($WT$5:$WT7&gt;=4)*($WT$5:$WT7&lt;=6)),$XW$5:$XW7),IF(WT7=10,SUMPRODUCT(--(($WU$5:$WU7=$WU7)*($WT$5:$WT7&gt;=7)*($WT$5:$WT7&lt;=9)),$XW$5:$XW7),0)))))</f>
        <v/>
      </c>
      <c r="XY7" s="12">
        <f>XY6+XW7-XX7</f>
        <v/>
      </c>
      <c r="XZ7" s="12">
        <f>IF(ProviderDelay&gt;=1,XV6*ProviderShare,XV7*ProviderShare)</f>
        <v/>
      </c>
      <c r="YA7" s="12">
        <f>XS7*PaymentFee</f>
        <v/>
      </c>
      <c r="YB7" s="12">
        <f>XM7*OpsAI</f>
        <v/>
      </c>
      <c r="YC7" s="12">
        <f>MonthlyFixed</f>
        <v/>
      </c>
      <c r="YD7" s="12">
        <f>XA7*ReferralReward</f>
        <v/>
      </c>
      <c r="YE7" s="12">
        <f>WY7</f>
        <v/>
      </c>
      <c r="YF7" s="9">
        <f>XV7-XZ7-YA7-YB7-YC7-YD7-YE7</f>
        <v/>
      </c>
      <c r="YG7" s="9">
        <f>YG6+XS7-(XZ7+YA7+YB7+YC7+YD7+YE7+XX7)</f>
        <v/>
      </c>
      <c r="YH7" s="12">
        <f>IF(XM7&gt;0,XN7/XM7,0)</f>
        <v/>
      </c>
      <c r="YI7" s="11">
        <f>IF(XM6&gt;0,MAX(0,(XM6+XB7-XM7)/XM6),0)</f>
        <v/>
      </c>
      <c r="YK7" s="12" t="n">
        <v>3</v>
      </c>
      <c r="YL7" s="12">
        <f>MOD(YK7-1+LaunchMonth-1,12)+1</f>
        <v/>
      </c>
      <c r="YM7" s="12">
        <f>INT((YK7-1+LaunchMonth-1)/12)+1</f>
        <v/>
      </c>
      <c r="YN7" s="12">
        <f>VLOOKUP(YL7,SeasonTable,2,FALSE)</f>
        <v/>
      </c>
      <c r="YO7" s="12">
        <f>(1+InflationRate)^INT((YK7-1)/12)</f>
        <v/>
      </c>
      <c r="YP7" s="11">
        <f>MonthlyChurn*VLOOKUP(YL7,ChurnSeasonTable,4,FALSE)</f>
        <v/>
      </c>
      <c r="YQ7" s="12">
        <f>MktFixed1_3</f>
        <v/>
      </c>
      <c r="YR7" s="12">
        <f>IF(YQ7&gt;0,MAX(1,ROUND(YQ7/CAC*YN7,0)),0)</f>
        <v/>
      </c>
      <c r="YS7" s="12">
        <f>IF(YR7&gt;0,ROUND(YR7*ReferralMix/(1-ReferralMix),0),0)</f>
        <v/>
      </c>
      <c r="YT7" s="12">
        <f>YR7+YS7</f>
        <v/>
      </c>
      <c r="YU7" s="12">
        <f>ROUND(YT7*(1-'Sens - Annual Mix'!$A$12),0)</f>
        <v/>
      </c>
      <c r="YV7" s="12">
        <f>YT7-YU7</f>
        <v/>
      </c>
      <c r="YW7" s="12">
        <f>ROUND(YU7*EssentialMix,0)</f>
        <v/>
      </c>
      <c r="YX7" s="12">
        <f>YU7-YW7</f>
        <v/>
      </c>
      <c r="YY7" s="12">
        <f>ROUND(YV7*EssentialMix,0)</f>
        <v/>
      </c>
      <c r="YZ7" s="12">
        <f>YV7-YY7</f>
        <v/>
      </c>
      <c r="ZA7" s="12">
        <f>YW7+YW6+YW5</f>
        <v/>
      </c>
      <c r="ZB7" s="12">
        <f>YX7+YX6+YX5</f>
        <v/>
      </c>
      <c r="ZC7" s="12">
        <f>SUM(YY$5:YY7)</f>
        <v/>
      </c>
      <c r="ZD7" s="12">
        <f>SUM(YZ$5:YZ7)</f>
        <v/>
      </c>
      <c r="ZE7" s="12">
        <f>ZA7+ZB7+ZC7+ZD7</f>
        <v/>
      </c>
      <c r="ZF7" s="9">
        <f>ZA7*PriceEssMonthly*YO7+ZB7*PricePremMonthly*YO7+ZC7*PriceEssAnnual*YO7/12+ZD7*PricePremAnnual*YO7/12</f>
        <v/>
      </c>
      <c r="ZG7" s="9">
        <f>ZF7*12</f>
        <v/>
      </c>
      <c r="ZH7" s="12">
        <f>ZA7*PriceEssMonthly*YO7+ZB7*PricePremMonthly*YO7</f>
        <v/>
      </c>
      <c r="ZI7" s="12">
        <f>YY7*PriceEssAnnual*YO7+YZ7*PricePremAnnual*YO7</f>
        <v/>
      </c>
      <c r="ZJ7" s="12">
        <f>0+0</f>
        <v/>
      </c>
      <c r="ZK7" s="9">
        <f>ZH7+ZI7+ZJ7</f>
        <v/>
      </c>
      <c r="ZL7" s="12">
        <f>SUM(ZK$5:ZK7)</f>
        <v/>
      </c>
      <c r="ZM7" s="12">
        <f>OR(ZM6,ZL7&gt;=VATThreshold)</f>
        <v/>
      </c>
      <c r="ZN7" s="9">
        <f>IF(ZM7,ZK7/(1+VATRate),ZK7)</f>
        <v/>
      </c>
      <c r="ZO7" s="12">
        <f>ZK7-ZN7</f>
        <v/>
      </c>
      <c r="ZP7" s="12">
        <f>IF(ZM7=0,0,IF(YL7=1,SUMPRODUCT(--(($YM$5:$YM7=$YM7-1)*($YL$5:$YL7&gt;=10)*($YL$5:$YL7&lt;=12)),$ZO$5:$ZO7),IF(YL7=4,SUMPRODUCT(--(($YM$5:$YM7=$YM7)*($YL$5:$YL7&gt;=1)*($YL$5:$YL7&lt;=3)),$ZO$5:$ZO7),IF(YL7=7,SUMPRODUCT(--(($YM$5:$YM7=$YM7)*($YL$5:$YL7&gt;=4)*($YL$5:$YL7&lt;=6)),$ZO$5:$ZO7),IF(YL7=10,SUMPRODUCT(--(($YM$5:$YM7=$YM7)*($YL$5:$YL7&gt;=7)*($YL$5:$YL7&lt;=9)),$ZO$5:$ZO7),0)))))</f>
        <v/>
      </c>
      <c r="ZQ7" s="12">
        <f>ZQ6+ZO7-ZP7</f>
        <v/>
      </c>
      <c r="ZR7" s="12">
        <f>IF(ProviderDelay&gt;=1,ZN6*ProviderShare,ZN7*ProviderShare)</f>
        <v/>
      </c>
      <c r="ZS7" s="12">
        <f>ZK7*PaymentFee</f>
        <v/>
      </c>
      <c r="ZT7" s="12">
        <f>ZE7*OpsAI</f>
        <v/>
      </c>
      <c r="ZU7" s="12">
        <f>MonthlyFixed</f>
        <v/>
      </c>
      <c r="ZV7" s="12">
        <f>YS7*ReferralReward</f>
        <v/>
      </c>
      <c r="ZW7" s="12">
        <f>YQ7</f>
        <v/>
      </c>
      <c r="ZX7" s="9">
        <f>ZN7-ZR7-ZS7-ZT7-ZU7-ZV7-ZW7</f>
        <v/>
      </c>
      <c r="ZY7" s="9">
        <f>ZY6+ZK7-(ZR7+ZS7+ZT7+ZU7+ZV7+ZW7+ZP7)</f>
        <v/>
      </c>
      <c r="ZZ7" s="12">
        <f>IF(ZE7&gt;0,ZF7/ZE7,0)</f>
        <v/>
      </c>
      <c r="AAA7" s="11">
        <f>IF(ZE6&gt;0,MAX(0,(ZE6+YT7-ZE7)/ZE6),0)</f>
        <v/>
      </c>
      <c r="AAC7" s="12" t="n">
        <v>3</v>
      </c>
      <c r="AAD7" s="12">
        <f>MOD(AAC7-1+LaunchMonth-1,12)+1</f>
        <v/>
      </c>
      <c r="AAE7" s="12">
        <f>INT((AAC7-1+LaunchMonth-1)/12)+1</f>
        <v/>
      </c>
      <c r="AAF7" s="12">
        <f>VLOOKUP(AAD7,SeasonTable,2,FALSE)</f>
        <v/>
      </c>
      <c r="AAG7" s="12">
        <f>(1+InflationRate)^INT((AAC7-1)/12)</f>
        <v/>
      </c>
      <c r="AAH7" s="11">
        <f>MonthlyChurn*VLOOKUP(AAD7,ChurnSeasonTable,4,FALSE)</f>
        <v/>
      </c>
      <c r="AAI7" s="12">
        <f>MktFixed1_3</f>
        <v/>
      </c>
      <c r="AAJ7" s="12">
        <f>IF(AAI7&gt;0,MAX(1,ROUND(AAI7/CAC*AAF7,0)),0)</f>
        <v/>
      </c>
      <c r="AAK7" s="12">
        <f>IF(AAJ7&gt;0,ROUND(AAJ7*ReferralMix/(1-ReferralMix),0),0)</f>
        <v/>
      </c>
      <c r="AAL7" s="12">
        <f>AAJ7+AAK7</f>
        <v/>
      </c>
      <c r="AAM7" s="12">
        <f>ROUND(AAL7*(1-'Sens - Annual Mix'!$A$13),0)</f>
        <v/>
      </c>
      <c r="AAN7" s="12">
        <f>AAL7-AAM7</f>
        <v/>
      </c>
      <c r="AAO7" s="12">
        <f>ROUND(AAM7*EssentialMix,0)</f>
        <v/>
      </c>
      <c r="AAP7" s="12">
        <f>AAM7-AAO7</f>
        <v/>
      </c>
      <c r="AAQ7" s="12">
        <f>ROUND(AAN7*EssentialMix,0)</f>
        <v/>
      </c>
      <c r="AAR7" s="12">
        <f>AAN7-AAQ7</f>
        <v/>
      </c>
      <c r="AAS7" s="12">
        <f>AAO7+AAO6+AAO5</f>
        <v/>
      </c>
      <c r="AAT7" s="12">
        <f>AAP7+AAP6+AAP5</f>
        <v/>
      </c>
      <c r="AAU7" s="12">
        <f>SUM(AAQ$5:AAQ7)</f>
        <v/>
      </c>
      <c r="AAV7" s="12">
        <f>SUM(AAR$5:AAR7)</f>
        <v/>
      </c>
      <c r="AAW7" s="12">
        <f>AAS7+AAT7+AAU7+AAV7</f>
        <v/>
      </c>
      <c r="AAX7" s="9">
        <f>AAS7*PriceEssMonthly*AAG7+AAT7*PricePremMonthly*AAG7+AAU7*PriceEssAnnual*AAG7/12+AAV7*PricePremAnnual*AAG7/12</f>
        <v/>
      </c>
      <c r="AAY7" s="9">
        <f>AAX7*12</f>
        <v/>
      </c>
      <c r="AAZ7" s="12">
        <f>AAS7*PriceEssMonthly*AAG7+AAT7*PricePremMonthly*AAG7</f>
        <v/>
      </c>
      <c r="ABA7" s="12">
        <f>AAQ7*PriceEssAnnual*AAG7+AAR7*PricePremAnnual*AAG7</f>
        <v/>
      </c>
      <c r="ABB7" s="12">
        <f>0+0</f>
        <v/>
      </c>
      <c r="ABC7" s="9">
        <f>AAZ7+ABA7+ABB7</f>
        <v/>
      </c>
      <c r="ABD7" s="12">
        <f>SUM(ABC$5:ABC7)</f>
        <v/>
      </c>
      <c r="ABE7" s="12">
        <f>OR(ABE6,ABD7&gt;=VATThreshold)</f>
        <v/>
      </c>
      <c r="ABF7" s="9">
        <f>IF(ABE7,ABC7/(1+VATRate),ABC7)</f>
        <v/>
      </c>
      <c r="ABG7" s="12">
        <f>ABC7-ABF7</f>
        <v/>
      </c>
      <c r="ABH7" s="12">
        <f>IF(ABE7=0,0,IF(AAD7=1,SUMPRODUCT(--(($AAE$5:$AAE7=$AAE7-1)*($AAD$5:$AAD7&gt;=10)*($AAD$5:$AAD7&lt;=12)),$ABG$5:$ABG7),IF(AAD7=4,SUMPRODUCT(--(($AAE$5:$AAE7=$AAE7)*($AAD$5:$AAD7&gt;=1)*($AAD$5:$AAD7&lt;=3)),$ABG$5:$ABG7),IF(AAD7=7,SUMPRODUCT(--(($AAE$5:$AAE7=$AAE7)*($AAD$5:$AAD7&gt;=4)*($AAD$5:$AAD7&lt;=6)),$ABG$5:$ABG7),IF(AAD7=10,SUMPRODUCT(--(($AAE$5:$AAE7=$AAE7)*($AAD$5:$AAD7&gt;=7)*($AAD$5:$AAD7&lt;=9)),$ABG$5:$ABG7),0)))))</f>
        <v/>
      </c>
      <c r="ABI7" s="12">
        <f>ABI6+ABG7-ABH7</f>
        <v/>
      </c>
      <c r="ABJ7" s="12">
        <f>IF(ProviderDelay&gt;=1,ABF6*ProviderShare,ABF7*ProviderShare)</f>
        <v/>
      </c>
      <c r="ABK7" s="12">
        <f>ABC7*PaymentFee</f>
        <v/>
      </c>
      <c r="ABL7" s="12">
        <f>AAW7*OpsAI</f>
        <v/>
      </c>
      <c r="ABM7" s="12">
        <f>MonthlyFixed</f>
        <v/>
      </c>
      <c r="ABN7" s="12">
        <f>AAK7*ReferralReward</f>
        <v/>
      </c>
      <c r="ABO7" s="12">
        <f>AAI7</f>
        <v/>
      </c>
      <c r="ABP7" s="9">
        <f>ABF7-ABJ7-ABK7-ABL7-ABM7-ABN7-ABO7</f>
        <v/>
      </c>
      <c r="ABQ7" s="9">
        <f>ABQ6+ABC7-(ABJ7+ABK7+ABL7+ABM7+ABN7+ABO7+ABH7)</f>
        <v/>
      </c>
      <c r="ABR7" s="12">
        <f>IF(AAW7&gt;0,AAX7/AAW7,0)</f>
        <v/>
      </c>
      <c r="ABS7" s="11">
        <f>IF(AAW6&gt;0,MAX(0,(AAW6+AAL7-AAW7)/AAW6),0)</f>
        <v/>
      </c>
      <c r="ABU7" s="12" t="n">
        <v>3</v>
      </c>
      <c r="ABV7" s="12">
        <f>MOD(ABU7-1+LaunchMonth-1,12)+1</f>
        <v/>
      </c>
      <c r="ABW7" s="12">
        <f>INT((ABU7-1+LaunchMonth-1)/12)+1</f>
        <v/>
      </c>
      <c r="ABX7" s="12">
        <f>VLOOKUP(ABV7,SeasonTable,2,FALSE)</f>
        <v/>
      </c>
      <c r="ABY7" s="12">
        <f>(1+InflationRate)^INT((ABU7-1)/12)</f>
        <v/>
      </c>
      <c r="ABZ7" s="11">
        <f>MonthlyChurn*VLOOKUP(ABV7,ChurnSeasonTable,4,FALSE)</f>
        <v/>
      </c>
      <c r="ACA7" s="12">
        <f>MktFixed1_3</f>
        <v/>
      </c>
      <c r="ACB7" s="12">
        <f>IF(ACA7&gt;0,MAX(1,ROUND(ACA7/CAC*ABX7,0)),0)</f>
        <v/>
      </c>
      <c r="ACC7" s="12">
        <f>IF(ACB7&gt;0,ROUND(ACB7*ReferralMix/(1-ReferralMix),0),0)</f>
        <v/>
      </c>
      <c r="ACD7" s="12">
        <f>ACB7+ACC7</f>
        <v/>
      </c>
      <c r="ACE7" s="12">
        <f>ROUND(ACD7*(1-'Sens - Annual Mix'!$A$14),0)</f>
        <v/>
      </c>
      <c r="ACF7" s="12">
        <f>ACD7-ACE7</f>
        <v/>
      </c>
      <c r="ACG7" s="12">
        <f>ROUND(ACE7*EssentialMix,0)</f>
        <v/>
      </c>
      <c r="ACH7" s="12">
        <f>ACE7-ACG7</f>
        <v/>
      </c>
      <c r="ACI7" s="12">
        <f>ROUND(ACF7*EssentialMix,0)</f>
        <v/>
      </c>
      <c r="ACJ7" s="12">
        <f>ACF7-ACI7</f>
        <v/>
      </c>
      <c r="ACK7" s="12">
        <f>ACG7+ACG6+ACG5</f>
        <v/>
      </c>
      <c r="ACL7" s="12">
        <f>ACH7+ACH6+ACH5</f>
        <v/>
      </c>
      <c r="ACM7" s="12">
        <f>SUM(ACI$5:ACI7)</f>
        <v/>
      </c>
      <c r="ACN7" s="12">
        <f>SUM(ACJ$5:ACJ7)</f>
        <v/>
      </c>
      <c r="ACO7" s="12">
        <f>ACK7+ACL7+ACM7+ACN7</f>
        <v/>
      </c>
      <c r="ACP7" s="9">
        <f>ACK7*PriceEssMonthly*ABY7+ACL7*PricePremMonthly*ABY7+ACM7*PriceEssAnnual*ABY7/12+ACN7*PricePremAnnual*ABY7/12</f>
        <v/>
      </c>
      <c r="ACQ7" s="9">
        <f>ACP7*12</f>
        <v/>
      </c>
      <c r="ACR7" s="12">
        <f>ACK7*PriceEssMonthly*ABY7+ACL7*PricePremMonthly*ABY7</f>
        <v/>
      </c>
      <c r="ACS7" s="12">
        <f>ACI7*PriceEssAnnual*ABY7+ACJ7*PricePremAnnual*ABY7</f>
        <v/>
      </c>
      <c r="ACT7" s="12">
        <f>0+0</f>
        <v/>
      </c>
      <c r="ACU7" s="9">
        <f>ACR7+ACS7+ACT7</f>
        <v/>
      </c>
      <c r="ACV7" s="12">
        <f>SUM(ACU$5:ACU7)</f>
        <v/>
      </c>
      <c r="ACW7" s="12">
        <f>OR(ACW6,ACV7&gt;=VATThreshold)</f>
        <v/>
      </c>
      <c r="ACX7" s="9">
        <f>IF(ACW7,ACU7/(1+VATRate),ACU7)</f>
        <v/>
      </c>
      <c r="ACY7" s="12">
        <f>ACU7-ACX7</f>
        <v/>
      </c>
      <c r="ACZ7" s="12">
        <f>IF(ACW7=0,0,IF(ABV7=1,SUMPRODUCT(--(($ABW$5:$ABW7=$ABW7-1)*($ABV$5:$ABV7&gt;=10)*($ABV$5:$ABV7&lt;=12)),$ACY$5:$ACY7),IF(ABV7=4,SUMPRODUCT(--(($ABW$5:$ABW7=$ABW7)*($ABV$5:$ABV7&gt;=1)*($ABV$5:$ABV7&lt;=3)),$ACY$5:$ACY7),IF(ABV7=7,SUMPRODUCT(--(($ABW$5:$ABW7=$ABW7)*($ABV$5:$ABV7&gt;=4)*($ABV$5:$ABV7&lt;=6)),$ACY$5:$ACY7),IF(ABV7=10,SUMPRODUCT(--(($ABW$5:$ABW7=$ABW7)*($ABV$5:$ABV7&gt;=7)*($ABV$5:$ABV7&lt;=9)),$ACY$5:$ACY7),0)))))</f>
        <v/>
      </c>
      <c r="ADA7" s="12">
        <f>ADA6+ACY7-ACZ7</f>
        <v/>
      </c>
      <c r="ADB7" s="12">
        <f>IF(ProviderDelay&gt;=1,ACX6*ProviderShare,ACX7*ProviderShare)</f>
        <v/>
      </c>
      <c r="ADC7" s="12">
        <f>ACU7*PaymentFee</f>
        <v/>
      </c>
      <c r="ADD7" s="12">
        <f>ACO7*OpsAI</f>
        <v/>
      </c>
      <c r="ADE7" s="12">
        <f>MonthlyFixed</f>
        <v/>
      </c>
      <c r="ADF7" s="12">
        <f>ACC7*ReferralReward</f>
        <v/>
      </c>
      <c r="ADG7" s="12">
        <f>ACA7</f>
        <v/>
      </c>
      <c r="ADH7" s="9">
        <f>ACX7-ADB7-ADC7-ADD7-ADE7-ADF7-ADG7</f>
        <v/>
      </c>
      <c r="ADI7" s="9">
        <f>ADI6+ACU7-(ADB7+ADC7+ADD7+ADE7+ADF7+ADG7+ACZ7)</f>
        <v/>
      </c>
      <c r="ADJ7" s="12">
        <f>IF(ACO7&gt;0,ACP7/ACO7,0)</f>
        <v/>
      </c>
      <c r="ADK7" s="11">
        <f>IF(ACO6&gt;0,MAX(0,(ACO6+ACD7-ACO7)/ACO6),0)</f>
        <v/>
      </c>
      <c r="ADM7" s="12" t="n">
        <v>3</v>
      </c>
      <c r="ADN7" s="12">
        <f>MOD(ADM7-1+LaunchMonth-1,12)+1</f>
        <v/>
      </c>
      <c r="ADO7" s="12">
        <f>INT((ADM7-1+LaunchMonth-1)/12)+1</f>
        <v/>
      </c>
      <c r="ADP7" s="12">
        <f>VLOOKUP(ADN7,SeasonTable,2,FALSE)</f>
        <v/>
      </c>
      <c r="ADQ7" s="12">
        <f>(1+InflationRate)^INT((ADM7-1)/12)</f>
        <v/>
      </c>
      <c r="ADR7" s="11">
        <f>MonthlyChurn*VLOOKUP(ADN7,ChurnSeasonTable,4,FALSE)</f>
        <v/>
      </c>
      <c r="ADS7" s="12">
        <f>MktFixed1_3</f>
        <v/>
      </c>
      <c r="ADT7" s="12">
        <f>IF(ADS7&gt;0,MAX(1,ROUND(ADS7/CAC*ADP7,0)),0)</f>
        <v/>
      </c>
      <c r="ADU7" s="12">
        <f>IF(ADT7&gt;0,ROUND(ADT7*ReferralMix/(1-ReferralMix),0),0)</f>
        <v/>
      </c>
      <c r="ADV7" s="12">
        <f>ADT7+ADU7</f>
        <v/>
      </c>
      <c r="ADW7" s="12">
        <f>ROUND(ADV7*(1-'Sens - Annual Mix'!$A$15),0)</f>
        <v/>
      </c>
      <c r="ADX7" s="12">
        <f>ADV7-ADW7</f>
        <v/>
      </c>
      <c r="ADY7" s="12">
        <f>ROUND(ADW7*EssentialMix,0)</f>
        <v/>
      </c>
      <c r="ADZ7" s="12">
        <f>ADW7-ADY7</f>
        <v/>
      </c>
      <c r="AEA7" s="12">
        <f>ROUND(ADX7*EssentialMix,0)</f>
        <v/>
      </c>
      <c r="AEB7" s="12">
        <f>ADX7-AEA7</f>
        <v/>
      </c>
      <c r="AEC7" s="12">
        <f>ADY7+ADY6+ADY5</f>
        <v/>
      </c>
      <c r="AED7" s="12">
        <f>ADZ7+ADZ6+ADZ5</f>
        <v/>
      </c>
      <c r="AEE7" s="12">
        <f>SUM(AEA$5:AEA7)</f>
        <v/>
      </c>
      <c r="AEF7" s="12">
        <f>SUM(AEB$5:AEB7)</f>
        <v/>
      </c>
      <c r="AEG7" s="12">
        <f>AEC7+AED7+AEE7+AEF7</f>
        <v/>
      </c>
      <c r="AEH7" s="9">
        <f>AEC7*PriceEssMonthly*ADQ7+AED7*PricePremMonthly*ADQ7+AEE7*PriceEssAnnual*ADQ7/12+AEF7*PricePremAnnual*ADQ7/12</f>
        <v/>
      </c>
      <c r="AEI7" s="9">
        <f>AEH7*12</f>
        <v/>
      </c>
      <c r="AEJ7" s="12">
        <f>AEC7*PriceEssMonthly*ADQ7+AED7*PricePremMonthly*ADQ7</f>
        <v/>
      </c>
      <c r="AEK7" s="12">
        <f>AEA7*PriceEssAnnual*ADQ7+AEB7*PricePremAnnual*ADQ7</f>
        <v/>
      </c>
      <c r="AEL7" s="12">
        <f>0+0</f>
        <v/>
      </c>
      <c r="AEM7" s="9">
        <f>AEJ7+AEK7+AEL7</f>
        <v/>
      </c>
      <c r="AEN7" s="12">
        <f>SUM(AEM$5:AEM7)</f>
        <v/>
      </c>
      <c r="AEO7" s="12">
        <f>OR(AEO6,AEN7&gt;=VATThreshold)</f>
        <v/>
      </c>
      <c r="AEP7" s="9">
        <f>IF(AEO7,AEM7/(1+VATRate),AEM7)</f>
        <v/>
      </c>
      <c r="AEQ7" s="12">
        <f>AEM7-AEP7</f>
        <v/>
      </c>
      <c r="AER7" s="12">
        <f>IF(AEO7=0,0,IF(ADN7=1,SUMPRODUCT(--(($ADO$5:$ADO7=$ADO7-1)*($ADN$5:$ADN7&gt;=10)*($ADN$5:$ADN7&lt;=12)),$AEQ$5:$AEQ7),IF(ADN7=4,SUMPRODUCT(--(($ADO$5:$ADO7=$ADO7)*($ADN$5:$ADN7&gt;=1)*($ADN$5:$ADN7&lt;=3)),$AEQ$5:$AEQ7),IF(ADN7=7,SUMPRODUCT(--(($ADO$5:$ADO7=$ADO7)*($ADN$5:$ADN7&gt;=4)*($ADN$5:$ADN7&lt;=6)),$AEQ$5:$AEQ7),IF(ADN7=10,SUMPRODUCT(--(($ADO$5:$ADO7=$ADO7)*($ADN$5:$ADN7&gt;=7)*($ADN$5:$ADN7&lt;=9)),$AEQ$5:$AEQ7),0)))))</f>
        <v/>
      </c>
      <c r="AES7" s="12">
        <f>AES6+AEQ7-AER7</f>
        <v/>
      </c>
      <c r="AET7" s="12">
        <f>IF(ProviderDelay&gt;=1,AEP6*ProviderShare,AEP7*ProviderShare)</f>
        <v/>
      </c>
      <c r="AEU7" s="12">
        <f>AEM7*PaymentFee</f>
        <v/>
      </c>
      <c r="AEV7" s="12">
        <f>AEG7*OpsAI</f>
        <v/>
      </c>
      <c r="AEW7" s="12">
        <f>MonthlyFixed</f>
        <v/>
      </c>
      <c r="AEX7" s="12">
        <f>ADU7*ReferralReward</f>
        <v/>
      </c>
      <c r="AEY7" s="12">
        <f>ADS7</f>
        <v/>
      </c>
      <c r="AEZ7" s="9">
        <f>AEP7-AET7-AEU7-AEV7-AEW7-AEX7-AEY7</f>
        <v/>
      </c>
      <c r="AFA7" s="9">
        <f>AFA6+AEM7-(AET7+AEU7+AEV7+AEW7+AEX7+AEY7+AER7)</f>
        <v/>
      </c>
      <c r="AFB7" s="12">
        <f>IF(AEG7&gt;0,AEH7/AEG7,0)</f>
        <v/>
      </c>
      <c r="AFC7" s="11">
        <f>IF(AEG6&gt;0,MAX(0,(AEG6+ADV7-AEG7)/AEG6),0)</f>
        <v/>
      </c>
      <c r="AFE7" s="12" t="n">
        <v>3</v>
      </c>
      <c r="AFF7" s="12">
        <f>MOD(AFE7-1+LaunchMonth-1,12)+1</f>
        <v/>
      </c>
      <c r="AFG7" s="12">
        <f>INT((AFE7-1+LaunchMonth-1)/12)+1</f>
        <v/>
      </c>
      <c r="AFH7" s="12">
        <f>VLOOKUP(AFF7,SeasonTable,2,FALSE)</f>
        <v/>
      </c>
      <c r="AFI7" s="12">
        <f>(1+InflationRate)^INT((AFE7-1)/12)</f>
        <v/>
      </c>
      <c r="AFJ7" s="11">
        <f>MonthlyChurn*VLOOKUP(AFF7,ChurnSeasonTable,4,FALSE)</f>
        <v/>
      </c>
      <c r="AFK7" s="12">
        <f>MktFixed1_3</f>
        <v/>
      </c>
      <c r="AFL7" s="12">
        <f>IF(AFK7&gt;0,MAX(1,ROUND(AFK7/'Sens - CAC &amp; Marketing'!$A$9*AFH7,0)),0)</f>
        <v/>
      </c>
      <c r="AFM7" s="12">
        <f>IF(AFL7&gt;0,ROUND(AFL7*ReferralMix/(1-ReferralMix),0),0)</f>
        <v/>
      </c>
      <c r="AFN7" s="12">
        <f>AFL7+AFM7</f>
        <v/>
      </c>
      <c r="AFO7" s="12">
        <f>ROUND(AFN7*(1-AnnualMix),0)</f>
        <v/>
      </c>
      <c r="AFP7" s="12">
        <f>AFN7-AFO7</f>
        <v/>
      </c>
      <c r="AFQ7" s="12">
        <f>ROUND(AFO7*EssentialMix,0)</f>
        <v/>
      </c>
      <c r="AFR7" s="12">
        <f>AFO7-AFQ7</f>
        <v/>
      </c>
      <c r="AFS7" s="12">
        <f>ROUND(AFP7*EssentialMix,0)</f>
        <v/>
      </c>
      <c r="AFT7" s="12">
        <f>AFP7-AFS7</f>
        <v/>
      </c>
      <c r="AFU7" s="12">
        <f>AFQ7+AFQ6+AFQ5</f>
        <v/>
      </c>
      <c r="AFV7" s="12">
        <f>AFR7+AFR6+AFR5</f>
        <v/>
      </c>
      <c r="AFW7" s="12">
        <f>SUM(AFS$5:AFS7)</f>
        <v/>
      </c>
      <c r="AFX7" s="12">
        <f>SUM(AFT$5:AFT7)</f>
        <v/>
      </c>
      <c r="AFY7" s="12">
        <f>AFU7+AFV7+AFW7+AFX7</f>
        <v/>
      </c>
      <c r="AFZ7" s="9">
        <f>AFU7*PriceEssMonthly*AFI7+AFV7*PricePremMonthly*AFI7+AFW7*PriceEssAnnual*AFI7/12+AFX7*PricePremAnnual*AFI7/12</f>
        <v/>
      </c>
      <c r="AGA7" s="9">
        <f>AFZ7*12</f>
        <v/>
      </c>
      <c r="AGB7" s="12">
        <f>AFU7*PriceEssMonthly*AFI7+AFV7*PricePremMonthly*AFI7</f>
        <v/>
      </c>
      <c r="AGC7" s="12">
        <f>AFS7*PriceEssAnnual*AFI7+AFT7*PricePremAnnual*AFI7</f>
        <v/>
      </c>
      <c r="AGD7" s="12">
        <f>0+0</f>
        <v/>
      </c>
      <c r="AGE7" s="9">
        <f>AGB7+AGC7+AGD7</f>
        <v/>
      </c>
      <c r="AGF7" s="12">
        <f>SUM(AGE$5:AGE7)</f>
        <v/>
      </c>
      <c r="AGG7" s="12">
        <f>OR(AGG6,AGF7&gt;=VATThreshold)</f>
        <v/>
      </c>
      <c r="AGH7" s="9">
        <f>IF(AGG7,AGE7/(1+VATRate),AGE7)</f>
        <v/>
      </c>
      <c r="AGI7" s="12">
        <f>AGE7-AGH7</f>
        <v/>
      </c>
      <c r="AGJ7" s="12">
        <f>IF(AGG7=0,0,IF(AFF7=1,SUMPRODUCT(--(($AFG$5:$AFG7=$AFG7-1)*($AFF$5:$AFF7&gt;=10)*($AFF$5:$AFF7&lt;=12)),$AGI$5:$AGI7),IF(AFF7=4,SUMPRODUCT(--(($AFG$5:$AFG7=$AFG7)*($AFF$5:$AFF7&gt;=1)*($AFF$5:$AFF7&lt;=3)),$AGI$5:$AGI7),IF(AFF7=7,SUMPRODUCT(--(($AFG$5:$AFG7=$AFG7)*($AFF$5:$AFF7&gt;=4)*($AFF$5:$AFF7&lt;=6)),$AGI$5:$AGI7),IF(AFF7=10,SUMPRODUCT(--(($AFG$5:$AFG7=$AFG7)*($AFF$5:$AFF7&gt;=7)*($AFF$5:$AFF7&lt;=9)),$AGI$5:$AGI7),0)))))</f>
        <v/>
      </c>
      <c r="AGK7" s="12">
        <f>AGK6+AGI7-AGJ7</f>
        <v/>
      </c>
      <c r="AGL7" s="12">
        <f>IF(ProviderDelay&gt;=1,AGH6*ProviderShare,AGH7*ProviderShare)</f>
        <v/>
      </c>
      <c r="AGM7" s="12">
        <f>AGE7*PaymentFee</f>
        <v/>
      </c>
      <c r="AGN7" s="12">
        <f>AFY7*OpsAI</f>
        <v/>
      </c>
      <c r="AGO7" s="12">
        <f>MonthlyFixed</f>
        <v/>
      </c>
      <c r="AGP7" s="12">
        <f>AFM7*ReferralReward</f>
        <v/>
      </c>
      <c r="AGQ7" s="12">
        <f>AFK7</f>
        <v/>
      </c>
      <c r="AGR7" s="9">
        <f>AGH7-AGL7-AGM7-AGN7-AGO7-AGP7-AGQ7</f>
        <v/>
      </c>
      <c r="AGS7" s="9">
        <f>AGS6+AGE7-(AGL7+AGM7+AGN7+AGO7+AGP7+AGQ7+AGJ7)</f>
        <v/>
      </c>
      <c r="AGT7" s="12">
        <f>IF(AFY7&gt;0,AFZ7/AFY7,0)</f>
        <v/>
      </c>
      <c r="AGU7" s="11">
        <f>IF(AFY6&gt;0,MAX(0,(AFY6+AFN7-AFY7)/AFY6),0)</f>
        <v/>
      </c>
      <c r="AGW7" s="12" t="n">
        <v>3</v>
      </c>
      <c r="AGX7" s="12">
        <f>MOD(AGW7-1+LaunchMonth-1,12)+1</f>
        <v/>
      </c>
      <c r="AGY7" s="12">
        <f>INT((AGW7-1+LaunchMonth-1)/12)+1</f>
        <v/>
      </c>
      <c r="AGZ7" s="12">
        <f>VLOOKUP(AGX7,SeasonTable,2,FALSE)</f>
        <v/>
      </c>
      <c r="AHA7" s="12">
        <f>(1+InflationRate)^INT((AGW7-1)/12)</f>
        <v/>
      </c>
      <c r="AHB7" s="11">
        <f>MonthlyChurn*VLOOKUP(AGX7,ChurnSeasonTable,4,FALSE)</f>
        <v/>
      </c>
      <c r="AHC7" s="12">
        <f>MktFixed1_3</f>
        <v/>
      </c>
      <c r="AHD7" s="12">
        <f>IF(AHC7&gt;0,MAX(1,ROUND(AHC7/'Sens - CAC &amp; Marketing'!$A$10*AGZ7,0)),0)</f>
        <v/>
      </c>
      <c r="AHE7" s="12">
        <f>IF(AHD7&gt;0,ROUND(AHD7*ReferralMix/(1-ReferralMix),0),0)</f>
        <v/>
      </c>
      <c r="AHF7" s="12">
        <f>AHD7+AHE7</f>
        <v/>
      </c>
      <c r="AHG7" s="12">
        <f>ROUND(AHF7*(1-AnnualMix),0)</f>
        <v/>
      </c>
      <c r="AHH7" s="12">
        <f>AHF7-AHG7</f>
        <v/>
      </c>
      <c r="AHI7" s="12">
        <f>ROUND(AHG7*EssentialMix,0)</f>
        <v/>
      </c>
      <c r="AHJ7" s="12">
        <f>AHG7-AHI7</f>
        <v/>
      </c>
      <c r="AHK7" s="12">
        <f>ROUND(AHH7*EssentialMix,0)</f>
        <v/>
      </c>
      <c r="AHL7" s="12">
        <f>AHH7-AHK7</f>
        <v/>
      </c>
      <c r="AHM7" s="12">
        <f>AHI7+AHI6+AHI5</f>
        <v/>
      </c>
      <c r="AHN7" s="12">
        <f>AHJ7+AHJ6+AHJ5</f>
        <v/>
      </c>
      <c r="AHO7" s="12">
        <f>SUM(AHK$5:AHK7)</f>
        <v/>
      </c>
      <c r="AHP7" s="12">
        <f>SUM(AHL$5:AHL7)</f>
        <v/>
      </c>
      <c r="AHQ7" s="12">
        <f>AHM7+AHN7+AHO7+AHP7</f>
        <v/>
      </c>
      <c r="AHR7" s="9">
        <f>AHM7*PriceEssMonthly*AHA7+AHN7*PricePremMonthly*AHA7+AHO7*PriceEssAnnual*AHA7/12+AHP7*PricePremAnnual*AHA7/12</f>
        <v/>
      </c>
      <c r="AHS7" s="9">
        <f>AHR7*12</f>
        <v/>
      </c>
      <c r="AHT7" s="12">
        <f>AHM7*PriceEssMonthly*AHA7+AHN7*PricePremMonthly*AHA7</f>
        <v/>
      </c>
      <c r="AHU7" s="12">
        <f>AHK7*PriceEssAnnual*AHA7+AHL7*PricePremAnnual*AHA7</f>
        <v/>
      </c>
      <c r="AHV7" s="12">
        <f>0+0</f>
        <v/>
      </c>
      <c r="AHW7" s="9">
        <f>AHT7+AHU7+AHV7</f>
        <v/>
      </c>
      <c r="AHX7" s="12">
        <f>SUM(AHW$5:AHW7)</f>
        <v/>
      </c>
      <c r="AHY7" s="12">
        <f>OR(AHY6,AHX7&gt;=VATThreshold)</f>
        <v/>
      </c>
      <c r="AHZ7" s="9">
        <f>IF(AHY7,AHW7/(1+VATRate),AHW7)</f>
        <v/>
      </c>
      <c r="AIA7" s="12">
        <f>AHW7-AHZ7</f>
        <v/>
      </c>
      <c r="AIB7" s="12">
        <f>IF(AHY7=0,0,IF(AGX7=1,SUMPRODUCT(--(($AGY$5:$AGY7=$AGY7-1)*($AGX$5:$AGX7&gt;=10)*($AGX$5:$AGX7&lt;=12)),$AIA$5:$AIA7),IF(AGX7=4,SUMPRODUCT(--(($AGY$5:$AGY7=$AGY7)*($AGX$5:$AGX7&gt;=1)*($AGX$5:$AGX7&lt;=3)),$AIA$5:$AIA7),IF(AGX7=7,SUMPRODUCT(--(($AGY$5:$AGY7=$AGY7)*($AGX$5:$AGX7&gt;=4)*($AGX$5:$AGX7&lt;=6)),$AIA$5:$AIA7),IF(AGX7=10,SUMPRODUCT(--(($AGY$5:$AGY7=$AGY7)*($AGX$5:$AGX7&gt;=7)*($AGX$5:$AGX7&lt;=9)),$AIA$5:$AIA7),0)))))</f>
        <v/>
      </c>
      <c r="AIC7" s="12">
        <f>AIC6+AIA7-AIB7</f>
        <v/>
      </c>
      <c r="AID7" s="12">
        <f>IF(ProviderDelay&gt;=1,AHZ6*ProviderShare,AHZ7*ProviderShare)</f>
        <v/>
      </c>
      <c r="AIE7" s="12">
        <f>AHW7*PaymentFee</f>
        <v/>
      </c>
      <c r="AIF7" s="12">
        <f>AHQ7*OpsAI</f>
        <v/>
      </c>
      <c r="AIG7" s="12">
        <f>MonthlyFixed</f>
        <v/>
      </c>
      <c r="AIH7" s="12">
        <f>AHE7*ReferralReward</f>
        <v/>
      </c>
      <c r="AII7" s="12">
        <f>AHC7</f>
        <v/>
      </c>
      <c r="AIJ7" s="9">
        <f>AHZ7-AID7-AIE7-AIF7-AIG7-AIH7-AII7</f>
        <v/>
      </c>
      <c r="AIK7" s="9">
        <f>AIK6+AHW7-(AID7+AIE7+AIF7+AIG7+AIH7+AII7+AIB7)</f>
        <v/>
      </c>
      <c r="AIL7" s="12">
        <f>IF(AHQ7&gt;0,AHR7/AHQ7,0)</f>
        <v/>
      </c>
      <c r="AIM7" s="11">
        <f>IF(AHQ6&gt;0,MAX(0,(AHQ6+AHF7-AHQ7)/AHQ6),0)</f>
        <v/>
      </c>
      <c r="AIO7" s="12" t="n">
        <v>3</v>
      </c>
      <c r="AIP7" s="12">
        <f>MOD(AIO7-1+LaunchMonth-1,12)+1</f>
        <v/>
      </c>
      <c r="AIQ7" s="12">
        <f>INT((AIO7-1+LaunchMonth-1)/12)+1</f>
        <v/>
      </c>
      <c r="AIR7" s="12">
        <f>VLOOKUP(AIP7,SeasonTable,2,FALSE)</f>
        <v/>
      </c>
      <c r="AIS7" s="12">
        <f>(1+InflationRate)^INT((AIO7-1)/12)</f>
        <v/>
      </c>
      <c r="AIT7" s="11">
        <f>MonthlyChurn*VLOOKUP(AIP7,ChurnSeasonTable,4,FALSE)</f>
        <v/>
      </c>
      <c r="AIU7" s="12">
        <f>MktFixed1_3</f>
        <v/>
      </c>
      <c r="AIV7" s="12">
        <f>IF(AIU7&gt;0,MAX(1,ROUND(AIU7/'Sens - CAC &amp; Marketing'!$A$11*AIR7,0)),0)</f>
        <v/>
      </c>
      <c r="AIW7" s="12">
        <f>IF(AIV7&gt;0,ROUND(AIV7*ReferralMix/(1-ReferralMix),0),0)</f>
        <v/>
      </c>
      <c r="AIX7" s="12">
        <f>AIV7+AIW7</f>
        <v/>
      </c>
      <c r="AIY7" s="12">
        <f>ROUND(AIX7*(1-AnnualMix),0)</f>
        <v/>
      </c>
      <c r="AIZ7" s="12">
        <f>AIX7-AIY7</f>
        <v/>
      </c>
      <c r="AJA7" s="12">
        <f>ROUND(AIY7*EssentialMix,0)</f>
        <v/>
      </c>
      <c r="AJB7" s="12">
        <f>AIY7-AJA7</f>
        <v/>
      </c>
      <c r="AJC7" s="12">
        <f>ROUND(AIZ7*EssentialMix,0)</f>
        <v/>
      </c>
      <c r="AJD7" s="12">
        <f>AIZ7-AJC7</f>
        <v/>
      </c>
      <c r="AJE7" s="12">
        <f>AJA7+AJA6+AJA5</f>
        <v/>
      </c>
      <c r="AJF7" s="12">
        <f>AJB7+AJB6+AJB5</f>
        <v/>
      </c>
      <c r="AJG7" s="12">
        <f>SUM(AJC$5:AJC7)</f>
        <v/>
      </c>
      <c r="AJH7" s="12">
        <f>SUM(AJD$5:AJD7)</f>
        <v/>
      </c>
      <c r="AJI7" s="12">
        <f>AJE7+AJF7+AJG7+AJH7</f>
        <v/>
      </c>
      <c r="AJJ7" s="9">
        <f>AJE7*PriceEssMonthly*AIS7+AJF7*PricePremMonthly*AIS7+AJG7*PriceEssAnnual*AIS7/12+AJH7*PricePremAnnual*AIS7/12</f>
        <v/>
      </c>
      <c r="AJK7" s="9">
        <f>AJJ7*12</f>
        <v/>
      </c>
      <c r="AJL7" s="12">
        <f>AJE7*PriceEssMonthly*AIS7+AJF7*PricePremMonthly*AIS7</f>
        <v/>
      </c>
      <c r="AJM7" s="12">
        <f>AJC7*PriceEssAnnual*AIS7+AJD7*PricePremAnnual*AIS7</f>
        <v/>
      </c>
      <c r="AJN7" s="12">
        <f>0+0</f>
        <v/>
      </c>
      <c r="AJO7" s="9">
        <f>AJL7+AJM7+AJN7</f>
        <v/>
      </c>
      <c r="AJP7" s="12">
        <f>SUM(AJO$5:AJO7)</f>
        <v/>
      </c>
      <c r="AJQ7" s="12">
        <f>OR(AJQ6,AJP7&gt;=VATThreshold)</f>
        <v/>
      </c>
      <c r="AJR7" s="9">
        <f>IF(AJQ7,AJO7/(1+VATRate),AJO7)</f>
        <v/>
      </c>
      <c r="AJS7" s="12">
        <f>AJO7-AJR7</f>
        <v/>
      </c>
      <c r="AJT7" s="12">
        <f>IF(AJQ7=0,0,IF(AIP7=1,SUMPRODUCT(--(($AIQ$5:$AIQ7=$AIQ7-1)*($AIP$5:$AIP7&gt;=10)*($AIP$5:$AIP7&lt;=12)),$AJS$5:$AJS7),IF(AIP7=4,SUMPRODUCT(--(($AIQ$5:$AIQ7=$AIQ7)*($AIP$5:$AIP7&gt;=1)*($AIP$5:$AIP7&lt;=3)),$AJS$5:$AJS7),IF(AIP7=7,SUMPRODUCT(--(($AIQ$5:$AIQ7=$AIQ7)*($AIP$5:$AIP7&gt;=4)*($AIP$5:$AIP7&lt;=6)),$AJS$5:$AJS7),IF(AIP7=10,SUMPRODUCT(--(($AIQ$5:$AIQ7=$AIQ7)*($AIP$5:$AIP7&gt;=7)*($AIP$5:$AIP7&lt;=9)),$AJS$5:$AJS7),0)))))</f>
        <v/>
      </c>
      <c r="AJU7" s="12">
        <f>AJU6+AJS7-AJT7</f>
        <v/>
      </c>
      <c r="AJV7" s="12">
        <f>IF(ProviderDelay&gt;=1,AJR6*ProviderShare,AJR7*ProviderShare)</f>
        <v/>
      </c>
      <c r="AJW7" s="12">
        <f>AJO7*PaymentFee</f>
        <v/>
      </c>
      <c r="AJX7" s="12">
        <f>AJI7*OpsAI</f>
        <v/>
      </c>
      <c r="AJY7" s="12">
        <f>MonthlyFixed</f>
        <v/>
      </c>
      <c r="AJZ7" s="12">
        <f>AIW7*ReferralReward</f>
        <v/>
      </c>
      <c r="AKA7" s="12">
        <f>AIU7</f>
        <v/>
      </c>
      <c r="AKB7" s="9">
        <f>AJR7-AJV7-AJW7-AJX7-AJY7-AJZ7-AKA7</f>
        <v/>
      </c>
      <c r="AKC7" s="9">
        <f>AKC6+AJO7-(AJV7+AJW7+AJX7+AJY7+AJZ7+AKA7+AJT7)</f>
        <v/>
      </c>
      <c r="AKD7" s="12">
        <f>IF(AJI7&gt;0,AJJ7/AJI7,0)</f>
        <v/>
      </c>
      <c r="AKE7" s="11">
        <f>IF(AJI6&gt;0,MAX(0,(AJI6+AIX7-AJI7)/AJI6),0)</f>
        <v/>
      </c>
      <c r="AKG7" s="12" t="n">
        <v>3</v>
      </c>
      <c r="AKH7" s="12">
        <f>MOD(AKG7-1+LaunchMonth-1,12)+1</f>
        <v/>
      </c>
      <c r="AKI7" s="12">
        <f>INT((AKG7-1+LaunchMonth-1)/12)+1</f>
        <v/>
      </c>
      <c r="AKJ7" s="12">
        <f>VLOOKUP(AKH7,SeasonTable,2,FALSE)</f>
        <v/>
      </c>
      <c r="AKK7" s="12">
        <f>(1+InflationRate)^INT((AKG7-1)/12)</f>
        <v/>
      </c>
      <c r="AKL7" s="11">
        <f>MonthlyChurn*VLOOKUP(AKH7,ChurnSeasonTable,4,FALSE)</f>
        <v/>
      </c>
      <c r="AKM7" s="12">
        <f>MktFixed1_3</f>
        <v/>
      </c>
      <c r="AKN7" s="12">
        <f>IF(AKM7&gt;0,MAX(1,ROUND(AKM7/'Sens - CAC &amp; Marketing'!$A$12*AKJ7,0)),0)</f>
        <v/>
      </c>
      <c r="AKO7" s="12">
        <f>IF(AKN7&gt;0,ROUND(AKN7*ReferralMix/(1-ReferralMix),0),0)</f>
        <v/>
      </c>
      <c r="AKP7" s="12">
        <f>AKN7+AKO7</f>
        <v/>
      </c>
      <c r="AKQ7" s="12">
        <f>ROUND(AKP7*(1-AnnualMix),0)</f>
        <v/>
      </c>
      <c r="AKR7" s="12">
        <f>AKP7-AKQ7</f>
        <v/>
      </c>
      <c r="AKS7" s="12">
        <f>ROUND(AKQ7*EssentialMix,0)</f>
        <v/>
      </c>
      <c r="AKT7" s="12">
        <f>AKQ7-AKS7</f>
        <v/>
      </c>
      <c r="AKU7" s="12">
        <f>ROUND(AKR7*EssentialMix,0)</f>
        <v/>
      </c>
      <c r="AKV7" s="12">
        <f>AKR7-AKU7</f>
        <v/>
      </c>
      <c r="AKW7" s="12">
        <f>AKS7+AKS6+AKS5</f>
        <v/>
      </c>
      <c r="AKX7" s="12">
        <f>AKT7+AKT6+AKT5</f>
        <v/>
      </c>
      <c r="AKY7" s="12">
        <f>SUM(AKU$5:AKU7)</f>
        <v/>
      </c>
      <c r="AKZ7" s="12">
        <f>SUM(AKV$5:AKV7)</f>
        <v/>
      </c>
      <c r="ALA7" s="12">
        <f>AKW7+AKX7+AKY7+AKZ7</f>
        <v/>
      </c>
      <c r="ALB7" s="9">
        <f>AKW7*PriceEssMonthly*AKK7+AKX7*PricePremMonthly*AKK7+AKY7*PriceEssAnnual*AKK7/12+AKZ7*PricePremAnnual*AKK7/12</f>
        <v/>
      </c>
      <c r="ALC7" s="9">
        <f>ALB7*12</f>
        <v/>
      </c>
      <c r="ALD7" s="12">
        <f>AKW7*PriceEssMonthly*AKK7+AKX7*PricePremMonthly*AKK7</f>
        <v/>
      </c>
      <c r="ALE7" s="12">
        <f>AKU7*PriceEssAnnual*AKK7+AKV7*PricePremAnnual*AKK7</f>
        <v/>
      </c>
      <c r="ALF7" s="12">
        <f>0+0</f>
        <v/>
      </c>
      <c r="ALG7" s="9">
        <f>ALD7+ALE7+ALF7</f>
        <v/>
      </c>
      <c r="ALH7" s="12">
        <f>SUM(ALG$5:ALG7)</f>
        <v/>
      </c>
      <c r="ALI7" s="12">
        <f>OR(ALI6,ALH7&gt;=VATThreshold)</f>
        <v/>
      </c>
      <c r="ALJ7" s="9">
        <f>IF(ALI7,ALG7/(1+VATRate),ALG7)</f>
        <v/>
      </c>
      <c r="ALK7" s="12">
        <f>ALG7-ALJ7</f>
        <v/>
      </c>
      <c r="ALL7" s="12">
        <f>IF(ALI7=0,0,IF(AKH7=1,SUMPRODUCT(--(($AKI$5:$AKI7=$AKI7-1)*($AKH$5:$AKH7&gt;=10)*($AKH$5:$AKH7&lt;=12)),$ALK$5:$ALK7),IF(AKH7=4,SUMPRODUCT(--(($AKI$5:$AKI7=$AKI7)*($AKH$5:$AKH7&gt;=1)*($AKH$5:$AKH7&lt;=3)),$ALK$5:$ALK7),IF(AKH7=7,SUMPRODUCT(--(($AKI$5:$AKI7=$AKI7)*($AKH$5:$AKH7&gt;=4)*($AKH$5:$AKH7&lt;=6)),$ALK$5:$ALK7),IF(AKH7=10,SUMPRODUCT(--(($AKI$5:$AKI7=$AKI7)*($AKH$5:$AKH7&gt;=7)*($AKH$5:$AKH7&lt;=9)),$ALK$5:$ALK7),0)))))</f>
        <v/>
      </c>
      <c r="ALM7" s="12">
        <f>ALM6+ALK7-ALL7</f>
        <v/>
      </c>
      <c r="ALN7" s="12">
        <f>IF(ProviderDelay&gt;=1,ALJ6*ProviderShare,ALJ7*ProviderShare)</f>
        <v/>
      </c>
      <c r="ALO7" s="12">
        <f>ALG7*PaymentFee</f>
        <v/>
      </c>
      <c r="ALP7" s="12">
        <f>ALA7*OpsAI</f>
        <v/>
      </c>
      <c r="ALQ7" s="12">
        <f>MonthlyFixed</f>
        <v/>
      </c>
      <c r="ALR7" s="12">
        <f>AKO7*ReferralReward</f>
        <v/>
      </c>
      <c r="ALS7" s="12">
        <f>AKM7</f>
        <v/>
      </c>
      <c r="ALT7" s="9">
        <f>ALJ7-ALN7-ALO7-ALP7-ALQ7-ALR7-ALS7</f>
        <v/>
      </c>
      <c r="ALU7" s="9">
        <f>ALU6+ALG7-(ALN7+ALO7+ALP7+ALQ7+ALR7+ALS7+ALL7)</f>
        <v/>
      </c>
      <c r="ALV7" s="12">
        <f>IF(ALA7&gt;0,ALB7/ALA7,0)</f>
        <v/>
      </c>
      <c r="ALW7" s="11">
        <f>IF(ALA6&gt;0,MAX(0,(ALA6+AKP7-ALA7)/ALA6),0)</f>
        <v/>
      </c>
      <c r="ALY7" s="12" t="n">
        <v>3</v>
      </c>
      <c r="ALZ7" s="12">
        <f>MOD(ALY7-1+LaunchMonth-1,12)+1</f>
        <v/>
      </c>
      <c r="AMA7" s="12">
        <f>INT((ALY7-1+LaunchMonth-1)/12)+1</f>
        <v/>
      </c>
      <c r="AMB7" s="12">
        <f>VLOOKUP(ALZ7,SeasonTable,2,FALSE)</f>
        <v/>
      </c>
      <c r="AMC7" s="12">
        <f>(1+InflationRate)^INT((ALY7-1)/12)</f>
        <v/>
      </c>
      <c r="AMD7" s="11">
        <f>MonthlyChurn*VLOOKUP(ALZ7,ChurnSeasonTable,4,FALSE)</f>
        <v/>
      </c>
      <c r="AME7" s="12">
        <f>MktFixed1_3</f>
        <v/>
      </c>
      <c r="AMF7" s="12">
        <f>IF(AME7&gt;0,MAX(1,ROUND(AME7/'Sens - CAC &amp; Marketing'!$A$13*AMB7,0)),0)</f>
        <v/>
      </c>
      <c r="AMG7" s="12">
        <f>IF(AMF7&gt;0,ROUND(AMF7*ReferralMix/(1-ReferralMix),0),0)</f>
        <v/>
      </c>
      <c r="AMH7" s="12">
        <f>AMF7+AMG7</f>
        <v/>
      </c>
      <c r="AMI7" s="12">
        <f>ROUND(AMH7*(1-AnnualMix),0)</f>
        <v/>
      </c>
      <c r="AMJ7" s="12">
        <f>AMH7-AMI7</f>
        <v/>
      </c>
      <c r="AMK7" s="12">
        <f>ROUND(AMI7*EssentialMix,0)</f>
        <v/>
      </c>
      <c r="AML7" s="12">
        <f>AMI7-AMK7</f>
        <v/>
      </c>
      <c r="AMM7" s="12">
        <f>ROUND(AMJ7*EssentialMix,0)</f>
        <v/>
      </c>
      <c r="AMN7" s="12">
        <f>AMJ7-AMM7</f>
        <v/>
      </c>
      <c r="AMO7" s="12">
        <f>AMK7+AMK6+AMK5</f>
        <v/>
      </c>
      <c r="AMP7" s="12">
        <f>AML7+AML6+AML5</f>
        <v/>
      </c>
      <c r="AMQ7" s="12">
        <f>SUM(AMM$5:AMM7)</f>
        <v/>
      </c>
      <c r="AMR7" s="12">
        <f>SUM(AMN$5:AMN7)</f>
        <v/>
      </c>
      <c r="AMS7" s="12">
        <f>AMO7+AMP7+AMQ7+AMR7</f>
        <v/>
      </c>
      <c r="AMT7" s="9">
        <f>AMO7*PriceEssMonthly*AMC7+AMP7*PricePremMonthly*AMC7+AMQ7*PriceEssAnnual*AMC7/12+AMR7*PricePremAnnual*AMC7/12</f>
        <v/>
      </c>
      <c r="AMU7" s="9">
        <f>AMT7*12</f>
        <v/>
      </c>
      <c r="AMV7" s="12">
        <f>AMO7*PriceEssMonthly*AMC7+AMP7*PricePremMonthly*AMC7</f>
        <v/>
      </c>
      <c r="AMW7" s="12">
        <f>AMM7*PriceEssAnnual*AMC7+AMN7*PricePremAnnual*AMC7</f>
        <v/>
      </c>
      <c r="AMX7" s="12">
        <f>0+0</f>
        <v/>
      </c>
      <c r="AMY7" s="9">
        <f>AMV7+AMW7+AMX7</f>
        <v/>
      </c>
      <c r="AMZ7" s="12">
        <f>SUM(AMY$5:AMY7)</f>
        <v/>
      </c>
      <c r="ANA7" s="12">
        <f>OR(ANA6,AMZ7&gt;=VATThreshold)</f>
        <v/>
      </c>
      <c r="ANB7" s="9">
        <f>IF(ANA7,AMY7/(1+VATRate),AMY7)</f>
        <v/>
      </c>
      <c r="ANC7" s="12">
        <f>AMY7-ANB7</f>
        <v/>
      </c>
      <c r="AND7" s="12">
        <f>IF(ANA7=0,0,IF(ALZ7=1,SUMPRODUCT(--(($AMA$5:$AMA7=$AMA7-1)*($ALZ$5:$ALZ7&gt;=10)*($ALZ$5:$ALZ7&lt;=12)),$ANC$5:$ANC7),IF(ALZ7=4,SUMPRODUCT(--(($AMA$5:$AMA7=$AMA7)*($ALZ$5:$ALZ7&gt;=1)*($ALZ$5:$ALZ7&lt;=3)),$ANC$5:$ANC7),IF(ALZ7=7,SUMPRODUCT(--(($AMA$5:$AMA7=$AMA7)*($ALZ$5:$ALZ7&gt;=4)*($ALZ$5:$ALZ7&lt;=6)),$ANC$5:$ANC7),IF(ALZ7=10,SUMPRODUCT(--(($AMA$5:$AMA7=$AMA7)*($ALZ$5:$ALZ7&gt;=7)*($ALZ$5:$ALZ7&lt;=9)),$ANC$5:$ANC7),0)))))</f>
        <v/>
      </c>
      <c r="ANE7" s="12">
        <f>ANE6+ANC7-AND7</f>
        <v/>
      </c>
      <c r="ANF7" s="12">
        <f>IF(ProviderDelay&gt;=1,ANB6*ProviderShare,ANB7*ProviderShare)</f>
        <v/>
      </c>
      <c r="ANG7" s="12">
        <f>AMY7*PaymentFee</f>
        <v/>
      </c>
      <c r="ANH7" s="12">
        <f>AMS7*OpsAI</f>
        <v/>
      </c>
      <c r="ANI7" s="12">
        <f>MonthlyFixed</f>
        <v/>
      </c>
      <c r="ANJ7" s="12">
        <f>AMG7*ReferralReward</f>
        <v/>
      </c>
      <c r="ANK7" s="12">
        <f>AME7</f>
        <v/>
      </c>
      <c r="ANL7" s="9">
        <f>ANB7-ANF7-ANG7-ANH7-ANI7-ANJ7-ANK7</f>
        <v/>
      </c>
      <c r="ANM7" s="9">
        <f>ANM6+AMY7-(ANF7+ANG7+ANH7+ANI7+ANJ7+ANK7+AND7)</f>
        <v/>
      </c>
      <c r="ANN7" s="12">
        <f>IF(AMS7&gt;0,AMT7/AMS7,0)</f>
        <v/>
      </c>
      <c r="ANO7" s="11">
        <f>IF(AMS6&gt;0,MAX(0,(AMS6+AMH7-AMS7)/AMS6),0)</f>
        <v/>
      </c>
      <c r="ANQ7" s="12" t="n">
        <v>3</v>
      </c>
      <c r="ANR7" s="12">
        <f>MOD(ANQ7-1+LaunchMonth-1,12)+1</f>
        <v/>
      </c>
      <c r="ANS7" s="12">
        <f>INT((ANQ7-1+LaunchMonth-1)/12)+1</f>
        <v/>
      </c>
      <c r="ANT7" s="12">
        <f>VLOOKUP(ANR7,SeasonTable,2,FALSE)</f>
        <v/>
      </c>
      <c r="ANU7" s="12">
        <f>(1+InflationRate)^INT((ANQ7-1)/12)</f>
        <v/>
      </c>
      <c r="ANV7" s="11">
        <f>MonthlyChurn*VLOOKUP(ANR7,ChurnSeasonTable,4,FALSE)</f>
        <v/>
      </c>
      <c r="ANW7" s="12">
        <f>MktFixed1_3</f>
        <v/>
      </c>
      <c r="ANX7" s="12">
        <f>IF(ANW7&gt;0,MAX(1,ROUND(ANW7/'Sens - CAC &amp; Marketing'!$A$14*ANT7,0)),0)</f>
        <v/>
      </c>
      <c r="ANY7" s="12">
        <f>IF(ANX7&gt;0,ROUND(ANX7*ReferralMix/(1-ReferralMix),0),0)</f>
        <v/>
      </c>
      <c r="ANZ7" s="12">
        <f>ANX7+ANY7</f>
        <v/>
      </c>
      <c r="AOA7" s="12">
        <f>ROUND(ANZ7*(1-AnnualMix),0)</f>
        <v/>
      </c>
      <c r="AOB7" s="12">
        <f>ANZ7-AOA7</f>
        <v/>
      </c>
      <c r="AOC7" s="12">
        <f>ROUND(AOA7*EssentialMix,0)</f>
        <v/>
      </c>
      <c r="AOD7" s="12">
        <f>AOA7-AOC7</f>
        <v/>
      </c>
      <c r="AOE7" s="12">
        <f>ROUND(AOB7*EssentialMix,0)</f>
        <v/>
      </c>
      <c r="AOF7" s="12">
        <f>AOB7-AOE7</f>
        <v/>
      </c>
      <c r="AOG7" s="12">
        <f>AOC7+AOC6+AOC5</f>
        <v/>
      </c>
      <c r="AOH7" s="12">
        <f>AOD7+AOD6+AOD5</f>
        <v/>
      </c>
      <c r="AOI7" s="12">
        <f>SUM(AOE$5:AOE7)</f>
        <v/>
      </c>
      <c r="AOJ7" s="12">
        <f>SUM(AOF$5:AOF7)</f>
        <v/>
      </c>
      <c r="AOK7" s="12">
        <f>AOG7+AOH7+AOI7+AOJ7</f>
        <v/>
      </c>
      <c r="AOL7" s="9">
        <f>AOG7*PriceEssMonthly*ANU7+AOH7*PricePremMonthly*ANU7+AOI7*PriceEssAnnual*ANU7/12+AOJ7*PricePremAnnual*ANU7/12</f>
        <v/>
      </c>
      <c r="AOM7" s="9">
        <f>AOL7*12</f>
        <v/>
      </c>
      <c r="AON7" s="12">
        <f>AOG7*PriceEssMonthly*ANU7+AOH7*PricePremMonthly*ANU7</f>
        <v/>
      </c>
      <c r="AOO7" s="12">
        <f>AOE7*PriceEssAnnual*ANU7+AOF7*PricePremAnnual*ANU7</f>
        <v/>
      </c>
      <c r="AOP7" s="12">
        <f>0+0</f>
        <v/>
      </c>
      <c r="AOQ7" s="9">
        <f>AON7+AOO7+AOP7</f>
        <v/>
      </c>
      <c r="AOR7" s="12">
        <f>SUM(AOQ$5:AOQ7)</f>
        <v/>
      </c>
      <c r="AOS7" s="12">
        <f>OR(AOS6,AOR7&gt;=VATThreshold)</f>
        <v/>
      </c>
      <c r="AOT7" s="9">
        <f>IF(AOS7,AOQ7/(1+VATRate),AOQ7)</f>
        <v/>
      </c>
      <c r="AOU7" s="12">
        <f>AOQ7-AOT7</f>
        <v/>
      </c>
      <c r="AOV7" s="12">
        <f>IF(AOS7=0,0,IF(ANR7=1,SUMPRODUCT(--(($ANS$5:$ANS7=$ANS7-1)*($ANR$5:$ANR7&gt;=10)*($ANR$5:$ANR7&lt;=12)),$AOU$5:$AOU7),IF(ANR7=4,SUMPRODUCT(--(($ANS$5:$ANS7=$ANS7)*($ANR$5:$ANR7&gt;=1)*($ANR$5:$ANR7&lt;=3)),$AOU$5:$AOU7),IF(ANR7=7,SUMPRODUCT(--(($ANS$5:$ANS7=$ANS7)*($ANR$5:$ANR7&gt;=4)*($ANR$5:$ANR7&lt;=6)),$AOU$5:$AOU7),IF(ANR7=10,SUMPRODUCT(--(($ANS$5:$ANS7=$ANS7)*($ANR$5:$ANR7&gt;=7)*($ANR$5:$ANR7&lt;=9)),$AOU$5:$AOU7),0)))))</f>
        <v/>
      </c>
      <c r="AOW7" s="12">
        <f>AOW6+AOU7-AOV7</f>
        <v/>
      </c>
      <c r="AOX7" s="12">
        <f>IF(ProviderDelay&gt;=1,AOT6*ProviderShare,AOT7*ProviderShare)</f>
        <v/>
      </c>
      <c r="AOY7" s="12">
        <f>AOQ7*PaymentFee</f>
        <v/>
      </c>
      <c r="AOZ7" s="12">
        <f>AOK7*OpsAI</f>
        <v/>
      </c>
      <c r="APA7" s="12">
        <f>MonthlyFixed</f>
        <v/>
      </c>
      <c r="APB7" s="12">
        <f>ANY7*ReferralReward</f>
        <v/>
      </c>
      <c r="APC7" s="12">
        <f>ANW7</f>
        <v/>
      </c>
      <c r="APD7" s="9">
        <f>AOT7-AOX7-AOY7-AOZ7-APA7-APB7-APC7</f>
        <v/>
      </c>
      <c r="APE7" s="9">
        <f>APE6+AOQ7-(AOX7+AOY7+AOZ7+APA7+APB7+APC7+AOV7)</f>
        <v/>
      </c>
      <c r="APF7" s="12">
        <f>IF(AOK7&gt;0,AOL7/AOK7,0)</f>
        <v/>
      </c>
      <c r="APG7" s="11">
        <f>IF(AOK6&gt;0,MAX(0,(AOK6+ANZ7-AOK7)/AOK6),0)</f>
        <v/>
      </c>
      <c r="API7" s="12" t="n">
        <v>3</v>
      </c>
      <c r="APJ7" s="12">
        <f>MOD(API7-1+LaunchMonth-1,12)+1</f>
        <v/>
      </c>
      <c r="APK7" s="12">
        <f>INT((API7-1+LaunchMonth-1)/12)+1</f>
        <v/>
      </c>
      <c r="APL7" s="12">
        <f>VLOOKUP(APJ7,SeasonTable,2,FALSE)</f>
        <v/>
      </c>
      <c r="APM7" s="12">
        <f>(1+InflationRate)^INT((API7-1)/12)</f>
        <v/>
      </c>
      <c r="APN7" s="11">
        <f>MonthlyChurn*VLOOKUP(APJ7,ChurnSeasonTable,4,FALSE)</f>
        <v/>
      </c>
      <c r="APO7" s="12">
        <f>MktFixed1_3</f>
        <v/>
      </c>
      <c r="APP7" s="12">
        <f>IF(APO7&gt;0,MAX(1,ROUND(APO7/'Sens - CAC &amp; Marketing'!$A$15*APL7,0)),0)</f>
        <v/>
      </c>
      <c r="APQ7" s="12">
        <f>IF(APP7&gt;0,ROUND(APP7*ReferralMix/(1-ReferralMix),0),0)</f>
        <v/>
      </c>
      <c r="APR7" s="12">
        <f>APP7+APQ7</f>
        <v/>
      </c>
      <c r="APS7" s="12">
        <f>ROUND(APR7*(1-AnnualMix),0)</f>
        <v/>
      </c>
      <c r="APT7" s="12">
        <f>APR7-APS7</f>
        <v/>
      </c>
      <c r="APU7" s="12">
        <f>ROUND(APS7*EssentialMix,0)</f>
        <v/>
      </c>
      <c r="APV7" s="12">
        <f>APS7-APU7</f>
        <v/>
      </c>
      <c r="APW7" s="12">
        <f>ROUND(APT7*EssentialMix,0)</f>
        <v/>
      </c>
      <c r="APX7" s="12">
        <f>APT7-APW7</f>
        <v/>
      </c>
      <c r="APY7" s="12">
        <f>APU7+APU6+APU5</f>
        <v/>
      </c>
      <c r="APZ7" s="12">
        <f>APV7+APV6+APV5</f>
        <v/>
      </c>
      <c r="AQA7" s="12">
        <f>SUM(APW$5:APW7)</f>
        <v/>
      </c>
      <c r="AQB7" s="12">
        <f>SUM(APX$5:APX7)</f>
        <v/>
      </c>
      <c r="AQC7" s="12">
        <f>APY7+APZ7+AQA7+AQB7</f>
        <v/>
      </c>
      <c r="AQD7" s="9">
        <f>APY7*PriceEssMonthly*APM7+APZ7*PricePremMonthly*APM7+AQA7*PriceEssAnnual*APM7/12+AQB7*PricePremAnnual*APM7/12</f>
        <v/>
      </c>
      <c r="AQE7" s="9">
        <f>AQD7*12</f>
        <v/>
      </c>
      <c r="AQF7" s="12">
        <f>APY7*PriceEssMonthly*APM7+APZ7*PricePremMonthly*APM7</f>
        <v/>
      </c>
      <c r="AQG7" s="12">
        <f>APW7*PriceEssAnnual*APM7+APX7*PricePremAnnual*APM7</f>
        <v/>
      </c>
      <c r="AQH7" s="12">
        <f>0+0</f>
        <v/>
      </c>
      <c r="AQI7" s="9">
        <f>AQF7+AQG7+AQH7</f>
        <v/>
      </c>
      <c r="AQJ7" s="12">
        <f>SUM(AQI$5:AQI7)</f>
        <v/>
      </c>
      <c r="AQK7" s="12">
        <f>OR(AQK6,AQJ7&gt;=VATThreshold)</f>
        <v/>
      </c>
      <c r="AQL7" s="9">
        <f>IF(AQK7,AQI7/(1+VATRate),AQI7)</f>
        <v/>
      </c>
      <c r="AQM7" s="12">
        <f>AQI7-AQL7</f>
        <v/>
      </c>
      <c r="AQN7" s="12">
        <f>IF(AQK7=0,0,IF(APJ7=1,SUMPRODUCT(--(($APK$5:$APK7=$APK7-1)*($APJ$5:$APJ7&gt;=10)*($APJ$5:$APJ7&lt;=12)),$AQM$5:$AQM7),IF(APJ7=4,SUMPRODUCT(--(($APK$5:$APK7=$APK7)*($APJ$5:$APJ7&gt;=1)*($APJ$5:$APJ7&lt;=3)),$AQM$5:$AQM7),IF(APJ7=7,SUMPRODUCT(--(($APK$5:$APK7=$APK7)*($APJ$5:$APJ7&gt;=4)*($APJ$5:$APJ7&lt;=6)),$AQM$5:$AQM7),IF(APJ7=10,SUMPRODUCT(--(($APK$5:$APK7=$APK7)*($APJ$5:$APJ7&gt;=7)*($APJ$5:$APJ7&lt;=9)),$AQM$5:$AQM7),0)))))</f>
        <v/>
      </c>
      <c r="AQO7" s="12">
        <f>AQO6+AQM7-AQN7</f>
        <v/>
      </c>
      <c r="AQP7" s="12">
        <f>IF(ProviderDelay&gt;=1,AQL6*ProviderShare,AQL7*ProviderShare)</f>
        <v/>
      </c>
      <c r="AQQ7" s="12">
        <f>AQI7*PaymentFee</f>
        <v/>
      </c>
      <c r="AQR7" s="12">
        <f>AQC7*OpsAI</f>
        <v/>
      </c>
      <c r="AQS7" s="12">
        <f>MonthlyFixed</f>
        <v/>
      </c>
      <c r="AQT7" s="12">
        <f>APQ7*ReferralReward</f>
        <v/>
      </c>
      <c r="AQU7" s="12">
        <f>APO7</f>
        <v/>
      </c>
      <c r="AQV7" s="9">
        <f>AQL7-AQP7-AQQ7-AQR7-AQS7-AQT7-AQU7</f>
        <v/>
      </c>
      <c r="AQW7" s="9">
        <f>AQW6+AQI7-(AQP7+AQQ7+AQR7+AQS7+AQT7+AQU7+AQN7)</f>
        <v/>
      </c>
      <c r="AQX7" s="12">
        <f>IF(AQC7&gt;0,AQD7/AQC7,0)</f>
        <v/>
      </c>
      <c r="AQY7" s="11">
        <f>IF(AQC6&gt;0,MAX(0,(AQC6+APR7-AQC7)/AQC6),0)</f>
        <v/>
      </c>
      <c r="ARA7" s="12" t="n">
        <v>3</v>
      </c>
      <c r="ARB7" s="12">
        <f>MOD(ARA7-1+LaunchMonth-1,12)+1</f>
        <v/>
      </c>
      <c r="ARC7" s="12">
        <f>INT((ARA7-1+LaunchMonth-1)/12)+1</f>
        <v/>
      </c>
      <c r="ARD7" s="12">
        <f>VLOOKUP(ARB7,WinterPivotSeasonTable,5,FALSE)</f>
        <v/>
      </c>
      <c r="ARE7" s="12">
        <f>(1+InflationRate)^INT((ARA7-1)/12)</f>
        <v/>
      </c>
      <c r="ARF7" s="11">
        <f>MonthlyChurn*VLOOKUP(ARB7,WinterPivotChurnTable,6,FALSE)</f>
        <v/>
      </c>
      <c r="ARG7" s="12">
        <f>MktFixed1_3</f>
        <v/>
      </c>
      <c r="ARH7" s="12">
        <f>IF(ARG7&gt;0,MAX(1,ROUND(ARG7/CAC*ARD7,0)),0)</f>
        <v/>
      </c>
      <c r="ARI7" s="12">
        <f>IF(ARH7&gt;0,ROUND(ARH7*ReferralMix/(1-ReferralMix),0),0)</f>
        <v/>
      </c>
      <c r="ARJ7" s="12">
        <f>ARH7+ARI7</f>
        <v/>
      </c>
      <c r="ARK7" s="12">
        <f>ROUND(ARJ7*(1-AnnualMix),0)</f>
        <v/>
      </c>
      <c r="ARL7" s="12">
        <f>ARJ7-ARK7</f>
        <v/>
      </c>
      <c r="ARM7" s="12">
        <f>ROUND(ARK7*'Sens - Winter Pivot'!$B$6,0)</f>
        <v/>
      </c>
      <c r="ARN7" s="12">
        <f>ARK7-ARM7</f>
        <v/>
      </c>
      <c r="ARO7" s="12">
        <f>ROUND(ARL7*'Sens - Winter Pivot'!$B$6,0)</f>
        <v/>
      </c>
      <c r="ARP7" s="12">
        <f>ARL7-ARO7</f>
        <v/>
      </c>
      <c r="ARQ7" s="12">
        <f>ARM7+ARM6+ARM5</f>
        <v/>
      </c>
      <c r="ARR7" s="12">
        <f>ARN7+ARN6+ARN5</f>
        <v/>
      </c>
      <c r="ARS7" s="12">
        <f>SUM(ARO$5:ARO7)</f>
        <v/>
      </c>
      <c r="ART7" s="12">
        <f>SUM(ARP$5:ARP7)</f>
        <v/>
      </c>
      <c r="ARU7" s="12">
        <f>ARQ7+ARR7+ARS7+ART7</f>
        <v/>
      </c>
      <c r="ARV7" s="9">
        <f>ARQ7*PriceEssMonthly*ARE7+ARR7*(PricePremMonthly+'Sens - Winter Pivot'!$B$7)*ARE7+ARS7*PriceEssAnnual*ARE7/12+ART7*(PricePremAnnual+'Sens - Winter Pivot'!$B$7*12)*ARE7/12</f>
        <v/>
      </c>
      <c r="ARW7" s="9">
        <f>ARV7*12</f>
        <v/>
      </c>
      <c r="ARX7" s="12">
        <f>ARQ7*PriceEssMonthly*ARE7+ARR7*(PricePremMonthly+'Sens - Winter Pivot'!$B$7)*ARE7</f>
        <v/>
      </c>
      <c r="ARY7" s="12">
        <f>ARO7*PriceEssAnnual*ARE7+ARP7*(PricePremAnnual+'Sens - Winter Pivot'!$B$7*12)*ARE7</f>
        <v/>
      </c>
      <c r="ARZ7" s="12">
        <f>0+0</f>
        <v/>
      </c>
      <c r="ASA7" s="9">
        <f>ARX7+ARY7+ARZ7</f>
        <v/>
      </c>
      <c r="ASB7" s="12">
        <f>SUM(ASA$5:ASA7)</f>
        <v/>
      </c>
      <c r="ASC7" s="12">
        <f>OR(ASC6,ASB7&gt;=VATThreshold)</f>
        <v/>
      </c>
      <c r="ASD7" s="9">
        <f>IF(ASC7,ASA7/(1+VATRate),ASA7)</f>
        <v/>
      </c>
      <c r="ASE7" s="12">
        <f>ASA7-ASD7</f>
        <v/>
      </c>
      <c r="ASF7" s="12">
        <f>IF(ASC7=0,0,IF(ARB7=1,SUMPRODUCT(--(($ARC$5:$ARC7=$ARC7-1)*($ARB$5:$ARB7&gt;=10)*($ARB$5:$ARB7&lt;=12)),$ASE$5:$ASE7),IF(ARB7=4,SUMPRODUCT(--(($ARC$5:$ARC7=$ARC7)*($ARB$5:$ARB7&gt;=1)*($ARB$5:$ARB7&lt;=3)),$ASE$5:$ASE7),IF(ARB7=7,SUMPRODUCT(--(($ARC$5:$ARC7=$ARC7)*($ARB$5:$ARB7&gt;=4)*($ARB$5:$ARB7&lt;=6)),$ASE$5:$ASE7),IF(ARB7=10,SUMPRODUCT(--(($ARC$5:$ARC7=$ARC7)*($ARB$5:$ARB7&gt;=7)*($ARB$5:$ARB7&lt;=9)),$ASE$5:$ASE7),0)))))</f>
        <v/>
      </c>
      <c r="ASG7" s="12">
        <f>ASG6+ASE7-ASF7</f>
        <v/>
      </c>
      <c r="ASH7" s="12">
        <f>IF(ProviderDelay&gt;=1,ASD6*ProviderShare,ASD7*ProviderShare)</f>
        <v/>
      </c>
      <c r="ASI7" s="12">
        <f>ASA7*PaymentFee</f>
        <v/>
      </c>
      <c r="ASJ7" s="12">
        <f>ARU7*OpsAI</f>
        <v/>
      </c>
      <c r="ASK7" s="12">
        <f>MonthlyFixed</f>
        <v/>
      </c>
      <c r="ASL7" s="12">
        <f>ARI7*ReferralReward</f>
        <v/>
      </c>
      <c r="ASM7" s="12">
        <f>ARG7</f>
        <v/>
      </c>
      <c r="ASN7" s="9">
        <f>ASD7-ASH7-ASI7-ASJ7-ASK7-ASL7-ASM7</f>
        <v/>
      </c>
      <c r="ASO7" s="9">
        <f>ASO6+ASA7-(ASH7+ASI7+ASJ7+ASK7+ASL7+ASM7+ASF7)</f>
        <v/>
      </c>
      <c r="ASP7" s="12">
        <f>IF(ARU7&gt;0,ARV7/ARU7,0)</f>
        <v/>
      </c>
      <c r="ASQ7" s="11">
        <f>IF(ARU6&gt;0,MAX(0,(ARU6+ARJ7-ARU7)/ARU6),0)</f>
        <v/>
      </c>
    </row>
    <row r="8">
      <c r="A8" s="12" t="n">
        <v>4</v>
      </c>
      <c r="B8" s="12">
        <f>MOD(A8-1+LaunchMonth-1,12)+1</f>
        <v/>
      </c>
      <c r="C8" s="12">
        <f>INT((A8-1+LaunchMonth-1)/12)+1</f>
        <v/>
      </c>
      <c r="D8" s="12">
        <f>VLOOKUP(B8,SeasonTable,2,FALSE)</f>
        <v/>
      </c>
      <c r="E8" s="12">
        <f>(1+InflationRate)^INT((A8-1)/12)</f>
        <v/>
      </c>
      <c r="F8" s="11">
        <f>'Sens - Scenarios'!$B$5*VLOOKUP(B8,ChurnSeasonTable,4,FALSE)</f>
        <v/>
      </c>
      <c r="G8" s="12">
        <f>MIN(MktFixed4_6,MAX(0,AO7-CashBuffer))</f>
        <v/>
      </c>
      <c r="H8" s="12">
        <f>IF(G8&gt;0,MAX(1,ROUND(G8/'Sens - Scenarios'!$B$8*D8,0)),0)</f>
        <v/>
      </c>
      <c r="I8" s="12">
        <f>IF(H8&gt;0,ROUND(H8*ReferralMix/(1-ReferralMix),0),0)</f>
        <v/>
      </c>
      <c r="J8" s="12">
        <f>H8+I8</f>
        <v/>
      </c>
      <c r="K8" s="12">
        <f>ROUND(J8*(1-'Sens - Scenarios'!$B$7),0)</f>
        <v/>
      </c>
      <c r="L8" s="12">
        <f>J8-K8</f>
        <v/>
      </c>
      <c r="M8" s="12">
        <f>ROUND(K8*EssentialMix,0)</f>
        <v/>
      </c>
      <c r="N8" s="12">
        <f>K8-M8</f>
        <v/>
      </c>
      <c r="O8" s="12">
        <f>ROUND(L8*EssentialMix,0)</f>
        <v/>
      </c>
      <c r="P8" s="12">
        <f>L8-O8</f>
        <v/>
      </c>
      <c r="Q8" s="12">
        <f>M8+M7+M6+MAX(0,Q7-M7-M6)*(1-F8)</f>
        <v/>
      </c>
      <c r="R8" s="12">
        <f>N8+N7+N6+MAX(0,R7-N7-N6)*(1-F8)</f>
        <v/>
      </c>
      <c r="S8" s="12">
        <f>SUM(O$5:O8)</f>
        <v/>
      </c>
      <c r="T8" s="12">
        <f>SUM(P$5:P8)</f>
        <v/>
      </c>
      <c r="U8" s="12">
        <f>Q8+R8+S8+T8</f>
        <v/>
      </c>
      <c r="V8" s="9">
        <f>Q8*PriceEssMonthly*E8+R8*PricePremMonthly*E8+S8*PriceEssAnnual*E8/12+T8*PricePremAnnual*E8/12</f>
        <v/>
      </c>
      <c r="W8" s="9">
        <f>V8*12</f>
        <v/>
      </c>
      <c r="X8" s="12">
        <f>Q8*PriceEssMonthly*E8+R8*PricePremMonthly*E8</f>
        <v/>
      </c>
      <c r="Y8" s="12">
        <f>O8*PriceEssAnnual*E8+P8*PricePremAnnual*E8</f>
        <v/>
      </c>
      <c r="Z8" s="12">
        <f>0+0</f>
        <v/>
      </c>
      <c r="AA8" s="9">
        <f>X8+Y8+Z8</f>
        <v/>
      </c>
      <c r="AB8" s="12">
        <f>SUM(AA$5:AA8)</f>
        <v/>
      </c>
      <c r="AC8" s="12">
        <f>OR(AC7,AB8&gt;=VATThreshold)</f>
        <v/>
      </c>
      <c r="AD8" s="9">
        <f>IF(AC8,AA8/(1+VATRate),AA8)</f>
        <v/>
      </c>
      <c r="AE8" s="12">
        <f>AA8-AD8</f>
        <v/>
      </c>
      <c r="AF8" s="12">
        <f>IF(AC8=0,0,IF(B8=1,SUMPRODUCT(--(($C$5:$C8=$C8-1)*($B$5:$B8&gt;=10)*($B$5:$B8&lt;=12)),$AE$5:$AE8),IF(B8=4,SUMPRODUCT(--(($C$5:$C8=$C8)*($B$5:$B8&gt;=1)*($B$5:$B8&lt;=3)),$AE$5:$AE8),IF(B8=7,SUMPRODUCT(--(($C$5:$C8=$C8)*($B$5:$B8&gt;=4)*($B$5:$B8&lt;=6)),$AE$5:$AE8),IF(B8=10,SUMPRODUCT(--(($C$5:$C8=$C8)*($B$5:$B8&gt;=7)*($B$5:$B8&lt;=9)),$AE$5:$AE8),0)))))</f>
        <v/>
      </c>
      <c r="AG8" s="12">
        <f>AG7+AE8-AF8</f>
        <v/>
      </c>
      <c r="AH8" s="12">
        <f>IF(ProviderDelay&gt;=1,AD7*ProviderShare,AD8*ProviderShare)</f>
        <v/>
      </c>
      <c r="AI8" s="12">
        <f>AA8*PaymentFee</f>
        <v/>
      </c>
      <c r="AJ8" s="12">
        <f>U8*OpsAI</f>
        <v/>
      </c>
      <c r="AK8" s="12">
        <f>MonthlyFixed</f>
        <v/>
      </c>
      <c r="AL8" s="12">
        <f>I8*ReferralReward</f>
        <v/>
      </c>
      <c r="AM8" s="12">
        <f>G8</f>
        <v/>
      </c>
      <c r="AN8" s="9">
        <f>AD8-AH8-AI8-AJ8-AK8-AL8-AM8</f>
        <v/>
      </c>
      <c r="AO8" s="9">
        <f>AO7+AA8-(AH8+AI8+AJ8+AK8+AL8+AM8+AF8)</f>
        <v/>
      </c>
      <c r="AP8" s="12">
        <f>IF(U8&gt;0,V8/U8,0)</f>
        <v/>
      </c>
      <c r="AQ8" s="11">
        <f>IF(U7&gt;0,MAX(0,(U7+J8-U8)/U7),0)</f>
        <v/>
      </c>
      <c r="AS8" s="12" t="n">
        <v>4</v>
      </c>
      <c r="AT8" s="12">
        <f>MOD(AS8-1+LaunchMonth-1,12)+1</f>
        <v/>
      </c>
      <c r="AU8" s="12">
        <f>INT((AS8-1+LaunchMonth-1)/12)+1</f>
        <v/>
      </c>
      <c r="AV8" s="12">
        <f>VLOOKUP(AT8,SeasonTable,2,FALSE)</f>
        <v/>
      </c>
      <c r="AW8" s="12">
        <f>(1+InflationRate)^INT((AS8-1)/12)</f>
        <v/>
      </c>
      <c r="AX8" s="11">
        <f>MonthlyChurn*VLOOKUP(AT8,ChurnSeasonTable,4,FALSE)</f>
        <v/>
      </c>
      <c r="AY8" s="12">
        <f>MIN(MktFixed4_6,MAX(0,CG7-CashBuffer))</f>
        <v/>
      </c>
      <c r="AZ8" s="12">
        <f>IF(AY8&gt;0,MAX(1,ROUND(AY8/CAC*AV8,0)),0)</f>
        <v/>
      </c>
      <c r="BA8" s="12">
        <f>IF(AZ8&gt;0,ROUND(AZ8*ReferralMix/(1-ReferralMix),0),0)</f>
        <v/>
      </c>
      <c r="BB8" s="12">
        <f>AZ8+BA8</f>
        <v/>
      </c>
      <c r="BC8" s="12">
        <f>ROUND(BB8*(1-AnnualMix),0)</f>
        <v/>
      </c>
      <c r="BD8" s="12">
        <f>BB8-BC8</f>
        <v/>
      </c>
      <c r="BE8" s="12">
        <f>ROUND(BC8*EssentialMix,0)</f>
        <v/>
      </c>
      <c r="BF8" s="12">
        <f>BC8-BE8</f>
        <v/>
      </c>
      <c r="BG8" s="12">
        <f>ROUND(BD8*EssentialMix,0)</f>
        <v/>
      </c>
      <c r="BH8" s="12">
        <f>BD8-BG8</f>
        <v/>
      </c>
      <c r="BI8" s="12">
        <f>BE8+BE7+BE6+MAX(0,BI7-BE7-BE6)*(1-AX8)</f>
        <v/>
      </c>
      <c r="BJ8" s="12">
        <f>BF8+BF7+BF6+MAX(0,BJ7-BF7-BF6)*(1-AX8)</f>
        <v/>
      </c>
      <c r="BK8" s="12">
        <f>SUM(BG$5:BG8)</f>
        <v/>
      </c>
      <c r="BL8" s="12">
        <f>SUM(BH$5:BH8)</f>
        <v/>
      </c>
      <c r="BM8" s="12">
        <f>BI8+BJ8+BK8+BL8</f>
        <v/>
      </c>
      <c r="BN8" s="9">
        <f>BI8*PriceEssMonthly*AW8+BJ8*PricePremMonthly*AW8+BK8*PriceEssAnnual*AW8/12+BL8*PricePremAnnual*AW8/12</f>
        <v/>
      </c>
      <c r="BO8" s="9">
        <f>BN8*12</f>
        <v/>
      </c>
      <c r="BP8" s="12">
        <f>BI8*PriceEssMonthly*AW8+BJ8*PricePremMonthly*AW8</f>
        <v/>
      </c>
      <c r="BQ8" s="12">
        <f>BG8*PriceEssAnnual*AW8+BH8*PricePremAnnual*AW8</f>
        <v/>
      </c>
      <c r="BR8" s="12">
        <f>0+0</f>
        <v/>
      </c>
      <c r="BS8" s="9">
        <f>BP8+BQ8+BR8</f>
        <v/>
      </c>
      <c r="BT8" s="12">
        <f>SUM(BS$5:BS8)</f>
        <v/>
      </c>
      <c r="BU8" s="12">
        <f>OR(BU7,BT8&gt;=VATThreshold)</f>
        <v/>
      </c>
      <c r="BV8" s="9">
        <f>IF(BU8,BS8/(1+VATRate),BS8)</f>
        <v/>
      </c>
      <c r="BW8" s="12">
        <f>BS8-BV8</f>
        <v/>
      </c>
      <c r="BX8" s="12">
        <f>IF(BU8=0,0,IF(AT8=1,SUMPRODUCT(--(($AU$5:$AU8=$AU8-1)*($AT$5:$AT8&gt;=10)*($AT$5:$AT8&lt;=12)),$BW$5:$BW8),IF(AT8=4,SUMPRODUCT(--(($AU$5:$AU8=$AU8)*($AT$5:$AT8&gt;=1)*($AT$5:$AT8&lt;=3)),$BW$5:$BW8),IF(AT8=7,SUMPRODUCT(--(($AU$5:$AU8=$AU8)*($AT$5:$AT8&gt;=4)*($AT$5:$AT8&lt;=6)),$BW$5:$BW8),IF(AT8=10,SUMPRODUCT(--(($AU$5:$AU8=$AU8)*($AT$5:$AT8&gt;=7)*($AT$5:$AT8&lt;=9)),$BW$5:$BW8),0)))))</f>
        <v/>
      </c>
      <c r="BY8" s="12">
        <f>BY7+BW8-BX8</f>
        <v/>
      </c>
      <c r="BZ8" s="12">
        <f>IF(ProviderDelay&gt;=1,BV7*ProviderShare,BV8*ProviderShare)</f>
        <v/>
      </c>
      <c r="CA8" s="12">
        <f>BS8*PaymentFee</f>
        <v/>
      </c>
      <c r="CB8" s="12">
        <f>BM8*OpsAI</f>
        <v/>
      </c>
      <c r="CC8" s="12">
        <f>MonthlyFixed</f>
        <v/>
      </c>
      <c r="CD8" s="12">
        <f>BA8*ReferralReward</f>
        <v/>
      </c>
      <c r="CE8" s="12">
        <f>AY8</f>
        <v/>
      </c>
      <c r="CF8" s="9">
        <f>BV8-BZ8-CA8-CB8-CC8-CD8-CE8</f>
        <v/>
      </c>
      <c r="CG8" s="9">
        <f>CG7+BS8-(BZ8+CA8+CB8+CC8+CD8+CE8+BX8)</f>
        <v/>
      </c>
      <c r="CH8" s="12">
        <f>IF(BM8&gt;0,BN8/BM8,0)</f>
        <v/>
      </c>
      <c r="CI8" s="11">
        <f>IF(BM7&gt;0,MAX(0,(BM7+BB8-BM8)/BM7),0)</f>
        <v/>
      </c>
      <c r="CK8" s="12" t="n">
        <v>4</v>
      </c>
      <c r="CL8" s="12">
        <f>MOD(CK8-1+LaunchMonth-1,12)+1</f>
        <v/>
      </c>
      <c r="CM8" s="12">
        <f>INT((CK8-1+LaunchMonth-1)/12)+1</f>
        <v/>
      </c>
      <c r="CN8" s="12">
        <f>VLOOKUP(CL8,SeasonTable,2,FALSE)</f>
        <v/>
      </c>
      <c r="CO8" s="12">
        <f>(1+InflationRate)^INT((CK8-1)/12)</f>
        <v/>
      </c>
      <c r="CP8" s="11">
        <f>'Sens - Scenarios'!$D$5*VLOOKUP(CL8,ChurnSeasonTable,4,FALSE)</f>
        <v/>
      </c>
      <c r="CQ8" s="12">
        <f>MIN(MktFixed4_6,MAX(0,DY7-CashBuffer))</f>
        <v/>
      </c>
      <c r="CR8" s="12">
        <f>IF(CQ8&gt;0,MAX(1,ROUND(CQ8/'Sens - Scenarios'!$D$8*CN8,0)),0)</f>
        <v/>
      </c>
      <c r="CS8" s="12">
        <f>IF(CR8&gt;0,ROUND(CR8*ReferralMix/(1-ReferralMix),0),0)</f>
        <v/>
      </c>
      <c r="CT8" s="12">
        <f>CR8+CS8</f>
        <v/>
      </c>
      <c r="CU8" s="12">
        <f>ROUND(CT8*(1-'Sens - Scenarios'!$D$7),0)</f>
        <v/>
      </c>
      <c r="CV8" s="12">
        <f>CT8-CU8</f>
        <v/>
      </c>
      <c r="CW8" s="12">
        <f>ROUND(CU8*EssentialMix,0)</f>
        <v/>
      </c>
      <c r="CX8" s="12">
        <f>CU8-CW8</f>
        <v/>
      </c>
      <c r="CY8" s="12">
        <f>ROUND(CV8*EssentialMix,0)</f>
        <v/>
      </c>
      <c r="CZ8" s="12">
        <f>CV8-CY8</f>
        <v/>
      </c>
      <c r="DA8" s="12">
        <f>CW8+CW7+CW6+MAX(0,DA7-CW7-CW6)*(1-CP8)</f>
        <v/>
      </c>
      <c r="DB8" s="12">
        <f>CX8+CX7+CX6+MAX(0,DB7-CX7-CX6)*(1-CP8)</f>
        <v/>
      </c>
      <c r="DC8" s="12">
        <f>SUM(CY$5:CY8)</f>
        <v/>
      </c>
      <c r="DD8" s="12">
        <f>SUM(CZ$5:CZ8)</f>
        <v/>
      </c>
      <c r="DE8" s="12">
        <f>DA8+DB8+DC8+DD8</f>
        <v/>
      </c>
      <c r="DF8" s="9">
        <f>DA8*PriceEssMonthly*CO8+DB8*PricePremMonthly*CO8+DC8*PriceEssAnnual*CO8/12+DD8*PricePremAnnual*CO8/12</f>
        <v/>
      </c>
      <c r="DG8" s="9">
        <f>DF8*12</f>
        <v/>
      </c>
      <c r="DH8" s="12">
        <f>DA8*PriceEssMonthly*CO8+DB8*PricePremMonthly*CO8</f>
        <v/>
      </c>
      <c r="DI8" s="12">
        <f>CY8*PriceEssAnnual*CO8+CZ8*PricePremAnnual*CO8</f>
        <v/>
      </c>
      <c r="DJ8" s="12">
        <f>0+0</f>
        <v/>
      </c>
      <c r="DK8" s="9">
        <f>DH8+DI8+DJ8</f>
        <v/>
      </c>
      <c r="DL8" s="12">
        <f>SUM(DK$5:DK8)</f>
        <v/>
      </c>
      <c r="DM8" s="12">
        <f>OR(DM7,DL8&gt;=VATThreshold)</f>
        <v/>
      </c>
      <c r="DN8" s="9">
        <f>IF(DM8,DK8/(1+VATRate),DK8)</f>
        <v/>
      </c>
      <c r="DO8" s="12">
        <f>DK8-DN8</f>
        <v/>
      </c>
      <c r="DP8" s="12">
        <f>IF(DM8=0,0,IF(CL8=1,SUMPRODUCT(--(($CM$5:$CM8=$CM8-1)*($CL$5:$CL8&gt;=10)*($CL$5:$CL8&lt;=12)),$DO$5:$DO8),IF(CL8=4,SUMPRODUCT(--(($CM$5:$CM8=$CM8)*($CL$5:$CL8&gt;=1)*($CL$5:$CL8&lt;=3)),$DO$5:$DO8),IF(CL8=7,SUMPRODUCT(--(($CM$5:$CM8=$CM8)*($CL$5:$CL8&gt;=4)*($CL$5:$CL8&lt;=6)),$DO$5:$DO8),IF(CL8=10,SUMPRODUCT(--(($CM$5:$CM8=$CM8)*($CL$5:$CL8&gt;=7)*($CL$5:$CL8&lt;=9)),$DO$5:$DO8),0)))))</f>
        <v/>
      </c>
      <c r="DQ8" s="12">
        <f>DQ7+DO8-DP8</f>
        <v/>
      </c>
      <c r="DR8" s="12">
        <f>IF(ProviderDelay&gt;=1,DN7*ProviderShare,DN8*ProviderShare)</f>
        <v/>
      </c>
      <c r="DS8" s="12">
        <f>DK8*PaymentFee</f>
        <v/>
      </c>
      <c r="DT8" s="12">
        <f>DE8*OpsAI</f>
        <v/>
      </c>
      <c r="DU8" s="12">
        <f>MonthlyFixed</f>
        <v/>
      </c>
      <c r="DV8" s="12">
        <f>CS8*ReferralReward</f>
        <v/>
      </c>
      <c r="DW8" s="12">
        <f>CQ8</f>
        <v/>
      </c>
      <c r="DX8" s="9">
        <f>DN8-DR8-DS8-DT8-DU8-DV8-DW8</f>
        <v/>
      </c>
      <c r="DY8" s="9">
        <f>DY7+DK8-(DR8+DS8+DT8+DU8+DV8+DW8+DP8)</f>
        <v/>
      </c>
      <c r="DZ8" s="12">
        <f>IF(DE8&gt;0,DF8/DE8,0)</f>
        <v/>
      </c>
      <c r="EA8" s="11">
        <f>IF(DE7&gt;0,MAX(0,(DE7+CT8-DE8)/DE7),0)</f>
        <v/>
      </c>
      <c r="EC8" s="12" t="n">
        <v>4</v>
      </c>
      <c r="ED8" s="12">
        <f>MOD(EC8-1+LaunchMonth-1,12)+1</f>
        <v/>
      </c>
      <c r="EE8" s="12">
        <f>INT((EC8-1+LaunchMonth-1)/12)+1</f>
        <v/>
      </c>
      <c r="EF8" s="12">
        <f>VLOOKUP(ED8,SeasonTable,2,FALSE)</f>
        <v/>
      </c>
      <c r="EG8" s="12">
        <f>(1+InflationRate)^INT((EC8-1)/12)</f>
        <v/>
      </c>
      <c r="EH8" s="11">
        <f>'Sens - Churn'!$A$13*VLOOKUP(ED8,ChurnSeasonTable,4,FALSE)</f>
        <v/>
      </c>
      <c r="EI8" s="12">
        <f>MIN(MktFixed4_6,MAX(0,FQ7-CashBuffer))</f>
        <v/>
      </c>
      <c r="EJ8" s="12">
        <f>IF(EI8&gt;0,MAX(1,ROUND(EI8/CAC*EF8,0)),0)</f>
        <v/>
      </c>
      <c r="EK8" s="12">
        <f>IF(EJ8&gt;0,ROUND(EJ8*ReferralMix/(1-ReferralMix),0),0)</f>
        <v/>
      </c>
      <c r="EL8" s="12">
        <f>EJ8+EK8</f>
        <v/>
      </c>
      <c r="EM8" s="12">
        <f>ROUND(EL8*(1-AnnualMix),0)</f>
        <v/>
      </c>
      <c r="EN8" s="12">
        <f>EL8-EM8</f>
        <v/>
      </c>
      <c r="EO8" s="12">
        <f>ROUND(EM8*EssentialMix,0)</f>
        <v/>
      </c>
      <c r="EP8" s="12">
        <f>EM8-EO8</f>
        <v/>
      </c>
      <c r="EQ8" s="12">
        <f>ROUND(EN8*EssentialMix,0)</f>
        <v/>
      </c>
      <c r="ER8" s="12">
        <f>EN8-EQ8</f>
        <v/>
      </c>
      <c r="ES8" s="12">
        <f>EO8+EO7+EO6+MAX(0,ES7-EO7-EO6)*(1-EH8)</f>
        <v/>
      </c>
      <c r="ET8" s="12">
        <f>EP8+EP7+EP6+MAX(0,ET7-EP7-EP6)*(1-EH8)</f>
        <v/>
      </c>
      <c r="EU8" s="12">
        <f>SUM(EQ$5:EQ8)</f>
        <v/>
      </c>
      <c r="EV8" s="12">
        <f>SUM(ER$5:ER8)</f>
        <v/>
      </c>
      <c r="EW8" s="12">
        <f>ES8+ET8+EU8+EV8</f>
        <v/>
      </c>
      <c r="EX8" s="9">
        <f>ES8*PriceEssMonthly*EG8+ET8*PricePremMonthly*EG8+EU8*PriceEssAnnual*EG8/12+EV8*PricePremAnnual*EG8/12</f>
        <v/>
      </c>
      <c r="EY8" s="9">
        <f>EX8*12</f>
        <v/>
      </c>
      <c r="EZ8" s="12">
        <f>ES8*PriceEssMonthly*EG8+ET8*PricePremMonthly*EG8</f>
        <v/>
      </c>
      <c r="FA8" s="12">
        <f>EQ8*PriceEssAnnual*EG8+ER8*PricePremAnnual*EG8</f>
        <v/>
      </c>
      <c r="FB8" s="12">
        <f>0+0</f>
        <v/>
      </c>
      <c r="FC8" s="9">
        <f>EZ8+FA8+FB8</f>
        <v/>
      </c>
      <c r="FD8" s="12">
        <f>SUM(FC$5:FC8)</f>
        <v/>
      </c>
      <c r="FE8" s="12">
        <f>OR(FE7,FD8&gt;=VATThreshold)</f>
        <v/>
      </c>
      <c r="FF8" s="9">
        <f>IF(FE8,FC8/(1+VATRate),FC8)</f>
        <v/>
      </c>
      <c r="FG8" s="12">
        <f>FC8-FF8</f>
        <v/>
      </c>
      <c r="FH8" s="12">
        <f>IF(FE8=0,0,IF(ED8=1,SUMPRODUCT(--(($EE$5:$EE8=$EE8-1)*($ED$5:$ED8&gt;=10)*($ED$5:$ED8&lt;=12)),$FG$5:$FG8),IF(ED8=4,SUMPRODUCT(--(($EE$5:$EE8=$EE8)*($ED$5:$ED8&gt;=1)*($ED$5:$ED8&lt;=3)),$FG$5:$FG8),IF(ED8=7,SUMPRODUCT(--(($EE$5:$EE8=$EE8)*($ED$5:$ED8&gt;=4)*($ED$5:$ED8&lt;=6)),$FG$5:$FG8),IF(ED8=10,SUMPRODUCT(--(($EE$5:$EE8=$EE8)*($ED$5:$ED8&gt;=7)*($ED$5:$ED8&lt;=9)),$FG$5:$FG8),0)))))</f>
        <v/>
      </c>
      <c r="FI8" s="12">
        <f>FI7+FG8-FH8</f>
        <v/>
      </c>
      <c r="FJ8" s="12">
        <f>IF(ProviderDelay&gt;=1,FF7*ProviderShare,FF8*ProviderShare)</f>
        <v/>
      </c>
      <c r="FK8" s="12">
        <f>FC8*PaymentFee</f>
        <v/>
      </c>
      <c r="FL8" s="12">
        <f>EW8*OpsAI</f>
        <v/>
      </c>
      <c r="FM8" s="12">
        <f>MonthlyFixed</f>
        <v/>
      </c>
      <c r="FN8" s="12">
        <f>EK8*ReferralReward</f>
        <v/>
      </c>
      <c r="FO8" s="12">
        <f>EI8</f>
        <v/>
      </c>
      <c r="FP8" s="9">
        <f>FF8-FJ8-FK8-FL8-FM8-FN8-FO8</f>
        <v/>
      </c>
      <c r="FQ8" s="9">
        <f>FQ7+FC8-(FJ8+FK8+FL8+FM8+FN8+FO8+FH8)</f>
        <v/>
      </c>
      <c r="FR8" s="12">
        <f>IF(EW8&gt;0,EX8/EW8,0)</f>
        <v/>
      </c>
      <c r="FS8" s="11">
        <f>IF(EW7&gt;0,MAX(0,(EW7+EL8-EW8)/EW7),0)</f>
        <v/>
      </c>
      <c r="FU8" s="12" t="n">
        <v>4</v>
      </c>
      <c r="FV8" s="12">
        <f>MOD(FU8-1+LaunchMonth-1,12)+1</f>
        <v/>
      </c>
      <c r="FW8" s="12">
        <f>INT((FU8-1+LaunchMonth-1)/12)+1</f>
        <v/>
      </c>
      <c r="FX8" s="12">
        <f>VLOOKUP(FV8,SeasonTable,2,FALSE)</f>
        <v/>
      </c>
      <c r="FY8" s="12">
        <f>(1+InflationRate)^INT((FU8-1)/12)</f>
        <v/>
      </c>
      <c r="FZ8" s="11">
        <f>'Sens - Churn'!$A$14*VLOOKUP(FV8,ChurnSeasonTable,4,FALSE)</f>
        <v/>
      </c>
      <c r="GA8" s="12">
        <f>MIN(MktFixed4_6,MAX(0,HI7-CashBuffer))</f>
        <v/>
      </c>
      <c r="GB8" s="12">
        <f>IF(GA8&gt;0,MAX(1,ROUND(GA8/CAC*FX8,0)),0)</f>
        <v/>
      </c>
      <c r="GC8" s="12">
        <f>IF(GB8&gt;0,ROUND(GB8*ReferralMix/(1-ReferralMix),0),0)</f>
        <v/>
      </c>
      <c r="GD8" s="12">
        <f>GB8+GC8</f>
        <v/>
      </c>
      <c r="GE8" s="12">
        <f>ROUND(GD8*(1-AnnualMix),0)</f>
        <v/>
      </c>
      <c r="GF8" s="12">
        <f>GD8-GE8</f>
        <v/>
      </c>
      <c r="GG8" s="12">
        <f>ROUND(GE8*EssentialMix,0)</f>
        <v/>
      </c>
      <c r="GH8" s="12">
        <f>GE8-GG8</f>
        <v/>
      </c>
      <c r="GI8" s="12">
        <f>ROUND(GF8*EssentialMix,0)</f>
        <v/>
      </c>
      <c r="GJ8" s="12">
        <f>GF8-GI8</f>
        <v/>
      </c>
      <c r="GK8" s="12">
        <f>GG8+GG7+GG6+MAX(0,GK7-GG7-GG6)*(1-FZ8)</f>
        <v/>
      </c>
      <c r="GL8" s="12">
        <f>GH8+GH7+GH6+MAX(0,GL7-GH7-GH6)*(1-FZ8)</f>
        <v/>
      </c>
      <c r="GM8" s="12">
        <f>SUM(GI$5:GI8)</f>
        <v/>
      </c>
      <c r="GN8" s="12">
        <f>SUM(GJ$5:GJ8)</f>
        <v/>
      </c>
      <c r="GO8" s="12">
        <f>GK8+GL8+GM8+GN8</f>
        <v/>
      </c>
      <c r="GP8" s="9">
        <f>GK8*PriceEssMonthly*FY8+GL8*PricePremMonthly*FY8+GM8*PriceEssAnnual*FY8/12+GN8*PricePremAnnual*FY8/12</f>
        <v/>
      </c>
      <c r="GQ8" s="9">
        <f>GP8*12</f>
        <v/>
      </c>
      <c r="GR8" s="12">
        <f>GK8*PriceEssMonthly*FY8+GL8*PricePremMonthly*FY8</f>
        <v/>
      </c>
      <c r="GS8" s="12">
        <f>GI8*PriceEssAnnual*FY8+GJ8*PricePremAnnual*FY8</f>
        <v/>
      </c>
      <c r="GT8" s="12">
        <f>0+0</f>
        <v/>
      </c>
      <c r="GU8" s="9">
        <f>GR8+GS8+GT8</f>
        <v/>
      </c>
      <c r="GV8" s="12">
        <f>SUM(GU$5:GU8)</f>
        <v/>
      </c>
      <c r="GW8" s="12">
        <f>OR(GW7,GV8&gt;=VATThreshold)</f>
        <v/>
      </c>
      <c r="GX8" s="9">
        <f>IF(GW8,GU8/(1+VATRate),GU8)</f>
        <v/>
      </c>
      <c r="GY8" s="12">
        <f>GU8-GX8</f>
        <v/>
      </c>
      <c r="GZ8" s="12">
        <f>IF(GW8=0,0,IF(FV8=1,SUMPRODUCT(--(($FW$5:$FW8=$FW8-1)*($FV$5:$FV8&gt;=10)*($FV$5:$FV8&lt;=12)),$GY$5:$GY8),IF(FV8=4,SUMPRODUCT(--(($FW$5:$FW8=$FW8)*($FV$5:$FV8&gt;=1)*($FV$5:$FV8&lt;=3)),$GY$5:$GY8),IF(FV8=7,SUMPRODUCT(--(($FW$5:$FW8=$FW8)*($FV$5:$FV8&gt;=4)*($FV$5:$FV8&lt;=6)),$GY$5:$GY8),IF(FV8=10,SUMPRODUCT(--(($FW$5:$FW8=$FW8)*($FV$5:$FV8&gt;=7)*($FV$5:$FV8&lt;=9)),$GY$5:$GY8),0)))))</f>
        <v/>
      </c>
      <c r="HA8" s="12">
        <f>HA7+GY8-GZ8</f>
        <v/>
      </c>
      <c r="HB8" s="12">
        <f>IF(ProviderDelay&gt;=1,GX7*ProviderShare,GX8*ProviderShare)</f>
        <v/>
      </c>
      <c r="HC8" s="12">
        <f>GU8*PaymentFee</f>
        <v/>
      </c>
      <c r="HD8" s="12">
        <f>GO8*OpsAI</f>
        <v/>
      </c>
      <c r="HE8" s="12">
        <f>MonthlyFixed</f>
        <v/>
      </c>
      <c r="HF8" s="12">
        <f>GC8*ReferralReward</f>
        <v/>
      </c>
      <c r="HG8" s="12">
        <f>GA8</f>
        <v/>
      </c>
      <c r="HH8" s="9">
        <f>GX8-HB8-HC8-HD8-HE8-HF8-HG8</f>
        <v/>
      </c>
      <c r="HI8" s="9">
        <f>HI7+GU8-(HB8+HC8+HD8+HE8+HF8+HG8+GZ8)</f>
        <v/>
      </c>
      <c r="HJ8" s="12">
        <f>IF(GO8&gt;0,GP8/GO8,0)</f>
        <v/>
      </c>
      <c r="HK8" s="11">
        <f>IF(GO7&gt;0,MAX(0,(GO7+GD8-GO8)/GO7),0)</f>
        <v/>
      </c>
      <c r="HM8" s="12" t="n">
        <v>4</v>
      </c>
      <c r="HN8" s="12">
        <f>MOD(HM8-1+LaunchMonth-1,12)+1</f>
        <v/>
      </c>
      <c r="HO8" s="12">
        <f>INT((HM8-1+LaunchMonth-1)/12)+1</f>
        <v/>
      </c>
      <c r="HP8" s="12">
        <f>VLOOKUP(HN8,SeasonTable,2,FALSE)</f>
        <v/>
      </c>
      <c r="HQ8" s="12">
        <f>(1+InflationRate)^INT((HM8-1)/12)</f>
        <v/>
      </c>
      <c r="HR8" s="11">
        <f>'Sens - Churn'!$A$15*VLOOKUP(HN8,ChurnSeasonTable,4,FALSE)</f>
        <v/>
      </c>
      <c r="HS8" s="12">
        <f>MIN(MktFixed4_6,MAX(0,JA7-CashBuffer))</f>
        <v/>
      </c>
      <c r="HT8" s="12">
        <f>IF(HS8&gt;0,MAX(1,ROUND(HS8/CAC*HP8,0)),0)</f>
        <v/>
      </c>
      <c r="HU8" s="12">
        <f>IF(HT8&gt;0,ROUND(HT8*ReferralMix/(1-ReferralMix),0),0)</f>
        <v/>
      </c>
      <c r="HV8" s="12">
        <f>HT8+HU8</f>
        <v/>
      </c>
      <c r="HW8" s="12">
        <f>ROUND(HV8*(1-AnnualMix),0)</f>
        <v/>
      </c>
      <c r="HX8" s="12">
        <f>HV8-HW8</f>
        <v/>
      </c>
      <c r="HY8" s="12">
        <f>ROUND(HW8*EssentialMix,0)</f>
        <v/>
      </c>
      <c r="HZ8" s="12">
        <f>HW8-HY8</f>
        <v/>
      </c>
      <c r="IA8" s="12">
        <f>ROUND(HX8*EssentialMix,0)</f>
        <v/>
      </c>
      <c r="IB8" s="12">
        <f>HX8-IA8</f>
        <v/>
      </c>
      <c r="IC8" s="12">
        <f>HY8+HY7+HY6+MAX(0,IC7-HY7-HY6)*(1-HR8)</f>
        <v/>
      </c>
      <c r="ID8" s="12">
        <f>HZ8+HZ7+HZ6+MAX(0,ID7-HZ7-HZ6)*(1-HR8)</f>
        <v/>
      </c>
      <c r="IE8" s="12">
        <f>SUM(IA$5:IA8)</f>
        <v/>
      </c>
      <c r="IF8" s="12">
        <f>SUM(IB$5:IB8)</f>
        <v/>
      </c>
      <c r="IG8" s="12">
        <f>IC8+ID8+IE8+IF8</f>
        <v/>
      </c>
      <c r="IH8" s="9">
        <f>IC8*PriceEssMonthly*HQ8+ID8*PricePremMonthly*HQ8+IE8*PriceEssAnnual*HQ8/12+IF8*PricePremAnnual*HQ8/12</f>
        <v/>
      </c>
      <c r="II8" s="9">
        <f>IH8*12</f>
        <v/>
      </c>
      <c r="IJ8" s="12">
        <f>IC8*PriceEssMonthly*HQ8+ID8*PricePremMonthly*HQ8</f>
        <v/>
      </c>
      <c r="IK8" s="12">
        <f>IA8*PriceEssAnnual*HQ8+IB8*PricePremAnnual*HQ8</f>
        <v/>
      </c>
      <c r="IL8" s="12">
        <f>0+0</f>
        <v/>
      </c>
      <c r="IM8" s="9">
        <f>IJ8+IK8+IL8</f>
        <v/>
      </c>
      <c r="IN8" s="12">
        <f>SUM(IM$5:IM8)</f>
        <v/>
      </c>
      <c r="IO8" s="12">
        <f>OR(IO7,IN8&gt;=VATThreshold)</f>
        <v/>
      </c>
      <c r="IP8" s="9">
        <f>IF(IO8,IM8/(1+VATRate),IM8)</f>
        <v/>
      </c>
      <c r="IQ8" s="12">
        <f>IM8-IP8</f>
        <v/>
      </c>
      <c r="IR8" s="12">
        <f>IF(IO8=0,0,IF(HN8=1,SUMPRODUCT(--(($HO$5:$HO8=$HO8-1)*($HN$5:$HN8&gt;=10)*($HN$5:$HN8&lt;=12)),$IQ$5:$IQ8),IF(HN8=4,SUMPRODUCT(--(($HO$5:$HO8=$HO8)*($HN$5:$HN8&gt;=1)*($HN$5:$HN8&lt;=3)),$IQ$5:$IQ8),IF(HN8=7,SUMPRODUCT(--(($HO$5:$HO8=$HO8)*($HN$5:$HN8&gt;=4)*($HN$5:$HN8&lt;=6)),$IQ$5:$IQ8),IF(HN8=10,SUMPRODUCT(--(($HO$5:$HO8=$HO8)*($HN$5:$HN8&gt;=7)*($HN$5:$HN8&lt;=9)),$IQ$5:$IQ8),0)))))</f>
        <v/>
      </c>
      <c r="IS8" s="12">
        <f>IS7+IQ8-IR8</f>
        <v/>
      </c>
      <c r="IT8" s="12">
        <f>IF(ProviderDelay&gt;=1,IP7*ProviderShare,IP8*ProviderShare)</f>
        <v/>
      </c>
      <c r="IU8" s="12">
        <f>IM8*PaymentFee</f>
        <v/>
      </c>
      <c r="IV8" s="12">
        <f>IG8*OpsAI</f>
        <v/>
      </c>
      <c r="IW8" s="12">
        <f>MonthlyFixed</f>
        <v/>
      </c>
      <c r="IX8" s="12">
        <f>HU8*ReferralReward</f>
        <v/>
      </c>
      <c r="IY8" s="12">
        <f>HS8</f>
        <v/>
      </c>
      <c r="IZ8" s="9">
        <f>IP8-IT8-IU8-IV8-IW8-IX8-IY8</f>
        <v/>
      </c>
      <c r="JA8" s="9">
        <f>JA7+IM8-(IT8+IU8+IV8+IW8+IX8+IY8+IR8)</f>
        <v/>
      </c>
      <c r="JB8" s="12">
        <f>IF(IG8&gt;0,IH8/IG8,0)</f>
        <v/>
      </c>
      <c r="JC8" s="11">
        <f>IF(IG7&gt;0,MAX(0,(IG7+HV8-IG8)/IG7),0)</f>
        <v/>
      </c>
      <c r="JE8" s="12" t="n">
        <v>4</v>
      </c>
      <c r="JF8" s="12">
        <f>MOD(JE8-1+LaunchMonth-1,12)+1</f>
        <v/>
      </c>
      <c r="JG8" s="12">
        <f>INT((JE8-1+LaunchMonth-1)/12)+1</f>
        <v/>
      </c>
      <c r="JH8" s="12">
        <f>VLOOKUP(JF8,SeasonTable,2,FALSE)</f>
        <v/>
      </c>
      <c r="JI8" s="12">
        <f>(1+InflationRate)^INT((JE8-1)/12)</f>
        <v/>
      </c>
      <c r="JJ8" s="11">
        <f>'Sens - Churn'!$A$16*VLOOKUP(JF8,ChurnSeasonTable,4,FALSE)</f>
        <v/>
      </c>
      <c r="JK8" s="12">
        <f>MIN(MktFixed4_6,MAX(0,KS7-CashBuffer))</f>
        <v/>
      </c>
      <c r="JL8" s="12">
        <f>IF(JK8&gt;0,MAX(1,ROUND(JK8/CAC*JH8,0)),0)</f>
        <v/>
      </c>
      <c r="JM8" s="12">
        <f>IF(JL8&gt;0,ROUND(JL8*ReferralMix/(1-ReferralMix),0),0)</f>
        <v/>
      </c>
      <c r="JN8" s="12">
        <f>JL8+JM8</f>
        <v/>
      </c>
      <c r="JO8" s="12">
        <f>ROUND(JN8*(1-AnnualMix),0)</f>
        <v/>
      </c>
      <c r="JP8" s="12">
        <f>JN8-JO8</f>
        <v/>
      </c>
      <c r="JQ8" s="12">
        <f>ROUND(JO8*EssentialMix,0)</f>
        <v/>
      </c>
      <c r="JR8" s="12">
        <f>JO8-JQ8</f>
        <v/>
      </c>
      <c r="JS8" s="12">
        <f>ROUND(JP8*EssentialMix,0)</f>
        <v/>
      </c>
      <c r="JT8" s="12">
        <f>JP8-JS8</f>
        <v/>
      </c>
      <c r="JU8" s="12">
        <f>JQ8+JQ7+JQ6+MAX(0,JU7-JQ7-JQ6)*(1-JJ8)</f>
        <v/>
      </c>
      <c r="JV8" s="12">
        <f>JR8+JR7+JR6+MAX(0,JV7-JR7-JR6)*(1-JJ8)</f>
        <v/>
      </c>
      <c r="JW8" s="12">
        <f>SUM(JS$5:JS8)</f>
        <v/>
      </c>
      <c r="JX8" s="12">
        <f>SUM(JT$5:JT8)</f>
        <v/>
      </c>
      <c r="JY8" s="12">
        <f>JU8+JV8+JW8+JX8</f>
        <v/>
      </c>
      <c r="JZ8" s="9">
        <f>JU8*PriceEssMonthly*JI8+JV8*PricePremMonthly*JI8+JW8*PriceEssAnnual*JI8/12+JX8*PricePremAnnual*JI8/12</f>
        <v/>
      </c>
      <c r="KA8" s="9">
        <f>JZ8*12</f>
        <v/>
      </c>
      <c r="KB8" s="12">
        <f>JU8*PriceEssMonthly*JI8+JV8*PricePremMonthly*JI8</f>
        <v/>
      </c>
      <c r="KC8" s="12">
        <f>JS8*PriceEssAnnual*JI8+JT8*PricePremAnnual*JI8</f>
        <v/>
      </c>
      <c r="KD8" s="12">
        <f>0+0</f>
        <v/>
      </c>
      <c r="KE8" s="9">
        <f>KB8+KC8+KD8</f>
        <v/>
      </c>
      <c r="KF8" s="12">
        <f>SUM(KE$5:KE8)</f>
        <v/>
      </c>
      <c r="KG8" s="12">
        <f>OR(KG7,KF8&gt;=VATThreshold)</f>
        <v/>
      </c>
      <c r="KH8" s="9">
        <f>IF(KG8,KE8/(1+VATRate),KE8)</f>
        <v/>
      </c>
      <c r="KI8" s="12">
        <f>KE8-KH8</f>
        <v/>
      </c>
      <c r="KJ8" s="12">
        <f>IF(KG8=0,0,IF(JF8=1,SUMPRODUCT(--(($JG$5:$JG8=$JG8-1)*($JF$5:$JF8&gt;=10)*($JF$5:$JF8&lt;=12)),$KI$5:$KI8),IF(JF8=4,SUMPRODUCT(--(($JG$5:$JG8=$JG8)*($JF$5:$JF8&gt;=1)*($JF$5:$JF8&lt;=3)),$KI$5:$KI8),IF(JF8=7,SUMPRODUCT(--(($JG$5:$JG8=$JG8)*($JF$5:$JF8&gt;=4)*($JF$5:$JF8&lt;=6)),$KI$5:$KI8),IF(JF8=10,SUMPRODUCT(--(($JG$5:$JG8=$JG8)*($JF$5:$JF8&gt;=7)*($JF$5:$JF8&lt;=9)),$KI$5:$KI8),0)))))</f>
        <v/>
      </c>
      <c r="KK8" s="12">
        <f>KK7+KI8-KJ8</f>
        <v/>
      </c>
      <c r="KL8" s="12">
        <f>IF(ProviderDelay&gt;=1,KH7*ProviderShare,KH8*ProviderShare)</f>
        <v/>
      </c>
      <c r="KM8" s="12">
        <f>KE8*PaymentFee</f>
        <v/>
      </c>
      <c r="KN8" s="12">
        <f>JY8*OpsAI</f>
        <v/>
      </c>
      <c r="KO8" s="12">
        <f>MonthlyFixed</f>
        <v/>
      </c>
      <c r="KP8" s="12">
        <f>JM8*ReferralReward</f>
        <v/>
      </c>
      <c r="KQ8" s="12">
        <f>JK8</f>
        <v/>
      </c>
      <c r="KR8" s="9">
        <f>KH8-KL8-KM8-KN8-KO8-KP8-KQ8</f>
        <v/>
      </c>
      <c r="KS8" s="9">
        <f>KS7+KE8-(KL8+KM8+KN8+KO8+KP8+KQ8+KJ8)</f>
        <v/>
      </c>
      <c r="KT8" s="12">
        <f>IF(JY8&gt;0,JZ8/JY8,0)</f>
        <v/>
      </c>
      <c r="KU8" s="11">
        <f>IF(JY7&gt;0,MAX(0,(JY7+JN8-JY8)/JY7),0)</f>
        <v/>
      </c>
      <c r="KW8" s="12" t="n">
        <v>4</v>
      </c>
      <c r="KX8" s="12">
        <f>MOD(KW8-1+LaunchMonth-1,12)+1</f>
        <v/>
      </c>
      <c r="KY8" s="12">
        <f>INT((KW8-1+LaunchMonth-1)/12)+1</f>
        <v/>
      </c>
      <c r="KZ8" s="12">
        <f>VLOOKUP(KX8,SeasonTable,2,FALSE)</f>
        <v/>
      </c>
      <c r="LA8" s="12">
        <f>(1+InflationRate)^INT((KW8-1)/12)</f>
        <v/>
      </c>
      <c r="LB8" s="11">
        <f>'Sens - Churn'!$A$17*VLOOKUP(KX8,ChurnSeasonTable,4,FALSE)</f>
        <v/>
      </c>
      <c r="LC8" s="12">
        <f>MIN(MktFixed4_6,MAX(0,MK7-CashBuffer))</f>
        <v/>
      </c>
      <c r="LD8" s="12">
        <f>IF(LC8&gt;0,MAX(1,ROUND(LC8/CAC*KZ8,0)),0)</f>
        <v/>
      </c>
      <c r="LE8" s="12">
        <f>IF(LD8&gt;0,ROUND(LD8*ReferralMix/(1-ReferralMix),0),0)</f>
        <v/>
      </c>
      <c r="LF8" s="12">
        <f>LD8+LE8</f>
        <v/>
      </c>
      <c r="LG8" s="12">
        <f>ROUND(LF8*(1-AnnualMix),0)</f>
        <v/>
      </c>
      <c r="LH8" s="12">
        <f>LF8-LG8</f>
        <v/>
      </c>
      <c r="LI8" s="12">
        <f>ROUND(LG8*EssentialMix,0)</f>
        <v/>
      </c>
      <c r="LJ8" s="12">
        <f>LG8-LI8</f>
        <v/>
      </c>
      <c r="LK8" s="12">
        <f>ROUND(LH8*EssentialMix,0)</f>
        <v/>
      </c>
      <c r="LL8" s="12">
        <f>LH8-LK8</f>
        <v/>
      </c>
      <c r="LM8" s="12">
        <f>LI8+LI7+LI6+MAX(0,LM7-LI7-LI6)*(1-LB8)</f>
        <v/>
      </c>
      <c r="LN8" s="12">
        <f>LJ8+LJ7+LJ6+MAX(0,LN7-LJ7-LJ6)*(1-LB8)</f>
        <v/>
      </c>
      <c r="LO8" s="12">
        <f>SUM(LK$5:LK8)</f>
        <v/>
      </c>
      <c r="LP8" s="12">
        <f>SUM(LL$5:LL8)</f>
        <v/>
      </c>
      <c r="LQ8" s="12">
        <f>LM8+LN8+LO8+LP8</f>
        <v/>
      </c>
      <c r="LR8" s="9">
        <f>LM8*PriceEssMonthly*LA8+LN8*PricePremMonthly*LA8+LO8*PriceEssAnnual*LA8/12+LP8*PricePremAnnual*LA8/12</f>
        <v/>
      </c>
      <c r="LS8" s="9">
        <f>LR8*12</f>
        <v/>
      </c>
      <c r="LT8" s="12">
        <f>LM8*PriceEssMonthly*LA8+LN8*PricePremMonthly*LA8</f>
        <v/>
      </c>
      <c r="LU8" s="12">
        <f>LK8*PriceEssAnnual*LA8+LL8*PricePremAnnual*LA8</f>
        <v/>
      </c>
      <c r="LV8" s="12">
        <f>0+0</f>
        <v/>
      </c>
      <c r="LW8" s="9">
        <f>LT8+LU8+LV8</f>
        <v/>
      </c>
      <c r="LX8" s="12">
        <f>SUM(LW$5:LW8)</f>
        <v/>
      </c>
      <c r="LY8" s="12">
        <f>OR(LY7,LX8&gt;=VATThreshold)</f>
        <v/>
      </c>
      <c r="LZ8" s="9">
        <f>IF(LY8,LW8/(1+VATRate),LW8)</f>
        <v/>
      </c>
      <c r="MA8" s="12">
        <f>LW8-LZ8</f>
        <v/>
      </c>
      <c r="MB8" s="12">
        <f>IF(LY8=0,0,IF(KX8=1,SUMPRODUCT(--(($KY$5:$KY8=$KY8-1)*($KX$5:$KX8&gt;=10)*($KX$5:$KX8&lt;=12)),$MA$5:$MA8),IF(KX8=4,SUMPRODUCT(--(($KY$5:$KY8=$KY8)*($KX$5:$KX8&gt;=1)*($KX$5:$KX8&lt;=3)),$MA$5:$MA8),IF(KX8=7,SUMPRODUCT(--(($KY$5:$KY8=$KY8)*($KX$5:$KX8&gt;=4)*($KX$5:$KX8&lt;=6)),$MA$5:$MA8),IF(KX8=10,SUMPRODUCT(--(($KY$5:$KY8=$KY8)*($KX$5:$KX8&gt;=7)*($KX$5:$KX8&lt;=9)),$MA$5:$MA8),0)))))</f>
        <v/>
      </c>
      <c r="MC8" s="12">
        <f>MC7+MA8-MB8</f>
        <v/>
      </c>
      <c r="MD8" s="12">
        <f>IF(ProviderDelay&gt;=1,LZ7*ProviderShare,LZ8*ProviderShare)</f>
        <v/>
      </c>
      <c r="ME8" s="12">
        <f>LW8*PaymentFee</f>
        <v/>
      </c>
      <c r="MF8" s="12">
        <f>LQ8*OpsAI</f>
        <v/>
      </c>
      <c r="MG8" s="12">
        <f>MonthlyFixed</f>
        <v/>
      </c>
      <c r="MH8" s="12">
        <f>LE8*ReferralReward</f>
        <v/>
      </c>
      <c r="MI8" s="12">
        <f>LC8</f>
        <v/>
      </c>
      <c r="MJ8" s="9">
        <f>LZ8-MD8-ME8-MF8-MG8-MH8-MI8</f>
        <v/>
      </c>
      <c r="MK8" s="9">
        <f>MK7+LW8-(MD8+ME8+MF8+MG8+MH8+MI8+MB8)</f>
        <v/>
      </c>
      <c r="ML8" s="12">
        <f>IF(LQ8&gt;0,LR8/LQ8,0)</f>
        <v/>
      </c>
      <c r="MM8" s="11">
        <f>IF(LQ7&gt;0,MAX(0,(LQ7+LF8-LQ8)/LQ7),0)</f>
        <v/>
      </c>
      <c r="MO8" s="12" t="n">
        <v>4</v>
      </c>
      <c r="MP8" s="12">
        <f>MOD(MO8-1+LaunchMonth-1,12)+1</f>
        <v/>
      </c>
      <c r="MQ8" s="12">
        <f>INT((MO8-1+LaunchMonth-1)/12)+1</f>
        <v/>
      </c>
      <c r="MR8" s="12">
        <f>VLOOKUP(MP8,SeasonTable,2,FALSE)</f>
        <v/>
      </c>
      <c r="MS8" s="12">
        <f>(1+InflationRate)^INT((MO8-1)/12)</f>
        <v/>
      </c>
      <c r="MT8" s="11">
        <f>'Sens - Churn'!$A$18*VLOOKUP(MP8,ChurnSeasonTable,4,FALSE)</f>
        <v/>
      </c>
      <c r="MU8" s="12">
        <f>MIN(MktFixed4_6,MAX(0,OC7-CashBuffer))</f>
        <v/>
      </c>
      <c r="MV8" s="12">
        <f>IF(MU8&gt;0,MAX(1,ROUND(MU8/CAC*MR8,0)),0)</f>
        <v/>
      </c>
      <c r="MW8" s="12">
        <f>IF(MV8&gt;0,ROUND(MV8*ReferralMix/(1-ReferralMix),0),0)</f>
        <v/>
      </c>
      <c r="MX8" s="12">
        <f>MV8+MW8</f>
        <v/>
      </c>
      <c r="MY8" s="12">
        <f>ROUND(MX8*(1-AnnualMix),0)</f>
        <v/>
      </c>
      <c r="MZ8" s="12">
        <f>MX8-MY8</f>
        <v/>
      </c>
      <c r="NA8" s="12">
        <f>ROUND(MY8*EssentialMix,0)</f>
        <v/>
      </c>
      <c r="NB8" s="12">
        <f>MY8-NA8</f>
        <v/>
      </c>
      <c r="NC8" s="12">
        <f>ROUND(MZ8*EssentialMix,0)</f>
        <v/>
      </c>
      <c r="ND8" s="12">
        <f>MZ8-NC8</f>
        <v/>
      </c>
      <c r="NE8" s="12">
        <f>NA8+NA7+NA6+MAX(0,NE7-NA7-NA6)*(1-MT8)</f>
        <v/>
      </c>
      <c r="NF8" s="12">
        <f>NB8+NB7+NB6+MAX(0,NF7-NB7-NB6)*(1-MT8)</f>
        <v/>
      </c>
      <c r="NG8" s="12">
        <f>SUM(NC$5:NC8)</f>
        <v/>
      </c>
      <c r="NH8" s="12">
        <f>SUM(ND$5:ND8)</f>
        <v/>
      </c>
      <c r="NI8" s="12">
        <f>NE8+NF8+NG8+NH8</f>
        <v/>
      </c>
      <c r="NJ8" s="9">
        <f>NE8*PriceEssMonthly*MS8+NF8*PricePremMonthly*MS8+NG8*PriceEssAnnual*MS8/12+NH8*PricePremAnnual*MS8/12</f>
        <v/>
      </c>
      <c r="NK8" s="9">
        <f>NJ8*12</f>
        <v/>
      </c>
      <c r="NL8" s="12">
        <f>NE8*PriceEssMonthly*MS8+NF8*PricePremMonthly*MS8</f>
        <v/>
      </c>
      <c r="NM8" s="12">
        <f>NC8*PriceEssAnnual*MS8+ND8*PricePremAnnual*MS8</f>
        <v/>
      </c>
      <c r="NN8" s="12">
        <f>0+0</f>
        <v/>
      </c>
      <c r="NO8" s="9">
        <f>NL8+NM8+NN8</f>
        <v/>
      </c>
      <c r="NP8" s="12">
        <f>SUM(NO$5:NO8)</f>
        <v/>
      </c>
      <c r="NQ8" s="12">
        <f>OR(NQ7,NP8&gt;=VATThreshold)</f>
        <v/>
      </c>
      <c r="NR8" s="9">
        <f>IF(NQ8,NO8/(1+VATRate),NO8)</f>
        <v/>
      </c>
      <c r="NS8" s="12">
        <f>NO8-NR8</f>
        <v/>
      </c>
      <c r="NT8" s="12">
        <f>IF(NQ8=0,0,IF(MP8=1,SUMPRODUCT(--(($MQ$5:$MQ8=$MQ8-1)*($MP$5:$MP8&gt;=10)*($MP$5:$MP8&lt;=12)),$NS$5:$NS8),IF(MP8=4,SUMPRODUCT(--(($MQ$5:$MQ8=$MQ8)*($MP$5:$MP8&gt;=1)*($MP$5:$MP8&lt;=3)),$NS$5:$NS8),IF(MP8=7,SUMPRODUCT(--(($MQ$5:$MQ8=$MQ8)*($MP$5:$MP8&gt;=4)*($MP$5:$MP8&lt;=6)),$NS$5:$NS8),IF(MP8=10,SUMPRODUCT(--(($MQ$5:$MQ8=$MQ8)*($MP$5:$MP8&gt;=7)*($MP$5:$MP8&lt;=9)),$NS$5:$NS8),0)))))</f>
        <v/>
      </c>
      <c r="NU8" s="12">
        <f>NU7+NS8-NT8</f>
        <v/>
      </c>
      <c r="NV8" s="12">
        <f>IF(ProviderDelay&gt;=1,NR7*ProviderShare,NR8*ProviderShare)</f>
        <v/>
      </c>
      <c r="NW8" s="12">
        <f>NO8*PaymentFee</f>
        <v/>
      </c>
      <c r="NX8" s="12">
        <f>NI8*OpsAI</f>
        <v/>
      </c>
      <c r="NY8" s="12">
        <f>MonthlyFixed</f>
        <v/>
      </c>
      <c r="NZ8" s="12">
        <f>MW8*ReferralReward</f>
        <v/>
      </c>
      <c r="OA8" s="12">
        <f>MU8</f>
        <v/>
      </c>
      <c r="OB8" s="9">
        <f>NR8-NV8-NW8-NX8-NY8-NZ8-OA8</f>
        <v/>
      </c>
      <c r="OC8" s="9">
        <f>OC7+NO8-(NV8+NW8+NX8+NY8+NZ8+OA8+NT8)</f>
        <v/>
      </c>
      <c r="OD8" s="12">
        <f>IF(NI8&gt;0,NJ8/NI8,0)</f>
        <v/>
      </c>
      <c r="OE8" s="11">
        <f>IF(NI7&gt;0,MAX(0,(NI7+MX8-NI8)/NI7),0)</f>
        <v/>
      </c>
      <c r="OG8" s="12" t="n">
        <v>4</v>
      </c>
      <c r="OH8" s="12">
        <f>MOD(OG8-1+LaunchMonth-1,12)+1</f>
        <v/>
      </c>
      <c r="OI8" s="12">
        <f>INT((OG8-1+LaunchMonth-1)/12)+1</f>
        <v/>
      </c>
      <c r="OJ8" s="12">
        <f>VLOOKUP(OH8,SeasonTable,2,FALSE)</f>
        <v/>
      </c>
      <c r="OK8" s="12">
        <f>(1+InflationRate)^INT((OG8-1)/12)</f>
        <v/>
      </c>
      <c r="OL8" s="11">
        <f>'Sens - Churn'!$A$19*VLOOKUP(OH8,ChurnSeasonTable,4,FALSE)</f>
        <v/>
      </c>
      <c r="OM8" s="12">
        <f>MIN(MktFixed4_6,MAX(0,PU7-CashBuffer))</f>
        <v/>
      </c>
      <c r="ON8" s="12">
        <f>IF(OM8&gt;0,MAX(1,ROUND(OM8/CAC*OJ8,0)),0)</f>
        <v/>
      </c>
      <c r="OO8" s="12">
        <f>IF(ON8&gt;0,ROUND(ON8*ReferralMix/(1-ReferralMix),0),0)</f>
        <v/>
      </c>
      <c r="OP8" s="12">
        <f>ON8+OO8</f>
        <v/>
      </c>
      <c r="OQ8" s="12">
        <f>ROUND(OP8*(1-AnnualMix),0)</f>
        <v/>
      </c>
      <c r="OR8" s="12">
        <f>OP8-OQ8</f>
        <v/>
      </c>
      <c r="OS8" s="12">
        <f>ROUND(OQ8*EssentialMix,0)</f>
        <v/>
      </c>
      <c r="OT8" s="12">
        <f>OQ8-OS8</f>
        <v/>
      </c>
      <c r="OU8" s="12">
        <f>ROUND(OR8*EssentialMix,0)</f>
        <v/>
      </c>
      <c r="OV8" s="12">
        <f>OR8-OU8</f>
        <v/>
      </c>
      <c r="OW8" s="12">
        <f>OS8+OS7+OS6+MAX(0,OW7-OS7-OS6)*(1-OL8)</f>
        <v/>
      </c>
      <c r="OX8" s="12">
        <f>OT8+OT7+OT6+MAX(0,OX7-OT7-OT6)*(1-OL8)</f>
        <v/>
      </c>
      <c r="OY8" s="12">
        <f>SUM(OU$5:OU8)</f>
        <v/>
      </c>
      <c r="OZ8" s="12">
        <f>SUM(OV$5:OV8)</f>
        <v/>
      </c>
      <c r="PA8" s="12">
        <f>OW8+OX8+OY8+OZ8</f>
        <v/>
      </c>
      <c r="PB8" s="9">
        <f>OW8*PriceEssMonthly*OK8+OX8*PricePremMonthly*OK8+OY8*PriceEssAnnual*OK8/12+OZ8*PricePremAnnual*OK8/12</f>
        <v/>
      </c>
      <c r="PC8" s="9">
        <f>PB8*12</f>
        <v/>
      </c>
      <c r="PD8" s="12">
        <f>OW8*PriceEssMonthly*OK8+OX8*PricePremMonthly*OK8</f>
        <v/>
      </c>
      <c r="PE8" s="12">
        <f>OU8*PriceEssAnnual*OK8+OV8*PricePremAnnual*OK8</f>
        <v/>
      </c>
      <c r="PF8" s="12">
        <f>0+0</f>
        <v/>
      </c>
      <c r="PG8" s="9">
        <f>PD8+PE8+PF8</f>
        <v/>
      </c>
      <c r="PH8" s="12">
        <f>SUM(PG$5:PG8)</f>
        <v/>
      </c>
      <c r="PI8" s="12">
        <f>OR(PI7,PH8&gt;=VATThreshold)</f>
        <v/>
      </c>
      <c r="PJ8" s="9">
        <f>IF(PI8,PG8/(1+VATRate),PG8)</f>
        <v/>
      </c>
      <c r="PK8" s="12">
        <f>PG8-PJ8</f>
        <v/>
      </c>
      <c r="PL8" s="12">
        <f>IF(PI8=0,0,IF(OH8=1,SUMPRODUCT(--(($OI$5:$OI8=$OI8-1)*($OH$5:$OH8&gt;=10)*($OH$5:$OH8&lt;=12)),$PK$5:$PK8),IF(OH8=4,SUMPRODUCT(--(($OI$5:$OI8=$OI8)*($OH$5:$OH8&gt;=1)*($OH$5:$OH8&lt;=3)),$PK$5:$PK8),IF(OH8=7,SUMPRODUCT(--(($OI$5:$OI8=$OI8)*($OH$5:$OH8&gt;=4)*($OH$5:$OH8&lt;=6)),$PK$5:$PK8),IF(OH8=10,SUMPRODUCT(--(($OI$5:$OI8=$OI8)*($OH$5:$OH8&gt;=7)*($OH$5:$OH8&lt;=9)),$PK$5:$PK8),0)))))</f>
        <v/>
      </c>
      <c r="PM8" s="12">
        <f>PM7+PK8-PL8</f>
        <v/>
      </c>
      <c r="PN8" s="12">
        <f>IF(ProviderDelay&gt;=1,PJ7*ProviderShare,PJ8*ProviderShare)</f>
        <v/>
      </c>
      <c r="PO8" s="12">
        <f>PG8*PaymentFee</f>
        <v/>
      </c>
      <c r="PP8" s="12">
        <f>PA8*OpsAI</f>
        <v/>
      </c>
      <c r="PQ8" s="12">
        <f>MonthlyFixed</f>
        <v/>
      </c>
      <c r="PR8" s="12">
        <f>OO8*ReferralReward</f>
        <v/>
      </c>
      <c r="PS8" s="12">
        <f>OM8</f>
        <v/>
      </c>
      <c r="PT8" s="9">
        <f>PJ8-PN8-PO8-PP8-PQ8-PR8-PS8</f>
        <v/>
      </c>
      <c r="PU8" s="9">
        <f>PU7+PG8-(PN8+PO8+PP8+PQ8+PR8+PS8+PL8)</f>
        <v/>
      </c>
      <c r="PV8" s="12">
        <f>IF(PA8&gt;0,PB8/PA8,0)</f>
        <v/>
      </c>
      <c r="PW8" s="11">
        <f>IF(PA7&gt;0,MAX(0,(PA7+OP8-PA8)/PA7),0)</f>
        <v/>
      </c>
      <c r="PY8" s="12" t="n">
        <v>4</v>
      </c>
      <c r="PZ8" s="12">
        <f>MOD(PY8-1+LaunchMonth-1,12)+1</f>
        <v/>
      </c>
      <c r="QA8" s="12">
        <f>INT((PY8-1+LaunchMonth-1)/12)+1</f>
        <v/>
      </c>
      <c r="QB8" s="12">
        <f>VLOOKUP(PZ8,SeasonTable,2,FALSE)</f>
        <v/>
      </c>
      <c r="QC8" s="12">
        <f>(1+InflationRate)^INT((PY8-1)/12)</f>
        <v/>
      </c>
      <c r="QD8" s="11">
        <f>'Sens - Churn'!$A$20*VLOOKUP(PZ8,ChurnSeasonTable,4,FALSE)</f>
        <v/>
      </c>
      <c r="QE8" s="12">
        <f>MIN(MktFixed4_6,MAX(0,RM7-CashBuffer))</f>
        <v/>
      </c>
      <c r="QF8" s="12">
        <f>IF(QE8&gt;0,MAX(1,ROUND(QE8/CAC*QB8,0)),0)</f>
        <v/>
      </c>
      <c r="QG8" s="12">
        <f>IF(QF8&gt;0,ROUND(QF8*ReferralMix/(1-ReferralMix),0),0)</f>
        <v/>
      </c>
      <c r="QH8" s="12">
        <f>QF8+QG8</f>
        <v/>
      </c>
      <c r="QI8" s="12">
        <f>ROUND(QH8*(1-AnnualMix),0)</f>
        <v/>
      </c>
      <c r="QJ8" s="12">
        <f>QH8-QI8</f>
        <v/>
      </c>
      <c r="QK8" s="12">
        <f>ROUND(QI8*EssentialMix,0)</f>
        <v/>
      </c>
      <c r="QL8" s="12">
        <f>QI8-QK8</f>
        <v/>
      </c>
      <c r="QM8" s="12">
        <f>ROUND(QJ8*EssentialMix,0)</f>
        <v/>
      </c>
      <c r="QN8" s="12">
        <f>QJ8-QM8</f>
        <v/>
      </c>
      <c r="QO8" s="12">
        <f>QK8+QK7+QK6+MAX(0,QO7-QK7-QK6)*(1-QD8)</f>
        <v/>
      </c>
      <c r="QP8" s="12">
        <f>QL8+QL7+QL6+MAX(0,QP7-QL7-QL6)*(1-QD8)</f>
        <v/>
      </c>
      <c r="QQ8" s="12">
        <f>SUM(QM$5:QM8)</f>
        <v/>
      </c>
      <c r="QR8" s="12">
        <f>SUM(QN$5:QN8)</f>
        <v/>
      </c>
      <c r="QS8" s="12">
        <f>QO8+QP8+QQ8+QR8</f>
        <v/>
      </c>
      <c r="QT8" s="9">
        <f>QO8*PriceEssMonthly*QC8+QP8*PricePremMonthly*QC8+QQ8*PriceEssAnnual*QC8/12+QR8*PricePremAnnual*QC8/12</f>
        <v/>
      </c>
      <c r="QU8" s="9">
        <f>QT8*12</f>
        <v/>
      </c>
      <c r="QV8" s="12">
        <f>QO8*PriceEssMonthly*QC8+QP8*PricePremMonthly*QC8</f>
        <v/>
      </c>
      <c r="QW8" s="12">
        <f>QM8*PriceEssAnnual*QC8+QN8*PricePremAnnual*QC8</f>
        <v/>
      </c>
      <c r="QX8" s="12">
        <f>0+0</f>
        <v/>
      </c>
      <c r="QY8" s="9">
        <f>QV8+QW8+QX8</f>
        <v/>
      </c>
      <c r="QZ8" s="12">
        <f>SUM(QY$5:QY8)</f>
        <v/>
      </c>
      <c r="RA8" s="12">
        <f>OR(RA7,QZ8&gt;=VATThreshold)</f>
        <v/>
      </c>
      <c r="RB8" s="9">
        <f>IF(RA8,QY8/(1+VATRate),QY8)</f>
        <v/>
      </c>
      <c r="RC8" s="12">
        <f>QY8-RB8</f>
        <v/>
      </c>
      <c r="RD8" s="12">
        <f>IF(RA8=0,0,IF(PZ8=1,SUMPRODUCT(--(($QA$5:$QA8=$QA8-1)*($PZ$5:$PZ8&gt;=10)*($PZ$5:$PZ8&lt;=12)),$RC$5:$RC8),IF(PZ8=4,SUMPRODUCT(--(($QA$5:$QA8=$QA8)*($PZ$5:$PZ8&gt;=1)*($PZ$5:$PZ8&lt;=3)),$RC$5:$RC8),IF(PZ8=7,SUMPRODUCT(--(($QA$5:$QA8=$QA8)*($PZ$5:$PZ8&gt;=4)*($PZ$5:$PZ8&lt;=6)),$RC$5:$RC8),IF(PZ8=10,SUMPRODUCT(--(($QA$5:$QA8=$QA8)*($PZ$5:$PZ8&gt;=7)*($PZ$5:$PZ8&lt;=9)),$RC$5:$RC8),0)))))</f>
        <v/>
      </c>
      <c r="RE8" s="12">
        <f>RE7+RC8-RD8</f>
        <v/>
      </c>
      <c r="RF8" s="12">
        <f>IF(ProviderDelay&gt;=1,RB7*ProviderShare,RB8*ProviderShare)</f>
        <v/>
      </c>
      <c r="RG8" s="12">
        <f>QY8*PaymentFee</f>
        <v/>
      </c>
      <c r="RH8" s="12">
        <f>QS8*OpsAI</f>
        <v/>
      </c>
      <c r="RI8" s="12">
        <f>MonthlyFixed</f>
        <v/>
      </c>
      <c r="RJ8" s="12">
        <f>QG8*ReferralReward</f>
        <v/>
      </c>
      <c r="RK8" s="12">
        <f>QE8</f>
        <v/>
      </c>
      <c r="RL8" s="9">
        <f>RB8-RF8-RG8-RH8-RI8-RJ8-RK8</f>
        <v/>
      </c>
      <c r="RM8" s="9">
        <f>RM7+QY8-(RF8+RG8+RH8+RI8+RJ8+RK8+RD8)</f>
        <v/>
      </c>
      <c r="RN8" s="12">
        <f>IF(QS8&gt;0,QT8/QS8,0)</f>
        <v/>
      </c>
      <c r="RO8" s="11">
        <f>IF(QS7&gt;0,MAX(0,(QS7+QH8-QS8)/QS7),0)</f>
        <v/>
      </c>
      <c r="RQ8" s="12" t="n">
        <v>4</v>
      </c>
      <c r="RR8" s="12">
        <f>MOD(RQ8-1+LaunchMonth-1,12)+1</f>
        <v/>
      </c>
      <c r="RS8" s="12">
        <f>INT((RQ8-1+LaunchMonth-1)/12)+1</f>
        <v/>
      </c>
      <c r="RT8" s="12">
        <f>VLOOKUP(RR8,SeasonTable,2,FALSE)</f>
        <v/>
      </c>
      <c r="RU8" s="12">
        <f>(1+InflationRate)^INT((RQ8-1)/12)</f>
        <v/>
      </c>
      <c r="RV8" s="11">
        <f>'Sens - Churn'!$A$21*VLOOKUP(RR8,ChurnSeasonTable,4,FALSE)</f>
        <v/>
      </c>
      <c r="RW8" s="12">
        <f>MIN(MktFixed4_6,MAX(0,TE7-CashBuffer))</f>
        <v/>
      </c>
      <c r="RX8" s="12">
        <f>IF(RW8&gt;0,MAX(1,ROUND(RW8/CAC*RT8,0)),0)</f>
        <v/>
      </c>
      <c r="RY8" s="12">
        <f>IF(RX8&gt;0,ROUND(RX8*ReferralMix/(1-ReferralMix),0),0)</f>
        <v/>
      </c>
      <c r="RZ8" s="12">
        <f>RX8+RY8</f>
        <v/>
      </c>
      <c r="SA8" s="12">
        <f>ROUND(RZ8*(1-AnnualMix),0)</f>
        <v/>
      </c>
      <c r="SB8" s="12">
        <f>RZ8-SA8</f>
        <v/>
      </c>
      <c r="SC8" s="12">
        <f>ROUND(SA8*EssentialMix,0)</f>
        <v/>
      </c>
      <c r="SD8" s="12">
        <f>SA8-SC8</f>
        <v/>
      </c>
      <c r="SE8" s="12">
        <f>ROUND(SB8*EssentialMix,0)</f>
        <v/>
      </c>
      <c r="SF8" s="12">
        <f>SB8-SE8</f>
        <v/>
      </c>
      <c r="SG8" s="12">
        <f>SC8+SC7+SC6+MAX(0,SG7-SC7-SC6)*(1-RV8)</f>
        <v/>
      </c>
      <c r="SH8" s="12">
        <f>SD8+SD7+SD6+MAX(0,SH7-SD7-SD6)*(1-RV8)</f>
        <v/>
      </c>
      <c r="SI8" s="12">
        <f>SUM(SE$5:SE8)</f>
        <v/>
      </c>
      <c r="SJ8" s="12">
        <f>SUM(SF$5:SF8)</f>
        <v/>
      </c>
      <c r="SK8" s="12">
        <f>SG8+SH8+SI8+SJ8</f>
        <v/>
      </c>
      <c r="SL8" s="9">
        <f>SG8*PriceEssMonthly*RU8+SH8*PricePremMonthly*RU8+SI8*PriceEssAnnual*RU8/12+SJ8*PricePremAnnual*RU8/12</f>
        <v/>
      </c>
      <c r="SM8" s="9">
        <f>SL8*12</f>
        <v/>
      </c>
      <c r="SN8" s="12">
        <f>SG8*PriceEssMonthly*RU8+SH8*PricePremMonthly*RU8</f>
        <v/>
      </c>
      <c r="SO8" s="12">
        <f>SE8*PriceEssAnnual*RU8+SF8*PricePremAnnual*RU8</f>
        <v/>
      </c>
      <c r="SP8" s="12">
        <f>0+0</f>
        <v/>
      </c>
      <c r="SQ8" s="9">
        <f>SN8+SO8+SP8</f>
        <v/>
      </c>
      <c r="SR8" s="12">
        <f>SUM(SQ$5:SQ8)</f>
        <v/>
      </c>
      <c r="SS8" s="12">
        <f>OR(SS7,SR8&gt;=VATThreshold)</f>
        <v/>
      </c>
      <c r="ST8" s="9">
        <f>IF(SS8,SQ8/(1+VATRate),SQ8)</f>
        <v/>
      </c>
      <c r="SU8" s="12">
        <f>SQ8-ST8</f>
        <v/>
      </c>
      <c r="SV8" s="12">
        <f>IF(SS8=0,0,IF(RR8=1,SUMPRODUCT(--(($RS$5:$RS8=$RS8-1)*($RR$5:$RR8&gt;=10)*($RR$5:$RR8&lt;=12)),$SU$5:$SU8),IF(RR8=4,SUMPRODUCT(--(($RS$5:$RS8=$RS8)*($RR$5:$RR8&gt;=1)*($RR$5:$RR8&lt;=3)),$SU$5:$SU8),IF(RR8=7,SUMPRODUCT(--(($RS$5:$RS8=$RS8)*($RR$5:$RR8&gt;=4)*($RR$5:$RR8&lt;=6)),$SU$5:$SU8),IF(RR8=10,SUMPRODUCT(--(($RS$5:$RS8=$RS8)*($RR$5:$RR8&gt;=7)*($RR$5:$RR8&lt;=9)),$SU$5:$SU8),0)))))</f>
        <v/>
      </c>
      <c r="SW8" s="12">
        <f>SW7+SU8-SV8</f>
        <v/>
      </c>
      <c r="SX8" s="12">
        <f>IF(ProviderDelay&gt;=1,ST7*ProviderShare,ST8*ProviderShare)</f>
        <v/>
      </c>
      <c r="SY8" s="12">
        <f>SQ8*PaymentFee</f>
        <v/>
      </c>
      <c r="SZ8" s="12">
        <f>SK8*OpsAI</f>
        <v/>
      </c>
      <c r="TA8" s="12">
        <f>MonthlyFixed</f>
        <v/>
      </c>
      <c r="TB8" s="12">
        <f>RY8*ReferralReward</f>
        <v/>
      </c>
      <c r="TC8" s="12">
        <f>RW8</f>
        <v/>
      </c>
      <c r="TD8" s="9">
        <f>ST8-SX8-SY8-SZ8-TA8-TB8-TC8</f>
        <v/>
      </c>
      <c r="TE8" s="9">
        <f>TE7+SQ8-(SX8+SY8+SZ8+TA8+TB8+TC8+SV8)</f>
        <v/>
      </c>
      <c r="TF8" s="12">
        <f>IF(SK8&gt;0,SL8/SK8,0)</f>
        <v/>
      </c>
      <c r="TG8" s="11">
        <f>IF(SK7&gt;0,MAX(0,(SK7+RZ8-SK8)/SK7),0)</f>
        <v/>
      </c>
      <c r="TI8" s="12" t="n">
        <v>4</v>
      </c>
      <c r="TJ8" s="12">
        <f>MOD(TI8-1+LaunchMonth-1,12)+1</f>
        <v/>
      </c>
      <c r="TK8" s="12">
        <f>INT((TI8-1+LaunchMonth-1)/12)+1</f>
        <v/>
      </c>
      <c r="TL8" s="12">
        <f>VLOOKUP(TJ8,SeasonTable,2,FALSE)</f>
        <v/>
      </c>
      <c r="TM8" s="12">
        <f>(1+InflationRate)^INT((TI8-1)/12)</f>
        <v/>
      </c>
      <c r="TN8" s="11">
        <f>MonthlyChurn*VLOOKUP(TJ8,ChurnSeasonTable,4,FALSE)</f>
        <v/>
      </c>
      <c r="TO8" s="12">
        <f>MIN(MktFixed4_6,MAX(0,UW7-CashBuffer))</f>
        <v/>
      </c>
      <c r="TP8" s="12">
        <f>IF(TO8&gt;0,MAX(1,ROUND(TO8/CAC*TL8,0)),0)</f>
        <v/>
      </c>
      <c r="TQ8" s="12">
        <f>IF(TP8&gt;0,ROUND(TP8*ReferralMix/(1-ReferralMix),0),0)</f>
        <v/>
      </c>
      <c r="TR8" s="12">
        <f>TP8+TQ8</f>
        <v/>
      </c>
      <c r="TS8" s="12">
        <f>ROUND(TR8*(1-'Sens - Annual Mix'!$A$9),0)</f>
        <v/>
      </c>
      <c r="TT8" s="12">
        <f>TR8-TS8</f>
        <v/>
      </c>
      <c r="TU8" s="12">
        <f>ROUND(TS8*EssentialMix,0)</f>
        <v/>
      </c>
      <c r="TV8" s="12">
        <f>TS8-TU8</f>
        <v/>
      </c>
      <c r="TW8" s="12">
        <f>ROUND(TT8*EssentialMix,0)</f>
        <v/>
      </c>
      <c r="TX8" s="12">
        <f>TT8-TW8</f>
        <v/>
      </c>
      <c r="TY8" s="12">
        <f>TU8+TU7+TU6+MAX(0,TY7-TU7-TU6)*(1-TN8)</f>
        <v/>
      </c>
      <c r="TZ8" s="12">
        <f>TV8+TV7+TV6+MAX(0,TZ7-TV7-TV6)*(1-TN8)</f>
        <v/>
      </c>
      <c r="UA8" s="12">
        <f>SUM(TW$5:TW8)</f>
        <v/>
      </c>
      <c r="UB8" s="12">
        <f>SUM(TX$5:TX8)</f>
        <v/>
      </c>
      <c r="UC8" s="12">
        <f>TY8+TZ8+UA8+UB8</f>
        <v/>
      </c>
      <c r="UD8" s="9">
        <f>TY8*PriceEssMonthly*TM8+TZ8*PricePremMonthly*TM8+UA8*PriceEssAnnual*TM8/12+UB8*PricePremAnnual*TM8/12</f>
        <v/>
      </c>
      <c r="UE8" s="9">
        <f>UD8*12</f>
        <v/>
      </c>
      <c r="UF8" s="12">
        <f>TY8*PriceEssMonthly*TM8+TZ8*PricePremMonthly*TM8</f>
        <v/>
      </c>
      <c r="UG8" s="12">
        <f>TW8*PriceEssAnnual*TM8+TX8*PricePremAnnual*TM8</f>
        <v/>
      </c>
      <c r="UH8" s="12">
        <f>0+0</f>
        <v/>
      </c>
      <c r="UI8" s="9">
        <f>UF8+UG8+UH8</f>
        <v/>
      </c>
      <c r="UJ8" s="12">
        <f>SUM(UI$5:UI8)</f>
        <v/>
      </c>
      <c r="UK8" s="12">
        <f>OR(UK7,UJ8&gt;=VATThreshold)</f>
        <v/>
      </c>
      <c r="UL8" s="9">
        <f>IF(UK8,UI8/(1+VATRate),UI8)</f>
        <v/>
      </c>
      <c r="UM8" s="12">
        <f>UI8-UL8</f>
        <v/>
      </c>
      <c r="UN8" s="12">
        <f>IF(UK8=0,0,IF(TJ8=1,SUMPRODUCT(--(($TK$5:$TK8=$TK8-1)*($TJ$5:$TJ8&gt;=10)*($TJ$5:$TJ8&lt;=12)),$UM$5:$UM8),IF(TJ8=4,SUMPRODUCT(--(($TK$5:$TK8=$TK8)*($TJ$5:$TJ8&gt;=1)*($TJ$5:$TJ8&lt;=3)),$UM$5:$UM8),IF(TJ8=7,SUMPRODUCT(--(($TK$5:$TK8=$TK8)*($TJ$5:$TJ8&gt;=4)*($TJ$5:$TJ8&lt;=6)),$UM$5:$UM8),IF(TJ8=10,SUMPRODUCT(--(($TK$5:$TK8=$TK8)*($TJ$5:$TJ8&gt;=7)*($TJ$5:$TJ8&lt;=9)),$UM$5:$UM8),0)))))</f>
        <v/>
      </c>
      <c r="UO8" s="12">
        <f>UO7+UM8-UN8</f>
        <v/>
      </c>
      <c r="UP8" s="12">
        <f>IF(ProviderDelay&gt;=1,UL7*ProviderShare,UL8*ProviderShare)</f>
        <v/>
      </c>
      <c r="UQ8" s="12">
        <f>UI8*PaymentFee</f>
        <v/>
      </c>
      <c r="UR8" s="12">
        <f>UC8*OpsAI</f>
        <v/>
      </c>
      <c r="US8" s="12">
        <f>MonthlyFixed</f>
        <v/>
      </c>
      <c r="UT8" s="12">
        <f>TQ8*ReferralReward</f>
        <v/>
      </c>
      <c r="UU8" s="12">
        <f>TO8</f>
        <v/>
      </c>
      <c r="UV8" s="9">
        <f>UL8-UP8-UQ8-UR8-US8-UT8-UU8</f>
        <v/>
      </c>
      <c r="UW8" s="9">
        <f>UW7+UI8-(UP8+UQ8+UR8+US8+UT8+UU8+UN8)</f>
        <v/>
      </c>
      <c r="UX8" s="12">
        <f>IF(UC8&gt;0,UD8/UC8,0)</f>
        <v/>
      </c>
      <c r="UY8" s="11">
        <f>IF(UC7&gt;0,MAX(0,(UC7+TR8-UC8)/UC7),0)</f>
        <v/>
      </c>
      <c r="VA8" s="12" t="n">
        <v>4</v>
      </c>
      <c r="VB8" s="12">
        <f>MOD(VA8-1+LaunchMonth-1,12)+1</f>
        <v/>
      </c>
      <c r="VC8" s="12">
        <f>INT((VA8-1+LaunchMonth-1)/12)+1</f>
        <v/>
      </c>
      <c r="VD8" s="12">
        <f>VLOOKUP(VB8,SeasonTable,2,FALSE)</f>
        <v/>
      </c>
      <c r="VE8" s="12">
        <f>(1+InflationRate)^INT((VA8-1)/12)</f>
        <v/>
      </c>
      <c r="VF8" s="11">
        <f>MonthlyChurn*VLOOKUP(VB8,ChurnSeasonTable,4,FALSE)</f>
        <v/>
      </c>
      <c r="VG8" s="12">
        <f>MIN(MktFixed4_6,MAX(0,WO7-CashBuffer))</f>
        <v/>
      </c>
      <c r="VH8" s="12">
        <f>IF(VG8&gt;0,MAX(1,ROUND(VG8/CAC*VD8,0)),0)</f>
        <v/>
      </c>
      <c r="VI8" s="12">
        <f>IF(VH8&gt;0,ROUND(VH8*ReferralMix/(1-ReferralMix),0),0)</f>
        <v/>
      </c>
      <c r="VJ8" s="12">
        <f>VH8+VI8</f>
        <v/>
      </c>
      <c r="VK8" s="12">
        <f>ROUND(VJ8*(1-'Sens - Annual Mix'!$A$10),0)</f>
        <v/>
      </c>
      <c r="VL8" s="12">
        <f>VJ8-VK8</f>
        <v/>
      </c>
      <c r="VM8" s="12">
        <f>ROUND(VK8*EssentialMix,0)</f>
        <v/>
      </c>
      <c r="VN8" s="12">
        <f>VK8-VM8</f>
        <v/>
      </c>
      <c r="VO8" s="12">
        <f>ROUND(VL8*EssentialMix,0)</f>
        <v/>
      </c>
      <c r="VP8" s="12">
        <f>VL8-VO8</f>
        <v/>
      </c>
      <c r="VQ8" s="12">
        <f>VM8+VM7+VM6+MAX(0,VQ7-VM7-VM6)*(1-VF8)</f>
        <v/>
      </c>
      <c r="VR8" s="12">
        <f>VN8+VN7+VN6+MAX(0,VR7-VN7-VN6)*(1-VF8)</f>
        <v/>
      </c>
      <c r="VS8" s="12">
        <f>SUM(VO$5:VO8)</f>
        <v/>
      </c>
      <c r="VT8" s="12">
        <f>SUM(VP$5:VP8)</f>
        <v/>
      </c>
      <c r="VU8" s="12">
        <f>VQ8+VR8+VS8+VT8</f>
        <v/>
      </c>
      <c r="VV8" s="9">
        <f>VQ8*PriceEssMonthly*VE8+VR8*PricePremMonthly*VE8+VS8*PriceEssAnnual*VE8/12+VT8*PricePremAnnual*VE8/12</f>
        <v/>
      </c>
      <c r="VW8" s="9">
        <f>VV8*12</f>
        <v/>
      </c>
      <c r="VX8" s="12">
        <f>VQ8*PriceEssMonthly*VE8+VR8*PricePremMonthly*VE8</f>
        <v/>
      </c>
      <c r="VY8" s="12">
        <f>VO8*PriceEssAnnual*VE8+VP8*PricePremAnnual*VE8</f>
        <v/>
      </c>
      <c r="VZ8" s="12">
        <f>0+0</f>
        <v/>
      </c>
      <c r="WA8" s="9">
        <f>VX8+VY8+VZ8</f>
        <v/>
      </c>
      <c r="WB8" s="12">
        <f>SUM(WA$5:WA8)</f>
        <v/>
      </c>
      <c r="WC8" s="12">
        <f>OR(WC7,WB8&gt;=VATThreshold)</f>
        <v/>
      </c>
      <c r="WD8" s="9">
        <f>IF(WC8,WA8/(1+VATRate),WA8)</f>
        <v/>
      </c>
      <c r="WE8" s="12">
        <f>WA8-WD8</f>
        <v/>
      </c>
      <c r="WF8" s="12">
        <f>IF(WC8=0,0,IF(VB8=1,SUMPRODUCT(--(($VC$5:$VC8=$VC8-1)*($VB$5:$VB8&gt;=10)*($VB$5:$VB8&lt;=12)),$WE$5:$WE8),IF(VB8=4,SUMPRODUCT(--(($VC$5:$VC8=$VC8)*($VB$5:$VB8&gt;=1)*($VB$5:$VB8&lt;=3)),$WE$5:$WE8),IF(VB8=7,SUMPRODUCT(--(($VC$5:$VC8=$VC8)*($VB$5:$VB8&gt;=4)*($VB$5:$VB8&lt;=6)),$WE$5:$WE8),IF(VB8=10,SUMPRODUCT(--(($VC$5:$VC8=$VC8)*($VB$5:$VB8&gt;=7)*($VB$5:$VB8&lt;=9)),$WE$5:$WE8),0)))))</f>
        <v/>
      </c>
      <c r="WG8" s="12">
        <f>WG7+WE8-WF8</f>
        <v/>
      </c>
      <c r="WH8" s="12">
        <f>IF(ProviderDelay&gt;=1,WD7*ProviderShare,WD8*ProviderShare)</f>
        <v/>
      </c>
      <c r="WI8" s="12">
        <f>WA8*PaymentFee</f>
        <v/>
      </c>
      <c r="WJ8" s="12">
        <f>VU8*OpsAI</f>
        <v/>
      </c>
      <c r="WK8" s="12">
        <f>MonthlyFixed</f>
        <v/>
      </c>
      <c r="WL8" s="12">
        <f>VI8*ReferralReward</f>
        <v/>
      </c>
      <c r="WM8" s="12">
        <f>VG8</f>
        <v/>
      </c>
      <c r="WN8" s="9">
        <f>WD8-WH8-WI8-WJ8-WK8-WL8-WM8</f>
        <v/>
      </c>
      <c r="WO8" s="9">
        <f>WO7+WA8-(WH8+WI8+WJ8+WK8+WL8+WM8+WF8)</f>
        <v/>
      </c>
      <c r="WP8" s="12">
        <f>IF(VU8&gt;0,VV8/VU8,0)</f>
        <v/>
      </c>
      <c r="WQ8" s="11">
        <f>IF(VU7&gt;0,MAX(0,(VU7+VJ8-VU8)/VU7),0)</f>
        <v/>
      </c>
      <c r="WS8" s="12" t="n">
        <v>4</v>
      </c>
      <c r="WT8" s="12">
        <f>MOD(WS8-1+LaunchMonth-1,12)+1</f>
        <v/>
      </c>
      <c r="WU8" s="12">
        <f>INT((WS8-1+LaunchMonth-1)/12)+1</f>
        <v/>
      </c>
      <c r="WV8" s="12">
        <f>VLOOKUP(WT8,SeasonTable,2,FALSE)</f>
        <v/>
      </c>
      <c r="WW8" s="12">
        <f>(1+InflationRate)^INT((WS8-1)/12)</f>
        <v/>
      </c>
      <c r="WX8" s="11">
        <f>MonthlyChurn*VLOOKUP(WT8,ChurnSeasonTable,4,FALSE)</f>
        <v/>
      </c>
      <c r="WY8" s="12">
        <f>MIN(MktFixed4_6,MAX(0,YG7-CashBuffer))</f>
        <v/>
      </c>
      <c r="WZ8" s="12">
        <f>IF(WY8&gt;0,MAX(1,ROUND(WY8/CAC*WV8,0)),0)</f>
        <v/>
      </c>
      <c r="XA8" s="12">
        <f>IF(WZ8&gt;0,ROUND(WZ8*ReferralMix/(1-ReferralMix),0),0)</f>
        <v/>
      </c>
      <c r="XB8" s="12">
        <f>WZ8+XA8</f>
        <v/>
      </c>
      <c r="XC8" s="12">
        <f>ROUND(XB8*(1-'Sens - Annual Mix'!$A$11),0)</f>
        <v/>
      </c>
      <c r="XD8" s="12">
        <f>XB8-XC8</f>
        <v/>
      </c>
      <c r="XE8" s="12">
        <f>ROUND(XC8*EssentialMix,0)</f>
        <v/>
      </c>
      <c r="XF8" s="12">
        <f>XC8-XE8</f>
        <v/>
      </c>
      <c r="XG8" s="12">
        <f>ROUND(XD8*EssentialMix,0)</f>
        <v/>
      </c>
      <c r="XH8" s="12">
        <f>XD8-XG8</f>
        <v/>
      </c>
      <c r="XI8" s="12">
        <f>XE8+XE7+XE6+MAX(0,XI7-XE7-XE6)*(1-WX8)</f>
        <v/>
      </c>
      <c r="XJ8" s="12">
        <f>XF8+XF7+XF6+MAX(0,XJ7-XF7-XF6)*(1-WX8)</f>
        <v/>
      </c>
      <c r="XK8" s="12">
        <f>SUM(XG$5:XG8)</f>
        <v/>
      </c>
      <c r="XL8" s="12">
        <f>SUM(XH$5:XH8)</f>
        <v/>
      </c>
      <c r="XM8" s="12">
        <f>XI8+XJ8+XK8+XL8</f>
        <v/>
      </c>
      <c r="XN8" s="9">
        <f>XI8*PriceEssMonthly*WW8+XJ8*PricePremMonthly*WW8+XK8*PriceEssAnnual*WW8/12+XL8*PricePremAnnual*WW8/12</f>
        <v/>
      </c>
      <c r="XO8" s="9">
        <f>XN8*12</f>
        <v/>
      </c>
      <c r="XP8" s="12">
        <f>XI8*PriceEssMonthly*WW8+XJ8*PricePremMonthly*WW8</f>
        <v/>
      </c>
      <c r="XQ8" s="12">
        <f>XG8*PriceEssAnnual*WW8+XH8*PricePremAnnual*WW8</f>
        <v/>
      </c>
      <c r="XR8" s="12">
        <f>0+0</f>
        <v/>
      </c>
      <c r="XS8" s="9">
        <f>XP8+XQ8+XR8</f>
        <v/>
      </c>
      <c r="XT8" s="12">
        <f>SUM(XS$5:XS8)</f>
        <v/>
      </c>
      <c r="XU8" s="12">
        <f>OR(XU7,XT8&gt;=VATThreshold)</f>
        <v/>
      </c>
      <c r="XV8" s="9">
        <f>IF(XU8,XS8/(1+VATRate),XS8)</f>
        <v/>
      </c>
      <c r="XW8" s="12">
        <f>XS8-XV8</f>
        <v/>
      </c>
      <c r="XX8" s="12">
        <f>IF(XU8=0,0,IF(WT8=1,SUMPRODUCT(--(($WU$5:$WU8=$WU8-1)*($WT$5:$WT8&gt;=10)*($WT$5:$WT8&lt;=12)),$XW$5:$XW8),IF(WT8=4,SUMPRODUCT(--(($WU$5:$WU8=$WU8)*($WT$5:$WT8&gt;=1)*($WT$5:$WT8&lt;=3)),$XW$5:$XW8),IF(WT8=7,SUMPRODUCT(--(($WU$5:$WU8=$WU8)*($WT$5:$WT8&gt;=4)*($WT$5:$WT8&lt;=6)),$XW$5:$XW8),IF(WT8=10,SUMPRODUCT(--(($WU$5:$WU8=$WU8)*($WT$5:$WT8&gt;=7)*($WT$5:$WT8&lt;=9)),$XW$5:$XW8),0)))))</f>
        <v/>
      </c>
      <c r="XY8" s="12">
        <f>XY7+XW8-XX8</f>
        <v/>
      </c>
      <c r="XZ8" s="12">
        <f>IF(ProviderDelay&gt;=1,XV7*ProviderShare,XV8*ProviderShare)</f>
        <v/>
      </c>
      <c r="YA8" s="12">
        <f>XS8*PaymentFee</f>
        <v/>
      </c>
      <c r="YB8" s="12">
        <f>XM8*OpsAI</f>
        <v/>
      </c>
      <c r="YC8" s="12">
        <f>MonthlyFixed</f>
        <v/>
      </c>
      <c r="YD8" s="12">
        <f>XA8*ReferralReward</f>
        <v/>
      </c>
      <c r="YE8" s="12">
        <f>WY8</f>
        <v/>
      </c>
      <c r="YF8" s="9">
        <f>XV8-XZ8-YA8-YB8-YC8-YD8-YE8</f>
        <v/>
      </c>
      <c r="YG8" s="9">
        <f>YG7+XS8-(XZ8+YA8+YB8+YC8+YD8+YE8+XX8)</f>
        <v/>
      </c>
      <c r="YH8" s="12">
        <f>IF(XM8&gt;0,XN8/XM8,0)</f>
        <v/>
      </c>
      <c r="YI8" s="11">
        <f>IF(XM7&gt;0,MAX(0,(XM7+XB8-XM8)/XM7),0)</f>
        <v/>
      </c>
      <c r="YK8" s="12" t="n">
        <v>4</v>
      </c>
      <c r="YL8" s="12">
        <f>MOD(YK8-1+LaunchMonth-1,12)+1</f>
        <v/>
      </c>
      <c r="YM8" s="12">
        <f>INT((YK8-1+LaunchMonth-1)/12)+1</f>
        <v/>
      </c>
      <c r="YN8" s="12">
        <f>VLOOKUP(YL8,SeasonTable,2,FALSE)</f>
        <v/>
      </c>
      <c r="YO8" s="12">
        <f>(1+InflationRate)^INT((YK8-1)/12)</f>
        <v/>
      </c>
      <c r="YP8" s="11">
        <f>MonthlyChurn*VLOOKUP(YL8,ChurnSeasonTable,4,FALSE)</f>
        <v/>
      </c>
      <c r="YQ8" s="12">
        <f>MIN(MktFixed4_6,MAX(0,ZY7-CashBuffer))</f>
        <v/>
      </c>
      <c r="YR8" s="12">
        <f>IF(YQ8&gt;0,MAX(1,ROUND(YQ8/CAC*YN8,0)),0)</f>
        <v/>
      </c>
      <c r="YS8" s="12">
        <f>IF(YR8&gt;0,ROUND(YR8*ReferralMix/(1-ReferralMix),0),0)</f>
        <v/>
      </c>
      <c r="YT8" s="12">
        <f>YR8+YS8</f>
        <v/>
      </c>
      <c r="YU8" s="12">
        <f>ROUND(YT8*(1-'Sens - Annual Mix'!$A$12),0)</f>
        <v/>
      </c>
      <c r="YV8" s="12">
        <f>YT8-YU8</f>
        <v/>
      </c>
      <c r="YW8" s="12">
        <f>ROUND(YU8*EssentialMix,0)</f>
        <v/>
      </c>
      <c r="YX8" s="12">
        <f>YU8-YW8</f>
        <v/>
      </c>
      <c r="YY8" s="12">
        <f>ROUND(YV8*EssentialMix,0)</f>
        <v/>
      </c>
      <c r="YZ8" s="12">
        <f>YV8-YY8</f>
        <v/>
      </c>
      <c r="ZA8" s="12">
        <f>YW8+YW7+YW6+MAX(0,ZA7-YW7-YW6)*(1-YP8)</f>
        <v/>
      </c>
      <c r="ZB8" s="12">
        <f>YX8+YX7+YX6+MAX(0,ZB7-YX7-YX6)*(1-YP8)</f>
        <v/>
      </c>
      <c r="ZC8" s="12">
        <f>SUM(YY$5:YY8)</f>
        <v/>
      </c>
      <c r="ZD8" s="12">
        <f>SUM(YZ$5:YZ8)</f>
        <v/>
      </c>
      <c r="ZE8" s="12">
        <f>ZA8+ZB8+ZC8+ZD8</f>
        <v/>
      </c>
      <c r="ZF8" s="9">
        <f>ZA8*PriceEssMonthly*YO8+ZB8*PricePremMonthly*YO8+ZC8*PriceEssAnnual*YO8/12+ZD8*PricePremAnnual*YO8/12</f>
        <v/>
      </c>
      <c r="ZG8" s="9">
        <f>ZF8*12</f>
        <v/>
      </c>
      <c r="ZH8" s="12">
        <f>ZA8*PriceEssMonthly*YO8+ZB8*PricePremMonthly*YO8</f>
        <v/>
      </c>
      <c r="ZI8" s="12">
        <f>YY8*PriceEssAnnual*YO8+YZ8*PricePremAnnual*YO8</f>
        <v/>
      </c>
      <c r="ZJ8" s="12">
        <f>0+0</f>
        <v/>
      </c>
      <c r="ZK8" s="9">
        <f>ZH8+ZI8+ZJ8</f>
        <v/>
      </c>
      <c r="ZL8" s="12">
        <f>SUM(ZK$5:ZK8)</f>
        <v/>
      </c>
      <c r="ZM8" s="12">
        <f>OR(ZM7,ZL8&gt;=VATThreshold)</f>
        <v/>
      </c>
      <c r="ZN8" s="9">
        <f>IF(ZM8,ZK8/(1+VATRate),ZK8)</f>
        <v/>
      </c>
      <c r="ZO8" s="12">
        <f>ZK8-ZN8</f>
        <v/>
      </c>
      <c r="ZP8" s="12">
        <f>IF(ZM8=0,0,IF(YL8=1,SUMPRODUCT(--(($YM$5:$YM8=$YM8-1)*($YL$5:$YL8&gt;=10)*($YL$5:$YL8&lt;=12)),$ZO$5:$ZO8),IF(YL8=4,SUMPRODUCT(--(($YM$5:$YM8=$YM8)*($YL$5:$YL8&gt;=1)*($YL$5:$YL8&lt;=3)),$ZO$5:$ZO8),IF(YL8=7,SUMPRODUCT(--(($YM$5:$YM8=$YM8)*($YL$5:$YL8&gt;=4)*($YL$5:$YL8&lt;=6)),$ZO$5:$ZO8),IF(YL8=10,SUMPRODUCT(--(($YM$5:$YM8=$YM8)*($YL$5:$YL8&gt;=7)*($YL$5:$YL8&lt;=9)),$ZO$5:$ZO8),0)))))</f>
        <v/>
      </c>
      <c r="ZQ8" s="12">
        <f>ZQ7+ZO8-ZP8</f>
        <v/>
      </c>
      <c r="ZR8" s="12">
        <f>IF(ProviderDelay&gt;=1,ZN7*ProviderShare,ZN8*ProviderShare)</f>
        <v/>
      </c>
      <c r="ZS8" s="12">
        <f>ZK8*PaymentFee</f>
        <v/>
      </c>
      <c r="ZT8" s="12">
        <f>ZE8*OpsAI</f>
        <v/>
      </c>
      <c r="ZU8" s="12">
        <f>MonthlyFixed</f>
        <v/>
      </c>
      <c r="ZV8" s="12">
        <f>YS8*ReferralReward</f>
        <v/>
      </c>
      <c r="ZW8" s="12">
        <f>YQ8</f>
        <v/>
      </c>
      <c r="ZX8" s="9">
        <f>ZN8-ZR8-ZS8-ZT8-ZU8-ZV8-ZW8</f>
        <v/>
      </c>
      <c r="ZY8" s="9">
        <f>ZY7+ZK8-(ZR8+ZS8+ZT8+ZU8+ZV8+ZW8+ZP8)</f>
        <v/>
      </c>
      <c r="ZZ8" s="12">
        <f>IF(ZE8&gt;0,ZF8/ZE8,0)</f>
        <v/>
      </c>
      <c r="AAA8" s="11">
        <f>IF(ZE7&gt;0,MAX(0,(ZE7+YT8-ZE8)/ZE7),0)</f>
        <v/>
      </c>
      <c r="AAC8" s="12" t="n">
        <v>4</v>
      </c>
      <c r="AAD8" s="12">
        <f>MOD(AAC8-1+LaunchMonth-1,12)+1</f>
        <v/>
      </c>
      <c r="AAE8" s="12">
        <f>INT((AAC8-1+LaunchMonth-1)/12)+1</f>
        <v/>
      </c>
      <c r="AAF8" s="12">
        <f>VLOOKUP(AAD8,SeasonTable,2,FALSE)</f>
        <v/>
      </c>
      <c r="AAG8" s="12">
        <f>(1+InflationRate)^INT((AAC8-1)/12)</f>
        <v/>
      </c>
      <c r="AAH8" s="11">
        <f>MonthlyChurn*VLOOKUP(AAD8,ChurnSeasonTable,4,FALSE)</f>
        <v/>
      </c>
      <c r="AAI8" s="12">
        <f>MIN(MktFixed4_6,MAX(0,ABQ7-CashBuffer))</f>
        <v/>
      </c>
      <c r="AAJ8" s="12">
        <f>IF(AAI8&gt;0,MAX(1,ROUND(AAI8/CAC*AAF8,0)),0)</f>
        <v/>
      </c>
      <c r="AAK8" s="12">
        <f>IF(AAJ8&gt;0,ROUND(AAJ8*ReferralMix/(1-ReferralMix),0),0)</f>
        <v/>
      </c>
      <c r="AAL8" s="12">
        <f>AAJ8+AAK8</f>
        <v/>
      </c>
      <c r="AAM8" s="12">
        <f>ROUND(AAL8*(1-'Sens - Annual Mix'!$A$13),0)</f>
        <v/>
      </c>
      <c r="AAN8" s="12">
        <f>AAL8-AAM8</f>
        <v/>
      </c>
      <c r="AAO8" s="12">
        <f>ROUND(AAM8*EssentialMix,0)</f>
        <v/>
      </c>
      <c r="AAP8" s="12">
        <f>AAM8-AAO8</f>
        <v/>
      </c>
      <c r="AAQ8" s="12">
        <f>ROUND(AAN8*EssentialMix,0)</f>
        <v/>
      </c>
      <c r="AAR8" s="12">
        <f>AAN8-AAQ8</f>
        <v/>
      </c>
      <c r="AAS8" s="12">
        <f>AAO8+AAO7+AAO6+MAX(0,AAS7-AAO7-AAO6)*(1-AAH8)</f>
        <v/>
      </c>
      <c r="AAT8" s="12">
        <f>AAP8+AAP7+AAP6+MAX(0,AAT7-AAP7-AAP6)*(1-AAH8)</f>
        <v/>
      </c>
      <c r="AAU8" s="12">
        <f>SUM(AAQ$5:AAQ8)</f>
        <v/>
      </c>
      <c r="AAV8" s="12">
        <f>SUM(AAR$5:AAR8)</f>
        <v/>
      </c>
      <c r="AAW8" s="12">
        <f>AAS8+AAT8+AAU8+AAV8</f>
        <v/>
      </c>
      <c r="AAX8" s="9">
        <f>AAS8*PriceEssMonthly*AAG8+AAT8*PricePremMonthly*AAG8+AAU8*PriceEssAnnual*AAG8/12+AAV8*PricePremAnnual*AAG8/12</f>
        <v/>
      </c>
      <c r="AAY8" s="9">
        <f>AAX8*12</f>
        <v/>
      </c>
      <c r="AAZ8" s="12">
        <f>AAS8*PriceEssMonthly*AAG8+AAT8*PricePremMonthly*AAG8</f>
        <v/>
      </c>
      <c r="ABA8" s="12">
        <f>AAQ8*PriceEssAnnual*AAG8+AAR8*PricePremAnnual*AAG8</f>
        <v/>
      </c>
      <c r="ABB8" s="12">
        <f>0+0</f>
        <v/>
      </c>
      <c r="ABC8" s="9">
        <f>AAZ8+ABA8+ABB8</f>
        <v/>
      </c>
      <c r="ABD8" s="12">
        <f>SUM(ABC$5:ABC8)</f>
        <v/>
      </c>
      <c r="ABE8" s="12">
        <f>OR(ABE7,ABD8&gt;=VATThreshold)</f>
        <v/>
      </c>
      <c r="ABF8" s="9">
        <f>IF(ABE8,ABC8/(1+VATRate),ABC8)</f>
        <v/>
      </c>
      <c r="ABG8" s="12">
        <f>ABC8-ABF8</f>
        <v/>
      </c>
      <c r="ABH8" s="12">
        <f>IF(ABE8=0,0,IF(AAD8=1,SUMPRODUCT(--(($AAE$5:$AAE8=$AAE8-1)*($AAD$5:$AAD8&gt;=10)*($AAD$5:$AAD8&lt;=12)),$ABG$5:$ABG8),IF(AAD8=4,SUMPRODUCT(--(($AAE$5:$AAE8=$AAE8)*($AAD$5:$AAD8&gt;=1)*($AAD$5:$AAD8&lt;=3)),$ABG$5:$ABG8),IF(AAD8=7,SUMPRODUCT(--(($AAE$5:$AAE8=$AAE8)*($AAD$5:$AAD8&gt;=4)*($AAD$5:$AAD8&lt;=6)),$ABG$5:$ABG8),IF(AAD8=10,SUMPRODUCT(--(($AAE$5:$AAE8=$AAE8)*($AAD$5:$AAD8&gt;=7)*($AAD$5:$AAD8&lt;=9)),$ABG$5:$ABG8),0)))))</f>
        <v/>
      </c>
      <c r="ABI8" s="12">
        <f>ABI7+ABG8-ABH8</f>
        <v/>
      </c>
      <c r="ABJ8" s="12">
        <f>IF(ProviderDelay&gt;=1,ABF7*ProviderShare,ABF8*ProviderShare)</f>
        <v/>
      </c>
      <c r="ABK8" s="12">
        <f>ABC8*PaymentFee</f>
        <v/>
      </c>
      <c r="ABL8" s="12">
        <f>AAW8*OpsAI</f>
        <v/>
      </c>
      <c r="ABM8" s="12">
        <f>MonthlyFixed</f>
        <v/>
      </c>
      <c r="ABN8" s="12">
        <f>AAK8*ReferralReward</f>
        <v/>
      </c>
      <c r="ABO8" s="12">
        <f>AAI8</f>
        <v/>
      </c>
      <c r="ABP8" s="9">
        <f>ABF8-ABJ8-ABK8-ABL8-ABM8-ABN8-ABO8</f>
        <v/>
      </c>
      <c r="ABQ8" s="9">
        <f>ABQ7+ABC8-(ABJ8+ABK8+ABL8+ABM8+ABN8+ABO8+ABH8)</f>
        <v/>
      </c>
      <c r="ABR8" s="12">
        <f>IF(AAW8&gt;0,AAX8/AAW8,0)</f>
        <v/>
      </c>
      <c r="ABS8" s="11">
        <f>IF(AAW7&gt;0,MAX(0,(AAW7+AAL8-AAW8)/AAW7),0)</f>
        <v/>
      </c>
      <c r="ABU8" s="12" t="n">
        <v>4</v>
      </c>
      <c r="ABV8" s="12">
        <f>MOD(ABU8-1+LaunchMonth-1,12)+1</f>
        <v/>
      </c>
      <c r="ABW8" s="12">
        <f>INT((ABU8-1+LaunchMonth-1)/12)+1</f>
        <v/>
      </c>
      <c r="ABX8" s="12">
        <f>VLOOKUP(ABV8,SeasonTable,2,FALSE)</f>
        <v/>
      </c>
      <c r="ABY8" s="12">
        <f>(1+InflationRate)^INT((ABU8-1)/12)</f>
        <v/>
      </c>
      <c r="ABZ8" s="11">
        <f>MonthlyChurn*VLOOKUP(ABV8,ChurnSeasonTable,4,FALSE)</f>
        <v/>
      </c>
      <c r="ACA8" s="12">
        <f>MIN(MktFixed4_6,MAX(0,ADI7-CashBuffer))</f>
        <v/>
      </c>
      <c r="ACB8" s="12">
        <f>IF(ACA8&gt;0,MAX(1,ROUND(ACA8/CAC*ABX8,0)),0)</f>
        <v/>
      </c>
      <c r="ACC8" s="12">
        <f>IF(ACB8&gt;0,ROUND(ACB8*ReferralMix/(1-ReferralMix),0),0)</f>
        <v/>
      </c>
      <c r="ACD8" s="12">
        <f>ACB8+ACC8</f>
        <v/>
      </c>
      <c r="ACE8" s="12">
        <f>ROUND(ACD8*(1-'Sens - Annual Mix'!$A$14),0)</f>
        <v/>
      </c>
      <c r="ACF8" s="12">
        <f>ACD8-ACE8</f>
        <v/>
      </c>
      <c r="ACG8" s="12">
        <f>ROUND(ACE8*EssentialMix,0)</f>
        <v/>
      </c>
      <c r="ACH8" s="12">
        <f>ACE8-ACG8</f>
        <v/>
      </c>
      <c r="ACI8" s="12">
        <f>ROUND(ACF8*EssentialMix,0)</f>
        <v/>
      </c>
      <c r="ACJ8" s="12">
        <f>ACF8-ACI8</f>
        <v/>
      </c>
      <c r="ACK8" s="12">
        <f>ACG8+ACG7+ACG6+MAX(0,ACK7-ACG7-ACG6)*(1-ABZ8)</f>
        <v/>
      </c>
      <c r="ACL8" s="12">
        <f>ACH8+ACH7+ACH6+MAX(0,ACL7-ACH7-ACH6)*(1-ABZ8)</f>
        <v/>
      </c>
      <c r="ACM8" s="12">
        <f>SUM(ACI$5:ACI8)</f>
        <v/>
      </c>
      <c r="ACN8" s="12">
        <f>SUM(ACJ$5:ACJ8)</f>
        <v/>
      </c>
      <c r="ACO8" s="12">
        <f>ACK8+ACL8+ACM8+ACN8</f>
        <v/>
      </c>
      <c r="ACP8" s="9">
        <f>ACK8*PriceEssMonthly*ABY8+ACL8*PricePremMonthly*ABY8+ACM8*PriceEssAnnual*ABY8/12+ACN8*PricePremAnnual*ABY8/12</f>
        <v/>
      </c>
      <c r="ACQ8" s="9">
        <f>ACP8*12</f>
        <v/>
      </c>
      <c r="ACR8" s="12">
        <f>ACK8*PriceEssMonthly*ABY8+ACL8*PricePremMonthly*ABY8</f>
        <v/>
      </c>
      <c r="ACS8" s="12">
        <f>ACI8*PriceEssAnnual*ABY8+ACJ8*PricePremAnnual*ABY8</f>
        <v/>
      </c>
      <c r="ACT8" s="12">
        <f>0+0</f>
        <v/>
      </c>
      <c r="ACU8" s="9">
        <f>ACR8+ACS8+ACT8</f>
        <v/>
      </c>
      <c r="ACV8" s="12">
        <f>SUM(ACU$5:ACU8)</f>
        <v/>
      </c>
      <c r="ACW8" s="12">
        <f>OR(ACW7,ACV8&gt;=VATThreshold)</f>
        <v/>
      </c>
      <c r="ACX8" s="9">
        <f>IF(ACW8,ACU8/(1+VATRate),ACU8)</f>
        <v/>
      </c>
      <c r="ACY8" s="12">
        <f>ACU8-ACX8</f>
        <v/>
      </c>
      <c r="ACZ8" s="12">
        <f>IF(ACW8=0,0,IF(ABV8=1,SUMPRODUCT(--(($ABW$5:$ABW8=$ABW8-1)*($ABV$5:$ABV8&gt;=10)*($ABV$5:$ABV8&lt;=12)),$ACY$5:$ACY8),IF(ABV8=4,SUMPRODUCT(--(($ABW$5:$ABW8=$ABW8)*($ABV$5:$ABV8&gt;=1)*($ABV$5:$ABV8&lt;=3)),$ACY$5:$ACY8),IF(ABV8=7,SUMPRODUCT(--(($ABW$5:$ABW8=$ABW8)*($ABV$5:$ABV8&gt;=4)*($ABV$5:$ABV8&lt;=6)),$ACY$5:$ACY8),IF(ABV8=10,SUMPRODUCT(--(($ABW$5:$ABW8=$ABW8)*($ABV$5:$ABV8&gt;=7)*($ABV$5:$ABV8&lt;=9)),$ACY$5:$ACY8),0)))))</f>
        <v/>
      </c>
      <c r="ADA8" s="12">
        <f>ADA7+ACY8-ACZ8</f>
        <v/>
      </c>
      <c r="ADB8" s="12">
        <f>IF(ProviderDelay&gt;=1,ACX7*ProviderShare,ACX8*ProviderShare)</f>
        <v/>
      </c>
      <c r="ADC8" s="12">
        <f>ACU8*PaymentFee</f>
        <v/>
      </c>
      <c r="ADD8" s="12">
        <f>ACO8*OpsAI</f>
        <v/>
      </c>
      <c r="ADE8" s="12">
        <f>MonthlyFixed</f>
        <v/>
      </c>
      <c r="ADF8" s="12">
        <f>ACC8*ReferralReward</f>
        <v/>
      </c>
      <c r="ADG8" s="12">
        <f>ACA8</f>
        <v/>
      </c>
      <c r="ADH8" s="9">
        <f>ACX8-ADB8-ADC8-ADD8-ADE8-ADF8-ADG8</f>
        <v/>
      </c>
      <c r="ADI8" s="9">
        <f>ADI7+ACU8-(ADB8+ADC8+ADD8+ADE8+ADF8+ADG8+ACZ8)</f>
        <v/>
      </c>
      <c r="ADJ8" s="12">
        <f>IF(ACO8&gt;0,ACP8/ACO8,0)</f>
        <v/>
      </c>
      <c r="ADK8" s="11">
        <f>IF(ACO7&gt;0,MAX(0,(ACO7+ACD8-ACO8)/ACO7),0)</f>
        <v/>
      </c>
      <c r="ADM8" s="12" t="n">
        <v>4</v>
      </c>
      <c r="ADN8" s="12">
        <f>MOD(ADM8-1+LaunchMonth-1,12)+1</f>
        <v/>
      </c>
      <c r="ADO8" s="12">
        <f>INT((ADM8-1+LaunchMonth-1)/12)+1</f>
        <v/>
      </c>
      <c r="ADP8" s="12">
        <f>VLOOKUP(ADN8,SeasonTable,2,FALSE)</f>
        <v/>
      </c>
      <c r="ADQ8" s="12">
        <f>(1+InflationRate)^INT((ADM8-1)/12)</f>
        <v/>
      </c>
      <c r="ADR8" s="11">
        <f>MonthlyChurn*VLOOKUP(ADN8,ChurnSeasonTable,4,FALSE)</f>
        <v/>
      </c>
      <c r="ADS8" s="12">
        <f>MIN(MktFixed4_6,MAX(0,AFA7-CashBuffer))</f>
        <v/>
      </c>
      <c r="ADT8" s="12">
        <f>IF(ADS8&gt;0,MAX(1,ROUND(ADS8/CAC*ADP8,0)),0)</f>
        <v/>
      </c>
      <c r="ADU8" s="12">
        <f>IF(ADT8&gt;0,ROUND(ADT8*ReferralMix/(1-ReferralMix),0),0)</f>
        <v/>
      </c>
      <c r="ADV8" s="12">
        <f>ADT8+ADU8</f>
        <v/>
      </c>
      <c r="ADW8" s="12">
        <f>ROUND(ADV8*(1-'Sens - Annual Mix'!$A$15),0)</f>
        <v/>
      </c>
      <c r="ADX8" s="12">
        <f>ADV8-ADW8</f>
        <v/>
      </c>
      <c r="ADY8" s="12">
        <f>ROUND(ADW8*EssentialMix,0)</f>
        <v/>
      </c>
      <c r="ADZ8" s="12">
        <f>ADW8-ADY8</f>
        <v/>
      </c>
      <c r="AEA8" s="12">
        <f>ROUND(ADX8*EssentialMix,0)</f>
        <v/>
      </c>
      <c r="AEB8" s="12">
        <f>ADX8-AEA8</f>
        <v/>
      </c>
      <c r="AEC8" s="12">
        <f>ADY8+ADY7+ADY6+MAX(0,AEC7-ADY7-ADY6)*(1-ADR8)</f>
        <v/>
      </c>
      <c r="AED8" s="12">
        <f>ADZ8+ADZ7+ADZ6+MAX(0,AED7-ADZ7-ADZ6)*(1-ADR8)</f>
        <v/>
      </c>
      <c r="AEE8" s="12">
        <f>SUM(AEA$5:AEA8)</f>
        <v/>
      </c>
      <c r="AEF8" s="12">
        <f>SUM(AEB$5:AEB8)</f>
        <v/>
      </c>
      <c r="AEG8" s="12">
        <f>AEC8+AED8+AEE8+AEF8</f>
        <v/>
      </c>
      <c r="AEH8" s="9">
        <f>AEC8*PriceEssMonthly*ADQ8+AED8*PricePremMonthly*ADQ8+AEE8*PriceEssAnnual*ADQ8/12+AEF8*PricePremAnnual*ADQ8/12</f>
        <v/>
      </c>
      <c r="AEI8" s="9">
        <f>AEH8*12</f>
        <v/>
      </c>
      <c r="AEJ8" s="12">
        <f>AEC8*PriceEssMonthly*ADQ8+AED8*PricePremMonthly*ADQ8</f>
        <v/>
      </c>
      <c r="AEK8" s="12">
        <f>AEA8*PriceEssAnnual*ADQ8+AEB8*PricePremAnnual*ADQ8</f>
        <v/>
      </c>
      <c r="AEL8" s="12">
        <f>0+0</f>
        <v/>
      </c>
      <c r="AEM8" s="9">
        <f>AEJ8+AEK8+AEL8</f>
        <v/>
      </c>
      <c r="AEN8" s="12">
        <f>SUM(AEM$5:AEM8)</f>
        <v/>
      </c>
      <c r="AEO8" s="12">
        <f>OR(AEO7,AEN8&gt;=VATThreshold)</f>
        <v/>
      </c>
      <c r="AEP8" s="9">
        <f>IF(AEO8,AEM8/(1+VATRate),AEM8)</f>
        <v/>
      </c>
      <c r="AEQ8" s="12">
        <f>AEM8-AEP8</f>
        <v/>
      </c>
      <c r="AER8" s="12">
        <f>IF(AEO8=0,0,IF(ADN8=1,SUMPRODUCT(--(($ADO$5:$ADO8=$ADO8-1)*($ADN$5:$ADN8&gt;=10)*($ADN$5:$ADN8&lt;=12)),$AEQ$5:$AEQ8),IF(ADN8=4,SUMPRODUCT(--(($ADO$5:$ADO8=$ADO8)*($ADN$5:$ADN8&gt;=1)*($ADN$5:$ADN8&lt;=3)),$AEQ$5:$AEQ8),IF(ADN8=7,SUMPRODUCT(--(($ADO$5:$ADO8=$ADO8)*($ADN$5:$ADN8&gt;=4)*($ADN$5:$ADN8&lt;=6)),$AEQ$5:$AEQ8),IF(ADN8=10,SUMPRODUCT(--(($ADO$5:$ADO8=$ADO8)*($ADN$5:$ADN8&gt;=7)*($ADN$5:$ADN8&lt;=9)),$AEQ$5:$AEQ8),0)))))</f>
        <v/>
      </c>
      <c r="AES8" s="12">
        <f>AES7+AEQ8-AER8</f>
        <v/>
      </c>
      <c r="AET8" s="12">
        <f>IF(ProviderDelay&gt;=1,AEP7*ProviderShare,AEP8*ProviderShare)</f>
        <v/>
      </c>
      <c r="AEU8" s="12">
        <f>AEM8*PaymentFee</f>
        <v/>
      </c>
      <c r="AEV8" s="12">
        <f>AEG8*OpsAI</f>
        <v/>
      </c>
      <c r="AEW8" s="12">
        <f>MonthlyFixed</f>
        <v/>
      </c>
      <c r="AEX8" s="12">
        <f>ADU8*ReferralReward</f>
        <v/>
      </c>
      <c r="AEY8" s="12">
        <f>ADS8</f>
        <v/>
      </c>
      <c r="AEZ8" s="9">
        <f>AEP8-AET8-AEU8-AEV8-AEW8-AEX8-AEY8</f>
        <v/>
      </c>
      <c r="AFA8" s="9">
        <f>AFA7+AEM8-(AET8+AEU8+AEV8+AEW8+AEX8+AEY8+AER8)</f>
        <v/>
      </c>
      <c r="AFB8" s="12">
        <f>IF(AEG8&gt;0,AEH8/AEG8,0)</f>
        <v/>
      </c>
      <c r="AFC8" s="11">
        <f>IF(AEG7&gt;0,MAX(0,(AEG7+ADV8-AEG8)/AEG7),0)</f>
        <v/>
      </c>
      <c r="AFE8" s="12" t="n">
        <v>4</v>
      </c>
      <c r="AFF8" s="12">
        <f>MOD(AFE8-1+LaunchMonth-1,12)+1</f>
        <v/>
      </c>
      <c r="AFG8" s="12">
        <f>INT((AFE8-1+LaunchMonth-1)/12)+1</f>
        <v/>
      </c>
      <c r="AFH8" s="12">
        <f>VLOOKUP(AFF8,SeasonTable,2,FALSE)</f>
        <v/>
      </c>
      <c r="AFI8" s="12">
        <f>(1+InflationRate)^INT((AFE8-1)/12)</f>
        <v/>
      </c>
      <c r="AFJ8" s="11">
        <f>MonthlyChurn*VLOOKUP(AFF8,ChurnSeasonTable,4,FALSE)</f>
        <v/>
      </c>
      <c r="AFK8" s="12">
        <f>MIN(MktFixed4_6,MAX(0,AGS7-CashBuffer))</f>
        <v/>
      </c>
      <c r="AFL8" s="12">
        <f>IF(AFK8&gt;0,MAX(1,ROUND(AFK8/'Sens - CAC &amp; Marketing'!$A$9*AFH8,0)),0)</f>
        <v/>
      </c>
      <c r="AFM8" s="12">
        <f>IF(AFL8&gt;0,ROUND(AFL8*ReferralMix/(1-ReferralMix),0),0)</f>
        <v/>
      </c>
      <c r="AFN8" s="12">
        <f>AFL8+AFM8</f>
        <v/>
      </c>
      <c r="AFO8" s="12">
        <f>ROUND(AFN8*(1-AnnualMix),0)</f>
        <v/>
      </c>
      <c r="AFP8" s="12">
        <f>AFN8-AFO8</f>
        <v/>
      </c>
      <c r="AFQ8" s="12">
        <f>ROUND(AFO8*EssentialMix,0)</f>
        <v/>
      </c>
      <c r="AFR8" s="12">
        <f>AFO8-AFQ8</f>
        <v/>
      </c>
      <c r="AFS8" s="12">
        <f>ROUND(AFP8*EssentialMix,0)</f>
        <v/>
      </c>
      <c r="AFT8" s="12">
        <f>AFP8-AFS8</f>
        <v/>
      </c>
      <c r="AFU8" s="12">
        <f>AFQ8+AFQ7+AFQ6+MAX(0,AFU7-AFQ7-AFQ6)*(1-AFJ8)</f>
        <v/>
      </c>
      <c r="AFV8" s="12">
        <f>AFR8+AFR7+AFR6+MAX(0,AFV7-AFR7-AFR6)*(1-AFJ8)</f>
        <v/>
      </c>
      <c r="AFW8" s="12">
        <f>SUM(AFS$5:AFS8)</f>
        <v/>
      </c>
      <c r="AFX8" s="12">
        <f>SUM(AFT$5:AFT8)</f>
        <v/>
      </c>
      <c r="AFY8" s="12">
        <f>AFU8+AFV8+AFW8+AFX8</f>
        <v/>
      </c>
      <c r="AFZ8" s="9">
        <f>AFU8*PriceEssMonthly*AFI8+AFV8*PricePremMonthly*AFI8+AFW8*PriceEssAnnual*AFI8/12+AFX8*PricePremAnnual*AFI8/12</f>
        <v/>
      </c>
      <c r="AGA8" s="9">
        <f>AFZ8*12</f>
        <v/>
      </c>
      <c r="AGB8" s="12">
        <f>AFU8*PriceEssMonthly*AFI8+AFV8*PricePremMonthly*AFI8</f>
        <v/>
      </c>
      <c r="AGC8" s="12">
        <f>AFS8*PriceEssAnnual*AFI8+AFT8*PricePremAnnual*AFI8</f>
        <v/>
      </c>
      <c r="AGD8" s="12">
        <f>0+0</f>
        <v/>
      </c>
      <c r="AGE8" s="9">
        <f>AGB8+AGC8+AGD8</f>
        <v/>
      </c>
      <c r="AGF8" s="12">
        <f>SUM(AGE$5:AGE8)</f>
        <v/>
      </c>
      <c r="AGG8" s="12">
        <f>OR(AGG7,AGF8&gt;=VATThreshold)</f>
        <v/>
      </c>
      <c r="AGH8" s="9">
        <f>IF(AGG8,AGE8/(1+VATRate),AGE8)</f>
        <v/>
      </c>
      <c r="AGI8" s="12">
        <f>AGE8-AGH8</f>
        <v/>
      </c>
      <c r="AGJ8" s="12">
        <f>IF(AGG8=0,0,IF(AFF8=1,SUMPRODUCT(--(($AFG$5:$AFG8=$AFG8-1)*($AFF$5:$AFF8&gt;=10)*($AFF$5:$AFF8&lt;=12)),$AGI$5:$AGI8),IF(AFF8=4,SUMPRODUCT(--(($AFG$5:$AFG8=$AFG8)*($AFF$5:$AFF8&gt;=1)*($AFF$5:$AFF8&lt;=3)),$AGI$5:$AGI8),IF(AFF8=7,SUMPRODUCT(--(($AFG$5:$AFG8=$AFG8)*($AFF$5:$AFF8&gt;=4)*($AFF$5:$AFF8&lt;=6)),$AGI$5:$AGI8),IF(AFF8=10,SUMPRODUCT(--(($AFG$5:$AFG8=$AFG8)*($AFF$5:$AFF8&gt;=7)*($AFF$5:$AFF8&lt;=9)),$AGI$5:$AGI8),0)))))</f>
        <v/>
      </c>
      <c r="AGK8" s="12">
        <f>AGK7+AGI8-AGJ8</f>
        <v/>
      </c>
      <c r="AGL8" s="12">
        <f>IF(ProviderDelay&gt;=1,AGH7*ProviderShare,AGH8*ProviderShare)</f>
        <v/>
      </c>
      <c r="AGM8" s="12">
        <f>AGE8*PaymentFee</f>
        <v/>
      </c>
      <c r="AGN8" s="12">
        <f>AFY8*OpsAI</f>
        <v/>
      </c>
      <c r="AGO8" s="12">
        <f>MonthlyFixed</f>
        <v/>
      </c>
      <c r="AGP8" s="12">
        <f>AFM8*ReferralReward</f>
        <v/>
      </c>
      <c r="AGQ8" s="12">
        <f>AFK8</f>
        <v/>
      </c>
      <c r="AGR8" s="9">
        <f>AGH8-AGL8-AGM8-AGN8-AGO8-AGP8-AGQ8</f>
        <v/>
      </c>
      <c r="AGS8" s="9">
        <f>AGS7+AGE8-(AGL8+AGM8+AGN8+AGO8+AGP8+AGQ8+AGJ8)</f>
        <v/>
      </c>
      <c r="AGT8" s="12">
        <f>IF(AFY8&gt;0,AFZ8/AFY8,0)</f>
        <v/>
      </c>
      <c r="AGU8" s="11">
        <f>IF(AFY7&gt;0,MAX(0,(AFY7+AFN8-AFY8)/AFY7),0)</f>
        <v/>
      </c>
      <c r="AGW8" s="12" t="n">
        <v>4</v>
      </c>
      <c r="AGX8" s="12">
        <f>MOD(AGW8-1+LaunchMonth-1,12)+1</f>
        <v/>
      </c>
      <c r="AGY8" s="12">
        <f>INT((AGW8-1+LaunchMonth-1)/12)+1</f>
        <v/>
      </c>
      <c r="AGZ8" s="12">
        <f>VLOOKUP(AGX8,SeasonTable,2,FALSE)</f>
        <v/>
      </c>
      <c r="AHA8" s="12">
        <f>(1+InflationRate)^INT((AGW8-1)/12)</f>
        <v/>
      </c>
      <c r="AHB8" s="11">
        <f>MonthlyChurn*VLOOKUP(AGX8,ChurnSeasonTable,4,FALSE)</f>
        <v/>
      </c>
      <c r="AHC8" s="12">
        <f>MIN(MktFixed4_6,MAX(0,AIK7-CashBuffer))</f>
        <v/>
      </c>
      <c r="AHD8" s="12">
        <f>IF(AHC8&gt;0,MAX(1,ROUND(AHC8/'Sens - CAC &amp; Marketing'!$A$10*AGZ8,0)),0)</f>
        <v/>
      </c>
      <c r="AHE8" s="12">
        <f>IF(AHD8&gt;0,ROUND(AHD8*ReferralMix/(1-ReferralMix),0),0)</f>
        <v/>
      </c>
      <c r="AHF8" s="12">
        <f>AHD8+AHE8</f>
        <v/>
      </c>
      <c r="AHG8" s="12">
        <f>ROUND(AHF8*(1-AnnualMix),0)</f>
        <v/>
      </c>
      <c r="AHH8" s="12">
        <f>AHF8-AHG8</f>
        <v/>
      </c>
      <c r="AHI8" s="12">
        <f>ROUND(AHG8*EssentialMix,0)</f>
        <v/>
      </c>
      <c r="AHJ8" s="12">
        <f>AHG8-AHI8</f>
        <v/>
      </c>
      <c r="AHK8" s="12">
        <f>ROUND(AHH8*EssentialMix,0)</f>
        <v/>
      </c>
      <c r="AHL8" s="12">
        <f>AHH8-AHK8</f>
        <v/>
      </c>
      <c r="AHM8" s="12">
        <f>AHI8+AHI7+AHI6+MAX(0,AHM7-AHI7-AHI6)*(1-AHB8)</f>
        <v/>
      </c>
      <c r="AHN8" s="12">
        <f>AHJ8+AHJ7+AHJ6+MAX(0,AHN7-AHJ7-AHJ6)*(1-AHB8)</f>
        <v/>
      </c>
      <c r="AHO8" s="12">
        <f>SUM(AHK$5:AHK8)</f>
        <v/>
      </c>
      <c r="AHP8" s="12">
        <f>SUM(AHL$5:AHL8)</f>
        <v/>
      </c>
      <c r="AHQ8" s="12">
        <f>AHM8+AHN8+AHO8+AHP8</f>
        <v/>
      </c>
      <c r="AHR8" s="9">
        <f>AHM8*PriceEssMonthly*AHA8+AHN8*PricePremMonthly*AHA8+AHO8*PriceEssAnnual*AHA8/12+AHP8*PricePremAnnual*AHA8/12</f>
        <v/>
      </c>
      <c r="AHS8" s="9">
        <f>AHR8*12</f>
        <v/>
      </c>
      <c r="AHT8" s="12">
        <f>AHM8*PriceEssMonthly*AHA8+AHN8*PricePremMonthly*AHA8</f>
        <v/>
      </c>
      <c r="AHU8" s="12">
        <f>AHK8*PriceEssAnnual*AHA8+AHL8*PricePremAnnual*AHA8</f>
        <v/>
      </c>
      <c r="AHV8" s="12">
        <f>0+0</f>
        <v/>
      </c>
      <c r="AHW8" s="9">
        <f>AHT8+AHU8+AHV8</f>
        <v/>
      </c>
      <c r="AHX8" s="12">
        <f>SUM(AHW$5:AHW8)</f>
        <v/>
      </c>
      <c r="AHY8" s="12">
        <f>OR(AHY7,AHX8&gt;=VATThreshold)</f>
        <v/>
      </c>
      <c r="AHZ8" s="9">
        <f>IF(AHY8,AHW8/(1+VATRate),AHW8)</f>
        <v/>
      </c>
      <c r="AIA8" s="12">
        <f>AHW8-AHZ8</f>
        <v/>
      </c>
      <c r="AIB8" s="12">
        <f>IF(AHY8=0,0,IF(AGX8=1,SUMPRODUCT(--(($AGY$5:$AGY8=$AGY8-1)*($AGX$5:$AGX8&gt;=10)*($AGX$5:$AGX8&lt;=12)),$AIA$5:$AIA8),IF(AGX8=4,SUMPRODUCT(--(($AGY$5:$AGY8=$AGY8)*($AGX$5:$AGX8&gt;=1)*($AGX$5:$AGX8&lt;=3)),$AIA$5:$AIA8),IF(AGX8=7,SUMPRODUCT(--(($AGY$5:$AGY8=$AGY8)*($AGX$5:$AGX8&gt;=4)*($AGX$5:$AGX8&lt;=6)),$AIA$5:$AIA8),IF(AGX8=10,SUMPRODUCT(--(($AGY$5:$AGY8=$AGY8)*($AGX$5:$AGX8&gt;=7)*($AGX$5:$AGX8&lt;=9)),$AIA$5:$AIA8),0)))))</f>
        <v/>
      </c>
      <c r="AIC8" s="12">
        <f>AIC7+AIA8-AIB8</f>
        <v/>
      </c>
      <c r="AID8" s="12">
        <f>IF(ProviderDelay&gt;=1,AHZ7*ProviderShare,AHZ8*ProviderShare)</f>
        <v/>
      </c>
      <c r="AIE8" s="12">
        <f>AHW8*PaymentFee</f>
        <v/>
      </c>
      <c r="AIF8" s="12">
        <f>AHQ8*OpsAI</f>
        <v/>
      </c>
      <c r="AIG8" s="12">
        <f>MonthlyFixed</f>
        <v/>
      </c>
      <c r="AIH8" s="12">
        <f>AHE8*ReferralReward</f>
        <v/>
      </c>
      <c r="AII8" s="12">
        <f>AHC8</f>
        <v/>
      </c>
      <c r="AIJ8" s="9">
        <f>AHZ8-AID8-AIE8-AIF8-AIG8-AIH8-AII8</f>
        <v/>
      </c>
      <c r="AIK8" s="9">
        <f>AIK7+AHW8-(AID8+AIE8+AIF8+AIG8+AIH8+AII8+AIB8)</f>
        <v/>
      </c>
      <c r="AIL8" s="12">
        <f>IF(AHQ8&gt;0,AHR8/AHQ8,0)</f>
        <v/>
      </c>
      <c r="AIM8" s="11">
        <f>IF(AHQ7&gt;0,MAX(0,(AHQ7+AHF8-AHQ8)/AHQ7),0)</f>
        <v/>
      </c>
      <c r="AIO8" s="12" t="n">
        <v>4</v>
      </c>
      <c r="AIP8" s="12">
        <f>MOD(AIO8-1+LaunchMonth-1,12)+1</f>
        <v/>
      </c>
      <c r="AIQ8" s="12">
        <f>INT((AIO8-1+LaunchMonth-1)/12)+1</f>
        <v/>
      </c>
      <c r="AIR8" s="12">
        <f>VLOOKUP(AIP8,SeasonTable,2,FALSE)</f>
        <v/>
      </c>
      <c r="AIS8" s="12">
        <f>(1+InflationRate)^INT((AIO8-1)/12)</f>
        <v/>
      </c>
      <c r="AIT8" s="11">
        <f>MonthlyChurn*VLOOKUP(AIP8,ChurnSeasonTable,4,FALSE)</f>
        <v/>
      </c>
      <c r="AIU8" s="12">
        <f>MIN(MktFixed4_6,MAX(0,AKC7-CashBuffer))</f>
        <v/>
      </c>
      <c r="AIV8" s="12">
        <f>IF(AIU8&gt;0,MAX(1,ROUND(AIU8/'Sens - CAC &amp; Marketing'!$A$11*AIR8,0)),0)</f>
        <v/>
      </c>
      <c r="AIW8" s="12">
        <f>IF(AIV8&gt;0,ROUND(AIV8*ReferralMix/(1-ReferralMix),0),0)</f>
        <v/>
      </c>
      <c r="AIX8" s="12">
        <f>AIV8+AIW8</f>
        <v/>
      </c>
      <c r="AIY8" s="12">
        <f>ROUND(AIX8*(1-AnnualMix),0)</f>
        <v/>
      </c>
      <c r="AIZ8" s="12">
        <f>AIX8-AIY8</f>
        <v/>
      </c>
      <c r="AJA8" s="12">
        <f>ROUND(AIY8*EssentialMix,0)</f>
        <v/>
      </c>
      <c r="AJB8" s="12">
        <f>AIY8-AJA8</f>
        <v/>
      </c>
      <c r="AJC8" s="12">
        <f>ROUND(AIZ8*EssentialMix,0)</f>
        <v/>
      </c>
      <c r="AJD8" s="12">
        <f>AIZ8-AJC8</f>
        <v/>
      </c>
      <c r="AJE8" s="12">
        <f>AJA8+AJA7+AJA6+MAX(0,AJE7-AJA7-AJA6)*(1-AIT8)</f>
        <v/>
      </c>
      <c r="AJF8" s="12">
        <f>AJB8+AJB7+AJB6+MAX(0,AJF7-AJB7-AJB6)*(1-AIT8)</f>
        <v/>
      </c>
      <c r="AJG8" s="12">
        <f>SUM(AJC$5:AJC8)</f>
        <v/>
      </c>
      <c r="AJH8" s="12">
        <f>SUM(AJD$5:AJD8)</f>
        <v/>
      </c>
      <c r="AJI8" s="12">
        <f>AJE8+AJF8+AJG8+AJH8</f>
        <v/>
      </c>
      <c r="AJJ8" s="9">
        <f>AJE8*PriceEssMonthly*AIS8+AJF8*PricePremMonthly*AIS8+AJG8*PriceEssAnnual*AIS8/12+AJH8*PricePremAnnual*AIS8/12</f>
        <v/>
      </c>
      <c r="AJK8" s="9">
        <f>AJJ8*12</f>
        <v/>
      </c>
      <c r="AJL8" s="12">
        <f>AJE8*PriceEssMonthly*AIS8+AJF8*PricePremMonthly*AIS8</f>
        <v/>
      </c>
      <c r="AJM8" s="12">
        <f>AJC8*PriceEssAnnual*AIS8+AJD8*PricePremAnnual*AIS8</f>
        <v/>
      </c>
      <c r="AJN8" s="12">
        <f>0+0</f>
        <v/>
      </c>
      <c r="AJO8" s="9">
        <f>AJL8+AJM8+AJN8</f>
        <v/>
      </c>
      <c r="AJP8" s="12">
        <f>SUM(AJO$5:AJO8)</f>
        <v/>
      </c>
      <c r="AJQ8" s="12">
        <f>OR(AJQ7,AJP8&gt;=VATThreshold)</f>
        <v/>
      </c>
      <c r="AJR8" s="9">
        <f>IF(AJQ8,AJO8/(1+VATRate),AJO8)</f>
        <v/>
      </c>
      <c r="AJS8" s="12">
        <f>AJO8-AJR8</f>
        <v/>
      </c>
      <c r="AJT8" s="12">
        <f>IF(AJQ8=0,0,IF(AIP8=1,SUMPRODUCT(--(($AIQ$5:$AIQ8=$AIQ8-1)*($AIP$5:$AIP8&gt;=10)*($AIP$5:$AIP8&lt;=12)),$AJS$5:$AJS8),IF(AIP8=4,SUMPRODUCT(--(($AIQ$5:$AIQ8=$AIQ8)*($AIP$5:$AIP8&gt;=1)*($AIP$5:$AIP8&lt;=3)),$AJS$5:$AJS8),IF(AIP8=7,SUMPRODUCT(--(($AIQ$5:$AIQ8=$AIQ8)*($AIP$5:$AIP8&gt;=4)*($AIP$5:$AIP8&lt;=6)),$AJS$5:$AJS8),IF(AIP8=10,SUMPRODUCT(--(($AIQ$5:$AIQ8=$AIQ8)*($AIP$5:$AIP8&gt;=7)*($AIP$5:$AIP8&lt;=9)),$AJS$5:$AJS8),0)))))</f>
        <v/>
      </c>
      <c r="AJU8" s="12">
        <f>AJU7+AJS8-AJT8</f>
        <v/>
      </c>
      <c r="AJV8" s="12">
        <f>IF(ProviderDelay&gt;=1,AJR7*ProviderShare,AJR8*ProviderShare)</f>
        <v/>
      </c>
      <c r="AJW8" s="12">
        <f>AJO8*PaymentFee</f>
        <v/>
      </c>
      <c r="AJX8" s="12">
        <f>AJI8*OpsAI</f>
        <v/>
      </c>
      <c r="AJY8" s="12">
        <f>MonthlyFixed</f>
        <v/>
      </c>
      <c r="AJZ8" s="12">
        <f>AIW8*ReferralReward</f>
        <v/>
      </c>
      <c r="AKA8" s="12">
        <f>AIU8</f>
        <v/>
      </c>
      <c r="AKB8" s="9">
        <f>AJR8-AJV8-AJW8-AJX8-AJY8-AJZ8-AKA8</f>
        <v/>
      </c>
      <c r="AKC8" s="9">
        <f>AKC7+AJO8-(AJV8+AJW8+AJX8+AJY8+AJZ8+AKA8+AJT8)</f>
        <v/>
      </c>
      <c r="AKD8" s="12">
        <f>IF(AJI8&gt;0,AJJ8/AJI8,0)</f>
        <v/>
      </c>
      <c r="AKE8" s="11">
        <f>IF(AJI7&gt;0,MAX(0,(AJI7+AIX8-AJI8)/AJI7),0)</f>
        <v/>
      </c>
      <c r="AKG8" s="12" t="n">
        <v>4</v>
      </c>
      <c r="AKH8" s="12">
        <f>MOD(AKG8-1+LaunchMonth-1,12)+1</f>
        <v/>
      </c>
      <c r="AKI8" s="12">
        <f>INT((AKG8-1+LaunchMonth-1)/12)+1</f>
        <v/>
      </c>
      <c r="AKJ8" s="12">
        <f>VLOOKUP(AKH8,SeasonTable,2,FALSE)</f>
        <v/>
      </c>
      <c r="AKK8" s="12">
        <f>(1+InflationRate)^INT((AKG8-1)/12)</f>
        <v/>
      </c>
      <c r="AKL8" s="11">
        <f>MonthlyChurn*VLOOKUP(AKH8,ChurnSeasonTable,4,FALSE)</f>
        <v/>
      </c>
      <c r="AKM8" s="12">
        <f>MIN(MktFixed4_6,MAX(0,ALU7-CashBuffer))</f>
        <v/>
      </c>
      <c r="AKN8" s="12">
        <f>IF(AKM8&gt;0,MAX(1,ROUND(AKM8/'Sens - CAC &amp; Marketing'!$A$12*AKJ8,0)),0)</f>
        <v/>
      </c>
      <c r="AKO8" s="12">
        <f>IF(AKN8&gt;0,ROUND(AKN8*ReferralMix/(1-ReferralMix),0),0)</f>
        <v/>
      </c>
      <c r="AKP8" s="12">
        <f>AKN8+AKO8</f>
        <v/>
      </c>
      <c r="AKQ8" s="12">
        <f>ROUND(AKP8*(1-AnnualMix),0)</f>
        <v/>
      </c>
      <c r="AKR8" s="12">
        <f>AKP8-AKQ8</f>
        <v/>
      </c>
      <c r="AKS8" s="12">
        <f>ROUND(AKQ8*EssentialMix,0)</f>
        <v/>
      </c>
      <c r="AKT8" s="12">
        <f>AKQ8-AKS8</f>
        <v/>
      </c>
      <c r="AKU8" s="12">
        <f>ROUND(AKR8*EssentialMix,0)</f>
        <v/>
      </c>
      <c r="AKV8" s="12">
        <f>AKR8-AKU8</f>
        <v/>
      </c>
      <c r="AKW8" s="12">
        <f>AKS8+AKS7+AKS6+MAX(0,AKW7-AKS7-AKS6)*(1-AKL8)</f>
        <v/>
      </c>
      <c r="AKX8" s="12">
        <f>AKT8+AKT7+AKT6+MAX(0,AKX7-AKT7-AKT6)*(1-AKL8)</f>
        <v/>
      </c>
      <c r="AKY8" s="12">
        <f>SUM(AKU$5:AKU8)</f>
        <v/>
      </c>
      <c r="AKZ8" s="12">
        <f>SUM(AKV$5:AKV8)</f>
        <v/>
      </c>
      <c r="ALA8" s="12">
        <f>AKW8+AKX8+AKY8+AKZ8</f>
        <v/>
      </c>
      <c r="ALB8" s="9">
        <f>AKW8*PriceEssMonthly*AKK8+AKX8*PricePremMonthly*AKK8+AKY8*PriceEssAnnual*AKK8/12+AKZ8*PricePremAnnual*AKK8/12</f>
        <v/>
      </c>
      <c r="ALC8" s="9">
        <f>ALB8*12</f>
        <v/>
      </c>
      <c r="ALD8" s="12">
        <f>AKW8*PriceEssMonthly*AKK8+AKX8*PricePremMonthly*AKK8</f>
        <v/>
      </c>
      <c r="ALE8" s="12">
        <f>AKU8*PriceEssAnnual*AKK8+AKV8*PricePremAnnual*AKK8</f>
        <v/>
      </c>
      <c r="ALF8" s="12">
        <f>0+0</f>
        <v/>
      </c>
      <c r="ALG8" s="9">
        <f>ALD8+ALE8+ALF8</f>
        <v/>
      </c>
      <c r="ALH8" s="12">
        <f>SUM(ALG$5:ALG8)</f>
        <v/>
      </c>
      <c r="ALI8" s="12">
        <f>OR(ALI7,ALH8&gt;=VATThreshold)</f>
        <v/>
      </c>
      <c r="ALJ8" s="9">
        <f>IF(ALI8,ALG8/(1+VATRate),ALG8)</f>
        <v/>
      </c>
      <c r="ALK8" s="12">
        <f>ALG8-ALJ8</f>
        <v/>
      </c>
      <c r="ALL8" s="12">
        <f>IF(ALI8=0,0,IF(AKH8=1,SUMPRODUCT(--(($AKI$5:$AKI8=$AKI8-1)*($AKH$5:$AKH8&gt;=10)*($AKH$5:$AKH8&lt;=12)),$ALK$5:$ALK8),IF(AKH8=4,SUMPRODUCT(--(($AKI$5:$AKI8=$AKI8)*($AKH$5:$AKH8&gt;=1)*($AKH$5:$AKH8&lt;=3)),$ALK$5:$ALK8),IF(AKH8=7,SUMPRODUCT(--(($AKI$5:$AKI8=$AKI8)*($AKH$5:$AKH8&gt;=4)*($AKH$5:$AKH8&lt;=6)),$ALK$5:$ALK8),IF(AKH8=10,SUMPRODUCT(--(($AKI$5:$AKI8=$AKI8)*($AKH$5:$AKH8&gt;=7)*($AKH$5:$AKH8&lt;=9)),$ALK$5:$ALK8),0)))))</f>
        <v/>
      </c>
      <c r="ALM8" s="12">
        <f>ALM7+ALK8-ALL8</f>
        <v/>
      </c>
      <c r="ALN8" s="12">
        <f>IF(ProviderDelay&gt;=1,ALJ7*ProviderShare,ALJ8*ProviderShare)</f>
        <v/>
      </c>
      <c r="ALO8" s="12">
        <f>ALG8*PaymentFee</f>
        <v/>
      </c>
      <c r="ALP8" s="12">
        <f>ALA8*OpsAI</f>
        <v/>
      </c>
      <c r="ALQ8" s="12">
        <f>MonthlyFixed</f>
        <v/>
      </c>
      <c r="ALR8" s="12">
        <f>AKO8*ReferralReward</f>
        <v/>
      </c>
      <c r="ALS8" s="12">
        <f>AKM8</f>
        <v/>
      </c>
      <c r="ALT8" s="9">
        <f>ALJ8-ALN8-ALO8-ALP8-ALQ8-ALR8-ALS8</f>
        <v/>
      </c>
      <c r="ALU8" s="9">
        <f>ALU7+ALG8-(ALN8+ALO8+ALP8+ALQ8+ALR8+ALS8+ALL8)</f>
        <v/>
      </c>
      <c r="ALV8" s="12">
        <f>IF(ALA8&gt;0,ALB8/ALA8,0)</f>
        <v/>
      </c>
      <c r="ALW8" s="11">
        <f>IF(ALA7&gt;0,MAX(0,(ALA7+AKP8-ALA8)/ALA7),0)</f>
        <v/>
      </c>
      <c r="ALY8" s="12" t="n">
        <v>4</v>
      </c>
      <c r="ALZ8" s="12">
        <f>MOD(ALY8-1+LaunchMonth-1,12)+1</f>
        <v/>
      </c>
      <c r="AMA8" s="12">
        <f>INT((ALY8-1+LaunchMonth-1)/12)+1</f>
        <v/>
      </c>
      <c r="AMB8" s="12">
        <f>VLOOKUP(ALZ8,SeasonTable,2,FALSE)</f>
        <v/>
      </c>
      <c r="AMC8" s="12">
        <f>(1+InflationRate)^INT((ALY8-1)/12)</f>
        <v/>
      </c>
      <c r="AMD8" s="11">
        <f>MonthlyChurn*VLOOKUP(ALZ8,ChurnSeasonTable,4,FALSE)</f>
        <v/>
      </c>
      <c r="AME8" s="12">
        <f>MIN(MktFixed4_6,MAX(0,ANM7-CashBuffer))</f>
        <v/>
      </c>
      <c r="AMF8" s="12">
        <f>IF(AME8&gt;0,MAX(1,ROUND(AME8/'Sens - CAC &amp; Marketing'!$A$13*AMB8,0)),0)</f>
        <v/>
      </c>
      <c r="AMG8" s="12">
        <f>IF(AMF8&gt;0,ROUND(AMF8*ReferralMix/(1-ReferralMix),0),0)</f>
        <v/>
      </c>
      <c r="AMH8" s="12">
        <f>AMF8+AMG8</f>
        <v/>
      </c>
      <c r="AMI8" s="12">
        <f>ROUND(AMH8*(1-AnnualMix),0)</f>
        <v/>
      </c>
      <c r="AMJ8" s="12">
        <f>AMH8-AMI8</f>
        <v/>
      </c>
      <c r="AMK8" s="12">
        <f>ROUND(AMI8*EssentialMix,0)</f>
        <v/>
      </c>
      <c r="AML8" s="12">
        <f>AMI8-AMK8</f>
        <v/>
      </c>
      <c r="AMM8" s="12">
        <f>ROUND(AMJ8*EssentialMix,0)</f>
        <v/>
      </c>
      <c r="AMN8" s="12">
        <f>AMJ8-AMM8</f>
        <v/>
      </c>
      <c r="AMO8" s="12">
        <f>AMK8+AMK7+AMK6+MAX(0,AMO7-AMK7-AMK6)*(1-AMD8)</f>
        <v/>
      </c>
      <c r="AMP8" s="12">
        <f>AML8+AML7+AML6+MAX(0,AMP7-AML7-AML6)*(1-AMD8)</f>
        <v/>
      </c>
      <c r="AMQ8" s="12">
        <f>SUM(AMM$5:AMM8)</f>
        <v/>
      </c>
      <c r="AMR8" s="12">
        <f>SUM(AMN$5:AMN8)</f>
        <v/>
      </c>
      <c r="AMS8" s="12">
        <f>AMO8+AMP8+AMQ8+AMR8</f>
        <v/>
      </c>
      <c r="AMT8" s="9">
        <f>AMO8*PriceEssMonthly*AMC8+AMP8*PricePremMonthly*AMC8+AMQ8*PriceEssAnnual*AMC8/12+AMR8*PricePremAnnual*AMC8/12</f>
        <v/>
      </c>
      <c r="AMU8" s="9">
        <f>AMT8*12</f>
        <v/>
      </c>
      <c r="AMV8" s="12">
        <f>AMO8*PriceEssMonthly*AMC8+AMP8*PricePremMonthly*AMC8</f>
        <v/>
      </c>
      <c r="AMW8" s="12">
        <f>AMM8*PriceEssAnnual*AMC8+AMN8*PricePremAnnual*AMC8</f>
        <v/>
      </c>
      <c r="AMX8" s="12">
        <f>0+0</f>
        <v/>
      </c>
      <c r="AMY8" s="9">
        <f>AMV8+AMW8+AMX8</f>
        <v/>
      </c>
      <c r="AMZ8" s="12">
        <f>SUM(AMY$5:AMY8)</f>
        <v/>
      </c>
      <c r="ANA8" s="12">
        <f>OR(ANA7,AMZ8&gt;=VATThreshold)</f>
        <v/>
      </c>
      <c r="ANB8" s="9">
        <f>IF(ANA8,AMY8/(1+VATRate),AMY8)</f>
        <v/>
      </c>
      <c r="ANC8" s="12">
        <f>AMY8-ANB8</f>
        <v/>
      </c>
      <c r="AND8" s="12">
        <f>IF(ANA8=0,0,IF(ALZ8=1,SUMPRODUCT(--(($AMA$5:$AMA8=$AMA8-1)*($ALZ$5:$ALZ8&gt;=10)*($ALZ$5:$ALZ8&lt;=12)),$ANC$5:$ANC8),IF(ALZ8=4,SUMPRODUCT(--(($AMA$5:$AMA8=$AMA8)*($ALZ$5:$ALZ8&gt;=1)*($ALZ$5:$ALZ8&lt;=3)),$ANC$5:$ANC8),IF(ALZ8=7,SUMPRODUCT(--(($AMA$5:$AMA8=$AMA8)*($ALZ$5:$ALZ8&gt;=4)*($ALZ$5:$ALZ8&lt;=6)),$ANC$5:$ANC8),IF(ALZ8=10,SUMPRODUCT(--(($AMA$5:$AMA8=$AMA8)*($ALZ$5:$ALZ8&gt;=7)*($ALZ$5:$ALZ8&lt;=9)),$ANC$5:$ANC8),0)))))</f>
        <v/>
      </c>
      <c r="ANE8" s="12">
        <f>ANE7+ANC8-AND8</f>
        <v/>
      </c>
      <c r="ANF8" s="12">
        <f>IF(ProviderDelay&gt;=1,ANB7*ProviderShare,ANB8*ProviderShare)</f>
        <v/>
      </c>
      <c r="ANG8" s="12">
        <f>AMY8*PaymentFee</f>
        <v/>
      </c>
      <c r="ANH8" s="12">
        <f>AMS8*OpsAI</f>
        <v/>
      </c>
      <c r="ANI8" s="12">
        <f>MonthlyFixed</f>
        <v/>
      </c>
      <c r="ANJ8" s="12">
        <f>AMG8*ReferralReward</f>
        <v/>
      </c>
      <c r="ANK8" s="12">
        <f>AME8</f>
        <v/>
      </c>
      <c r="ANL8" s="9">
        <f>ANB8-ANF8-ANG8-ANH8-ANI8-ANJ8-ANK8</f>
        <v/>
      </c>
      <c r="ANM8" s="9">
        <f>ANM7+AMY8-(ANF8+ANG8+ANH8+ANI8+ANJ8+ANK8+AND8)</f>
        <v/>
      </c>
      <c r="ANN8" s="12">
        <f>IF(AMS8&gt;0,AMT8/AMS8,0)</f>
        <v/>
      </c>
      <c r="ANO8" s="11">
        <f>IF(AMS7&gt;0,MAX(0,(AMS7+AMH8-AMS8)/AMS7),0)</f>
        <v/>
      </c>
      <c r="ANQ8" s="12" t="n">
        <v>4</v>
      </c>
      <c r="ANR8" s="12">
        <f>MOD(ANQ8-1+LaunchMonth-1,12)+1</f>
        <v/>
      </c>
      <c r="ANS8" s="12">
        <f>INT((ANQ8-1+LaunchMonth-1)/12)+1</f>
        <v/>
      </c>
      <c r="ANT8" s="12">
        <f>VLOOKUP(ANR8,SeasonTable,2,FALSE)</f>
        <v/>
      </c>
      <c r="ANU8" s="12">
        <f>(1+InflationRate)^INT((ANQ8-1)/12)</f>
        <v/>
      </c>
      <c r="ANV8" s="11">
        <f>MonthlyChurn*VLOOKUP(ANR8,ChurnSeasonTable,4,FALSE)</f>
        <v/>
      </c>
      <c r="ANW8" s="12">
        <f>MIN(MktFixed4_6,MAX(0,APE7-CashBuffer))</f>
        <v/>
      </c>
      <c r="ANX8" s="12">
        <f>IF(ANW8&gt;0,MAX(1,ROUND(ANW8/'Sens - CAC &amp; Marketing'!$A$14*ANT8,0)),0)</f>
        <v/>
      </c>
      <c r="ANY8" s="12">
        <f>IF(ANX8&gt;0,ROUND(ANX8*ReferralMix/(1-ReferralMix),0),0)</f>
        <v/>
      </c>
      <c r="ANZ8" s="12">
        <f>ANX8+ANY8</f>
        <v/>
      </c>
      <c r="AOA8" s="12">
        <f>ROUND(ANZ8*(1-AnnualMix),0)</f>
        <v/>
      </c>
      <c r="AOB8" s="12">
        <f>ANZ8-AOA8</f>
        <v/>
      </c>
      <c r="AOC8" s="12">
        <f>ROUND(AOA8*EssentialMix,0)</f>
        <v/>
      </c>
      <c r="AOD8" s="12">
        <f>AOA8-AOC8</f>
        <v/>
      </c>
      <c r="AOE8" s="12">
        <f>ROUND(AOB8*EssentialMix,0)</f>
        <v/>
      </c>
      <c r="AOF8" s="12">
        <f>AOB8-AOE8</f>
        <v/>
      </c>
      <c r="AOG8" s="12">
        <f>AOC8+AOC7+AOC6+MAX(0,AOG7-AOC7-AOC6)*(1-ANV8)</f>
        <v/>
      </c>
      <c r="AOH8" s="12">
        <f>AOD8+AOD7+AOD6+MAX(0,AOH7-AOD7-AOD6)*(1-ANV8)</f>
        <v/>
      </c>
      <c r="AOI8" s="12">
        <f>SUM(AOE$5:AOE8)</f>
        <v/>
      </c>
      <c r="AOJ8" s="12">
        <f>SUM(AOF$5:AOF8)</f>
        <v/>
      </c>
      <c r="AOK8" s="12">
        <f>AOG8+AOH8+AOI8+AOJ8</f>
        <v/>
      </c>
      <c r="AOL8" s="9">
        <f>AOG8*PriceEssMonthly*ANU8+AOH8*PricePremMonthly*ANU8+AOI8*PriceEssAnnual*ANU8/12+AOJ8*PricePremAnnual*ANU8/12</f>
        <v/>
      </c>
      <c r="AOM8" s="9">
        <f>AOL8*12</f>
        <v/>
      </c>
      <c r="AON8" s="12">
        <f>AOG8*PriceEssMonthly*ANU8+AOH8*PricePremMonthly*ANU8</f>
        <v/>
      </c>
      <c r="AOO8" s="12">
        <f>AOE8*PriceEssAnnual*ANU8+AOF8*PricePremAnnual*ANU8</f>
        <v/>
      </c>
      <c r="AOP8" s="12">
        <f>0+0</f>
        <v/>
      </c>
      <c r="AOQ8" s="9">
        <f>AON8+AOO8+AOP8</f>
        <v/>
      </c>
      <c r="AOR8" s="12">
        <f>SUM(AOQ$5:AOQ8)</f>
        <v/>
      </c>
      <c r="AOS8" s="12">
        <f>OR(AOS7,AOR8&gt;=VATThreshold)</f>
        <v/>
      </c>
      <c r="AOT8" s="9">
        <f>IF(AOS8,AOQ8/(1+VATRate),AOQ8)</f>
        <v/>
      </c>
      <c r="AOU8" s="12">
        <f>AOQ8-AOT8</f>
        <v/>
      </c>
      <c r="AOV8" s="12">
        <f>IF(AOS8=0,0,IF(ANR8=1,SUMPRODUCT(--(($ANS$5:$ANS8=$ANS8-1)*($ANR$5:$ANR8&gt;=10)*($ANR$5:$ANR8&lt;=12)),$AOU$5:$AOU8),IF(ANR8=4,SUMPRODUCT(--(($ANS$5:$ANS8=$ANS8)*($ANR$5:$ANR8&gt;=1)*($ANR$5:$ANR8&lt;=3)),$AOU$5:$AOU8),IF(ANR8=7,SUMPRODUCT(--(($ANS$5:$ANS8=$ANS8)*($ANR$5:$ANR8&gt;=4)*($ANR$5:$ANR8&lt;=6)),$AOU$5:$AOU8),IF(ANR8=10,SUMPRODUCT(--(($ANS$5:$ANS8=$ANS8)*($ANR$5:$ANR8&gt;=7)*($ANR$5:$ANR8&lt;=9)),$AOU$5:$AOU8),0)))))</f>
        <v/>
      </c>
      <c r="AOW8" s="12">
        <f>AOW7+AOU8-AOV8</f>
        <v/>
      </c>
      <c r="AOX8" s="12">
        <f>IF(ProviderDelay&gt;=1,AOT7*ProviderShare,AOT8*ProviderShare)</f>
        <v/>
      </c>
      <c r="AOY8" s="12">
        <f>AOQ8*PaymentFee</f>
        <v/>
      </c>
      <c r="AOZ8" s="12">
        <f>AOK8*OpsAI</f>
        <v/>
      </c>
      <c r="APA8" s="12">
        <f>MonthlyFixed</f>
        <v/>
      </c>
      <c r="APB8" s="12">
        <f>ANY8*ReferralReward</f>
        <v/>
      </c>
      <c r="APC8" s="12">
        <f>ANW8</f>
        <v/>
      </c>
      <c r="APD8" s="9">
        <f>AOT8-AOX8-AOY8-AOZ8-APA8-APB8-APC8</f>
        <v/>
      </c>
      <c r="APE8" s="9">
        <f>APE7+AOQ8-(AOX8+AOY8+AOZ8+APA8+APB8+APC8+AOV8)</f>
        <v/>
      </c>
      <c r="APF8" s="12">
        <f>IF(AOK8&gt;0,AOL8/AOK8,0)</f>
        <v/>
      </c>
      <c r="APG8" s="11">
        <f>IF(AOK7&gt;0,MAX(0,(AOK7+ANZ8-AOK8)/AOK7),0)</f>
        <v/>
      </c>
      <c r="API8" s="12" t="n">
        <v>4</v>
      </c>
      <c r="APJ8" s="12">
        <f>MOD(API8-1+LaunchMonth-1,12)+1</f>
        <v/>
      </c>
      <c r="APK8" s="12">
        <f>INT((API8-1+LaunchMonth-1)/12)+1</f>
        <v/>
      </c>
      <c r="APL8" s="12">
        <f>VLOOKUP(APJ8,SeasonTable,2,FALSE)</f>
        <v/>
      </c>
      <c r="APM8" s="12">
        <f>(1+InflationRate)^INT((API8-1)/12)</f>
        <v/>
      </c>
      <c r="APN8" s="11">
        <f>MonthlyChurn*VLOOKUP(APJ8,ChurnSeasonTable,4,FALSE)</f>
        <v/>
      </c>
      <c r="APO8" s="12">
        <f>MIN(MktFixed4_6,MAX(0,AQW7-CashBuffer))</f>
        <v/>
      </c>
      <c r="APP8" s="12">
        <f>IF(APO8&gt;0,MAX(1,ROUND(APO8/'Sens - CAC &amp; Marketing'!$A$15*APL8,0)),0)</f>
        <v/>
      </c>
      <c r="APQ8" s="12">
        <f>IF(APP8&gt;0,ROUND(APP8*ReferralMix/(1-ReferralMix),0),0)</f>
        <v/>
      </c>
      <c r="APR8" s="12">
        <f>APP8+APQ8</f>
        <v/>
      </c>
      <c r="APS8" s="12">
        <f>ROUND(APR8*(1-AnnualMix),0)</f>
        <v/>
      </c>
      <c r="APT8" s="12">
        <f>APR8-APS8</f>
        <v/>
      </c>
      <c r="APU8" s="12">
        <f>ROUND(APS8*EssentialMix,0)</f>
        <v/>
      </c>
      <c r="APV8" s="12">
        <f>APS8-APU8</f>
        <v/>
      </c>
      <c r="APW8" s="12">
        <f>ROUND(APT8*EssentialMix,0)</f>
        <v/>
      </c>
      <c r="APX8" s="12">
        <f>APT8-APW8</f>
        <v/>
      </c>
      <c r="APY8" s="12">
        <f>APU8+APU7+APU6+MAX(0,APY7-APU7-APU6)*(1-APN8)</f>
        <v/>
      </c>
      <c r="APZ8" s="12">
        <f>APV8+APV7+APV6+MAX(0,APZ7-APV7-APV6)*(1-APN8)</f>
        <v/>
      </c>
      <c r="AQA8" s="12">
        <f>SUM(APW$5:APW8)</f>
        <v/>
      </c>
      <c r="AQB8" s="12">
        <f>SUM(APX$5:APX8)</f>
        <v/>
      </c>
      <c r="AQC8" s="12">
        <f>APY8+APZ8+AQA8+AQB8</f>
        <v/>
      </c>
      <c r="AQD8" s="9">
        <f>APY8*PriceEssMonthly*APM8+APZ8*PricePremMonthly*APM8+AQA8*PriceEssAnnual*APM8/12+AQB8*PricePremAnnual*APM8/12</f>
        <v/>
      </c>
      <c r="AQE8" s="9">
        <f>AQD8*12</f>
        <v/>
      </c>
      <c r="AQF8" s="12">
        <f>APY8*PriceEssMonthly*APM8+APZ8*PricePremMonthly*APM8</f>
        <v/>
      </c>
      <c r="AQG8" s="12">
        <f>APW8*PriceEssAnnual*APM8+APX8*PricePremAnnual*APM8</f>
        <v/>
      </c>
      <c r="AQH8" s="12">
        <f>0+0</f>
        <v/>
      </c>
      <c r="AQI8" s="9">
        <f>AQF8+AQG8+AQH8</f>
        <v/>
      </c>
      <c r="AQJ8" s="12">
        <f>SUM(AQI$5:AQI8)</f>
        <v/>
      </c>
      <c r="AQK8" s="12">
        <f>OR(AQK7,AQJ8&gt;=VATThreshold)</f>
        <v/>
      </c>
      <c r="AQL8" s="9">
        <f>IF(AQK8,AQI8/(1+VATRate),AQI8)</f>
        <v/>
      </c>
      <c r="AQM8" s="12">
        <f>AQI8-AQL8</f>
        <v/>
      </c>
      <c r="AQN8" s="12">
        <f>IF(AQK8=0,0,IF(APJ8=1,SUMPRODUCT(--(($APK$5:$APK8=$APK8-1)*($APJ$5:$APJ8&gt;=10)*($APJ$5:$APJ8&lt;=12)),$AQM$5:$AQM8),IF(APJ8=4,SUMPRODUCT(--(($APK$5:$APK8=$APK8)*($APJ$5:$APJ8&gt;=1)*($APJ$5:$APJ8&lt;=3)),$AQM$5:$AQM8),IF(APJ8=7,SUMPRODUCT(--(($APK$5:$APK8=$APK8)*($APJ$5:$APJ8&gt;=4)*($APJ$5:$APJ8&lt;=6)),$AQM$5:$AQM8),IF(APJ8=10,SUMPRODUCT(--(($APK$5:$APK8=$APK8)*($APJ$5:$APJ8&gt;=7)*($APJ$5:$APJ8&lt;=9)),$AQM$5:$AQM8),0)))))</f>
        <v/>
      </c>
      <c r="AQO8" s="12">
        <f>AQO7+AQM8-AQN8</f>
        <v/>
      </c>
      <c r="AQP8" s="12">
        <f>IF(ProviderDelay&gt;=1,AQL7*ProviderShare,AQL8*ProviderShare)</f>
        <v/>
      </c>
      <c r="AQQ8" s="12">
        <f>AQI8*PaymentFee</f>
        <v/>
      </c>
      <c r="AQR8" s="12">
        <f>AQC8*OpsAI</f>
        <v/>
      </c>
      <c r="AQS8" s="12">
        <f>MonthlyFixed</f>
        <v/>
      </c>
      <c r="AQT8" s="12">
        <f>APQ8*ReferralReward</f>
        <v/>
      </c>
      <c r="AQU8" s="12">
        <f>APO8</f>
        <v/>
      </c>
      <c r="AQV8" s="9">
        <f>AQL8-AQP8-AQQ8-AQR8-AQS8-AQT8-AQU8</f>
        <v/>
      </c>
      <c r="AQW8" s="9">
        <f>AQW7+AQI8-(AQP8+AQQ8+AQR8+AQS8+AQT8+AQU8+AQN8)</f>
        <v/>
      </c>
      <c r="AQX8" s="12">
        <f>IF(AQC8&gt;0,AQD8/AQC8,0)</f>
        <v/>
      </c>
      <c r="AQY8" s="11">
        <f>IF(AQC7&gt;0,MAX(0,(AQC7+APR8-AQC8)/AQC7),0)</f>
        <v/>
      </c>
      <c r="ARA8" s="12" t="n">
        <v>4</v>
      </c>
      <c r="ARB8" s="12">
        <f>MOD(ARA8-1+LaunchMonth-1,12)+1</f>
        <v/>
      </c>
      <c r="ARC8" s="12">
        <f>INT((ARA8-1+LaunchMonth-1)/12)+1</f>
        <v/>
      </c>
      <c r="ARD8" s="12">
        <f>VLOOKUP(ARB8,WinterPivotSeasonTable,5,FALSE)</f>
        <v/>
      </c>
      <c r="ARE8" s="12">
        <f>(1+InflationRate)^INT((ARA8-1)/12)</f>
        <v/>
      </c>
      <c r="ARF8" s="11">
        <f>MonthlyChurn*VLOOKUP(ARB8,WinterPivotChurnTable,6,FALSE)</f>
        <v/>
      </c>
      <c r="ARG8" s="12">
        <f>MIN(MktFixed4_6,MAX(0,ASO7-CashBuffer))</f>
        <v/>
      </c>
      <c r="ARH8" s="12">
        <f>IF(ARG8&gt;0,MAX(1,ROUND(ARG8/CAC*ARD8,0)),0)</f>
        <v/>
      </c>
      <c r="ARI8" s="12">
        <f>IF(ARH8&gt;0,ROUND(ARH8*ReferralMix/(1-ReferralMix),0),0)</f>
        <v/>
      </c>
      <c r="ARJ8" s="12">
        <f>ARH8+ARI8</f>
        <v/>
      </c>
      <c r="ARK8" s="12">
        <f>ROUND(ARJ8*(1-AnnualMix),0)</f>
        <v/>
      </c>
      <c r="ARL8" s="12">
        <f>ARJ8-ARK8</f>
        <v/>
      </c>
      <c r="ARM8" s="12">
        <f>ROUND(ARK8*'Sens - Winter Pivot'!$B$6,0)</f>
        <v/>
      </c>
      <c r="ARN8" s="12">
        <f>ARK8-ARM8</f>
        <v/>
      </c>
      <c r="ARO8" s="12">
        <f>ROUND(ARL8*'Sens - Winter Pivot'!$B$6,0)</f>
        <v/>
      </c>
      <c r="ARP8" s="12">
        <f>ARL8-ARO8</f>
        <v/>
      </c>
      <c r="ARQ8" s="12">
        <f>ARM8+ARM7+ARM6+MAX(0,ARQ7-ARM7-ARM6)*(1-ARF8)</f>
        <v/>
      </c>
      <c r="ARR8" s="12">
        <f>ARN8+ARN7+ARN6+MAX(0,ARR7-ARN7-ARN6)*(1-ARF8)</f>
        <v/>
      </c>
      <c r="ARS8" s="12">
        <f>SUM(ARO$5:ARO8)</f>
        <v/>
      </c>
      <c r="ART8" s="12">
        <f>SUM(ARP$5:ARP8)</f>
        <v/>
      </c>
      <c r="ARU8" s="12">
        <f>ARQ8+ARR8+ARS8+ART8</f>
        <v/>
      </c>
      <c r="ARV8" s="9">
        <f>ARQ8*PriceEssMonthly*ARE8+ARR8*(PricePremMonthly+'Sens - Winter Pivot'!$B$7)*ARE8+ARS8*PriceEssAnnual*ARE8/12+ART8*(PricePremAnnual+'Sens - Winter Pivot'!$B$7*12)*ARE8/12</f>
        <v/>
      </c>
      <c r="ARW8" s="9">
        <f>ARV8*12</f>
        <v/>
      </c>
      <c r="ARX8" s="12">
        <f>ARQ8*PriceEssMonthly*ARE8+ARR8*(PricePremMonthly+'Sens - Winter Pivot'!$B$7)*ARE8</f>
        <v/>
      </c>
      <c r="ARY8" s="12">
        <f>ARO8*PriceEssAnnual*ARE8+ARP8*(PricePremAnnual+'Sens - Winter Pivot'!$B$7*12)*ARE8</f>
        <v/>
      </c>
      <c r="ARZ8" s="12">
        <f>0+0</f>
        <v/>
      </c>
      <c r="ASA8" s="9">
        <f>ARX8+ARY8+ARZ8</f>
        <v/>
      </c>
      <c r="ASB8" s="12">
        <f>SUM(ASA$5:ASA8)</f>
        <v/>
      </c>
      <c r="ASC8" s="12">
        <f>OR(ASC7,ASB8&gt;=VATThreshold)</f>
        <v/>
      </c>
      <c r="ASD8" s="9">
        <f>IF(ASC8,ASA8/(1+VATRate),ASA8)</f>
        <v/>
      </c>
      <c r="ASE8" s="12">
        <f>ASA8-ASD8</f>
        <v/>
      </c>
      <c r="ASF8" s="12">
        <f>IF(ASC8=0,0,IF(ARB8=1,SUMPRODUCT(--(($ARC$5:$ARC8=$ARC8-1)*($ARB$5:$ARB8&gt;=10)*($ARB$5:$ARB8&lt;=12)),$ASE$5:$ASE8),IF(ARB8=4,SUMPRODUCT(--(($ARC$5:$ARC8=$ARC8)*($ARB$5:$ARB8&gt;=1)*($ARB$5:$ARB8&lt;=3)),$ASE$5:$ASE8),IF(ARB8=7,SUMPRODUCT(--(($ARC$5:$ARC8=$ARC8)*($ARB$5:$ARB8&gt;=4)*($ARB$5:$ARB8&lt;=6)),$ASE$5:$ASE8),IF(ARB8=10,SUMPRODUCT(--(($ARC$5:$ARC8=$ARC8)*($ARB$5:$ARB8&gt;=7)*($ARB$5:$ARB8&lt;=9)),$ASE$5:$ASE8),0)))))</f>
        <v/>
      </c>
      <c r="ASG8" s="12">
        <f>ASG7+ASE8-ASF8</f>
        <v/>
      </c>
      <c r="ASH8" s="12">
        <f>IF(ProviderDelay&gt;=1,ASD7*ProviderShare,ASD8*ProviderShare)</f>
        <v/>
      </c>
      <c r="ASI8" s="12">
        <f>ASA8*PaymentFee</f>
        <v/>
      </c>
      <c r="ASJ8" s="12">
        <f>ARU8*OpsAI</f>
        <v/>
      </c>
      <c r="ASK8" s="12">
        <f>MonthlyFixed</f>
        <v/>
      </c>
      <c r="ASL8" s="12">
        <f>ARI8*ReferralReward</f>
        <v/>
      </c>
      <c r="ASM8" s="12">
        <f>ARG8</f>
        <v/>
      </c>
      <c r="ASN8" s="9">
        <f>ASD8-ASH8-ASI8-ASJ8-ASK8-ASL8-ASM8</f>
        <v/>
      </c>
      <c r="ASO8" s="9">
        <f>ASO7+ASA8-(ASH8+ASI8+ASJ8+ASK8+ASL8+ASM8+ASF8)</f>
        <v/>
      </c>
      <c r="ASP8" s="12">
        <f>IF(ARU8&gt;0,ARV8/ARU8,0)</f>
        <v/>
      </c>
      <c r="ASQ8" s="11">
        <f>IF(ARU7&gt;0,MAX(0,(ARU7+ARJ8-ARU8)/ARU7),0)</f>
        <v/>
      </c>
    </row>
    <row r="9">
      <c r="A9" s="12" t="n">
        <v>5</v>
      </c>
      <c r="B9" s="12">
        <f>MOD(A9-1+LaunchMonth-1,12)+1</f>
        <v/>
      </c>
      <c r="C9" s="12">
        <f>INT((A9-1+LaunchMonth-1)/12)+1</f>
        <v/>
      </c>
      <c r="D9" s="12">
        <f>VLOOKUP(B9,SeasonTable,2,FALSE)</f>
        <v/>
      </c>
      <c r="E9" s="12">
        <f>(1+InflationRate)^INT((A9-1)/12)</f>
        <v/>
      </c>
      <c r="F9" s="11">
        <f>'Sens - Scenarios'!$B$5*VLOOKUP(B9,ChurnSeasonTable,4,FALSE)</f>
        <v/>
      </c>
      <c r="G9" s="12">
        <f>MIN(MktFixed4_6,MAX(0,AO8-CashBuffer))</f>
        <v/>
      </c>
      <c r="H9" s="12">
        <f>IF(G9&gt;0,MAX(1,ROUND(G9/'Sens - Scenarios'!$B$8*D9,0)),0)</f>
        <v/>
      </c>
      <c r="I9" s="12">
        <f>IF(H9&gt;0,ROUND(H9*ReferralMix/(1-ReferralMix),0),0)</f>
        <v/>
      </c>
      <c r="J9" s="12">
        <f>H9+I9</f>
        <v/>
      </c>
      <c r="K9" s="12">
        <f>ROUND(J9*(1-'Sens - Scenarios'!$B$7),0)</f>
        <v/>
      </c>
      <c r="L9" s="12">
        <f>J9-K9</f>
        <v/>
      </c>
      <c r="M9" s="12">
        <f>ROUND(K9*EssentialMix,0)</f>
        <v/>
      </c>
      <c r="N9" s="12">
        <f>K9-M9</f>
        <v/>
      </c>
      <c r="O9" s="12">
        <f>ROUND(L9*EssentialMix,0)</f>
        <v/>
      </c>
      <c r="P9" s="12">
        <f>L9-O9</f>
        <v/>
      </c>
      <c r="Q9" s="12">
        <f>M9+M8+M7+MAX(0,Q8-M8-M7)*(1-F9)</f>
        <v/>
      </c>
      <c r="R9" s="12">
        <f>N9+N8+N7+MAX(0,R8-N8-N7)*(1-F9)</f>
        <v/>
      </c>
      <c r="S9" s="12">
        <f>SUM(O$5:O9)</f>
        <v/>
      </c>
      <c r="T9" s="12">
        <f>SUM(P$5:P9)</f>
        <v/>
      </c>
      <c r="U9" s="12">
        <f>Q9+R9+S9+T9</f>
        <v/>
      </c>
      <c r="V9" s="9">
        <f>Q9*PriceEssMonthly*E9+R9*PricePremMonthly*E9+S9*PriceEssAnnual*E9/12+T9*PricePremAnnual*E9/12</f>
        <v/>
      </c>
      <c r="W9" s="9">
        <f>V9*12</f>
        <v/>
      </c>
      <c r="X9" s="12">
        <f>Q9*PriceEssMonthly*E9+R9*PricePremMonthly*E9</f>
        <v/>
      </c>
      <c r="Y9" s="12">
        <f>O9*PriceEssAnnual*E9+P9*PricePremAnnual*E9</f>
        <v/>
      </c>
      <c r="Z9" s="12">
        <f>0+0</f>
        <v/>
      </c>
      <c r="AA9" s="9">
        <f>X9+Y9+Z9</f>
        <v/>
      </c>
      <c r="AB9" s="12">
        <f>SUM(AA$5:AA9)</f>
        <v/>
      </c>
      <c r="AC9" s="12">
        <f>OR(AC8,AB9&gt;=VATThreshold)</f>
        <v/>
      </c>
      <c r="AD9" s="9">
        <f>IF(AC9,AA9/(1+VATRate),AA9)</f>
        <v/>
      </c>
      <c r="AE9" s="12">
        <f>AA9-AD9</f>
        <v/>
      </c>
      <c r="AF9" s="12">
        <f>IF(AC9=0,0,IF(B9=1,SUMPRODUCT(--(($C$5:$C9=$C9-1)*($B$5:$B9&gt;=10)*($B$5:$B9&lt;=12)),$AE$5:$AE9),IF(B9=4,SUMPRODUCT(--(($C$5:$C9=$C9)*($B$5:$B9&gt;=1)*($B$5:$B9&lt;=3)),$AE$5:$AE9),IF(B9=7,SUMPRODUCT(--(($C$5:$C9=$C9)*($B$5:$B9&gt;=4)*($B$5:$B9&lt;=6)),$AE$5:$AE9),IF(B9=10,SUMPRODUCT(--(($C$5:$C9=$C9)*($B$5:$B9&gt;=7)*($B$5:$B9&lt;=9)),$AE$5:$AE9),0)))))</f>
        <v/>
      </c>
      <c r="AG9" s="12">
        <f>AG8+AE9-AF9</f>
        <v/>
      </c>
      <c r="AH9" s="12">
        <f>IF(ProviderDelay&gt;=1,AD8*ProviderShare,AD9*ProviderShare)</f>
        <v/>
      </c>
      <c r="AI9" s="12">
        <f>AA9*PaymentFee</f>
        <v/>
      </c>
      <c r="AJ9" s="12">
        <f>U9*OpsAI</f>
        <v/>
      </c>
      <c r="AK9" s="12">
        <f>MonthlyFixed</f>
        <v/>
      </c>
      <c r="AL9" s="12">
        <f>I9*ReferralReward</f>
        <v/>
      </c>
      <c r="AM9" s="12">
        <f>G9</f>
        <v/>
      </c>
      <c r="AN9" s="9">
        <f>AD9-AH9-AI9-AJ9-AK9-AL9-AM9</f>
        <v/>
      </c>
      <c r="AO9" s="9">
        <f>AO8+AA9-(AH9+AI9+AJ9+AK9+AL9+AM9+AF9)</f>
        <v/>
      </c>
      <c r="AP9" s="12">
        <f>IF(U9&gt;0,V9/U9,0)</f>
        <v/>
      </c>
      <c r="AQ9" s="11">
        <f>IF(U8&gt;0,MAX(0,(U8+J9-U9)/U8),0)</f>
        <v/>
      </c>
      <c r="AS9" s="12" t="n">
        <v>5</v>
      </c>
      <c r="AT9" s="12">
        <f>MOD(AS9-1+LaunchMonth-1,12)+1</f>
        <v/>
      </c>
      <c r="AU9" s="12">
        <f>INT((AS9-1+LaunchMonth-1)/12)+1</f>
        <v/>
      </c>
      <c r="AV9" s="12">
        <f>VLOOKUP(AT9,SeasonTable,2,FALSE)</f>
        <v/>
      </c>
      <c r="AW9" s="12">
        <f>(1+InflationRate)^INT((AS9-1)/12)</f>
        <v/>
      </c>
      <c r="AX9" s="11">
        <f>MonthlyChurn*VLOOKUP(AT9,ChurnSeasonTable,4,FALSE)</f>
        <v/>
      </c>
      <c r="AY9" s="12">
        <f>MIN(MktFixed4_6,MAX(0,CG8-CashBuffer))</f>
        <v/>
      </c>
      <c r="AZ9" s="12">
        <f>IF(AY9&gt;0,MAX(1,ROUND(AY9/CAC*AV9,0)),0)</f>
        <v/>
      </c>
      <c r="BA9" s="12">
        <f>IF(AZ9&gt;0,ROUND(AZ9*ReferralMix/(1-ReferralMix),0),0)</f>
        <v/>
      </c>
      <c r="BB9" s="12">
        <f>AZ9+BA9</f>
        <v/>
      </c>
      <c r="BC9" s="12">
        <f>ROUND(BB9*(1-AnnualMix),0)</f>
        <v/>
      </c>
      <c r="BD9" s="12">
        <f>BB9-BC9</f>
        <v/>
      </c>
      <c r="BE9" s="12">
        <f>ROUND(BC9*EssentialMix,0)</f>
        <v/>
      </c>
      <c r="BF9" s="12">
        <f>BC9-BE9</f>
        <v/>
      </c>
      <c r="BG9" s="12">
        <f>ROUND(BD9*EssentialMix,0)</f>
        <v/>
      </c>
      <c r="BH9" s="12">
        <f>BD9-BG9</f>
        <v/>
      </c>
      <c r="BI9" s="12">
        <f>BE9+BE8+BE7+MAX(0,BI8-BE8-BE7)*(1-AX9)</f>
        <v/>
      </c>
      <c r="BJ9" s="12">
        <f>BF9+BF8+BF7+MAX(0,BJ8-BF8-BF7)*(1-AX9)</f>
        <v/>
      </c>
      <c r="BK9" s="12">
        <f>SUM(BG$5:BG9)</f>
        <v/>
      </c>
      <c r="BL9" s="12">
        <f>SUM(BH$5:BH9)</f>
        <v/>
      </c>
      <c r="BM9" s="12">
        <f>BI9+BJ9+BK9+BL9</f>
        <v/>
      </c>
      <c r="BN9" s="9">
        <f>BI9*PriceEssMonthly*AW9+BJ9*PricePremMonthly*AW9+BK9*PriceEssAnnual*AW9/12+BL9*PricePremAnnual*AW9/12</f>
        <v/>
      </c>
      <c r="BO9" s="9">
        <f>BN9*12</f>
        <v/>
      </c>
      <c r="BP9" s="12">
        <f>BI9*PriceEssMonthly*AW9+BJ9*PricePremMonthly*AW9</f>
        <v/>
      </c>
      <c r="BQ9" s="12">
        <f>BG9*PriceEssAnnual*AW9+BH9*PricePremAnnual*AW9</f>
        <v/>
      </c>
      <c r="BR9" s="12">
        <f>0+0</f>
        <v/>
      </c>
      <c r="BS9" s="9">
        <f>BP9+BQ9+BR9</f>
        <v/>
      </c>
      <c r="BT9" s="12">
        <f>SUM(BS$5:BS9)</f>
        <v/>
      </c>
      <c r="BU9" s="12">
        <f>OR(BU8,BT9&gt;=VATThreshold)</f>
        <v/>
      </c>
      <c r="BV9" s="9">
        <f>IF(BU9,BS9/(1+VATRate),BS9)</f>
        <v/>
      </c>
      <c r="BW9" s="12">
        <f>BS9-BV9</f>
        <v/>
      </c>
      <c r="BX9" s="12">
        <f>IF(BU9=0,0,IF(AT9=1,SUMPRODUCT(--(($AU$5:$AU9=$AU9-1)*($AT$5:$AT9&gt;=10)*($AT$5:$AT9&lt;=12)),$BW$5:$BW9),IF(AT9=4,SUMPRODUCT(--(($AU$5:$AU9=$AU9)*($AT$5:$AT9&gt;=1)*($AT$5:$AT9&lt;=3)),$BW$5:$BW9),IF(AT9=7,SUMPRODUCT(--(($AU$5:$AU9=$AU9)*($AT$5:$AT9&gt;=4)*($AT$5:$AT9&lt;=6)),$BW$5:$BW9),IF(AT9=10,SUMPRODUCT(--(($AU$5:$AU9=$AU9)*($AT$5:$AT9&gt;=7)*($AT$5:$AT9&lt;=9)),$BW$5:$BW9),0)))))</f>
        <v/>
      </c>
      <c r="BY9" s="12">
        <f>BY8+BW9-BX9</f>
        <v/>
      </c>
      <c r="BZ9" s="12">
        <f>IF(ProviderDelay&gt;=1,BV8*ProviderShare,BV9*ProviderShare)</f>
        <v/>
      </c>
      <c r="CA9" s="12">
        <f>BS9*PaymentFee</f>
        <v/>
      </c>
      <c r="CB9" s="12">
        <f>BM9*OpsAI</f>
        <v/>
      </c>
      <c r="CC9" s="12">
        <f>MonthlyFixed</f>
        <v/>
      </c>
      <c r="CD9" s="12">
        <f>BA9*ReferralReward</f>
        <v/>
      </c>
      <c r="CE9" s="12">
        <f>AY9</f>
        <v/>
      </c>
      <c r="CF9" s="9">
        <f>BV9-BZ9-CA9-CB9-CC9-CD9-CE9</f>
        <v/>
      </c>
      <c r="CG9" s="9">
        <f>CG8+BS9-(BZ9+CA9+CB9+CC9+CD9+CE9+BX9)</f>
        <v/>
      </c>
      <c r="CH9" s="12">
        <f>IF(BM9&gt;0,BN9/BM9,0)</f>
        <v/>
      </c>
      <c r="CI9" s="11">
        <f>IF(BM8&gt;0,MAX(0,(BM8+BB9-BM9)/BM8),0)</f>
        <v/>
      </c>
      <c r="CK9" s="12" t="n">
        <v>5</v>
      </c>
      <c r="CL9" s="12">
        <f>MOD(CK9-1+LaunchMonth-1,12)+1</f>
        <v/>
      </c>
      <c r="CM9" s="12">
        <f>INT((CK9-1+LaunchMonth-1)/12)+1</f>
        <v/>
      </c>
      <c r="CN9" s="12">
        <f>VLOOKUP(CL9,SeasonTable,2,FALSE)</f>
        <v/>
      </c>
      <c r="CO9" s="12">
        <f>(1+InflationRate)^INT((CK9-1)/12)</f>
        <v/>
      </c>
      <c r="CP9" s="11">
        <f>'Sens - Scenarios'!$D$5*VLOOKUP(CL9,ChurnSeasonTable,4,FALSE)</f>
        <v/>
      </c>
      <c r="CQ9" s="12">
        <f>MIN(MktFixed4_6,MAX(0,DY8-CashBuffer))</f>
        <v/>
      </c>
      <c r="CR9" s="12">
        <f>IF(CQ9&gt;0,MAX(1,ROUND(CQ9/'Sens - Scenarios'!$D$8*CN9,0)),0)</f>
        <v/>
      </c>
      <c r="CS9" s="12">
        <f>IF(CR9&gt;0,ROUND(CR9*ReferralMix/(1-ReferralMix),0),0)</f>
        <v/>
      </c>
      <c r="CT9" s="12">
        <f>CR9+CS9</f>
        <v/>
      </c>
      <c r="CU9" s="12">
        <f>ROUND(CT9*(1-'Sens - Scenarios'!$D$7),0)</f>
        <v/>
      </c>
      <c r="CV9" s="12">
        <f>CT9-CU9</f>
        <v/>
      </c>
      <c r="CW9" s="12">
        <f>ROUND(CU9*EssentialMix,0)</f>
        <v/>
      </c>
      <c r="CX9" s="12">
        <f>CU9-CW9</f>
        <v/>
      </c>
      <c r="CY9" s="12">
        <f>ROUND(CV9*EssentialMix,0)</f>
        <v/>
      </c>
      <c r="CZ9" s="12">
        <f>CV9-CY9</f>
        <v/>
      </c>
      <c r="DA9" s="12">
        <f>CW9+CW8+CW7+MAX(0,DA8-CW8-CW7)*(1-CP9)</f>
        <v/>
      </c>
      <c r="DB9" s="12">
        <f>CX9+CX8+CX7+MAX(0,DB8-CX8-CX7)*(1-CP9)</f>
        <v/>
      </c>
      <c r="DC9" s="12">
        <f>SUM(CY$5:CY9)</f>
        <v/>
      </c>
      <c r="DD9" s="12">
        <f>SUM(CZ$5:CZ9)</f>
        <v/>
      </c>
      <c r="DE9" s="12">
        <f>DA9+DB9+DC9+DD9</f>
        <v/>
      </c>
      <c r="DF9" s="9">
        <f>DA9*PriceEssMonthly*CO9+DB9*PricePremMonthly*CO9+DC9*PriceEssAnnual*CO9/12+DD9*PricePremAnnual*CO9/12</f>
        <v/>
      </c>
      <c r="DG9" s="9">
        <f>DF9*12</f>
        <v/>
      </c>
      <c r="DH9" s="12">
        <f>DA9*PriceEssMonthly*CO9+DB9*PricePremMonthly*CO9</f>
        <v/>
      </c>
      <c r="DI9" s="12">
        <f>CY9*PriceEssAnnual*CO9+CZ9*PricePremAnnual*CO9</f>
        <v/>
      </c>
      <c r="DJ9" s="12">
        <f>0+0</f>
        <v/>
      </c>
      <c r="DK9" s="9">
        <f>DH9+DI9+DJ9</f>
        <v/>
      </c>
      <c r="DL9" s="12">
        <f>SUM(DK$5:DK9)</f>
        <v/>
      </c>
      <c r="DM9" s="12">
        <f>OR(DM8,DL9&gt;=VATThreshold)</f>
        <v/>
      </c>
      <c r="DN9" s="9">
        <f>IF(DM9,DK9/(1+VATRate),DK9)</f>
        <v/>
      </c>
      <c r="DO9" s="12">
        <f>DK9-DN9</f>
        <v/>
      </c>
      <c r="DP9" s="12">
        <f>IF(DM9=0,0,IF(CL9=1,SUMPRODUCT(--(($CM$5:$CM9=$CM9-1)*($CL$5:$CL9&gt;=10)*($CL$5:$CL9&lt;=12)),$DO$5:$DO9),IF(CL9=4,SUMPRODUCT(--(($CM$5:$CM9=$CM9)*($CL$5:$CL9&gt;=1)*($CL$5:$CL9&lt;=3)),$DO$5:$DO9),IF(CL9=7,SUMPRODUCT(--(($CM$5:$CM9=$CM9)*($CL$5:$CL9&gt;=4)*($CL$5:$CL9&lt;=6)),$DO$5:$DO9),IF(CL9=10,SUMPRODUCT(--(($CM$5:$CM9=$CM9)*($CL$5:$CL9&gt;=7)*($CL$5:$CL9&lt;=9)),$DO$5:$DO9),0)))))</f>
        <v/>
      </c>
      <c r="DQ9" s="12">
        <f>DQ8+DO9-DP9</f>
        <v/>
      </c>
      <c r="DR9" s="12">
        <f>IF(ProviderDelay&gt;=1,DN8*ProviderShare,DN9*ProviderShare)</f>
        <v/>
      </c>
      <c r="DS9" s="12">
        <f>DK9*PaymentFee</f>
        <v/>
      </c>
      <c r="DT9" s="12">
        <f>DE9*OpsAI</f>
        <v/>
      </c>
      <c r="DU9" s="12">
        <f>MonthlyFixed</f>
        <v/>
      </c>
      <c r="DV9" s="12">
        <f>CS9*ReferralReward</f>
        <v/>
      </c>
      <c r="DW9" s="12">
        <f>CQ9</f>
        <v/>
      </c>
      <c r="DX9" s="9">
        <f>DN9-DR9-DS9-DT9-DU9-DV9-DW9</f>
        <v/>
      </c>
      <c r="DY9" s="9">
        <f>DY8+DK9-(DR9+DS9+DT9+DU9+DV9+DW9+DP9)</f>
        <v/>
      </c>
      <c r="DZ9" s="12">
        <f>IF(DE9&gt;0,DF9/DE9,0)</f>
        <v/>
      </c>
      <c r="EA9" s="11">
        <f>IF(DE8&gt;0,MAX(0,(DE8+CT9-DE9)/DE8),0)</f>
        <v/>
      </c>
      <c r="EC9" s="12" t="n">
        <v>5</v>
      </c>
      <c r="ED9" s="12">
        <f>MOD(EC9-1+LaunchMonth-1,12)+1</f>
        <v/>
      </c>
      <c r="EE9" s="12">
        <f>INT((EC9-1+LaunchMonth-1)/12)+1</f>
        <v/>
      </c>
      <c r="EF9" s="12">
        <f>VLOOKUP(ED9,SeasonTable,2,FALSE)</f>
        <v/>
      </c>
      <c r="EG9" s="12">
        <f>(1+InflationRate)^INT((EC9-1)/12)</f>
        <v/>
      </c>
      <c r="EH9" s="11">
        <f>'Sens - Churn'!$A$13*VLOOKUP(ED9,ChurnSeasonTable,4,FALSE)</f>
        <v/>
      </c>
      <c r="EI9" s="12">
        <f>MIN(MktFixed4_6,MAX(0,FQ8-CashBuffer))</f>
        <v/>
      </c>
      <c r="EJ9" s="12">
        <f>IF(EI9&gt;0,MAX(1,ROUND(EI9/CAC*EF9,0)),0)</f>
        <v/>
      </c>
      <c r="EK9" s="12">
        <f>IF(EJ9&gt;0,ROUND(EJ9*ReferralMix/(1-ReferralMix),0),0)</f>
        <v/>
      </c>
      <c r="EL9" s="12">
        <f>EJ9+EK9</f>
        <v/>
      </c>
      <c r="EM9" s="12">
        <f>ROUND(EL9*(1-AnnualMix),0)</f>
        <v/>
      </c>
      <c r="EN9" s="12">
        <f>EL9-EM9</f>
        <v/>
      </c>
      <c r="EO9" s="12">
        <f>ROUND(EM9*EssentialMix,0)</f>
        <v/>
      </c>
      <c r="EP9" s="12">
        <f>EM9-EO9</f>
        <v/>
      </c>
      <c r="EQ9" s="12">
        <f>ROUND(EN9*EssentialMix,0)</f>
        <v/>
      </c>
      <c r="ER9" s="12">
        <f>EN9-EQ9</f>
        <v/>
      </c>
      <c r="ES9" s="12">
        <f>EO9+EO8+EO7+MAX(0,ES8-EO8-EO7)*(1-EH9)</f>
        <v/>
      </c>
      <c r="ET9" s="12">
        <f>EP9+EP8+EP7+MAX(0,ET8-EP8-EP7)*(1-EH9)</f>
        <v/>
      </c>
      <c r="EU9" s="12">
        <f>SUM(EQ$5:EQ9)</f>
        <v/>
      </c>
      <c r="EV9" s="12">
        <f>SUM(ER$5:ER9)</f>
        <v/>
      </c>
      <c r="EW9" s="12">
        <f>ES9+ET9+EU9+EV9</f>
        <v/>
      </c>
      <c r="EX9" s="9">
        <f>ES9*PriceEssMonthly*EG9+ET9*PricePremMonthly*EG9+EU9*PriceEssAnnual*EG9/12+EV9*PricePremAnnual*EG9/12</f>
        <v/>
      </c>
      <c r="EY9" s="9">
        <f>EX9*12</f>
        <v/>
      </c>
      <c r="EZ9" s="12">
        <f>ES9*PriceEssMonthly*EG9+ET9*PricePremMonthly*EG9</f>
        <v/>
      </c>
      <c r="FA9" s="12">
        <f>EQ9*PriceEssAnnual*EG9+ER9*PricePremAnnual*EG9</f>
        <v/>
      </c>
      <c r="FB9" s="12">
        <f>0+0</f>
        <v/>
      </c>
      <c r="FC9" s="9">
        <f>EZ9+FA9+FB9</f>
        <v/>
      </c>
      <c r="FD9" s="12">
        <f>SUM(FC$5:FC9)</f>
        <v/>
      </c>
      <c r="FE9" s="12">
        <f>OR(FE8,FD9&gt;=VATThreshold)</f>
        <v/>
      </c>
      <c r="FF9" s="9">
        <f>IF(FE9,FC9/(1+VATRate),FC9)</f>
        <v/>
      </c>
      <c r="FG9" s="12">
        <f>FC9-FF9</f>
        <v/>
      </c>
      <c r="FH9" s="12">
        <f>IF(FE9=0,0,IF(ED9=1,SUMPRODUCT(--(($EE$5:$EE9=$EE9-1)*($ED$5:$ED9&gt;=10)*($ED$5:$ED9&lt;=12)),$FG$5:$FG9),IF(ED9=4,SUMPRODUCT(--(($EE$5:$EE9=$EE9)*($ED$5:$ED9&gt;=1)*($ED$5:$ED9&lt;=3)),$FG$5:$FG9),IF(ED9=7,SUMPRODUCT(--(($EE$5:$EE9=$EE9)*($ED$5:$ED9&gt;=4)*($ED$5:$ED9&lt;=6)),$FG$5:$FG9),IF(ED9=10,SUMPRODUCT(--(($EE$5:$EE9=$EE9)*($ED$5:$ED9&gt;=7)*($ED$5:$ED9&lt;=9)),$FG$5:$FG9),0)))))</f>
        <v/>
      </c>
      <c r="FI9" s="12">
        <f>FI8+FG9-FH9</f>
        <v/>
      </c>
      <c r="FJ9" s="12">
        <f>IF(ProviderDelay&gt;=1,FF8*ProviderShare,FF9*ProviderShare)</f>
        <v/>
      </c>
      <c r="FK9" s="12">
        <f>FC9*PaymentFee</f>
        <v/>
      </c>
      <c r="FL9" s="12">
        <f>EW9*OpsAI</f>
        <v/>
      </c>
      <c r="FM9" s="12">
        <f>MonthlyFixed</f>
        <v/>
      </c>
      <c r="FN9" s="12">
        <f>EK9*ReferralReward</f>
        <v/>
      </c>
      <c r="FO9" s="12">
        <f>EI9</f>
        <v/>
      </c>
      <c r="FP9" s="9">
        <f>FF9-FJ9-FK9-FL9-FM9-FN9-FO9</f>
        <v/>
      </c>
      <c r="FQ9" s="9">
        <f>FQ8+FC9-(FJ9+FK9+FL9+FM9+FN9+FO9+FH9)</f>
        <v/>
      </c>
      <c r="FR9" s="12">
        <f>IF(EW9&gt;0,EX9/EW9,0)</f>
        <v/>
      </c>
      <c r="FS9" s="11">
        <f>IF(EW8&gt;0,MAX(0,(EW8+EL9-EW9)/EW8),0)</f>
        <v/>
      </c>
      <c r="FU9" s="12" t="n">
        <v>5</v>
      </c>
      <c r="FV9" s="12">
        <f>MOD(FU9-1+LaunchMonth-1,12)+1</f>
        <v/>
      </c>
      <c r="FW9" s="12">
        <f>INT((FU9-1+LaunchMonth-1)/12)+1</f>
        <v/>
      </c>
      <c r="FX9" s="12">
        <f>VLOOKUP(FV9,SeasonTable,2,FALSE)</f>
        <v/>
      </c>
      <c r="FY9" s="12">
        <f>(1+InflationRate)^INT((FU9-1)/12)</f>
        <v/>
      </c>
      <c r="FZ9" s="11">
        <f>'Sens - Churn'!$A$14*VLOOKUP(FV9,ChurnSeasonTable,4,FALSE)</f>
        <v/>
      </c>
      <c r="GA9" s="12">
        <f>MIN(MktFixed4_6,MAX(0,HI8-CashBuffer))</f>
        <v/>
      </c>
      <c r="GB9" s="12">
        <f>IF(GA9&gt;0,MAX(1,ROUND(GA9/CAC*FX9,0)),0)</f>
        <v/>
      </c>
      <c r="GC9" s="12">
        <f>IF(GB9&gt;0,ROUND(GB9*ReferralMix/(1-ReferralMix),0),0)</f>
        <v/>
      </c>
      <c r="GD9" s="12">
        <f>GB9+GC9</f>
        <v/>
      </c>
      <c r="GE9" s="12">
        <f>ROUND(GD9*(1-AnnualMix),0)</f>
        <v/>
      </c>
      <c r="GF9" s="12">
        <f>GD9-GE9</f>
        <v/>
      </c>
      <c r="GG9" s="12">
        <f>ROUND(GE9*EssentialMix,0)</f>
        <v/>
      </c>
      <c r="GH9" s="12">
        <f>GE9-GG9</f>
        <v/>
      </c>
      <c r="GI9" s="12">
        <f>ROUND(GF9*EssentialMix,0)</f>
        <v/>
      </c>
      <c r="GJ9" s="12">
        <f>GF9-GI9</f>
        <v/>
      </c>
      <c r="GK9" s="12">
        <f>GG9+GG8+GG7+MAX(0,GK8-GG8-GG7)*(1-FZ9)</f>
        <v/>
      </c>
      <c r="GL9" s="12">
        <f>GH9+GH8+GH7+MAX(0,GL8-GH8-GH7)*(1-FZ9)</f>
        <v/>
      </c>
      <c r="GM9" s="12">
        <f>SUM(GI$5:GI9)</f>
        <v/>
      </c>
      <c r="GN9" s="12">
        <f>SUM(GJ$5:GJ9)</f>
        <v/>
      </c>
      <c r="GO9" s="12">
        <f>GK9+GL9+GM9+GN9</f>
        <v/>
      </c>
      <c r="GP9" s="9">
        <f>GK9*PriceEssMonthly*FY9+GL9*PricePremMonthly*FY9+GM9*PriceEssAnnual*FY9/12+GN9*PricePremAnnual*FY9/12</f>
        <v/>
      </c>
      <c r="GQ9" s="9">
        <f>GP9*12</f>
        <v/>
      </c>
      <c r="GR9" s="12">
        <f>GK9*PriceEssMonthly*FY9+GL9*PricePremMonthly*FY9</f>
        <v/>
      </c>
      <c r="GS9" s="12">
        <f>GI9*PriceEssAnnual*FY9+GJ9*PricePremAnnual*FY9</f>
        <v/>
      </c>
      <c r="GT9" s="12">
        <f>0+0</f>
        <v/>
      </c>
      <c r="GU9" s="9">
        <f>GR9+GS9+GT9</f>
        <v/>
      </c>
      <c r="GV9" s="12">
        <f>SUM(GU$5:GU9)</f>
        <v/>
      </c>
      <c r="GW9" s="12">
        <f>OR(GW8,GV9&gt;=VATThreshold)</f>
        <v/>
      </c>
      <c r="GX9" s="9">
        <f>IF(GW9,GU9/(1+VATRate),GU9)</f>
        <v/>
      </c>
      <c r="GY9" s="12">
        <f>GU9-GX9</f>
        <v/>
      </c>
      <c r="GZ9" s="12">
        <f>IF(GW9=0,0,IF(FV9=1,SUMPRODUCT(--(($FW$5:$FW9=$FW9-1)*($FV$5:$FV9&gt;=10)*($FV$5:$FV9&lt;=12)),$GY$5:$GY9),IF(FV9=4,SUMPRODUCT(--(($FW$5:$FW9=$FW9)*($FV$5:$FV9&gt;=1)*($FV$5:$FV9&lt;=3)),$GY$5:$GY9),IF(FV9=7,SUMPRODUCT(--(($FW$5:$FW9=$FW9)*($FV$5:$FV9&gt;=4)*($FV$5:$FV9&lt;=6)),$GY$5:$GY9),IF(FV9=10,SUMPRODUCT(--(($FW$5:$FW9=$FW9)*($FV$5:$FV9&gt;=7)*($FV$5:$FV9&lt;=9)),$GY$5:$GY9),0)))))</f>
        <v/>
      </c>
      <c r="HA9" s="12">
        <f>HA8+GY9-GZ9</f>
        <v/>
      </c>
      <c r="HB9" s="12">
        <f>IF(ProviderDelay&gt;=1,GX8*ProviderShare,GX9*ProviderShare)</f>
        <v/>
      </c>
      <c r="HC9" s="12">
        <f>GU9*PaymentFee</f>
        <v/>
      </c>
      <c r="HD9" s="12">
        <f>GO9*OpsAI</f>
        <v/>
      </c>
      <c r="HE9" s="12">
        <f>MonthlyFixed</f>
        <v/>
      </c>
      <c r="HF9" s="12">
        <f>GC9*ReferralReward</f>
        <v/>
      </c>
      <c r="HG9" s="12">
        <f>GA9</f>
        <v/>
      </c>
      <c r="HH9" s="9">
        <f>GX9-HB9-HC9-HD9-HE9-HF9-HG9</f>
        <v/>
      </c>
      <c r="HI9" s="9">
        <f>HI8+GU9-(HB9+HC9+HD9+HE9+HF9+HG9+GZ9)</f>
        <v/>
      </c>
      <c r="HJ9" s="12">
        <f>IF(GO9&gt;0,GP9/GO9,0)</f>
        <v/>
      </c>
      <c r="HK9" s="11">
        <f>IF(GO8&gt;0,MAX(0,(GO8+GD9-GO9)/GO8),0)</f>
        <v/>
      </c>
      <c r="HM9" s="12" t="n">
        <v>5</v>
      </c>
      <c r="HN9" s="12">
        <f>MOD(HM9-1+LaunchMonth-1,12)+1</f>
        <v/>
      </c>
      <c r="HO9" s="12">
        <f>INT((HM9-1+LaunchMonth-1)/12)+1</f>
        <v/>
      </c>
      <c r="HP9" s="12">
        <f>VLOOKUP(HN9,SeasonTable,2,FALSE)</f>
        <v/>
      </c>
      <c r="HQ9" s="12">
        <f>(1+InflationRate)^INT((HM9-1)/12)</f>
        <v/>
      </c>
      <c r="HR9" s="11">
        <f>'Sens - Churn'!$A$15*VLOOKUP(HN9,ChurnSeasonTable,4,FALSE)</f>
        <v/>
      </c>
      <c r="HS9" s="12">
        <f>MIN(MktFixed4_6,MAX(0,JA8-CashBuffer))</f>
        <v/>
      </c>
      <c r="HT9" s="12">
        <f>IF(HS9&gt;0,MAX(1,ROUND(HS9/CAC*HP9,0)),0)</f>
        <v/>
      </c>
      <c r="HU9" s="12">
        <f>IF(HT9&gt;0,ROUND(HT9*ReferralMix/(1-ReferralMix),0),0)</f>
        <v/>
      </c>
      <c r="HV9" s="12">
        <f>HT9+HU9</f>
        <v/>
      </c>
      <c r="HW9" s="12">
        <f>ROUND(HV9*(1-AnnualMix),0)</f>
        <v/>
      </c>
      <c r="HX9" s="12">
        <f>HV9-HW9</f>
        <v/>
      </c>
      <c r="HY9" s="12">
        <f>ROUND(HW9*EssentialMix,0)</f>
        <v/>
      </c>
      <c r="HZ9" s="12">
        <f>HW9-HY9</f>
        <v/>
      </c>
      <c r="IA9" s="12">
        <f>ROUND(HX9*EssentialMix,0)</f>
        <v/>
      </c>
      <c r="IB9" s="12">
        <f>HX9-IA9</f>
        <v/>
      </c>
      <c r="IC9" s="12">
        <f>HY9+HY8+HY7+MAX(0,IC8-HY8-HY7)*(1-HR9)</f>
        <v/>
      </c>
      <c r="ID9" s="12">
        <f>HZ9+HZ8+HZ7+MAX(0,ID8-HZ8-HZ7)*(1-HR9)</f>
        <v/>
      </c>
      <c r="IE9" s="12">
        <f>SUM(IA$5:IA9)</f>
        <v/>
      </c>
      <c r="IF9" s="12">
        <f>SUM(IB$5:IB9)</f>
        <v/>
      </c>
      <c r="IG9" s="12">
        <f>IC9+ID9+IE9+IF9</f>
        <v/>
      </c>
      <c r="IH9" s="9">
        <f>IC9*PriceEssMonthly*HQ9+ID9*PricePremMonthly*HQ9+IE9*PriceEssAnnual*HQ9/12+IF9*PricePremAnnual*HQ9/12</f>
        <v/>
      </c>
      <c r="II9" s="9">
        <f>IH9*12</f>
        <v/>
      </c>
      <c r="IJ9" s="12">
        <f>IC9*PriceEssMonthly*HQ9+ID9*PricePremMonthly*HQ9</f>
        <v/>
      </c>
      <c r="IK9" s="12">
        <f>IA9*PriceEssAnnual*HQ9+IB9*PricePremAnnual*HQ9</f>
        <v/>
      </c>
      <c r="IL9" s="12">
        <f>0+0</f>
        <v/>
      </c>
      <c r="IM9" s="9">
        <f>IJ9+IK9+IL9</f>
        <v/>
      </c>
      <c r="IN9" s="12">
        <f>SUM(IM$5:IM9)</f>
        <v/>
      </c>
      <c r="IO9" s="12">
        <f>OR(IO8,IN9&gt;=VATThreshold)</f>
        <v/>
      </c>
      <c r="IP9" s="9">
        <f>IF(IO9,IM9/(1+VATRate),IM9)</f>
        <v/>
      </c>
      <c r="IQ9" s="12">
        <f>IM9-IP9</f>
        <v/>
      </c>
      <c r="IR9" s="12">
        <f>IF(IO9=0,0,IF(HN9=1,SUMPRODUCT(--(($HO$5:$HO9=$HO9-1)*($HN$5:$HN9&gt;=10)*($HN$5:$HN9&lt;=12)),$IQ$5:$IQ9),IF(HN9=4,SUMPRODUCT(--(($HO$5:$HO9=$HO9)*($HN$5:$HN9&gt;=1)*($HN$5:$HN9&lt;=3)),$IQ$5:$IQ9),IF(HN9=7,SUMPRODUCT(--(($HO$5:$HO9=$HO9)*($HN$5:$HN9&gt;=4)*($HN$5:$HN9&lt;=6)),$IQ$5:$IQ9),IF(HN9=10,SUMPRODUCT(--(($HO$5:$HO9=$HO9)*($HN$5:$HN9&gt;=7)*($HN$5:$HN9&lt;=9)),$IQ$5:$IQ9),0)))))</f>
        <v/>
      </c>
      <c r="IS9" s="12">
        <f>IS8+IQ9-IR9</f>
        <v/>
      </c>
      <c r="IT9" s="12">
        <f>IF(ProviderDelay&gt;=1,IP8*ProviderShare,IP9*ProviderShare)</f>
        <v/>
      </c>
      <c r="IU9" s="12">
        <f>IM9*PaymentFee</f>
        <v/>
      </c>
      <c r="IV9" s="12">
        <f>IG9*OpsAI</f>
        <v/>
      </c>
      <c r="IW9" s="12">
        <f>MonthlyFixed</f>
        <v/>
      </c>
      <c r="IX9" s="12">
        <f>HU9*ReferralReward</f>
        <v/>
      </c>
      <c r="IY9" s="12">
        <f>HS9</f>
        <v/>
      </c>
      <c r="IZ9" s="9">
        <f>IP9-IT9-IU9-IV9-IW9-IX9-IY9</f>
        <v/>
      </c>
      <c r="JA9" s="9">
        <f>JA8+IM9-(IT9+IU9+IV9+IW9+IX9+IY9+IR9)</f>
        <v/>
      </c>
      <c r="JB9" s="12">
        <f>IF(IG9&gt;0,IH9/IG9,0)</f>
        <v/>
      </c>
      <c r="JC9" s="11">
        <f>IF(IG8&gt;0,MAX(0,(IG8+HV9-IG9)/IG8),0)</f>
        <v/>
      </c>
      <c r="JE9" s="12" t="n">
        <v>5</v>
      </c>
      <c r="JF9" s="12">
        <f>MOD(JE9-1+LaunchMonth-1,12)+1</f>
        <v/>
      </c>
      <c r="JG9" s="12">
        <f>INT((JE9-1+LaunchMonth-1)/12)+1</f>
        <v/>
      </c>
      <c r="JH9" s="12">
        <f>VLOOKUP(JF9,SeasonTable,2,FALSE)</f>
        <v/>
      </c>
      <c r="JI9" s="12">
        <f>(1+InflationRate)^INT((JE9-1)/12)</f>
        <v/>
      </c>
      <c r="JJ9" s="11">
        <f>'Sens - Churn'!$A$16*VLOOKUP(JF9,ChurnSeasonTable,4,FALSE)</f>
        <v/>
      </c>
      <c r="JK9" s="12">
        <f>MIN(MktFixed4_6,MAX(0,KS8-CashBuffer))</f>
        <v/>
      </c>
      <c r="JL9" s="12">
        <f>IF(JK9&gt;0,MAX(1,ROUND(JK9/CAC*JH9,0)),0)</f>
        <v/>
      </c>
      <c r="JM9" s="12">
        <f>IF(JL9&gt;0,ROUND(JL9*ReferralMix/(1-ReferralMix),0),0)</f>
        <v/>
      </c>
      <c r="JN9" s="12">
        <f>JL9+JM9</f>
        <v/>
      </c>
      <c r="JO9" s="12">
        <f>ROUND(JN9*(1-AnnualMix),0)</f>
        <v/>
      </c>
      <c r="JP9" s="12">
        <f>JN9-JO9</f>
        <v/>
      </c>
      <c r="JQ9" s="12">
        <f>ROUND(JO9*EssentialMix,0)</f>
        <v/>
      </c>
      <c r="JR9" s="12">
        <f>JO9-JQ9</f>
        <v/>
      </c>
      <c r="JS9" s="12">
        <f>ROUND(JP9*EssentialMix,0)</f>
        <v/>
      </c>
      <c r="JT9" s="12">
        <f>JP9-JS9</f>
        <v/>
      </c>
      <c r="JU9" s="12">
        <f>JQ9+JQ8+JQ7+MAX(0,JU8-JQ8-JQ7)*(1-JJ9)</f>
        <v/>
      </c>
      <c r="JV9" s="12">
        <f>JR9+JR8+JR7+MAX(0,JV8-JR8-JR7)*(1-JJ9)</f>
        <v/>
      </c>
      <c r="JW9" s="12">
        <f>SUM(JS$5:JS9)</f>
        <v/>
      </c>
      <c r="JX9" s="12">
        <f>SUM(JT$5:JT9)</f>
        <v/>
      </c>
      <c r="JY9" s="12">
        <f>JU9+JV9+JW9+JX9</f>
        <v/>
      </c>
      <c r="JZ9" s="9">
        <f>JU9*PriceEssMonthly*JI9+JV9*PricePremMonthly*JI9+JW9*PriceEssAnnual*JI9/12+JX9*PricePremAnnual*JI9/12</f>
        <v/>
      </c>
      <c r="KA9" s="9">
        <f>JZ9*12</f>
        <v/>
      </c>
      <c r="KB9" s="12">
        <f>JU9*PriceEssMonthly*JI9+JV9*PricePremMonthly*JI9</f>
        <v/>
      </c>
      <c r="KC9" s="12">
        <f>JS9*PriceEssAnnual*JI9+JT9*PricePremAnnual*JI9</f>
        <v/>
      </c>
      <c r="KD9" s="12">
        <f>0+0</f>
        <v/>
      </c>
      <c r="KE9" s="9">
        <f>KB9+KC9+KD9</f>
        <v/>
      </c>
      <c r="KF9" s="12">
        <f>SUM(KE$5:KE9)</f>
        <v/>
      </c>
      <c r="KG9" s="12">
        <f>OR(KG8,KF9&gt;=VATThreshold)</f>
        <v/>
      </c>
      <c r="KH9" s="9">
        <f>IF(KG9,KE9/(1+VATRate),KE9)</f>
        <v/>
      </c>
      <c r="KI9" s="12">
        <f>KE9-KH9</f>
        <v/>
      </c>
      <c r="KJ9" s="12">
        <f>IF(KG9=0,0,IF(JF9=1,SUMPRODUCT(--(($JG$5:$JG9=$JG9-1)*($JF$5:$JF9&gt;=10)*($JF$5:$JF9&lt;=12)),$KI$5:$KI9),IF(JF9=4,SUMPRODUCT(--(($JG$5:$JG9=$JG9)*($JF$5:$JF9&gt;=1)*($JF$5:$JF9&lt;=3)),$KI$5:$KI9),IF(JF9=7,SUMPRODUCT(--(($JG$5:$JG9=$JG9)*($JF$5:$JF9&gt;=4)*($JF$5:$JF9&lt;=6)),$KI$5:$KI9),IF(JF9=10,SUMPRODUCT(--(($JG$5:$JG9=$JG9)*($JF$5:$JF9&gt;=7)*($JF$5:$JF9&lt;=9)),$KI$5:$KI9),0)))))</f>
        <v/>
      </c>
      <c r="KK9" s="12">
        <f>KK8+KI9-KJ9</f>
        <v/>
      </c>
      <c r="KL9" s="12">
        <f>IF(ProviderDelay&gt;=1,KH8*ProviderShare,KH9*ProviderShare)</f>
        <v/>
      </c>
      <c r="KM9" s="12">
        <f>KE9*PaymentFee</f>
        <v/>
      </c>
      <c r="KN9" s="12">
        <f>JY9*OpsAI</f>
        <v/>
      </c>
      <c r="KO9" s="12">
        <f>MonthlyFixed</f>
        <v/>
      </c>
      <c r="KP9" s="12">
        <f>JM9*ReferralReward</f>
        <v/>
      </c>
      <c r="KQ9" s="12">
        <f>JK9</f>
        <v/>
      </c>
      <c r="KR9" s="9">
        <f>KH9-KL9-KM9-KN9-KO9-KP9-KQ9</f>
        <v/>
      </c>
      <c r="KS9" s="9">
        <f>KS8+KE9-(KL9+KM9+KN9+KO9+KP9+KQ9+KJ9)</f>
        <v/>
      </c>
      <c r="KT9" s="12">
        <f>IF(JY9&gt;0,JZ9/JY9,0)</f>
        <v/>
      </c>
      <c r="KU9" s="11">
        <f>IF(JY8&gt;0,MAX(0,(JY8+JN9-JY9)/JY8),0)</f>
        <v/>
      </c>
      <c r="KW9" s="12" t="n">
        <v>5</v>
      </c>
      <c r="KX9" s="12">
        <f>MOD(KW9-1+LaunchMonth-1,12)+1</f>
        <v/>
      </c>
      <c r="KY9" s="12">
        <f>INT((KW9-1+LaunchMonth-1)/12)+1</f>
        <v/>
      </c>
      <c r="KZ9" s="12">
        <f>VLOOKUP(KX9,SeasonTable,2,FALSE)</f>
        <v/>
      </c>
      <c r="LA9" s="12">
        <f>(1+InflationRate)^INT((KW9-1)/12)</f>
        <v/>
      </c>
      <c r="LB9" s="11">
        <f>'Sens - Churn'!$A$17*VLOOKUP(KX9,ChurnSeasonTable,4,FALSE)</f>
        <v/>
      </c>
      <c r="LC9" s="12">
        <f>MIN(MktFixed4_6,MAX(0,MK8-CashBuffer))</f>
        <v/>
      </c>
      <c r="LD9" s="12">
        <f>IF(LC9&gt;0,MAX(1,ROUND(LC9/CAC*KZ9,0)),0)</f>
        <v/>
      </c>
      <c r="LE9" s="12">
        <f>IF(LD9&gt;0,ROUND(LD9*ReferralMix/(1-ReferralMix),0),0)</f>
        <v/>
      </c>
      <c r="LF9" s="12">
        <f>LD9+LE9</f>
        <v/>
      </c>
      <c r="LG9" s="12">
        <f>ROUND(LF9*(1-AnnualMix),0)</f>
        <v/>
      </c>
      <c r="LH9" s="12">
        <f>LF9-LG9</f>
        <v/>
      </c>
      <c r="LI9" s="12">
        <f>ROUND(LG9*EssentialMix,0)</f>
        <v/>
      </c>
      <c r="LJ9" s="12">
        <f>LG9-LI9</f>
        <v/>
      </c>
      <c r="LK9" s="12">
        <f>ROUND(LH9*EssentialMix,0)</f>
        <v/>
      </c>
      <c r="LL9" s="12">
        <f>LH9-LK9</f>
        <v/>
      </c>
      <c r="LM9" s="12">
        <f>LI9+LI8+LI7+MAX(0,LM8-LI8-LI7)*(1-LB9)</f>
        <v/>
      </c>
      <c r="LN9" s="12">
        <f>LJ9+LJ8+LJ7+MAX(0,LN8-LJ8-LJ7)*(1-LB9)</f>
        <v/>
      </c>
      <c r="LO9" s="12">
        <f>SUM(LK$5:LK9)</f>
        <v/>
      </c>
      <c r="LP9" s="12">
        <f>SUM(LL$5:LL9)</f>
        <v/>
      </c>
      <c r="LQ9" s="12">
        <f>LM9+LN9+LO9+LP9</f>
        <v/>
      </c>
      <c r="LR9" s="9">
        <f>LM9*PriceEssMonthly*LA9+LN9*PricePremMonthly*LA9+LO9*PriceEssAnnual*LA9/12+LP9*PricePremAnnual*LA9/12</f>
        <v/>
      </c>
      <c r="LS9" s="9">
        <f>LR9*12</f>
        <v/>
      </c>
      <c r="LT9" s="12">
        <f>LM9*PriceEssMonthly*LA9+LN9*PricePremMonthly*LA9</f>
        <v/>
      </c>
      <c r="LU9" s="12">
        <f>LK9*PriceEssAnnual*LA9+LL9*PricePremAnnual*LA9</f>
        <v/>
      </c>
      <c r="LV9" s="12">
        <f>0+0</f>
        <v/>
      </c>
      <c r="LW9" s="9">
        <f>LT9+LU9+LV9</f>
        <v/>
      </c>
      <c r="LX9" s="12">
        <f>SUM(LW$5:LW9)</f>
        <v/>
      </c>
      <c r="LY9" s="12">
        <f>OR(LY8,LX9&gt;=VATThreshold)</f>
        <v/>
      </c>
      <c r="LZ9" s="9">
        <f>IF(LY9,LW9/(1+VATRate),LW9)</f>
        <v/>
      </c>
      <c r="MA9" s="12">
        <f>LW9-LZ9</f>
        <v/>
      </c>
      <c r="MB9" s="12">
        <f>IF(LY9=0,0,IF(KX9=1,SUMPRODUCT(--(($KY$5:$KY9=$KY9-1)*($KX$5:$KX9&gt;=10)*($KX$5:$KX9&lt;=12)),$MA$5:$MA9),IF(KX9=4,SUMPRODUCT(--(($KY$5:$KY9=$KY9)*($KX$5:$KX9&gt;=1)*($KX$5:$KX9&lt;=3)),$MA$5:$MA9),IF(KX9=7,SUMPRODUCT(--(($KY$5:$KY9=$KY9)*($KX$5:$KX9&gt;=4)*($KX$5:$KX9&lt;=6)),$MA$5:$MA9),IF(KX9=10,SUMPRODUCT(--(($KY$5:$KY9=$KY9)*($KX$5:$KX9&gt;=7)*($KX$5:$KX9&lt;=9)),$MA$5:$MA9),0)))))</f>
        <v/>
      </c>
      <c r="MC9" s="12">
        <f>MC8+MA9-MB9</f>
        <v/>
      </c>
      <c r="MD9" s="12">
        <f>IF(ProviderDelay&gt;=1,LZ8*ProviderShare,LZ9*ProviderShare)</f>
        <v/>
      </c>
      <c r="ME9" s="12">
        <f>LW9*PaymentFee</f>
        <v/>
      </c>
      <c r="MF9" s="12">
        <f>LQ9*OpsAI</f>
        <v/>
      </c>
      <c r="MG9" s="12">
        <f>MonthlyFixed</f>
        <v/>
      </c>
      <c r="MH9" s="12">
        <f>LE9*ReferralReward</f>
        <v/>
      </c>
      <c r="MI9" s="12">
        <f>LC9</f>
        <v/>
      </c>
      <c r="MJ9" s="9">
        <f>LZ9-MD9-ME9-MF9-MG9-MH9-MI9</f>
        <v/>
      </c>
      <c r="MK9" s="9">
        <f>MK8+LW9-(MD9+ME9+MF9+MG9+MH9+MI9+MB9)</f>
        <v/>
      </c>
      <c r="ML9" s="12">
        <f>IF(LQ9&gt;0,LR9/LQ9,0)</f>
        <v/>
      </c>
      <c r="MM9" s="11">
        <f>IF(LQ8&gt;0,MAX(0,(LQ8+LF9-LQ9)/LQ8),0)</f>
        <v/>
      </c>
      <c r="MO9" s="12" t="n">
        <v>5</v>
      </c>
      <c r="MP9" s="12">
        <f>MOD(MO9-1+LaunchMonth-1,12)+1</f>
        <v/>
      </c>
      <c r="MQ9" s="12">
        <f>INT((MO9-1+LaunchMonth-1)/12)+1</f>
        <v/>
      </c>
      <c r="MR9" s="12">
        <f>VLOOKUP(MP9,SeasonTable,2,FALSE)</f>
        <v/>
      </c>
      <c r="MS9" s="12">
        <f>(1+InflationRate)^INT((MO9-1)/12)</f>
        <v/>
      </c>
      <c r="MT9" s="11">
        <f>'Sens - Churn'!$A$18*VLOOKUP(MP9,ChurnSeasonTable,4,FALSE)</f>
        <v/>
      </c>
      <c r="MU9" s="12">
        <f>MIN(MktFixed4_6,MAX(0,OC8-CashBuffer))</f>
        <v/>
      </c>
      <c r="MV9" s="12">
        <f>IF(MU9&gt;0,MAX(1,ROUND(MU9/CAC*MR9,0)),0)</f>
        <v/>
      </c>
      <c r="MW9" s="12">
        <f>IF(MV9&gt;0,ROUND(MV9*ReferralMix/(1-ReferralMix),0),0)</f>
        <v/>
      </c>
      <c r="MX9" s="12">
        <f>MV9+MW9</f>
        <v/>
      </c>
      <c r="MY9" s="12">
        <f>ROUND(MX9*(1-AnnualMix),0)</f>
        <v/>
      </c>
      <c r="MZ9" s="12">
        <f>MX9-MY9</f>
        <v/>
      </c>
      <c r="NA9" s="12">
        <f>ROUND(MY9*EssentialMix,0)</f>
        <v/>
      </c>
      <c r="NB9" s="12">
        <f>MY9-NA9</f>
        <v/>
      </c>
      <c r="NC9" s="12">
        <f>ROUND(MZ9*EssentialMix,0)</f>
        <v/>
      </c>
      <c r="ND9" s="12">
        <f>MZ9-NC9</f>
        <v/>
      </c>
      <c r="NE9" s="12">
        <f>NA9+NA8+NA7+MAX(0,NE8-NA8-NA7)*(1-MT9)</f>
        <v/>
      </c>
      <c r="NF9" s="12">
        <f>NB9+NB8+NB7+MAX(0,NF8-NB8-NB7)*(1-MT9)</f>
        <v/>
      </c>
      <c r="NG9" s="12">
        <f>SUM(NC$5:NC9)</f>
        <v/>
      </c>
      <c r="NH9" s="12">
        <f>SUM(ND$5:ND9)</f>
        <v/>
      </c>
      <c r="NI9" s="12">
        <f>NE9+NF9+NG9+NH9</f>
        <v/>
      </c>
      <c r="NJ9" s="9">
        <f>NE9*PriceEssMonthly*MS9+NF9*PricePremMonthly*MS9+NG9*PriceEssAnnual*MS9/12+NH9*PricePremAnnual*MS9/12</f>
        <v/>
      </c>
      <c r="NK9" s="9">
        <f>NJ9*12</f>
        <v/>
      </c>
      <c r="NL9" s="12">
        <f>NE9*PriceEssMonthly*MS9+NF9*PricePremMonthly*MS9</f>
        <v/>
      </c>
      <c r="NM9" s="12">
        <f>NC9*PriceEssAnnual*MS9+ND9*PricePremAnnual*MS9</f>
        <v/>
      </c>
      <c r="NN9" s="12">
        <f>0+0</f>
        <v/>
      </c>
      <c r="NO9" s="9">
        <f>NL9+NM9+NN9</f>
        <v/>
      </c>
      <c r="NP9" s="12">
        <f>SUM(NO$5:NO9)</f>
        <v/>
      </c>
      <c r="NQ9" s="12">
        <f>OR(NQ8,NP9&gt;=VATThreshold)</f>
        <v/>
      </c>
      <c r="NR9" s="9">
        <f>IF(NQ9,NO9/(1+VATRate),NO9)</f>
        <v/>
      </c>
      <c r="NS9" s="12">
        <f>NO9-NR9</f>
        <v/>
      </c>
      <c r="NT9" s="12">
        <f>IF(NQ9=0,0,IF(MP9=1,SUMPRODUCT(--(($MQ$5:$MQ9=$MQ9-1)*($MP$5:$MP9&gt;=10)*($MP$5:$MP9&lt;=12)),$NS$5:$NS9),IF(MP9=4,SUMPRODUCT(--(($MQ$5:$MQ9=$MQ9)*($MP$5:$MP9&gt;=1)*($MP$5:$MP9&lt;=3)),$NS$5:$NS9),IF(MP9=7,SUMPRODUCT(--(($MQ$5:$MQ9=$MQ9)*($MP$5:$MP9&gt;=4)*($MP$5:$MP9&lt;=6)),$NS$5:$NS9),IF(MP9=10,SUMPRODUCT(--(($MQ$5:$MQ9=$MQ9)*($MP$5:$MP9&gt;=7)*($MP$5:$MP9&lt;=9)),$NS$5:$NS9),0)))))</f>
        <v/>
      </c>
      <c r="NU9" s="12">
        <f>NU8+NS9-NT9</f>
        <v/>
      </c>
      <c r="NV9" s="12">
        <f>IF(ProviderDelay&gt;=1,NR8*ProviderShare,NR9*ProviderShare)</f>
        <v/>
      </c>
      <c r="NW9" s="12">
        <f>NO9*PaymentFee</f>
        <v/>
      </c>
      <c r="NX9" s="12">
        <f>NI9*OpsAI</f>
        <v/>
      </c>
      <c r="NY9" s="12">
        <f>MonthlyFixed</f>
        <v/>
      </c>
      <c r="NZ9" s="12">
        <f>MW9*ReferralReward</f>
        <v/>
      </c>
      <c r="OA9" s="12">
        <f>MU9</f>
        <v/>
      </c>
      <c r="OB9" s="9">
        <f>NR9-NV9-NW9-NX9-NY9-NZ9-OA9</f>
        <v/>
      </c>
      <c r="OC9" s="9">
        <f>OC8+NO9-(NV9+NW9+NX9+NY9+NZ9+OA9+NT9)</f>
        <v/>
      </c>
      <c r="OD9" s="12">
        <f>IF(NI9&gt;0,NJ9/NI9,0)</f>
        <v/>
      </c>
      <c r="OE9" s="11">
        <f>IF(NI8&gt;0,MAX(0,(NI8+MX9-NI9)/NI8),0)</f>
        <v/>
      </c>
      <c r="OG9" s="12" t="n">
        <v>5</v>
      </c>
      <c r="OH9" s="12">
        <f>MOD(OG9-1+LaunchMonth-1,12)+1</f>
        <v/>
      </c>
      <c r="OI9" s="12">
        <f>INT((OG9-1+LaunchMonth-1)/12)+1</f>
        <v/>
      </c>
      <c r="OJ9" s="12">
        <f>VLOOKUP(OH9,SeasonTable,2,FALSE)</f>
        <v/>
      </c>
      <c r="OK9" s="12">
        <f>(1+InflationRate)^INT((OG9-1)/12)</f>
        <v/>
      </c>
      <c r="OL9" s="11">
        <f>'Sens - Churn'!$A$19*VLOOKUP(OH9,ChurnSeasonTable,4,FALSE)</f>
        <v/>
      </c>
      <c r="OM9" s="12">
        <f>MIN(MktFixed4_6,MAX(0,PU8-CashBuffer))</f>
        <v/>
      </c>
      <c r="ON9" s="12">
        <f>IF(OM9&gt;0,MAX(1,ROUND(OM9/CAC*OJ9,0)),0)</f>
        <v/>
      </c>
      <c r="OO9" s="12">
        <f>IF(ON9&gt;0,ROUND(ON9*ReferralMix/(1-ReferralMix),0),0)</f>
        <v/>
      </c>
      <c r="OP9" s="12">
        <f>ON9+OO9</f>
        <v/>
      </c>
      <c r="OQ9" s="12">
        <f>ROUND(OP9*(1-AnnualMix),0)</f>
        <v/>
      </c>
      <c r="OR9" s="12">
        <f>OP9-OQ9</f>
        <v/>
      </c>
      <c r="OS9" s="12">
        <f>ROUND(OQ9*EssentialMix,0)</f>
        <v/>
      </c>
      <c r="OT9" s="12">
        <f>OQ9-OS9</f>
        <v/>
      </c>
      <c r="OU9" s="12">
        <f>ROUND(OR9*EssentialMix,0)</f>
        <v/>
      </c>
      <c r="OV9" s="12">
        <f>OR9-OU9</f>
        <v/>
      </c>
      <c r="OW9" s="12">
        <f>OS9+OS8+OS7+MAX(0,OW8-OS8-OS7)*(1-OL9)</f>
        <v/>
      </c>
      <c r="OX9" s="12">
        <f>OT9+OT8+OT7+MAX(0,OX8-OT8-OT7)*(1-OL9)</f>
        <v/>
      </c>
      <c r="OY9" s="12">
        <f>SUM(OU$5:OU9)</f>
        <v/>
      </c>
      <c r="OZ9" s="12">
        <f>SUM(OV$5:OV9)</f>
        <v/>
      </c>
      <c r="PA9" s="12">
        <f>OW9+OX9+OY9+OZ9</f>
        <v/>
      </c>
      <c r="PB9" s="9">
        <f>OW9*PriceEssMonthly*OK9+OX9*PricePremMonthly*OK9+OY9*PriceEssAnnual*OK9/12+OZ9*PricePremAnnual*OK9/12</f>
        <v/>
      </c>
      <c r="PC9" s="9">
        <f>PB9*12</f>
        <v/>
      </c>
      <c r="PD9" s="12">
        <f>OW9*PriceEssMonthly*OK9+OX9*PricePremMonthly*OK9</f>
        <v/>
      </c>
      <c r="PE9" s="12">
        <f>OU9*PriceEssAnnual*OK9+OV9*PricePremAnnual*OK9</f>
        <v/>
      </c>
      <c r="PF9" s="12">
        <f>0+0</f>
        <v/>
      </c>
      <c r="PG9" s="9">
        <f>PD9+PE9+PF9</f>
        <v/>
      </c>
      <c r="PH9" s="12">
        <f>SUM(PG$5:PG9)</f>
        <v/>
      </c>
      <c r="PI9" s="12">
        <f>OR(PI8,PH9&gt;=VATThreshold)</f>
        <v/>
      </c>
      <c r="PJ9" s="9">
        <f>IF(PI9,PG9/(1+VATRate),PG9)</f>
        <v/>
      </c>
      <c r="PK9" s="12">
        <f>PG9-PJ9</f>
        <v/>
      </c>
      <c r="PL9" s="12">
        <f>IF(PI9=0,0,IF(OH9=1,SUMPRODUCT(--(($OI$5:$OI9=$OI9-1)*($OH$5:$OH9&gt;=10)*($OH$5:$OH9&lt;=12)),$PK$5:$PK9),IF(OH9=4,SUMPRODUCT(--(($OI$5:$OI9=$OI9)*($OH$5:$OH9&gt;=1)*($OH$5:$OH9&lt;=3)),$PK$5:$PK9),IF(OH9=7,SUMPRODUCT(--(($OI$5:$OI9=$OI9)*($OH$5:$OH9&gt;=4)*($OH$5:$OH9&lt;=6)),$PK$5:$PK9),IF(OH9=10,SUMPRODUCT(--(($OI$5:$OI9=$OI9)*($OH$5:$OH9&gt;=7)*($OH$5:$OH9&lt;=9)),$PK$5:$PK9),0)))))</f>
        <v/>
      </c>
      <c r="PM9" s="12">
        <f>PM8+PK9-PL9</f>
        <v/>
      </c>
      <c r="PN9" s="12">
        <f>IF(ProviderDelay&gt;=1,PJ8*ProviderShare,PJ9*ProviderShare)</f>
        <v/>
      </c>
      <c r="PO9" s="12">
        <f>PG9*PaymentFee</f>
        <v/>
      </c>
      <c r="PP9" s="12">
        <f>PA9*OpsAI</f>
        <v/>
      </c>
      <c r="PQ9" s="12">
        <f>MonthlyFixed</f>
        <v/>
      </c>
      <c r="PR9" s="12">
        <f>OO9*ReferralReward</f>
        <v/>
      </c>
      <c r="PS9" s="12">
        <f>OM9</f>
        <v/>
      </c>
      <c r="PT9" s="9">
        <f>PJ9-PN9-PO9-PP9-PQ9-PR9-PS9</f>
        <v/>
      </c>
      <c r="PU9" s="9">
        <f>PU8+PG9-(PN9+PO9+PP9+PQ9+PR9+PS9+PL9)</f>
        <v/>
      </c>
      <c r="PV9" s="12">
        <f>IF(PA9&gt;0,PB9/PA9,0)</f>
        <v/>
      </c>
      <c r="PW9" s="11">
        <f>IF(PA8&gt;0,MAX(0,(PA8+OP9-PA9)/PA8),0)</f>
        <v/>
      </c>
      <c r="PY9" s="12" t="n">
        <v>5</v>
      </c>
      <c r="PZ9" s="12">
        <f>MOD(PY9-1+LaunchMonth-1,12)+1</f>
        <v/>
      </c>
      <c r="QA9" s="12">
        <f>INT((PY9-1+LaunchMonth-1)/12)+1</f>
        <v/>
      </c>
      <c r="QB9" s="12">
        <f>VLOOKUP(PZ9,SeasonTable,2,FALSE)</f>
        <v/>
      </c>
      <c r="QC9" s="12">
        <f>(1+InflationRate)^INT((PY9-1)/12)</f>
        <v/>
      </c>
      <c r="QD9" s="11">
        <f>'Sens - Churn'!$A$20*VLOOKUP(PZ9,ChurnSeasonTable,4,FALSE)</f>
        <v/>
      </c>
      <c r="QE9" s="12">
        <f>MIN(MktFixed4_6,MAX(0,RM8-CashBuffer))</f>
        <v/>
      </c>
      <c r="QF9" s="12">
        <f>IF(QE9&gt;0,MAX(1,ROUND(QE9/CAC*QB9,0)),0)</f>
        <v/>
      </c>
      <c r="QG9" s="12">
        <f>IF(QF9&gt;0,ROUND(QF9*ReferralMix/(1-ReferralMix),0),0)</f>
        <v/>
      </c>
      <c r="QH9" s="12">
        <f>QF9+QG9</f>
        <v/>
      </c>
      <c r="QI9" s="12">
        <f>ROUND(QH9*(1-AnnualMix),0)</f>
        <v/>
      </c>
      <c r="QJ9" s="12">
        <f>QH9-QI9</f>
        <v/>
      </c>
      <c r="QK9" s="12">
        <f>ROUND(QI9*EssentialMix,0)</f>
        <v/>
      </c>
      <c r="QL9" s="12">
        <f>QI9-QK9</f>
        <v/>
      </c>
      <c r="QM9" s="12">
        <f>ROUND(QJ9*EssentialMix,0)</f>
        <v/>
      </c>
      <c r="QN9" s="12">
        <f>QJ9-QM9</f>
        <v/>
      </c>
      <c r="QO9" s="12">
        <f>QK9+QK8+QK7+MAX(0,QO8-QK8-QK7)*(1-QD9)</f>
        <v/>
      </c>
      <c r="QP9" s="12">
        <f>QL9+QL8+QL7+MAX(0,QP8-QL8-QL7)*(1-QD9)</f>
        <v/>
      </c>
      <c r="QQ9" s="12">
        <f>SUM(QM$5:QM9)</f>
        <v/>
      </c>
      <c r="QR9" s="12">
        <f>SUM(QN$5:QN9)</f>
        <v/>
      </c>
      <c r="QS9" s="12">
        <f>QO9+QP9+QQ9+QR9</f>
        <v/>
      </c>
      <c r="QT9" s="9">
        <f>QO9*PriceEssMonthly*QC9+QP9*PricePremMonthly*QC9+QQ9*PriceEssAnnual*QC9/12+QR9*PricePremAnnual*QC9/12</f>
        <v/>
      </c>
      <c r="QU9" s="9">
        <f>QT9*12</f>
        <v/>
      </c>
      <c r="QV9" s="12">
        <f>QO9*PriceEssMonthly*QC9+QP9*PricePremMonthly*QC9</f>
        <v/>
      </c>
      <c r="QW9" s="12">
        <f>QM9*PriceEssAnnual*QC9+QN9*PricePremAnnual*QC9</f>
        <v/>
      </c>
      <c r="QX9" s="12">
        <f>0+0</f>
        <v/>
      </c>
      <c r="QY9" s="9">
        <f>QV9+QW9+QX9</f>
        <v/>
      </c>
      <c r="QZ9" s="12">
        <f>SUM(QY$5:QY9)</f>
        <v/>
      </c>
      <c r="RA9" s="12">
        <f>OR(RA8,QZ9&gt;=VATThreshold)</f>
        <v/>
      </c>
      <c r="RB9" s="9">
        <f>IF(RA9,QY9/(1+VATRate),QY9)</f>
        <v/>
      </c>
      <c r="RC9" s="12">
        <f>QY9-RB9</f>
        <v/>
      </c>
      <c r="RD9" s="12">
        <f>IF(RA9=0,0,IF(PZ9=1,SUMPRODUCT(--(($QA$5:$QA9=$QA9-1)*($PZ$5:$PZ9&gt;=10)*($PZ$5:$PZ9&lt;=12)),$RC$5:$RC9),IF(PZ9=4,SUMPRODUCT(--(($QA$5:$QA9=$QA9)*($PZ$5:$PZ9&gt;=1)*($PZ$5:$PZ9&lt;=3)),$RC$5:$RC9),IF(PZ9=7,SUMPRODUCT(--(($QA$5:$QA9=$QA9)*($PZ$5:$PZ9&gt;=4)*($PZ$5:$PZ9&lt;=6)),$RC$5:$RC9),IF(PZ9=10,SUMPRODUCT(--(($QA$5:$QA9=$QA9)*($PZ$5:$PZ9&gt;=7)*($PZ$5:$PZ9&lt;=9)),$RC$5:$RC9),0)))))</f>
        <v/>
      </c>
      <c r="RE9" s="12">
        <f>RE8+RC9-RD9</f>
        <v/>
      </c>
      <c r="RF9" s="12">
        <f>IF(ProviderDelay&gt;=1,RB8*ProviderShare,RB9*ProviderShare)</f>
        <v/>
      </c>
      <c r="RG9" s="12">
        <f>QY9*PaymentFee</f>
        <v/>
      </c>
      <c r="RH9" s="12">
        <f>QS9*OpsAI</f>
        <v/>
      </c>
      <c r="RI9" s="12">
        <f>MonthlyFixed</f>
        <v/>
      </c>
      <c r="RJ9" s="12">
        <f>QG9*ReferralReward</f>
        <v/>
      </c>
      <c r="RK9" s="12">
        <f>QE9</f>
        <v/>
      </c>
      <c r="RL9" s="9">
        <f>RB9-RF9-RG9-RH9-RI9-RJ9-RK9</f>
        <v/>
      </c>
      <c r="RM9" s="9">
        <f>RM8+QY9-(RF9+RG9+RH9+RI9+RJ9+RK9+RD9)</f>
        <v/>
      </c>
      <c r="RN9" s="12">
        <f>IF(QS9&gt;0,QT9/QS9,0)</f>
        <v/>
      </c>
      <c r="RO9" s="11">
        <f>IF(QS8&gt;0,MAX(0,(QS8+QH9-QS9)/QS8),0)</f>
        <v/>
      </c>
      <c r="RQ9" s="12" t="n">
        <v>5</v>
      </c>
      <c r="RR9" s="12">
        <f>MOD(RQ9-1+LaunchMonth-1,12)+1</f>
        <v/>
      </c>
      <c r="RS9" s="12">
        <f>INT((RQ9-1+LaunchMonth-1)/12)+1</f>
        <v/>
      </c>
      <c r="RT9" s="12">
        <f>VLOOKUP(RR9,SeasonTable,2,FALSE)</f>
        <v/>
      </c>
      <c r="RU9" s="12">
        <f>(1+InflationRate)^INT((RQ9-1)/12)</f>
        <v/>
      </c>
      <c r="RV9" s="11">
        <f>'Sens - Churn'!$A$21*VLOOKUP(RR9,ChurnSeasonTable,4,FALSE)</f>
        <v/>
      </c>
      <c r="RW9" s="12">
        <f>MIN(MktFixed4_6,MAX(0,TE8-CashBuffer))</f>
        <v/>
      </c>
      <c r="RX9" s="12">
        <f>IF(RW9&gt;0,MAX(1,ROUND(RW9/CAC*RT9,0)),0)</f>
        <v/>
      </c>
      <c r="RY9" s="12">
        <f>IF(RX9&gt;0,ROUND(RX9*ReferralMix/(1-ReferralMix),0),0)</f>
        <v/>
      </c>
      <c r="RZ9" s="12">
        <f>RX9+RY9</f>
        <v/>
      </c>
      <c r="SA9" s="12">
        <f>ROUND(RZ9*(1-AnnualMix),0)</f>
        <v/>
      </c>
      <c r="SB9" s="12">
        <f>RZ9-SA9</f>
        <v/>
      </c>
      <c r="SC9" s="12">
        <f>ROUND(SA9*EssentialMix,0)</f>
        <v/>
      </c>
      <c r="SD9" s="12">
        <f>SA9-SC9</f>
        <v/>
      </c>
      <c r="SE9" s="12">
        <f>ROUND(SB9*EssentialMix,0)</f>
        <v/>
      </c>
      <c r="SF9" s="12">
        <f>SB9-SE9</f>
        <v/>
      </c>
      <c r="SG9" s="12">
        <f>SC9+SC8+SC7+MAX(0,SG8-SC8-SC7)*(1-RV9)</f>
        <v/>
      </c>
      <c r="SH9" s="12">
        <f>SD9+SD8+SD7+MAX(0,SH8-SD8-SD7)*(1-RV9)</f>
        <v/>
      </c>
      <c r="SI9" s="12">
        <f>SUM(SE$5:SE9)</f>
        <v/>
      </c>
      <c r="SJ9" s="12">
        <f>SUM(SF$5:SF9)</f>
        <v/>
      </c>
      <c r="SK9" s="12">
        <f>SG9+SH9+SI9+SJ9</f>
        <v/>
      </c>
      <c r="SL9" s="9">
        <f>SG9*PriceEssMonthly*RU9+SH9*PricePremMonthly*RU9+SI9*PriceEssAnnual*RU9/12+SJ9*PricePremAnnual*RU9/12</f>
        <v/>
      </c>
      <c r="SM9" s="9">
        <f>SL9*12</f>
        <v/>
      </c>
      <c r="SN9" s="12">
        <f>SG9*PriceEssMonthly*RU9+SH9*PricePremMonthly*RU9</f>
        <v/>
      </c>
      <c r="SO9" s="12">
        <f>SE9*PriceEssAnnual*RU9+SF9*PricePremAnnual*RU9</f>
        <v/>
      </c>
      <c r="SP9" s="12">
        <f>0+0</f>
        <v/>
      </c>
      <c r="SQ9" s="9">
        <f>SN9+SO9+SP9</f>
        <v/>
      </c>
      <c r="SR9" s="12">
        <f>SUM(SQ$5:SQ9)</f>
        <v/>
      </c>
      <c r="SS9" s="12">
        <f>OR(SS8,SR9&gt;=VATThreshold)</f>
        <v/>
      </c>
      <c r="ST9" s="9">
        <f>IF(SS9,SQ9/(1+VATRate),SQ9)</f>
        <v/>
      </c>
      <c r="SU9" s="12">
        <f>SQ9-ST9</f>
        <v/>
      </c>
      <c r="SV9" s="12">
        <f>IF(SS9=0,0,IF(RR9=1,SUMPRODUCT(--(($RS$5:$RS9=$RS9-1)*($RR$5:$RR9&gt;=10)*($RR$5:$RR9&lt;=12)),$SU$5:$SU9),IF(RR9=4,SUMPRODUCT(--(($RS$5:$RS9=$RS9)*($RR$5:$RR9&gt;=1)*($RR$5:$RR9&lt;=3)),$SU$5:$SU9),IF(RR9=7,SUMPRODUCT(--(($RS$5:$RS9=$RS9)*($RR$5:$RR9&gt;=4)*($RR$5:$RR9&lt;=6)),$SU$5:$SU9),IF(RR9=10,SUMPRODUCT(--(($RS$5:$RS9=$RS9)*($RR$5:$RR9&gt;=7)*($RR$5:$RR9&lt;=9)),$SU$5:$SU9),0)))))</f>
        <v/>
      </c>
      <c r="SW9" s="12">
        <f>SW8+SU9-SV9</f>
        <v/>
      </c>
      <c r="SX9" s="12">
        <f>IF(ProviderDelay&gt;=1,ST8*ProviderShare,ST9*ProviderShare)</f>
        <v/>
      </c>
      <c r="SY9" s="12">
        <f>SQ9*PaymentFee</f>
        <v/>
      </c>
      <c r="SZ9" s="12">
        <f>SK9*OpsAI</f>
        <v/>
      </c>
      <c r="TA9" s="12">
        <f>MonthlyFixed</f>
        <v/>
      </c>
      <c r="TB9" s="12">
        <f>RY9*ReferralReward</f>
        <v/>
      </c>
      <c r="TC9" s="12">
        <f>RW9</f>
        <v/>
      </c>
      <c r="TD9" s="9">
        <f>ST9-SX9-SY9-SZ9-TA9-TB9-TC9</f>
        <v/>
      </c>
      <c r="TE9" s="9">
        <f>TE8+SQ9-(SX9+SY9+SZ9+TA9+TB9+TC9+SV9)</f>
        <v/>
      </c>
      <c r="TF9" s="12">
        <f>IF(SK9&gt;0,SL9/SK9,0)</f>
        <v/>
      </c>
      <c r="TG9" s="11">
        <f>IF(SK8&gt;0,MAX(0,(SK8+RZ9-SK9)/SK8),0)</f>
        <v/>
      </c>
      <c r="TI9" s="12" t="n">
        <v>5</v>
      </c>
      <c r="TJ9" s="12">
        <f>MOD(TI9-1+LaunchMonth-1,12)+1</f>
        <v/>
      </c>
      <c r="TK9" s="12">
        <f>INT((TI9-1+LaunchMonth-1)/12)+1</f>
        <v/>
      </c>
      <c r="TL9" s="12">
        <f>VLOOKUP(TJ9,SeasonTable,2,FALSE)</f>
        <v/>
      </c>
      <c r="TM9" s="12">
        <f>(1+InflationRate)^INT((TI9-1)/12)</f>
        <v/>
      </c>
      <c r="TN9" s="11">
        <f>MonthlyChurn*VLOOKUP(TJ9,ChurnSeasonTable,4,FALSE)</f>
        <v/>
      </c>
      <c r="TO9" s="12">
        <f>MIN(MktFixed4_6,MAX(0,UW8-CashBuffer))</f>
        <v/>
      </c>
      <c r="TP9" s="12">
        <f>IF(TO9&gt;0,MAX(1,ROUND(TO9/CAC*TL9,0)),0)</f>
        <v/>
      </c>
      <c r="TQ9" s="12">
        <f>IF(TP9&gt;0,ROUND(TP9*ReferralMix/(1-ReferralMix),0),0)</f>
        <v/>
      </c>
      <c r="TR9" s="12">
        <f>TP9+TQ9</f>
        <v/>
      </c>
      <c r="TS9" s="12">
        <f>ROUND(TR9*(1-'Sens - Annual Mix'!$A$9),0)</f>
        <v/>
      </c>
      <c r="TT9" s="12">
        <f>TR9-TS9</f>
        <v/>
      </c>
      <c r="TU9" s="12">
        <f>ROUND(TS9*EssentialMix,0)</f>
        <v/>
      </c>
      <c r="TV9" s="12">
        <f>TS9-TU9</f>
        <v/>
      </c>
      <c r="TW9" s="12">
        <f>ROUND(TT9*EssentialMix,0)</f>
        <v/>
      </c>
      <c r="TX9" s="12">
        <f>TT9-TW9</f>
        <v/>
      </c>
      <c r="TY9" s="12">
        <f>TU9+TU8+TU7+MAX(0,TY8-TU8-TU7)*(1-TN9)</f>
        <v/>
      </c>
      <c r="TZ9" s="12">
        <f>TV9+TV8+TV7+MAX(0,TZ8-TV8-TV7)*(1-TN9)</f>
        <v/>
      </c>
      <c r="UA9" s="12">
        <f>SUM(TW$5:TW9)</f>
        <v/>
      </c>
      <c r="UB9" s="12">
        <f>SUM(TX$5:TX9)</f>
        <v/>
      </c>
      <c r="UC9" s="12">
        <f>TY9+TZ9+UA9+UB9</f>
        <v/>
      </c>
      <c r="UD9" s="9">
        <f>TY9*PriceEssMonthly*TM9+TZ9*PricePremMonthly*TM9+UA9*PriceEssAnnual*TM9/12+UB9*PricePremAnnual*TM9/12</f>
        <v/>
      </c>
      <c r="UE9" s="9">
        <f>UD9*12</f>
        <v/>
      </c>
      <c r="UF9" s="12">
        <f>TY9*PriceEssMonthly*TM9+TZ9*PricePremMonthly*TM9</f>
        <v/>
      </c>
      <c r="UG9" s="12">
        <f>TW9*PriceEssAnnual*TM9+TX9*PricePremAnnual*TM9</f>
        <v/>
      </c>
      <c r="UH9" s="12">
        <f>0+0</f>
        <v/>
      </c>
      <c r="UI9" s="9">
        <f>UF9+UG9+UH9</f>
        <v/>
      </c>
      <c r="UJ9" s="12">
        <f>SUM(UI$5:UI9)</f>
        <v/>
      </c>
      <c r="UK9" s="12">
        <f>OR(UK8,UJ9&gt;=VATThreshold)</f>
        <v/>
      </c>
      <c r="UL9" s="9">
        <f>IF(UK9,UI9/(1+VATRate),UI9)</f>
        <v/>
      </c>
      <c r="UM9" s="12">
        <f>UI9-UL9</f>
        <v/>
      </c>
      <c r="UN9" s="12">
        <f>IF(UK9=0,0,IF(TJ9=1,SUMPRODUCT(--(($TK$5:$TK9=$TK9-1)*($TJ$5:$TJ9&gt;=10)*($TJ$5:$TJ9&lt;=12)),$UM$5:$UM9),IF(TJ9=4,SUMPRODUCT(--(($TK$5:$TK9=$TK9)*($TJ$5:$TJ9&gt;=1)*($TJ$5:$TJ9&lt;=3)),$UM$5:$UM9),IF(TJ9=7,SUMPRODUCT(--(($TK$5:$TK9=$TK9)*($TJ$5:$TJ9&gt;=4)*($TJ$5:$TJ9&lt;=6)),$UM$5:$UM9),IF(TJ9=10,SUMPRODUCT(--(($TK$5:$TK9=$TK9)*($TJ$5:$TJ9&gt;=7)*($TJ$5:$TJ9&lt;=9)),$UM$5:$UM9),0)))))</f>
        <v/>
      </c>
      <c r="UO9" s="12">
        <f>UO8+UM9-UN9</f>
        <v/>
      </c>
      <c r="UP9" s="12">
        <f>IF(ProviderDelay&gt;=1,UL8*ProviderShare,UL9*ProviderShare)</f>
        <v/>
      </c>
      <c r="UQ9" s="12">
        <f>UI9*PaymentFee</f>
        <v/>
      </c>
      <c r="UR9" s="12">
        <f>UC9*OpsAI</f>
        <v/>
      </c>
      <c r="US9" s="12">
        <f>MonthlyFixed</f>
        <v/>
      </c>
      <c r="UT9" s="12">
        <f>TQ9*ReferralReward</f>
        <v/>
      </c>
      <c r="UU9" s="12">
        <f>TO9</f>
        <v/>
      </c>
      <c r="UV9" s="9">
        <f>UL9-UP9-UQ9-UR9-US9-UT9-UU9</f>
        <v/>
      </c>
      <c r="UW9" s="9">
        <f>UW8+UI9-(UP9+UQ9+UR9+US9+UT9+UU9+UN9)</f>
        <v/>
      </c>
      <c r="UX9" s="12">
        <f>IF(UC9&gt;0,UD9/UC9,0)</f>
        <v/>
      </c>
      <c r="UY9" s="11">
        <f>IF(UC8&gt;0,MAX(0,(UC8+TR9-UC9)/UC8),0)</f>
        <v/>
      </c>
      <c r="VA9" s="12" t="n">
        <v>5</v>
      </c>
      <c r="VB9" s="12">
        <f>MOD(VA9-1+LaunchMonth-1,12)+1</f>
        <v/>
      </c>
      <c r="VC9" s="12">
        <f>INT((VA9-1+LaunchMonth-1)/12)+1</f>
        <v/>
      </c>
      <c r="VD9" s="12">
        <f>VLOOKUP(VB9,SeasonTable,2,FALSE)</f>
        <v/>
      </c>
      <c r="VE9" s="12">
        <f>(1+InflationRate)^INT((VA9-1)/12)</f>
        <v/>
      </c>
      <c r="VF9" s="11">
        <f>MonthlyChurn*VLOOKUP(VB9,ChurnSeasonTable,4,FALSE)</f>
        <v/>
      </c>
      <c r="VG9" s="12">
        <f>MIN(MktFixed4_6,MAX(0,WO8-CashBuffer))</f>
        <v/>
      </c>
      <c r="VH9" s="12">
        <f>IF(VG9&gt;0,MAX(1,ROUND(VG9/CAC*VD9,0)),0)</f>
        <v/>
      </c>
      <c r="VI9" s="12">
        <f>IF(VH9&gt;0,ROUND(VH9*ReferralMix/(1-ReferralMix),0),0)</f>
        <v/>
      </c>
      <c r="VJ9" s="12">
        <f>VH9+VI9</f>
        <v/>
      </c>
      <c r="VK9" s="12">
        <f>ROUND(VJ9*(1-'Sens - Annual Mix'!$A$10),0)</f>
        <v/>
      </c>
      <c r="VL9" s="12">
        <f>VJ9-VK9</f>
        <v/>
      </c>
      <c r="VM9" s="12">
        <f>ROUND(VK9*EssentialMix,0)</f>
        <v/>
      </c>
      <c r="VN9" s="12">
        <f>VK9-VM9</f>
        <v/>
      </c>
      <c r="VO9" s="12">
        <f>ROUND(VL9*EssentialMix,0)</f>
        <v/>
      </c>
      <c r="VP9" s="12">
        <f>VL9-VO9</f>
        <v/>
      </c>
      <c r="VQ9" s="12">
        <f>VM9+VM8+VM7+MAX(0,VQ8-VM8-VM7)*(1-VF9)</f>
        <v/>
      </c>
      <c r="VR9" s="12">
        <f>VN9+VN8+VN7+MAX(0,VR8-VN8-VN7)*(1-VF9)</f>
        <v/>
      </c>
      <c r="VS9" s="12">
        <f>SUM(VO$5:VO9)</f>
        <v/>
      </c>
      <c r="VT9" s="12">
        <f>SUM(VP$5:VP9)</f>
        <v/>
      </c>
      <c r="VU9" s="12">
        <f>VQ9+VR9+VS9+VT9</f>
        <v/>
      </c>
      <c r="VV9" s="9">
        <f>VQ9*PriceEssMonthly*VE9+VR9*PricePremMonthly*VE9+VS9*PriceEssAnnual*VE9/12+VT9*PricePremAnnual*VE9/12</f>
        <v/>
      </c>
      <c r="VW9" s="9">
        <f>VV9*12</f>
        <v/>
      </c>
      <c r="VX9" s="12">
        <f>VQ9*PriceEssMonthly*VE9+VR9*PricePremMonthly*VE9</f>
        <v/>
      </c>
      <c r="VY9" s="12">
        <f>VO9*PriceEssAnnual*VE9+VP9*PricePremAnnual*VE9</f>
        <v/>
      </c>
      <c r="VZ9" s="12">
        <f>0+0</f>
        <v/>
      </c>
      <c r="WA9" s="9">
        <f>VX9+VY9+VZ9</f>
        <v/>
      </c>
      <c r="WB9" s="12">
        <f>SUM(WA$5:WA9)</f>
        <v/>
      </c>
      <c r="WC9" s="12">
        <f>OR(WC8,WB9&gt;=VATThreshold)</f>
        <v/>
      </c>
      <c r="WD9" s="9">
        <f>IF(WC9,WA9/(1+VATRate),WA9)</f>
        <v/>
      </c>
      <c r="WE9" s="12">
        <f>WA9-WD9</f>
        <v/>
      </c>
      <c r="WF9" s="12">
        <f>IF(WC9=0,0,IF(VB9=1,SUMPRODUCT(--(($VC$5:$VC9=$VC9-1)*($VB$5:$VB9&gt;=10)*($VB$5:$VB9&lt;=12)),$WE$5:$WE9),IF(VB9=4,SUMPRODUCT(--(($VC$5:$VC9=$VC9)*($VB$5:$VB9&gt;=1)*($VB$5:$VB9&lt;=3)),$WE$5:$WE9),IF(VB9=7,SUMPRODUCT(--(($VC$5:$VC9=$VC9)*($VB$5:$VB9&gt;=4)*($VB$5:$VB9&lt;=6)),$WE$5:$WE9),IF(VB9=10,SUMPRODUCT(--(($VC$5:$VC9=$VC9)*($VB$5:$VB9&gt;=7)*($VB$5:$VB9&lt;=9)),$WE$5:$WE9),0)))))</f>
        <v/>
      </c>
      <c r="WG9" s="12">
        <f>WG8+WE9-WF9</f>
        <v/>
      </c>
      <c r="WH9" s="12">
        <f>IF(ProviderDelay&gt;=1,WD8*ProviderShare,WD9*ProviderShare)</f>
        <v/>
      </c>
      <c r="WI9" s="12">
        <f>WA9*PaymentFee</f>
        <v/>
      </c>
      <c r="WJ9" s="12">
        <f>VU9*OpsAI</f>
        <v/>
      </c>
      <c r="WK9" s="12">
        <f>MonthlyFixed</f>
        <v/>
      </c>
      <c r="WL9" s="12">
        <f>VI9*ReferralReward</f>
        <v/>
      </c>
      <c r="WM9" s="12">
        <f>VG9</f>
        <v/>
      </c>
      <c r="WN9" s="9">
        <f>WD9-WH9-WI9-WJ9-WK9-WL9-WM9</f>
        <v/>
      </c>
      <c r="WO9" s="9">
        <f>WO8+WA9-(WH9+WI9+WJ9+WK9+WL9+WM9+WF9)</f>
        <v/>
      </c>
      <c r="WP9" s="12">
        <f>IF(VU9&gt;0,VV9/VU9,0)</f>
        <v/>
      </c>
      <c r="WQ9" s="11">
        <f>IF(VU8&gt;0,MAX(0,(VU8+VJ9-VU9)/VU8),0)</f>
        <v/>
      </c>
      <c r="WS9" s="12" t="n">
        <v>5</v>
      </c>
      <c r="WT9" s="12">
        <f>MOD(WS9-1+LaunchMonth-1,12)+1</f>
        <v/>
      </c>
      <c r="WU9" s="12">
        <f>INT((WS9-1+LaunchMonth-1)/12)+1</f>
        <v/>
      </c>
      <c r="WV9" s="12">
        <f>VLOOKUP(WT9,SeasonTable,2,FALSE)</f>
        <v/>
      </c>
      <c r="WW9" s="12">
        <f>(1+InflationRate)^INT((WS9-1)/12)</f>
        <v/>
      </c>
      <c r="WX9" s="11">
        <f>MonthlyChurn*VLOOKUP(WT9,ChurnSeasonTable,4,FALSE)</f>
        <v/>
      </c>
      <c r="WY9" s="12">
        <f>MIN(MktFixed4_6,MAX(0,YG8-CashBuffer))</f>
        <v/>
      </c>
      <c r="WZ9" s="12">
        <f>IF(WY9&gt;0,MAX(1,ROUND(WY9/CAC*WV9,0)),0)</f>
        <v/>
      </c>
      <c r="XA9" s="12">
        <f>IF(WZ9&gt;0,ROUND(WZ9*ReferralMix/(1-ReferralMix),0),0)</f>
        <v/>
      </c>
      <c r="XB9" s="12">
        <f>WZ9+XA9</f>
        <v/>
      </c>
      <c r="XC9" s="12">
        <f>ROUND(XB9*(1-'Sens - Annual Mix'!$A$11),0)</f>
        <v/>
      </c>
      <c r="XD9" s="12">
        <f>XB9-XC9</f>
        <v/>
      </c>
      <c r="XE9" s="12">
        <f>ROUND(XC9*EssentialMix,0)</f>
        <v/>
      </c>
      <c r="XF9" s="12">
        <f>XC9-XE9</f>
        <v/>
      </c>
      <c r="XG9" s="12">
        <f>ROUND(XD9*EssentialMix,0)</f>
        <v/>
      </c>
      <c r="XH9" s="12">
        <f>XD9-XG9</f>
        <v/>
      </c>
      <c r="XI9" s="12">
        <f>XE9+XE8+XE7+MAX(0,XI8-XE8-XE7)*(1-WX9)</f>
        <v/>
      </c>
      <c r="XJ9" s="12">
        <f>XF9+XF8+XF7+MAX(0,XJ8-XF8-XF7)*(1-WX9)</f>
        <v/>
      </c>
      <c r="XK9" s="12">
        <f>SUM(XG$5:XG9)</f>
        <v/>
      </c>
      <c r="XL9" s="12">
        <f>SUM(XH$5:XH9)</f>
        <v/>
      </c>
      <c r="XM9" s="12">
        <f>XI9+XJ9+XK9+XL9</f>
        <v/>
      </c>
      <c r="XN9" s="9">
        <f>XI9*PriceEssMonthly*WW9+XJ9*PricePremMonthly*WW9+XK9*PriceEssAnnual*WW9/12+XL9*PricePremAnnual*WW9/12</f>
        <v/>
      </c>
      <c r="XO9" s="9">
        <f>XN9*12</f>
        <v/>
      </c>
      <c r="XP9" s="12">
        <f>XI9*PriceEssMonthly*WW9+XJ9*PricePremMonthly*WW9</f>
        <v/>
      </c>
      <c r="XQ9" s="12">
        <f>XG9*PriceEssAnnual*WW9+XH9*PricePremAnnual*WW9</f>
        <v/>
      </c>
      <c r="XR9" s="12">
        <f>0+0</f>
        <v/>
      </c>
      <c r="XS9" s="9">
        <f>XP9+XQ9+XR9</f>
        <v/>
      </c>
      <c r="XT9" s="12">
        <f>SUM(XS$5:XS9)</f>
        <v/>
      </c>
      <c r="XU9" s="12">
        <f>OR(XU8,XT9&gt;=VATThreshold)</f>
        <v/>
      </c>
      <c r="XV9" s="9">
        <f>IF(XU9,XS9/(1+VATRate),XS9)</f>
        <v/>
      </c>
      <c r="XW9" s="12">
        <f>XS9-XV9</f>
        <v/>
      </c>
      <c r="XX9" s="12">
        <f>IF(XU9=0,0,IF(WT9=1,SUMPRODUCT(--(($WU$5:$WU9=$WU9-1)*($WT$5:$WT9&gt;=10)*($WT$5:$WT9&lt;=12)),$XW$5:$XW9),IF(WT9=4,SUMPRODUCT(--(($WU$5:$WU9=$WU9)*($WT$5:$WT9&gt;=1)*($WT$5:$WT9&lt;=3)),$XW$5:$XW9),IF(WT9=7,SUMPRODUCT(--(($WU$5:$WU9=$WU9)*($WT$5:$WT9&gt;=4)*($WT$5:$WT9&lt;=6)),$XW$5:$XW9),IF(WT9=10,SUMPRODUCT(--(($WU$5:$WU9=$WU9)*($WT$5:$WT9&gt;=7)*($WT$5:$WT9&lt;=9)),$XW$5:$XW9),0)))))</f>
        <v/>
      </c>
      <c r="XY9" s="12">
        <f>XY8+XW9-XX9</f>
        <v/>
      </c>
      <c r="XZ9" s="12">
        <f>IF(ProviderDelay&gt;=1,XV8*ProviderShare,XV9*ProviderShare)</f>
        <v/>
      </c>
      <c r="YA9" s="12">
        <f>XS9*PaymentFee</f>
        <v/>
      </c>
      <c r="YB9" s="12">
        <f>XM9*OpsAI</f>
        <v/>
      </c>
      <c r="YC9" s="12">
        <f>MonthlyFixed</f>
        <v/>
      </c>
      <c r="YD9" s="12">
        <f>XA9*ReferralReward</f>
        <v/>
      </c>
      <c r="YE9" s="12">
        <f>WY9</f>
        <v/>
      </c>
      <c r="YF9" s="9">
        <f>XV9-XZ9-YA9-YB9-YC9-YD9-YE9</f>
        <v/>
      </c>
      <c r="YG9" s="9">
        <f>YG8+XS9-(XZ9+YA9+YB9+YC9+YD9+YE9+XX9)</f>
        <v/>
      </c>
      <c r="YH9" s="12">
        <f>IF(XM9&gt;0,XN9/XM9,0)</f>
        <v/>
      </c>
      <c r="YI9" s="11">
        <f>IF(XM8&gt;0,MAX(0,(XM8+XB9-XM9)/XM8),0)</f>
        <v/>
      </c>
      <c r="YK9" s="12" t="n">
        <v>5</v>
      </c>
      <c r="YL9" s="12">
        <f>MOD(YK9-1+LaunchMonth-1,12)+1</f>
        <v/>
      </c>
      <c r="YM9" s="12">
        <f>INT((YK9-1+LaunchMonth-1)/12)+1</f>
        <v/>
      </c>
      <c r="YN9" s="12">
        <f>VLOOKUP(YL9,SeasonTable,2,FALSE)</f>
        <v/>
      </c>
      <c r="YO9" s="12">
        <f>(1+InflationRate)^INT((YK9-1)/12)</f>
        <v/>
      </c>
      <c r="YP9" s="11">
        <f>MonthlyChurn*VLOOKUP(YL9,ChurnSeasonTable,4,FALSE)</f>
        <v/>
      </c>
      <c r="YQ9" s="12">
        <f>MIN(MktFixed4_6,MAX(0,ZY8-CashBuffer))</f>
        <v/>
      </c>
      <c r="YR9" s="12">
        <f>IF(YQ9&gt;0,MAX(1,ROUND(YQ9/CAC*YN9,0)),0)</f>
        <v/>
      </c>
      <c r="YS9" s="12">
        <f>IF(YR9&gt;0,ROUND(YR9*ReferralMix/(1-ReferralMix),0),0)</f>
        <v/>
      </c>
      <c r="YT9" s="12">
        <f>YR9+YS9</f>
        <v/>
      </c>
      <c r="YU9" s="12">
        <f>ROUND(YT9*(1-'Sens - Annual Mix'!$A$12),0)</f>
        <v/>
      </c>
      <c r="YV9" s="12">
        <f>YT9-YU9</f>
        <v/>
      </c>
      <c r="YW9" s="12">
        <f>ROUND(YU9*EssentialMix,0)</f>
        <v/>
      </c>
      <c r="YX9" s="12">
        <f>YU9-YW9</f>
        <v/>
      </c>
      <c r="YY9" s="12">
        <f>ROUND(YV9*EssentialMix,0)</f>
        <v/>
      </c>
      <c r="YZ9" s="12">
        <f>YV9-YY9</f>
        <v/>
      </c>
      <c r="ZA9" s="12">
        <f>YW9+YW8+YW7+MAX(0,ZA8-YW8-YW7)*(1-YP9)</f>
        <v/>
      </c>
      <c r="ZB9" s="12">
        <f>YX9+YX8+YX7+MAX(0,ZB8-YX8-YX7)*(1-YP9)</f>
        <v/>
      </c>
      <c r="ZC9" s="12">
        <f>SUM(YY$5:YY9)</f>
        <v/>
      </c>
      <c r="ZD9" s="12">
        <f>SUM(YZ$5:YZ9)</f>
        <v/>
      </c>
      <c r="ZE9" s="12">
        <f>ZA9+ZB9+ZC9+ZD9</f>
        <v/>
      </c>
      <c r="ZF9" s="9">
        <f>ZA9*PriceEssMonthly*YO9+ZB9*PricePremMonthly*YO9+ZC9*PriceEssAnnual*YO9/12+ZD9*PricePremAnnual*YO9/12</f>
        <v/>
      </c>
      <c r="ZG9" s="9">
        <f>ZF9*12</f>
        <v/>
      </c>
      <c r="ZH9" s="12">
        <f>ZA9*PriceEssMonthly*YO9+ZB9*PricePremMonthly*YO9</f>
        <v/>
      </c>
      <c r="ZI9" s="12">
        <f>YY9*PriceEssAnnual*YO9+YZ9*PricePremAnnual*YO9</f>
        <v/>
      </c>
      <c r="ZJ9" s="12">
        <f>0+0</f>
        <v/>
      </c>
      <c r="ZK9" s="9">
        <f>ZH9+ZI9+ZJ9</f>
        <v/>
      </c>
      <c r="ZL9" s="12">
        <f>SUM(ZK$5:ZK9)</f>
        <v/>
      </c>
      <c r="ZM9" s="12">
        <f>OR(ZM8,ZL9&gt;=VATThreshold)</f>
        <v/>
      </c>
      <c r="ZN9" s="9">
        <f>IF(ZM9,ZK9/(1+VATRate),ZK9)</f>
        <v/>
      </c>
      <c r="ZO9" s="12">
        <f>ZK9-ZN9</f>
        <v/>
      </c>
      <c r="ZP9" s="12">
        <f>IF(ZM9=0,0,IF(YL9=1,SUMPRODUCT(--(($YM$5:$YM9=$YM9-1)*($YL$5:$YL9&gt;=10)*($YL$5:$YL9&lt;=12)),$ZO$5:$ZO9),IF(YL9=4,SUMPRODUCT(--(($YM$5:$YM9=$YM9)*($YL$5:$YL9&gt;=1)*($YL$5:$YL9&lt;=3)),$ZO$5:$ZO9),IF(YL9=7,SUMPRODUCT(--(($YM$5:$YM9=$YM9)*($YL$5:$YL9&gt;=4)*($YL$5:$YL9&lt;=6)),$ZO$5:$ZO9),IF(YL9=10,SUMPRODUCT(--(($YM$5:$YM9=$YM9)*($YL$5:$YL9&gt;=7)*($YL$5:$YL9&lt;=9)),$ZO$5:$ZO9),0)))))</f>
        <v/>
      </c>
      <c r="ZQ9" s="12">
        <f>ZQ8+ZO9-ZP9</f>
        <v/>
      </c>
      <c r="ZR9" s="12">
        <f>IF(ProviderDelay&gt;=1,ZN8*ProviderShare,ZN9*ProviderShare)</f>
        <v/>
      </c>
      <c r="ZS9" s="12">
        <f>ZK9*PaymentFee</f>
        <v/>
      </c>
      <c r="ZT9" s="12">
        <f>ZE9*OpsAI</f>
        <v/>
      </c>
      <c r="ZU9" s="12">
        <f>MonthlyFixed</f>
        <v/>
      </c>
      <c r="ZV9" s="12">
        <f>YS9*ReferralReward</f>
        <v/>
      </c>
      <c r="ZW9" s="12">
        <f>YQ9</f>
        <v/>
      </c>
      <c r="ZX9" s="9">
        <f>ZN9-ZR9-ZS9-ZT9-ZU9-ZV9-ZW9</f>
        <v/>
      </c>
      <c r="ZY9" s="9">
        <f>ZY8+ZK9-(ZR9+ZS9+ZT9+ZU9+ZV9+ZW9+ZP9)</f>
        <v/>
      </c>
      <c r="ZZ9" s="12">
        <f>IF(ZE9&gt;0,ZF9/ZE9,0)</f>
        <v/>
      </c>
      <c r="AAA9" s="11">
        <f>IF(ZE8&gt;0,MAX(0,(ZE8+YT9-ZE9)/ZE8),0)</f>
        <v/>
      </c>
      <c r="AAC9" s="12" t="n">
        <v>5</v>
      </c>
      <c r="AAD9" s="12">
        <f>MOD(AAC9-1+LaunchMonth-1,12)+1</f>
        <v/>
      </c>
      <c r="AAE9" s="12">
        <f>INT((AAC9-1+LaunchMonth-1)/12)+1</f>
        <v/>
      </c>
      <c r="AAF9" s="12">
        <f>VLOOKUP(AAD9,SeasonTable,2,FALSE)</f>
        <v/>
      </c>
      <c r="AAG9" s="12">
        <f>(1+InflationRate)^INT((AAC9-1)/12)</f>
        <v/>
      </c>
      <c r="AAH9" s="11">
        <f>MonthlyChurn*VLOOKUP(AAD9,ChurnSeasonTable,4,FALSE)</f>
        <v/>
      </c>
      <c r="AAI9" s="12">
        <f>MIN(MktFixed4_6,MAX(0,ABQ8-CashBuffer))</f>
        <v/>
      </c>
      <c r="AAJ9" s="12">
        <f>IF(AAI9&gt;0,MAX(1,ROUND(AAI9/CAC*AAF9,0)),0)</f>
        <v/>
      </c>
      <c r="AAK9" s="12">
        <f>IF(AAJ9&gt;0,ROUND(AAJ9*ReferralMix/(1-ReferralMix),0),0)</f>
        <v/>
      </c>
      <c r="AAL9" s="12">
        <f>AAJ9+AAK9</f>
        <v/>
      </c>
      <c r="AAM9" s="12">
        <f>ROUND(AAL9*(1-'Sens - Annual Mix'!$A$13),0)</f>
        <v/>
      </c>
      <c r="AAN9" s="12">
        <f>AAL9-AAM9</f>
        <v/>
      </c>
      <c r="AAO9" s="12">
        <f>ROUND(AAM9*EssentialMix,0)</f>
        <v/>
      </c>
      <c r="AAP9" s="12">
        <f>AAM9-AAO9</f>
        <v/>
      </c>
      <c r="AAQ9" s="12">
        <f>ROUND(AAN9*EssentialMix,0)</f>
        <v/>
      </c>
      <c r="AAR9" s="12">
        <f>AAN9-AAQ9</f>
        <v/>
      </c>
      <c r="AAS9" s="12">
        <f>AAO9+AAO8+AAO7+MAX(0,AAS8-AAO8-AAO7)*(1-AAH9)</f>
        <v/>
      </c>
      <c r="AAT9" s="12">
        <f>AAP9+AAP8+AAP7+MAX(0,AAT8-AAP8-AAP7)*(1-AAH9)</f>
        <v/>
      </c>
      <c r="AAU9" s="12">
        <f>SUM(AAQ$5:AAQ9)</f>
        <v/>
      </c>
      <c r="AAV9" s="12">
        <f>SUM(AAR$5:AAR9)</f>
        <v/>
      </c>
      <c r="AAW9" s="12">
        <f>AAS9+AAT9+AAU9+AAV9</f>
        <v/>
      </c>
      <c r="AAX9" s="9">
        <f>AAS9*PriceEssMonthly*AAG9+AAT9*PricePremMonthly*AAG9+AAU9*PriceEssAnnual*AAG9/12+AAV9*PricePremAnnual*AAG9/12</f>
        <v/>
      </c>
      <c r="AAY9" s="9">
        <f>AAX9*12</f>
        <v/>
      </c>
      <c r="AAZ9" s="12">
        <f>AAS9*PriceEssMonthly*AAG9+AAT9*PricePremMonthly*AAG9</f>
        <v/>
      </c>
      <c r="ABA9" s="12">
        <f>AAQ9*PriceEssAnnual*AAG9+AAR9*PricePremAnnual*AAG9</f>
        <v/>
      </c>
      <c r="ABB9" s="12">
        <f>0+0</f>
        <v/>
      </c>
      <c r="ABC9" s="9">
        <f>AAZ9+ABA9+ABB9</f>
        <v/>
      </c>
      <c r="ABD9" s="12">
        <f>SUM(ABC$5:ABC9)</f>
        <v/>
      </c>
      <c r="ABE9" s="12">
        <f>OR(ABE8,ABD9&gt;=VATThreshold)</f>
        <v/>
      </c>
      <c r="ABF9" s="9">
        <f>IF(ABE9,ABC9/(1+VATRate),ABC9)</f>
        <v/>
      </c>
      <c r="ABG9" s="12">
        <f>ABC9-ABF9</f>
        <v/>
      </c>
      <c r="ABH9" s="12">
        <f>IF(ABE9=0,0,IF(AAD9=1,SUMPRODUCT(--(($AAE$5:$AAE9=$AAE9-1)*($AAD$5:$AAD9&gt;=10)*($AAD$5:$AAD9&lt;=12)),$ABG$5:$ABG9),IF(AAD9=4,SUMPRODUCT(--(($AAE$5:$AAE9=$AAE9)*($AAD$5:$AAD9&gt;=1)*($AAD$5:$AAD9&lt;=3)),$ABG$5:$ABG9),IF(AAD9=7,SUMPRODUCT(--(($AAE$5:$AAE9=$AAE9)*($AAD$5:$AAD9&gt;=4)*($AAD$5:$AAD9&lt;=6)),$ABG$5:$ABG9),IF(AAD9=10,SUMPRODUCT(--(($AAE$5:$AAE9=$AAE9)*($AAD$5:$AAD9&gt;=7)*($AAD$5:$AAD9&lt;=9)),$ABG$5:$ABG9),0)))))</f>
        <v/>
      </c>
      <c r="ABI9" s="12">
        <f>ABI8+ABG9-ABH9</f>
        <v/>
      </c>
      <c r="ABJ9" s="12">
        <f>IF(ProviderDelay&gt;=1,ABF8*ProviderShare,ABF9*ProviderShare)</f>
        <v/>
      </c>
      <c r="ABK9" s="12">
        <f>ABC9*PaymentFee</f>
        <v/>
      </c>
      <c r="ABL9" s="12">
        <f>AAW9*OpsAI</f>
        <v/>
      </c>
      <c r="ABM9" s="12">
        <f>MonthlyFixed</f>
        <v/>
      </c>
      <c r="ABN9" s="12">
        <f>AAK9*ReferralReward</f>
        <v/>
      </c>
      <c r="ABO9" s="12">
        <f>AAI9</f>
        <v/>
      </c>
      <c r="ABP9" s="9">
        <f>ABF9-ABJ9-ABK9-ABL9-ABM9-ABN9-ABO9</f>
        <v/>
      </c>
      <c r="ABQ9" s="9">
        <f>ABQ8+ABC9-(ABJ9+ABK9+ABL9+ABM9+ABN9+ABO9+ABH9)</f>
        <v/>
      </c>
      <c r="ABR9" s="12">
        <f>IF(AAW9&gt;0,AAX9/AAW9,0)</f>
        <v/>
      </c>
      <c r="ABS9" s="11">
        <f>IF(AAW8&gt;0,MAX(0,(AAW8+AAL9-AAW9)/AAW8),0)</f>
        <v/>
      </c>
      <c r="ABU9" s="12" t="n">
        <v>5</v>
      </c>
      <c r="ABV9" s="12">
        <f>MOD(ABU9-1+LaunchMonth-1,12)+1</f>
        <v/>
      </c>
      <c r="ABW9" s="12">
        <f>INT((ABU9-1+LaunchMonth-1)/12)+1</f>
        <v/>
      </c>
      <c r="ABX9" s="12">
        <f>VLOOKUP(ABV9,SeasonTable,2,FALSE)</f>
        <v/>
      </c>
      <c r="ABY9" s="12">
        <f>(1+InflationRate)^INT((ABU9-1)/12)</f>
        <v/>
      </c>
      <c r="ABZ9" s="11">
        <f>MonthlyChurn*VLOOKUP(ABV9,ChurnSeasonTable,4,FALSE)</f>
        <v/>
      </c>
      <c r="ACA9" s="12">
        <f>MIN(MktFixed4_6,MAX(0,ADI8-CashBuffer))</f>
        <v/>
      </c>
      <c r="ACB9" s="12">
        <f>IF(ACA9&gt;0,MAX(1,ROUND(ACA9/CAC*ABX9,0)),0)</f>
        <v/>
      </c>
      <c r="ACC9" s="12">
        <f>IF(ACB9&gt;0,ROUND(ACB9*ReferralMix/(1-ReferralMix),0),0)</f>
        <v/>
      </c>
      <c r="ACD9" s="12">
        <f>ACB9+ACC9</f>
        <v/>
      </c>
      <c r="ACE9" s="12">
        <f>ROUND(ACD9*(1-'Sens - Annual Mix'!$A$14),0)</f>
        <v/>
      </c>
      <c r="ACF9" s="12">
        <f>ACD9-ACE9</f>
        <v/>
      </c>
      <c r="ACG9" s="12">
        <f>ROUND(ACE9*EssentialMix,0)</f>
        <v/>
      </c>
      <c r="ACH9" s="12">
        <f>ACE9-ACG9</f>
        <v/>
      </c>
      <c r="ACI9" s="12">
        <f>ROUND(ACF9*EssentialMix,0)</f>
        <v/>
      </c>
      <c r="ACJ9" s="12">
        <f>ACF9-ACI9</f>
        <v/>
      </c>
      <c r="ACK9" s="12">
        <f>ACG9+ACG8+ACG7+MAX(0,ACK8-ACG8-ACG7)*(1-ABZ9)</f>
        <v/>
      </c>
      <c r="ACL9" s="12">
        <f>ACH9+ACH8+ACH7+MAX(0,ACL8-ACH8-ACH7)*(1-ABZ9)</f>
        <v/>
      </c>
      <c r="ACM9" s="12">
        <f>SUM(ACI$5:ACI9)</f>
        <v/>
      </c>
      <c r="ACN9" s="12">
        <f>SUM(ACJ$5:ACJ9)</f>
        <v/>
      </c>
      <c r="ACO9" s="12">
        <f>ACK9+ACL9+ACM9+ACN9</f>
        <v/>
      </c>
      <c r="ACP9" s="9">
        <f>ACK9*PriceEssMonthly*ABY9+ACL9*PricePremMonthly*ABY9+ACM9*PriceEssAnnual*ABY9/12+ACN9*PricePremAnnual*ABY9/12</f>
        <v/>
      </c>
      <c r="ACQ9" s="9">
        <f>ACP9*12</f>
        <v/>
      </c>
      <c r="ACR9" s="12">
        <f>ACK9*PriceEssMonthly*ABY9+ACL9*PricePremMonthly*ABY9</f>
        <v/>
      </c>
      <c r="ACS9" s="12">
        <f>ACI9*PriceEssAnnual*ABY9+ACJ9*PricePremAnnual*ABY9</f>
        <v/>
      </c>
      <c r="ACT9" s="12">
        <f>0+0</f>
        <v/>
      </c>
      <c r="ACU9" s="9">
        <f>ACR9+ACS9+ACT9</f>
        <v/>
      </c>
      <c r="ACV9" s="12">
        <f>SUM(ACU$5:ACU9)</f>
        <v/>
      </c>
      <c r="ACW9" s="12">
        <f>OR(ACW8,ACV9&gt;=VATThreshold)</f>
        <v/>
      </c>
      <c r="ACX9" s="9">
        <f>IF(ACW9,ACU9/(1+VATRate),ACU9)</f>
        <v/>
      </c>
      <c r="ACY9" s="12">
        <f>ACU9-ACX9</f>
        <v/>
      </c>
      <c r="ACZ9" s="12">
        <f>IF(ACW9=0,0,IF(ABV9=1,SUMPRODUCT(--(($ABW$5:$ABW9=$ABW9-1)*($ABV$5:$ABV9&gt;=10)*($ABV$5:$ABV9&lt;=12)),$ACY$5:$ACY9),IF(ABV9=4,SUMPRODUCT(--(($ABW$5:$ABW9=$ABW9)*($ABV$5:$ABV9&gt;=1)*($ABV$5:$ABV9&lt;=3)),$ACY$5:$ACY9),IF(ABV9=7,SUMPRODUCT(--(($ABW$5:$ABW9=$ABW9)*($ABV$5:$ABV9&gt;=4)*($ABV$5:$ABV9&lt;=6)),$ACY$5:$ACY9),IF(ABV9=10,SUMPRODUCT(--(($ABW$5:$ABW9=$ABW9)*($ABV$5:$ABV9&gt;=7)*($ABV$5:$ABV9&lt;=9)),$ACY$5:$ACY9),0)))))</f>
        <v/>
      </c>
      <c r="ADA9" s="12">
        <f>ADA8+ACY9-ACZ9</f>
        <v/>
      </c>
      <c r="ADB9" s="12">
        <f>IF(ProviderDelay&gt;=1,ACX8*ProviderShare,ACX9*ProviderShare)</f>
        <v/>
      </c>
      <c r="ADC9" s="12">
        <f>ACU9*PaymentFee</f>
        <v/>
      </c>
      <c r="ADD9" s="12">
        <f>ACO9*OpsAI</f>
        <v/>
      </c>
      <c r="ADE9" s="12">
        <f>MonthlyFixed</f>
        <v/>
      </c>
      <c r="ADF9" s="12">
        <f>ACC9*ReferralReward</f>
        <v/>
      </c>
      <c r="ADG9" s="12">
        <f>ACA9</f>
        <v/>
      </c>
      <c r="ADH9" s="9">
        <f>ACX9-ADB9-ADC9-ADD9-ADE9-ADF9-ADG9</f>
        <v/>
      </c>
      <c r="ADI9" s="9">
        <f>ADI8+ACU9-(ADB9+ADC9+ADD9+ADE9+ADF9+ADG9+ACZ9)</f>
        <v/>
      </c>
      <c r="ADJ9" s="12">
        <f>IF(ACO9&gt;0,ACP9/ACO9,0)</f>
        <v/>
      </c>
      <c r="ADK9" s="11">
        <f>IF(ACO8&gt;0,MAX(0,(ACO8+ACD9-ACO9)/ACO8),0)</f>
        <v/>
      </c>
      <c r="ADM9" s="12" t="n">
        <v>5</v>
      </c>
      <c r="ADN9" s="12">
        <f>MOD(ADM9-1+LaunchMonth-1,12)+1</f>
        <v/>
      </c>
      <c r="ADO9" s="12">
        <f>INT((ADM9-1+LaunchMonth-1)/12)+1</f>
        <v/>
      </c>
      <c r="ADP9" s="12">
        <f>VLOOKUP(ADN9,SeasonTable,2,FALSE)</f>
        <v/>
      </c>
      <c r="ADQ9" s="12">
        <f>(1+InflationRate)^INT((ADM9-1)/12)</f>
        <v/>
      </c>
      <c r="ADR9" s="11">
        <f>MonthlyChurn*VLOOKUP(ADN9,ChurnSeasonTable,4,FALSE)</f>
        <v/>
      </c>
      <c r="ADS9" s="12">
        <f>MIN(MktFixed4_6,MAX(0,AFA8-CashBuffer))</f>
        <v/>
      </c>
      <c r="ADT9" s="12">
        <f>IF(ADS9&gt;0,MAX(1,ROUND(ADS9/CAC*ADP9,0)),0)</f>
        <v/>
      </c>
      <c r="ADU9" s="12">
        <f>IF(ADT9&gt;0,ROUND(ADT9*ReferralMix/(1-ReferralMix),0),0)</f>
        <v/>
      </c>
      <c r="ADV9" s="12">
        <f>ADT9+ADU9</f>
        <v/>
      </c>
      <c r="ADW9" s="12">
        <f>ROUND(ADV9*(1-'Sens - Annual Mix'!$A$15),0)</f>
        <v/>
      </c>
      <c r="ADX9" s="12">
        <f>ADV9-ADW9</f>
        <v/>
      </c>
      <c r="ADY9" s="12">
        <f>ROUND(ADW9*EssentialMix,0)</f>
        <v/>
      </c>
      <c r="ADZ9" s="12">
        <f>ADW9-ADY9</f>
        <v/>
      </c>
      <c r="AEA9" s="12">
        <f>ROUND(ADX9*EssentialMix,0)</f>
        <v/>
      </c>
      <c r="AEB9" s="12">
        <f>ADX9-AEA9</f>
        <v/>
      </c>
      <c r="AEC9" s="12">
        <f>ADY9+ADY8+ADY7+MAX(0,AEC8-ADY8-ADY7)*(1-ADR9)</f>
        <v/>
      </c>
      <c r="AED9" s="12">
        <f>ADZ9+ADZ8+ADZ7+MAX(0,AED8-ADZ8-ADZ7)*(1-ADR9)</f>
        <v/>
      </c>
      <c r="AEE9" s="12">
        <f>SUM(AEA$5:AEA9)</f>
        <v/>
      </c>
      <c r="AEF9" s="12">
        <f>SUM(AEB$5:AEB9)</f>
        <v/>
      </c>
      <c r="AEG9" s="12">
        <f>AEC9+AED9+AEE9+AEF9</f>
        <v/>
      </c>
      <c r="AEH9" s="9">
        <f>AEC9*PriceEssMonthly*ADQ9+AED9*PricePremMonthly*ADQ9+AEE9*PriceEssAnnual*ADQ9/12+AEF9*PricePremAnnual*ADQ9/12</f>
        <v/>
      </c>
      <c r="AEI9" s="9">
        <f>AEH9*12</f>
        <v/>
      </c>
      <c r="AEJ9" s="12">
        <f>AEC9*PriceEssMonthly*ADQ9+AED9*PricePremMonthly*ADQ9</f>
        <v/>
      </c>
      <c r="AEK9" s="12">
        <f>AEA9*PriceEssAnnual*ADQ9+AEB9*PricePremAnnual*ADQ9</f>
        <v/>
      </c>
      <c r="AEL9" s="12">
        <f>0+0</f>
        <v/>
      </c>
      <c r="AEM9" s="9">
        <f>AEJ9+AEK9+AEL9</f>
        <v/>
      </c>
      <c r="AEN9" s="12">
        <f>SUM(AEM$5:AEM9)</f>
        <v/>
      </c>
      <c r="AEO9" s="12">
        <f>OR(AEO8,AEN9&gt;=VATThreshold)</f>
        <v/>
      </c>
      <c r="AEP9" s="9">
        <f>IF(AEO9,AEM9/(1+VATRate),AEM9)</f>
        <v/>
      </c>
      <c r="AEQ9" s="12">
        <f>AEM9-AEP9</f>
        <v/>
      </c>
      <c r="AER9" s="12">
        <f>IF(AEO9=0,0,IF(ADN9=1,SUMPRODUCT(--(($ADO$5:$ADO9=$ADO9-1)*($ADN$5:$ADN9&gt;=10)*($ADN$5:$ADN9&lt;=12)),$AEQ$5:$AEQ9),IF(ADN9=4,SUMPRODUCT(--(($ADO$5:$ADO9=$ADO9)*($ADN$5:$ADN9&gt;=1)*($ADN$5:$ADN9&lt;=3)),$AEQ$5:$AEQ9),IF(ADN9=7,SUMPRODUCT(--(($ADO$5:$ADO9=$ADO9)*($ADN$5:$ADN9&gt;=4)*($ADN$5:$ADN9&lt;=6)),$AEQ$5:$AEQ9),IF(ADN9=10,SUMPRODUCT(--(($ADO$5:$ADO9=$ADO9)*($ADN$5:$ADN9&gt;=7)*($ADN$5:$ADN9&lt;=9)),$AEQ$5:$AEQ9),0)))))</f>
        <v/>
      </c>
      <c r="AES9" s="12">
        <f>AES8+AEQ9-AER9</f>
        <v/>
      </c>
      <c r="AET9" s="12">
        <f>IF(ProviderDelay&gt;=1,AEP8*ProviderShare,AEP9*ProviderShare)</f>
        <v/>
      </c>
      <c r="AEU9" s="12">
        <f>AEM9*PaymentFee</f>
        <v/>
      </c>
      <c r="AEV9" s="12">
        <f>AEG9*OpsAI</f>
        <v/>
      </c>
      <c r="AEW9" s="12">
        <f>MonthlyFixed</f>
        <v/>
      </c>
      <c r="AEX9" s="12">
        <f>ADU9*ReferralReward</f>
        <v/>
      </c>
      <c r="AEY9" s="12">
        <f>ADS9</f>
        <v/>
      </c>
      <c r="AEZ9" s="9">
        <f>AEP9-AET9-AEU9-AEV9-AEW9-AEX9-AEY9</f>
        <v/>
      </c>
      <c r="AFA9" s="9">
        <f>AFA8+AEM9-(AET9+AEU9+AEV9+AEW9+AEX9+AEY9+AER9)</f>
        <v/>
      </c>
      <c r="AFB9" s="12">
        <f>IF(AEG9&gt;0,AEH9/AEG9,0)</f>
        <v/>
      </c>
      <c r="AFC9" s="11">
        <f>IF(AEG8&gt;0,MAX(0,(AEG8+ADV9-AEG9)/AEG8),0)</f>
        <v/>
      </c>
      <c r="AFE9" s="12" t="n">
        <v>5</v>
      </c>
      <c r="AFF9" s="12">
        <f>MOD(AFE9-1+LaunchMonth-1,12)+1</f>
        <v/>
      </c>
      <c r="AFG9" s="12">
        <f>INT((AFE9-1+LaunchMonth-1)/12)+1</f>
        <v/>
      </c>
      <c r="AFH9" s="12">
        <f>VLOOKUP(AFF9,SeasonTable,2,FALSE)</f>
        <v/>
      </c>
      <c r="AFI9" s="12">
        <f>(1+InflationRate)^INT((AFE9-1)/12)</f>
        <v/>
      </c>
      <c r="AFJ9" s="11">
        <f>MonthlyChurn*VLOOKUP(AFF9,ChurnSeasonTable,4,FALSE)</f>
        <v/>
      </c>
      <c r="AFK9" s="12">
        <f>MIN(MktFixed4_6,MAX(0,AGS8-CashBuffer))</f>
        <v/>
      </c>
      <c r="AFL9" s="12">
        <f>IF(AFK9&gt;0,MAX(1,ROUND(AFK9/'Sens - CAC &amp; Marketing'!$A$9*AFH9,0)),0)</f>
        <v/>
      </c>
      <c r="AFM9" s="12">
        <f>IF(AFL9&gt;0,ROUND(AFL9*ReferralMix/(1-ReferralMix),0),0)</f>
        <v/>
      </c>
      <c r="AFN9" s="12">
        <f>AFL9+AFM9</f>
        <v/>
      </c>
      <c r="AFO9" s="12">
        <f>ROUND(AFN9*(1-AnnualMix),0)</f>
        <v/>
      </c>
      <c r="AFP9" s="12">
        <f>AFN9-AFO9</f>
        <v/>
      </c>
      <c r="AFQ9" s="12">
        <f>ROUND(AFO9*EssentialMix,0)</f>
        <v/>
      </c>
      <c r="AFR9" s="12">
        <f>AFO9-AFQ9</f>
        <v/>
      </c>
      <c r="AFS9" s="12">
        <f>ROUND(AFP9*EssentialMix,0)</f>
        <v/>
      </c>
      <c r="AFT9" s="12">
        <f>AFP9-AFS9</f>
        <v/>
      </c>
      <c r="AFU9" s="12">
        <f>AFQ9+AFQ8+AFQ7+MAX(0,AFU8-AFQ8-AFQ7)*(1-AFJ9)</f>
        <v/>
      </c>
      <c r="AFV9" s="12">
        <f>AFR9+AFR8+AFR7+MAX(0,AFV8-AFR8-AFR7)*(1-AFJ9)</f>
        <v/>
      </c>
      <c r="AFW9" s="12">
        <f>SUM(AFS$5:AFS9)</f>
        <v/>
      </c>
      <c r="AFX9" s="12">
        <f>SUM(AFT$5:AFT9)</f>
        <v/>
      </c>
      <c r="AFY9" s="12">
        <f>AFU9+AFV9+AFW9+AFX9</f>
        <v/>
      </c>
      <c r="AFZ9" s="9">
        <f>AFU9*PriceEssMonthly*AFI9+AFV9*PricePremMonthly*AFI9+AFW9*PriceEssAnnual*AFI9/12+AFX9*PricePremAnnual*AFI9/12</f>
        <v/>
      </c>
      <c r="AGA9" s="9">
        <f>AFZ9*12</f>
        <v/>
      </c>
      <c r="AGB9" s="12">
        <f>AFU9*PriceEssMonthly*AFI9+AFV9*PricePremMonthly*AFI9</f>
        <v/>
      </c>
      <c r="AGC9" s="12">
        <f>AFS9*PriceEssAnnual*AFI9+AFT9*PricePremAnnual*AFI9</f>
        <v/>
      </c>
      <c r="AGD9" s="12">
        <f>0+0</f>
        <v/>
      </c>
      <c r="AGE9" s="9">
        <f>AGB9+AGC9+AGD9</f>
        <v/>
      </c>
      <c r="AGF9" s="12">
        <f>SUM(AGE$5:AGE9)</f>
        <v/>
      </c>
      <c r="AGG9" s="12">
        <f>OR(AGG8,AGF9&gt;=VATThreshold)</f>
        <v/>
      </c>
      <c r="AGH9" s="9">
        <f>IF(AGG9,AGE9/(1+VATRate),AGE9)</f>
        <v/>
      </c>
      <c r="AGI9" s="12">
        <f>AGE9-AGH9</f>
        <v/>
      </c>
      <c r="AGJ9" s="12">
        <f>IF(AGG9=0,0,IF(AFF9=1,SUMPRODUCT(--(($AFG$5:$AFG9=$AFG9-1)*($AFF$5:$AFF9&gt;=10)*($AFF$5:$AFF9&lt;=12)),$AGI$5:$AGI9),IF(AFF9=4,SUMPRODUCT(--(($AFG$5:$AFG9=$AFG9)*($AFF$5:$AFF9&gt;=1)*($AFF$5:$AFF9&lt;=3)),$AGI$5:$AGI9),IF(AFF9=7,SUMPRODUCT(--(($AFG$5:$AFG9=$AFG9)*($AFF$5:$AFF9&gt;=4)*($AFF$5:$AFF9&lt;=6)),$AGI$5:$AGI9),IF(AFF9=10,SUMPRODUCT(--(($AFG$5:$AFG9=$AFG9)*($AFF$5:$AFF9&gt;=7)*($AFF$5:$AFF9&lt;=9)),$AGI$5:$AGI9),0)))))</f>
        <v/>
      </c>
      <c r="AGK9" s="12">
        <f>AGK8+AGI9-AGJ9</f>
        <v/>
      </c>
      <c r="AGL9" s="12">
        <f>IF(ProviderDelay&gt;=1,AGH8*ProviderShare,AGH9*ProviderShare)</f>
        <v/>
      </c>
      <c r="AGM9" s="12">
        <f>AGE9*PaymentFee</f>
        <v/>
      </c>
      <c r="AGN9" s="12">
        <f>AFY9*OpsAI</f>
        <v/>
      </c>
      <c r="AGO9" s="12">
        <f>MonthlyFixed</f>
        <v/>
      </c>
      <c r="AGP9" s="12">
        <f>AFM9*ReferralReward</f>
        <v/>
      </c>
      <c r="AGQ9" s="12">
        <f>AFK9</f>
        <v/>
      </c>
      <c r="AGR9" s="9">
        <f>AGH9-AGL9-AGM9-AGN9-AGO9-AGP9-AGQ9</f>
        <v/>
      </c>
      <c r="AGS9" s="9">
        <f>AGS8+AGE9-(AGL9+AGM9+AGN9+AGO9+AGP9+AGQ9+AGJ9)</f>
        <v/>
      </c>
      <c r="AGT9" s="12">
        <f>IF(AFY9&gt;0,AFZ9/AFY9,0)</f>
        <v/>
      </c>
      <c r="AGU9" s="11">
        <f>IF(AFY8&gt;0,MAX(0,(AFY8+AFN9-AFY9)/AFY8),0)</f>
        <v/>
      </c>
      <c r="AGW9" s="12" t="n">
        <v>5</v>
      </c>
      <c r="AGX9" s="12">
        <f>MOD(AGW9-1+LaunchMonth-1,12)+1</f>
        <v/>
      </c>
      <c r="AGY9" s="12">
        <f>INT((AGW9-1+LaunchMonth-1)/12)+1</f>
        <v/>
      </c>
      <c r="AGZ9" s="12">
        <f>VLOOKUP(AGX9,SeasonTable,2,FALSE)</f>
        <v/>
      </c>
      <c r="AHA9" s="12">
        <f>(1+InflationRate)^INT((AGW9-1)/12)</f>
        <v/>
      </c>
      <c r="AHB9" s="11">
        <f>MonthlyChurn*VLOOKUP(AGX9,ChurnSeasonTable,4,FALSE)</f>
        <v/>
      </c>
      <c r="AHC9" s="12">
        <f>MIN(MktFixed4_6,MAX(0,AIK8-CashBuffer))</f>
        <v/>
      </c>
      <c r="AHD9" s="12">
        <f>IF(AHC9&gt;0,MAX(1,ROUND(AHC9/'Sens - CAC &amp; Marketing'!$A$10*AGZ9,0)),0)</f>
        <v/>
      </c>
      <c r="AHE9" s="12">
        <f>IF(AHD9&gt;0,ROUND(AHD9*ReferralMix/(1-ReferralMix),0),0)</f>
        <v/>
      </c>
      <c r="AHF9" s="12">
        <f>AHD9+AHE9</f>
        <v/>
      </c>
      <c r="AHG9" s="12">
        <f>ROUND(AHF9*(1-AnnualMix),0)</f>
        <v/>
      </c>
      <c r="AHH9" s="12">
        <f>AHF9-AHG9</f>
        <v/>
      </c>
      <c r="AHI9" s="12">
        <f>ROUND(AHG9*EssentialMix,0)</f>
        <v/>
      </c>
      <c r="AHJ9" s="12">
        <f>AHG9-AHI9</f>
        <v/>
      </c>
      <c r="AHK9" s="12">
        <f>ROUND(AHH9*EssentialMix,0)</f>
        <v/>
      </c>
      <c r="AHL9" s="12">
        <f>AHH9-AHK9</f>
        <v/>
      </c>
      <c r="AHM9" s="12">
        <f>AHI9+AHI8+AHI7+MAX(0,AHM8-AHI8-AHI7)*(1-AHB9)</f>
        <v/>
      </c>
      <c r="AHN9" s="12">
        <f>AHJ9+AHJ8+AHJ7+MAX(0,AHN8-AHJ8-AHJ7)*(1-AHB9)</f>
        <v/>
      </c>
      <c r="AHO9" s="12">
        <f>SUM(AHK$5:AHK9)</f>
        <v/>
      </c>
      <c r="AHP9" s="12">
        <f>SUM(AHL$5:AHL9)</f>
        <v/>
      </c>
      <c r="AHQ9" s="12">
        <f>AHM9+AHN9+AHO9+AHP9</f>
        <v/>
      </c>
      <c r="AHR9" s="9">
        <f>AHM9*PriceEssMonthly*AHA9+AHN9*PricePremMonthly*AHA9+AHO9*PriceEssAnnual*AHA9/12+AHP9*PricePremAnnual*AHA9/12</f>
        <v/>
      </c>
      <c r="AHS9" s="9">
        <f>AHR9*12</f>
        <v/>
      </c>
      <c r="AHT9" s="12">
        <f>AHM9*PriceEssMonthly*AHA9+AHN9*PricePremMonthly*AHA9</f>
        <v/>
      </c>
      <c r="AHU9" s="12">
        <f>AHK9*PriceEssAnnual*AHA9+AHL9*PricePremAnnual*AHA9</f>
        <v/>
      </c>
      <c r="AHV9" s="12">
        <f>0+0</f>
        <v/>
      </c>
      <c r="AHW9" s="9">
        <f>AHT9+AHU9+AHV9</f>
        <v/>
      </c>
      <c r="AHX9" s="12">
        <f>SUM(AHW$5:AHW9)</f>
        <v/>
      </c>
      <c r="AHY9" s="12">
        <f>OR(AHY8,AHX9&gt;=VATThreshold)</f>
        <v/>
      </c>
      <c r="AHZ9" s="9">
        <f>IF(AHY9,AHW9/(1+VATRate),AHW9)</f>
        <v/>
      </c>
      <c r="AIA9" s="12">
        <f>AHW9-AHZ9</f>
        <v/>
      </c>
      <c r="AIB9" s="12">
        <f>IF(AHY9=0,0,IF(AGX9=1,SUMPRODUCT(--(($AGY$5:$AGY9=$AGY9-1)*($AGX$5:$AGX9&gt;=10)*($AGX$5:$AGX9&lt;=12)),$AIA$5:$AIA9),IF(AGX9=4,SUMPRODUCT(--(($AGY$5:$AGY9=$AGY9)*($AGX$5:$AGX9&gt;=1)*($AGX$5:$AGX9&lt;=3)),$AIA$5:$AIA9),IF(AGX9=7,SUMPRODUCT(--(($AGY$5:$AGY9=$AGY9)*($AGX$5:$AGX9&gt;=4)*($AGX$5:$AGX9&lt;=6)),$AIA$5:$AIA9),IF(AGX9=10,SUMPRODUCT(--(($AGY$5:$AGY9=$AGY9)*($AGX$5:$AGX9&gt;=7)*($AGX$5:$AGX9&lt;=9)),$AIA$5:$AIA9),0)))))</f>
        <v/>
      </c>
      <c r="AIC9" s="12">
        <f>AIC8+AIA9-AIB9</f>
        <v/>
      </c>
      <c r="AID9" s="12">
        <f>IF(ProviderDelay&gt;=1,AHZ8*ProviderShare,AHZ9*ProviderShare)</f>
        <v/>
      </c>
      <c r="AIE9" s="12">
        <f>AHW9*PaymentFee</f>
        <v/>
      </c>
      <c r="AIF9" s="12">
        <f>AHQ9*OpsAI</f>
        <v/>
      </c>
      <c r="AIG9" s="12">
        <f>MonthlyFixed</f>
        <v/>
      </c>
      <c r="AIH9" s="12">
        <f>AHE9*ReferralReward</f>
        <v/>
      </c>
      <c r="AII9" s="12">
        <f>AHC9</f>
        <v/>
      </c>
      <c r="AIJ9" s="9">
        <f>AHZ9-AID9-AIE9-AIF9-AIG9-AIH9-AII9</f>
        <v/>
      </c>
      <c r="AIK9" s="9">
        <f>AIK8+AHW9-(AID9+AIE9+AIF9+AIG9+AIH9+AII9+AIB9)</f>
        <v/>
      </c>
      <c r="AIL9" s="12">
        <f>IF(AHQ9&gt;0,AHR9/AHQ9,0)</f>
        <v/>
      </c>
      <c r="AIM9" s="11">
        <f>IF(AHQ8&gt;0,MAX(0,(AHQ8+AHF9-AHQ9)/AHQ8),0)</f>
        <v/>
      </c>
      <c r="AIO9" s="12" t="n">
        <v>5</v>
      </c>
      <c r="AIP9" s="12">
        <f>MOD(AIO9-1+LaunchMonth-1,12)+1</f>
        <v/>
      </c>
      <c r="AIQ9" s="12">
        <f>INT((AIO9-1+LaunchMonth-1)/12)+1</f>
        <v/>
      </c>
      <c r="AIR9" s="12">
        <f>VLOOKUP(AIP9,SeasonTable,2,FALSE)</f>
        <v/>
      </c>
      <c r="AIS9" s="12">
        <f>(1+InflationRate)^INT((AIO9-1)/12)</f>
        <v/>
      </c>
      <c r="AIT9" s="11">
        <f>MonthlyChurn*VLOOKUP(AIP9,ChurnSeasonTable,4,FALSE)</f>
        <v/>
      </c>
      <c r="AIU9" s="12">
        <f>MIN(MktFixed4_6,MAX(0,AKC8-CashBuffer))</f>
        <v/>
      </c>
      <c r="AIV9" s="12">
        <f>IF(AIU9&gt;0,MAX(1,ROUND(AIU9/'Sens - CAC &amp; Marketing'!$A$11*AIR9,0)),0)</f>
        <v/>
      </c>
      <c r="AIW9" s="12">
        <f>IF(AIV9&gt;0,ROUND(AIV9*ReferralMix/(1-ReferralMix),0),0)</f>
        <v/>
      </c>
      <c r="AIX9" s="12">
        <f>AIV9+AIW9</f>
        <v/>
      </c>
      <c r="AIY9" s="12">
        <f>ROUND(AIX9*(1-AnnualMix),0)</f>
        <v/>
      </c>
      <c r="AIZ9" s="12">
        <f>AIX9-AIY9</f>
        <v/>
      </c>
      <c r="AJA9" s="12">
        <f>ROUND(AIY9*EssentialMix,0)</f>
        <v/>
      </c>
      <c r="AJB9" s="12">
        <f>AIY9-AJA9</f>
        <v/>
      </c>
      <c r="AJC9" s="12">
        <f>ROUND(AIZ9*EssentialMix,0)</f>
        <v/>
      </c>
      <c r="AJD9" s="12">
        <f>AIZ9-AJC9</f>
        <v/>
      </c>
      <c r="AJE9" s="12">
        <f>AJA9+AJA8+AJA7+MAX(0,AJE8-AJA8-AJA7)*(1-AIT9)</f>
        <v/>
      </c>
      <c r="AJF9" s="12">
        <f>AJB9+AJB8+AJB7+MAX(0,AJF8-AJB8-AJB7)*(1-AIT9)</f>
        <v/>
      </c>
      <c r="AJG9" s="12">
        <f>SUM(AJC$5:AJC9)</f>
        <v/>
      </c>
      <c r="AJH9" s="12">
        <f>SUM(AJD$5:AJD9)</f>
        <v/>
      </c>
      <c r="AJI9" s="12">
        <f>AJE9+AJF9+AJG9+AJH9</f>
        <v/>
      </c>
      <c r="AJJ9" s="9">
        <f>AJE9*PriceEssMonthly*AIS9+AJF9*PricePremMonthly*AIS9+AJG9*PriceEssAnnual*AIS9/12+AJH9*PricePremAnnual*AIS9/12</f>
        <v/>
      </c>
      <c r="AJK9" s="9">
        <f>AJJ9*12</f>
        <v/>
      </c>
      <c r="AJL9" s="12">
        <f>AJE9*PriceEssMonthly*AIS9+AJF9*PricePremMonthly*AIS9</f>
        <v/>
      </c>
      <c r="AJM9" s="12">
        <f>AJC9*PriceEssAnnual*AIS9+AJD9*PricePremAnnual*AIS9</f>
        <v/>
      </c>
      <c r="AJN9" s="12">
        <f>0+0</f>
        <v/>
      </c>
      <c r="AJO9" s="9">
        <f>AJL9+AJM9+AJN9</f>
        <v/>
      </c>
      <c r="AJP9" s="12">
        <f>SUM(AJO$5:AJO9)</f>
        <v/>
      </c>
      <c r="AJQ9" s="12">
        <f>OR(AJQ8,AJP9&gt;=VATThreshold)</f>
        <v/>
      </c>
      <c r="AJR9" s="9">
        <f>IF(AJQ9,AJO9/(1+VATRate),AJO9)</f>
        <v/>
      </c>
      <c r="AJS9" s="12">
        <f>AJO9-AJR9</f>
        <v/>
      </c>
      <c r="AJT9" s="12">
        <f>IF(AJQ9=0,0,IF(AIP9=1,SUMPRODUCT(--(($AIQ$5:$AIQ9=$AIQ9-1)*($AIP$5:$AIP9&gt;=10)*($AIP$5:$AIP9&lt;=12)),$AJS$5:$AJS9),IF(AIP9=4,SUMPRODUCT(--(($AIQ$5:$AIQ9=$AIQ9)*($AIP$5:$AIP9&gt;=1)*($AIP$5:$AIP9&lt;=3)),$AJS$5:$AJS9),IF(AIP9=7,SUMPRODUCT(--(($AIQ$5:$AIQ9=$AIQ9)*($AIP$5:$AIP9&gt;=4)*($AIP$5:$AIP9&lt;=6)),$AJS$5:$AJS9),IF(AIP9=10,SUMPRODUCT(--(($AIQ$5:$AIQ9=$AIQ9)*($AIP$5:$AIP9&gt;=7)*($AIP$5:$AIP9&lt;=9)),$AJS$5:$AJS9),0)))))</f>
        <v/>
      </c>
      <c r="AJU9" s="12">
        <f>AJU8+AJS9-AJT9</f>
        <v/>
      </c>
      <c r="AJV9" s="12">
        <f>IF(ProviderDelay&gt;=1,AJR8*ProviderShare,AJR9*ProviderShare)</f>
        <v/>
      </c>
      <c r="AJW9" s="12">
        <f>AJO9*PaymentFee</f>
        <v/>
      </c>
      <c r="AJX9" s="12">
        <f>AJI9*OpsAI</f>
        <v/>
      </c>
      <c r="AJY9" s="12">
        <f>MonthlyFixed</f>
        <v/>
      </c>
      <c r="AJZ9" s="12">
        <f>AIW9*ReferralReward</f>
        <v/>
      </c>
      <c r="AKA9" s="12">
        <f>AIU9</f>
        <v/>
      </c>
      <c r="AKB9" s="9">
        <f>AJR9-AJV9-AJW9-AJX9-AJY9-AJZ9-AKA9</f>
        <v/>
      </c>
      <c r="AKC9" s="9">
        <f>AKC8+AJO9-(AJV9+AJW9+AJX9+AJY9+AJZ9+AKA9+AJT9)</f>
        <v/>
      </c>
      <c r="AKD9" s="12">
        <f>IF(AJI9&gt;0,AJJ9/AJI9,0)</f>
        <v/>
      </c>
      <c r="AKE9" s="11">
        <f>IF(AJI8&gt;0,MAX(0,(AJI8+AIX9-AJI9)/AJI8),0)</f>
        <v/>
      </c>
      <c r="AKG9" s="12" t="n">
        <v>5</v>
      </c>
      <c r="AKH9" s="12">
        <f>MOD(AKG9-1+LaunchMonth-1,12)+1</f>
        <v/>
      </c>
      <c r="AKI9" s="12">
        <f>INT((AKG9-1+LaunchMonth-1)/12)+1</f>
        <v/>
      </c>
      <c r="AKJ9" s="12">
        <f>VLOOKUP(AKH9,SeasonTable,2,FALSE)</f>
        <v/>
      </c>
      <c r="AKK9" s="12">
        <f>(1+InflationRate)^INT((AKG9-1)/12)</f>
        <v/>
      </c>
      <c r="AKL9" s="11">
        <f>MonthlyChurn*VLOOKUP(AKH9,ChurnSeasonTable,4,FALSE)</f>
        <v/>
      </c>
      <c r="AKM9" s="12">
        <f>MIN(MktFixed4_6,MAX(0,ALU8-CashBuffer))</f>
        <v/>
      </c>
      <c r="AKN9" s="12">
        <f>IF(AKM9&gt;0,MAX(1,ROUND(AKM9/'Sens - CAC &amp; Marketing'!$A$12*AKJ9,0)),0)</f>
        <v/>
      </c>
      <c r="AKO9" s="12">
        <f>IF(AKN9&gt;0,ROUND(AKN9*ReferralMix/(1-ReferralMix),0),0)</f>
        <v/>
      </c>
      <c r="AKP9" s="12">
        <f>AKN9+AKO9</f>
        <v/>
      </c>
      <c r="AKQ9" s="12">
        <f>ROUND(AKP9*(1-AnnualMix),0)</f>
        <v/>
      </c>
      <c r="AKR9" s="12">
        <f>AKP9-AKQ9</f>
        <v/>
      </c>
      <c r="AKS9" s="12">
        <f>ROUND(AKQ9*EssentialMix,0)</f>
        <v/>
      </c>
      <c r="AKT9" s="12">
        <f>AKQ9-AKS9</f>
        <v/>
      </c>
      <c r="AKU9" s="12">
        <f>ROUND(AKR9*EssentialMix,0)</f>
        <v/>
      </c>
      <c r="AKV9" s="12">
        <f>AKR9-AKU9</f>
        <v/>
      </c>
      <c r="AKW9" s="12">
        <f>AKS9+AKS8+AKS7+MAX(0,AKW8-AKS8-AKS7)*(1-AKL9)</f>
        <v/>
      </c>
      <c r="AKX9" s="12">
        <f>AKT9+AKT8+AKT7+MAX(0,AKX8-AKT8-AKT7)*(1-AKL9)</f>
        <v/>
      </c>
      <c r="AKY9" s="12">
        <f>SUM(AKU$5:AKU9)</f>
        <v/>
      </c>
      <c r="AKZ9" s="12">
        <f>SUM(AKV$5:AKV9)</f>
        <v/>
      </c>
      <c r="ALA9" s="12">
        <f>AKW9+AKX9+AKY9+AKZ9</f>
        <v/>
      </c>
      <c r="ALB9" s="9">
        <f>AKW9*PriceEssMonthly*AKK9+AKX9*PricePremMonthly*AKK9+AKY9*PriceEssAnnual*AKK9/12+AKZ9*PricePremAnnual*AKK9/12</f>
        <v/>
      </c>
      <c r="ALC9" s="9">
        <f>ALB9*12</f>
        <v/>
      </c>
      <c r="ALD9" s="12">
        <f>AKW9*PriceEssMonthly*AKK9+AKX9*PricePremMonthly*AKK9</f>
        <v/>
      </c>
      <c r="ALE9" s="12">
        <f>AKU9*PriceEssAnnual*AKK9+AKV9*PricePremAnnual*AKK9</f>
        <v/>
      </c>
      <c r="ALF9" s="12">
        <f>0+0</f>
        <v/>
      </c>
      <c r="ALG9" s="9">
        <f>ALD9+ALE9+ALF9</f>
        <v/>
      </c>
      <c r="ALH9" s="12">
        <f>SUM(ALG$5:ALG9)</f>
        <v/>
      </c>
      <c r="ALI9" s="12">
        <f>OR(ALI8,ALH9&gt;=VATThreshold)</f>
        <v/>
      </c>
      <c r="ALJ9" s="9">
        <f>IF(ALI9,ALG9/(1+VATRate),ALG9)</f>
        <v/>
      </c>
      <c r="ALK9" s="12">
        <f>ALG9-ALJ9</f>
        <v/>
      </c>
      <c r="ALL9" s="12">
        <f>IF(ALI9=0,0,IF(AKH9=1,SUMPRODUCT(--(($AKI$5:$AKI9=$AKI9-1)*($AKH$5:$AKH9&gt;=10)*($AKH$5:$AKH9&lt;=12)),$ALK$5:$ALK9),IF(AKH9=4,SUMPRODUCT(--(($AKI$5:$AKI9=$AKI9)*($AKH$5:$AKH9&gt;=1)*($AKH$5:$AKH9&lt;=3)),$ALK$5:$ALK9),IF(AKH9=7,SUMPRODUCT(--(($AKI$5:$AKI9=$AKI9)*($AKH$5:$AKH9&gt;=4)*($AKH$5:$AKH9&lt;=6)),$ALK$5:$ALK9),IF(AKH9=10,SUMPRODUCT(--(($AKI$5:$AKI9=$AKI9)*($AKH$5:$AKH9&gt;=7)*($AKH$5:$AKH9&lt;=9)),$ALK$5:$ALK9),0)))))</f>
        <v/>
      </c>
      <c r="ALM9" s="12">
        <f>ALM8+ALK9-ALL9</f>
        <v/>
      </c>
      <c r="ALN9" s="12">
        <f>IF(ProviderDelay&gt;=1,ALJ8*ProviderShare,ALJ9*ProviderShare)</f>
        <v/>
      </c>
      <c r="ALO9" s="12">
        <f>ALG9*PaymentFee</f>
        <v/>
      </c>
      <c r="ALP9" s="12">
        <f>ALA9*OpsAI</f>
        <v/>
      </c>
      <c r="ALQ9" s="12">
        <f>MonthlyFixed</f>
        <v/>
      </c>
      <c r="ALR9" s="12">
        <f>AKO9*ReferralReward</f>
        <v/>
      </c>
      <c r="ALS9" s="12">
        <f>AKM9</f>
        <v/>
      </c>
      <c r="ALT9" s="9">
        <f>ALJ9-ALN9-ALO9-ALP9-ALQ9-ALR9-ALS9</f>
        <v/>
      </c>
      <c r="ALU9" s="9">
        <f>ALU8+ALG9-(ALN9+ALO9+ALP9+ALQ9+ALR9+ALS9+ALL9)</f>
        <v/>
      </c>
      <c r="ALV9" s="12">
        <f>IF(ALA9&gt;0,ALB9/ALA9,0)</f>
        <v/>
      </c>
      <c r="ALW9" s="11">
        <f>IF(ALA8&gt;0,MAX(0,(ALA8+AKP9-ALA9)/ALA8),0)</f>
        <v/>
      </c>
      <c r="ALY9" s="12" t="n">
        <v>5</v>
      </c>
      <c r="ALZ9" s="12">
        <f>MOD(ALY9-1+LaunchMonth-1,12)+1</f>
        <v/>
      </c>
      <c r="AMA9" s="12">
        <f>INT((ALY9-1+LaunchMonth-1)/12)+1</f>
        <v/>
      </c>
      <c r="AMB9" s="12">
        <f>VLOOKUP(ALZ9,SeasonTable,2,FALSE)</f>
        <v/>
      </c>
      <c r="AMC9" s="12">
        <f>(1+InflationRate)^INT((ALY9-1)/12)</f>
        <v/>
      </c>
      <c r="AMD9" s="11">
        <f>MonthlyChurn*VLOOKUP(ALZ9,ChurnSeasonTable,4,FALSE)</f>
        <v/>
      </c>
      <c r="AME9" s="12">
        <f>MIN(MktFixed4_6,MAX(0,ANM8-CashBuffer))</f>
        <v/>
      </c>
      <c r="AMF9" s="12">
        <f>IF(AME9&gt;0,MAX(1,ROUND(AME9/'Sens - CAC &amp; Marketing'!$A$13*AMB9,0)),0)</f>
        <v/>
      </c>
      <c r="AMG9" s="12">
        <f>IF(AMF9&gt;0,ROUND(AMF9*ReferralMix/(1-ReferralMix),0),0)</f>
        <v/>
      </c>
      <c r="AMH9" s="12">
        <f>AMF9+AMG9</f>
        <v/>
      </c>
      <c r="AMI9" s="12">
        <f>ROUND(AMH9*(1-AnnualMix),0)</f>
        <v/>
      </c>
      <c r="AMJ9" s="12">
        <f>AMH9-AMI9</f>
        <v/>
      </c>
      <c r="AMK9" s="12">
        <f>ROUND(AMI9*EssentialMix,0)</f>
        <v/>
      </c>
      <c r="AML9" s="12">
        <f>AMI9-AMK9</f>
        <v/>
      </c>
      <c r="AMM9" s="12">
        <f>ROUND(AMJ9*EssentialMix,0)</f>
        <v/>
      </c>
      <c r="AMN9" s="12">
        <f>AMJ9-AMM9</f>
        <v/>
      </c>
      <c r="AMO9" s="12">
        <f>AMK9+AMK8+AMK7+MAX(0,AMO8-AMK8-AMK7)*(1-AMD9)</f>
        <v/>
      </c>
      <c r="AMP9" s="12">
        <f>AML9+AML8+AML7+MAX(0,AMP8-AML8-AML7)*(1-AMD9)</f>
        <v/>
      </c>
      <c r="AMQ9" s="12">
        <f>SUM(AMM$5:AMM9)</f>
        <v/>
      </c>
      <c r="AMR9" s="12">
        <f>SUM(AMN$5:AMN9)</f>
        <v/>
      </c>
      <c r="AMS9" s="12">
        <f>AMO9+AMP9+AMQ9+AMR9</f>
        <v/>
      </c>
      <c r="AMT9" s="9">
        <f>AMO9*PriceEssMonthly*AMC9+AMP9*PricePremMonthly*AMC9+AMQ9*PriceEssAnnual*AMC9/12+AMR9*PricePremAnnual*AMC9/12</f>
        <v/>
      </c>
      <c r="AMU9" s="9">
        <f>AMT9*12</f>
        <v/>
      </c>
      <c r="AMV9" s="12">
        <f>AMO9*PriceEssMonthly*AMC9+AMP9*PricePremMonthly*AMC9</f>
        <v/>
      </c>
      <c r="AMW9" s="12">
        <f>AMM9*PriceEssAnnual*AMC9+AMN9*PricePremAnnual*AMC9</f>
        <v/>
      </c>
      <c r="AMX9" s="12">
        <f>0+0</f>
        <v/>
      </c>
      <c r="AMY9" s="9">
        <f>AMV9+AMW9+AMX9</f>
        <v/>
      </c>
      <c r="AMZ9" s="12">
        <f>SUM(AMY$5:AMY9)</f>
        <v/>
      </c>
      <c r="ANA9" s="12">
        <f>OR(ANA8,AMZ9&gt;=VATThreshold)</f>
        <v/>
      </c>
      <c r="ANB9" s="9">
        <f>IF(ANA9,AMY9/(1+VATRate),AMY9)</f>
        <v/>
      </c>
      <c r="ANC9" s="12">
        <f>AMY9-ANB9</f>
        <v/>
      </c>
      <c r="AND9" s="12">
        <f>IF(ANA9=0,0,IF(ALZ9=1,SUMPRODUCT(--(($AMA$5:$AMA9=$AMA9-1)*($ALZ$5:$ALZ9&gt;=10)*($ALZ$5:$ALZ9&lt;=12)),$ANC$5:$ANC9),IF(ALZ9=4,SUMPRODUCT(--(($AMA$5:$AMA9=$AMA9)*($ALZ$5:$ALZ9&gt;=1)*($ALZ$5:$ALZ9&lt;=3)),$ANC$5:$ANC9),IF(ALZ9=7,SUMPRODUCT(--(($AMA$5:$AMA9=$AMA9)*($ALZ$5:$ALZ9&gt;=4)*($ALZ$5:$ALZ9&lt;=6)),$ANC$5:$ANC9),IF(ALZ9=10,SUMPRODUCT(--(($AMA$5:$AMA9=$AMA9)*($ALZ$5:$ALZ9&gt;=7)*($ALZ$5:$ALZ9&lt;=9)),$ANC$5:$ANC9),0)))))</f>
        <v/>
      </c>
      <c r="ANE9" s="12">
        <f>ANE8+ANC9-AND9</f>
        <v/>
      </c>
      <c r="ANF9" s="12">
        <f>IF(ProviderDelay&gt;=1,ANB8*ProviderShare,ANB9*ProviderShare)</f>
        <v/>
      </c>
      <c r="ANG9" s="12">
        <f>AMY9*PaymentFee</f>
        <v/>
      </c>
      <c r="ANH9" s="12">
        <f>AMS9*OpsAI</f>
        <v/>
      </c>
      <c r="ANI9" s="12">
        <f>MonthlyFixed</f>
        <v/>
      </c>
      <c r="ANJ9" s="12">
        <f>AMG9*ReferralReward</f>
        <v/>
      </c>
      <c r="ANK9" s="12">
        <f>AME9</f>
        <v/>
      </c>
      <c r="ANL9" s="9">
        <f>ANB9-ANF9-ANG9-ANH9-ANI9-ANJ9-ANK9</f>
        <v/>
      </c>
      <c r="ANM9" s="9">
        <f>ANM8+AMY9-(ANF9+ANG9+ANH9+ANI9+ANJ9+ANK9+AND9)</f>
        <v/>
      </c>
      <c r="ANN9" s="12">
        <f>IF(AMS9&gt;0,AMT9/AMS9,0)</f>
        <v/>
      </c>
      <c r="ANO9" s="11">
        <f>IF(AMS8&gt;0,MAX(0,(AMS8+AMH9-AMS9)/AMS8),0)</f>
        <v/>
      </c>
      <c r="ANQ9" s="12" t="n">
        <v>5</v>
      </c>
      <c r="ANR9" s="12">
        <f>MOD(ANQ9-1+LaunchMonth-1,12)+1</f>
        <v/>
      </c>
      <c r="ANS9" s="12">
        <f>INT((ANQ9-1+LaunchMonth-1)/12)+1</f>
        <v/>
      </c>
      <c r="ANT9" s="12">
        <f>VLOOKUP(ANR9,SeasonTable,2,FALSE)</f>
        <v/>
      </c>
      <c r="ANU9" s="12">
        <f>(1+InflationRate)^INT((ANQ9-1)/12)</f>
        <v/>
      </c>
      <c r="ANV9" s="11">
        <f>MonthlyChurn*VLOOKUP(ANR9,ChurnSeasonTable,4,FALSE)</f>
        <v/>
      </c>
      <c r="ANW9" s="12">
        <f>MIN(MktFixed4_6,MAX(0,APE8-CashBuffer))</f>
        <v/>
      </c>
      <c r="ANX9" s="12">
        <f>IF(ANW9&gt;0,MAX(1,ROUND(ANW9/'Sens - CAC &amp; Marketing'!$A$14*ANT9,0)),0)</f>
        <v/>
      </c>
      <c r="ANY9" s="12">
        <f>IF(ANX9&gt;0,ROUND(ANX9*ReferralMix/(1-ReferralMix),0),0)</f>
        <v/>
      </c>
      <c r="ANZ9" s="12">
        <f>ANX9+ANY9</f>
        <v/>
      </c>
      <c r="AOA9" s="12">
        <f>ROUND(ANZ9*(1-AnnualMix),0)</f>
        <v/>
      </c>
      <c r="AOB9" s="12">
        <f>ANZ9-AOA9</f>
        <v/>
      </c>
      <c r="AOC9" s="12">
        <f>ROUND(AOA9*EssentialMix,0)</f>
        <v/>
      </c>
      <c r="AOD9" s="12">
        <f>AOA9-AOC9</f>
        <v/>
      </c>
      <c r="AOE9" s="12">
        <f>ROUND(AOB9*EssentialMix,0)</f>
        <v/>
      </c>
      <c r="AOF9" s="12">
        <f>AOB9-AOE9</f>
        <v/>
      </c>
      <c r="AOG9" s="12">
        <f>AOC9+AOC8+AOC7+MAX(0,AOG8-AOC8-AOC7)*(1-ANV9)</f>
        <v/>
      </c>
      <c r="AOH9" s="12">
        <f>AOD9+AOD8+AOD7+MAX(0,AOH8-AOD8-AOD7)*(1-ANV9)</f>
        <v/>
      </c>
      <c r="AOI9" s="12">
        <f>SUM(AOE$5:AOE9)</f>
        <v/>
      </c>
      <c r="AOJ9" s="12">
        <f>SUM(AOF$5:AOF9)</f>
        <v/>
      </c>
      <c r="AOK9" s="12">
        <f>AOG9+AOH9+AOI9+AOJ9</f>
        <v/>
      </c>
      <c r="AOL9" s="9">
        <f>AOG9*PriceEssMonthly*ANU9+AOH9*PricePremMonthly*ANU9+AOI9*PriceEssAnnual*ANU9/12+AOJ9*PricePremAnnual*ANU9/12</f>
        <v/>
      </c>
      <c r="AOM9" s="9">
        <f>AOL9*12</f>
        <v/>
      </c>
      <c r="AON9" s="12">
        <f>AOG9*PriceEssMonthly*ANU9+AOH9*PricePremMonthly*ANU9</f>
        <v/>
      </c>
      <c r="AOO9" s="12">
        <f>AOE9*PriceEssAnnual*ANU9+AOF9*PricePremAnnual*ANU9</f>
        <v/>
      </c>
      <c r="AOP9" s="12">
        <f>0+0</f>
        <v/>
      </c>
      <c r="AOQ9" s="9">
        <f>AON9+AOO9+AOP9</f>
        <v/>
      </c>
      <c r="AOR9" s="12">
        <f>SUM(AOQ$5:AOQ9)</f>
        <v/>
      </c>
      <c r="AOS9" s="12">
        <f>OR(AOS8,AOR9&gt;=VATThreshold)</f>
        <v/>
      </c>
      <c r="AOT9" s="9">
        <f>IF(AOS9,AOQ9/(1+VATRate),AOQ9)</f>
        <v/>
      </c>
      <c r="AOU9" s="12">
        <f>AOQ9-AOT9</f>
        <v/>
      </c>
      <c r="AOV9" s="12">
        <f>IF(AOS9=0,0,IF(ANR9=1,SUMPRODUCT(--(($ANS$5:$ANS9=$ANS9-1)*($ANR$5:$ANR9&gt;=10)*($ANR$5:$ANR9&lt;=12)),$AOU$5:$AOU9),IF(ANR9=4,SUMPRODUCT(--(($ANS$5:$ANS9=$ANS9)*($ANR$5:$ANR9&gt;=1)*($ANR$5:$ANR9&lt;=3)),$AOU$5:$AOU9),IF(ANR9=7,SUMPRODUCT(--(($ANS$5:$ANS9=$ANS9)*($ANR$5:$ANR9&gt;=4)*($ANR$5:$ANR9&lt;=6)),$AOU$5:$AOU9),IF(ANR9=10,SUMPRODUCT(--(($ANS$5:$ANS9=$ANS9)*($ANR$5:$ANR9&gt;=7)*($ANR$5:$ANR9&lt;=9)),$AOU$5:$AOU9),0)))))</f>
        <v/>
      </c>
      <c r="AOW9" s="12">
        <f>AOW8+AOU9-AOV9</f>
        <v/>
      </c>
      <c r="AOX9" s="12">
        <f>IF(ProviderDelay&gt;=1,AOT8*ProviderShare,AOT9*ProviderShare)</f>
        <v/>
      </c>
      <c r="AOY9" s="12">
        <f>AOQ9*PaymentFee</f>
        <v/>
      </c>
      <c r="AOZ9" s="12">
        <f>AOK9*OpsAI</f>
        <v/>
      </c>
      <c r="APA9" s="12">
        <f>MonthlyFixed</f>
        <v/>
      </c>
      <c r="APB9" s="12">
        <f>ANY9*ReferralReward</f>
        <v/>
      </c>
      <c r="APC9" s="12">
        <f>ANW9</f>
        <v/>
      </c>
      <c r="APD9" s="9">
        <f>AOT9-AOX9-AOY9-AOZ9-APA9-APB9-APC9</f>
        <v/>
      </c>
      <c r="APE9" s="9">
        <f>APE8+AOQ9-(AOX9+AOY9+AOZ9+APA9+APB9+APC9+AOV9)</f>
        <v/>
      </c>
      <c r="APF9" s="12">
        <f>IF(AOK9&gt;0,AOL9/AOK9,0)</f>
        <v/>
      </c>
      <c r="APG9" s="11">
        <f>IF(AOK8&gt;0,MAX(0,(AOK8+ANZ9-AOK9)/AOK8),0)</f>
        <v/>
      </c>
      <c r="API9" s="12" t="n">
        <v>5</v>
      </c>
      <c r="APJ9" s="12">
        <f>MOD(API9-1+LaunchMonth-1,12)+1</f>
        <v/>
      </c>
      <c r="APK9" s="12">
        <f>INT((API9-1+LaunchMonth-1)/12)+1</f>
        <v/>
      </c>
      <c r="APL9" s="12">
        <f>VLOOKUP(APJ9,SeasonTable,2,FALSE)</f>
        <v/>
      </c>
      <c r="APM9" s="12">
        <f>(1+InflationRate)^INT((API9-1)/12)</f>
        <v/>
      </c>
      <c r="APN9" s="11">
        <f>MonthlyChurn*VLOOKUP(APJ9,ChurnSeasonTable,4,FALSE)</f>
        <v/>
      </c>
      <c r="APO9" s="12">
        <f>MIN(MktFixed4_6,MAX(0,AQW8-CashBuffer))</f>
        <v/>
      </c>
      <c r="APP9" s="12">
        <f>IF(APO9&gt;0,MAX(1,ROUND(APO9/'Sens - CAC &amp; Marketing'!$A$15*APL9,0)),0)</f>
        <v/>
      </c>
      <c r="APQ9" s="12">
        <f>IF(APP9&gt;0,ROUND(APP9*ReferralMix/(1-ReferralMix),0),0)</f>
        <v/>
      </c>
      <c r="APR9" s="12">
        <f>APP9+APQ9</f>
        <v/>
      </c>
      <c r="APS9" s="12">
        <f>ROUND(APR9*(1-AnnualMix),0)</f>
        <v/>
      </c>
      <c r="APT9" s="12">
        <f>APR9-APS9</f>
        <v/>
      </c>
      <c r="APU9" s="12">
        <f>ROUND(APS9*EssentialMix,0)</f>
        <v/>
      </c>
      <c r="APV9" s="12">
        <f>APS9-APU9</f>
        <v/>
      </c>
      <c r="APW9" s="12">
        <f>ROUND(APT9*EssentialMix,0)</f>
        <v/>
      </c>
      <c r="APX9" s="12">
        <f>APT9-APW9</f>
        <v/>
      </c>
      <c r="APY9" s="12">
        <f>APU9+APU8+APU7+MAX(0,APY8-APU8-APU7)*(1-APN9)</f>
        <v/>
      </c>
      <c r="APZ9" s="12">
        <f>APV9+APV8+APV7+MAX(0,APZ8-APV8-APV7)*(1-APN9)</f>
        <v/>
      </c>
      <c r="AQA9" s="12">
        <f>SUM(APW$5:APW9)</f>
        <v/>
      </c>
      <c r="AQB9" s="12">
        <f>SUM(APX$5:APX9)</f>
        <v/>
      </c>
      <c r="AQC9" s="12">
        <f>APY9+APZ9+AQA9+AQB9</f>
        <v/>
      </c>
      <c r="AQD9" s="9">
        <f>APY9*PriceEssMonthly*APM9+APZ9*PricePremMonthly*APM9+AQA9*PriceEssAnnual*APM9/12+AQB9*PricePremAnnual*APM9/12</f>
        <v/>
      </c>
      <c r="AQE9" s="9">
        <f>AQD9*12</f>
        <v/>
      </c>
      <c r="AQF9" s="12">
        <f>APY9*PriceEssMonthly*APM9+APZ9*PricePremMonthly*APM9</f>
        <v/>
      </c>
      <c r="AQG9" s="12">
        <f>APW9*PriceEssAnnual*APM9+APX9*PricePremAnnual*APM9</f>
        <v/>
      </c>
      <c r="AQH9" s="12">
        <f>0+0</f>
        <v/>
      </c>
      <c r="AQI9" s="9">
        <f>AQF9+AQG9+AQH9</f>
        <v/>
      </c>
      <c r="AQJ9" s="12">
        <f>SUM(AQI$5:AQI9)</f>
        <v/>
      </c>
      <c r="AQK9" s="12">
        <f>OR(AQK8,AQJ9&gt;=VATThreshold)</f>
        <v/>
      </c>
      <c r="AQL9" s="9">
        <f>IF(AQK9,AQI9/(1+VATRate),AQI9)</f>
        <v/>
      </c>
      <c r="AQM9" s="12">
        <f>AQI9-AQL9</f>
        <v/>
      </c>
      <c r="AQN9" s="12">
        <f>IF(AQK9=0,0,IF(APJ9=1,SUMPRODUCT(--(($APK$5:$APK9=$APK9-1)*($APJ$5:$APJ9&gt;=10)*($APJ$5:$APJ9&lt;=12)),$AQM$5:$AQM9),IF(APJ9=4,SUMPRODUCT(--(($APK$5:$APK9=$APK9)*($APJ$5:$APJ9&gt;=1)*($APJ$5:$APJ9&lt;=3)),$AQM$5:$AQM9),IF(APJ9=7,SUMPRODUCT(--(($APK$5:$APK9=$APK9)*($APJ$5:$APJ9&gt;=4)*($APJ$5:$APJ9&lt;=6)),$AQM$5:$AQM9),IF(APJ9=10,SUMPRODUCT(--(($APK$5:$APK9=$APK9)*($APJ$5:$APJ9&gt;=7)*($APJ$5:$APJ9&lt;=9)),$AQM$5:$AQM9),0)))))</f>
        <v/>
      </c>
      <c r="AQO9" s="12">
        <f>AQO8+AQM9-AQN9</f>
        <v/>
      </c>
      <c r="AQP9" s="12">
        <f>IF(ProviderDelay&gt;=1,AQL8*ProviderShare,AQL9*ProviderShare)</f>
        <v/>
      </c>
      <c r="AQQ9" s="12">
        <f>AQI9*PaymentFee</f>
        <v/>
      </c>
      <c r="AQR9" s="12">
        <f>AQC9*OpsAI</f>
        <v/>
      </c>
      <c r="AQS9" s="12">
        <f>MonthlyFixed</f>
        <v/>
      </c>
      <c r="AQT9" s="12">
        <f>APQ9*ReferralReward</f>
        <v/>
      </c>
      <c r="AQU9" s="12">
        <f>APO9</f>
        <v/>
      </c>
      <c r="AQV9" s="9">
        <f>AQL9-AQP9-AQQ9-AQR9-AQS9-AQT9-AQU9</f>
        <v/>
      </c>
      <c r="AQW9" s="9">
        <f>AQW8+AQI9-(AQP9+AQQ9+AQR9+AQS9+AQT9+AQU9+AQN9)</f>
        <v/>
      </c>
      <c r="AQX9" s="12">
        <f>IF(AQC9&gt;0,AQD9/AQC9,0)</f>
        <v/>
      </c>
      <c r="AQY9" s="11">
        <f>IF(AQC8&gt;0,MAX(0,(AQC8+APR9-AQC9)/AQC8),0)</f>
        <v/>
      </c>
      <c r="ARA9" s="12" t="n">
        <v>5</v>
      </c>
      <c r="ARB9" s="12">
        <f>MOD(ARA9-1+LaunchMonth-1,12)+1</f>
        <v/>
      </c>
      <c r="ARC9" s="12">
        <f>INT((ARA9-1+LaunchMonth-1)/12)+1</f>
        <v/>
      </c>
      <c r="ARD9" s="12">
        <f>VLOOKUP(ARB9,WinterPivotSeasonTable,5,FALSE)</f>
        <v/>
      </c>
      <c r="ARE9" s="12">
        <f>(1+InflationRate)^INT((ARA9-1)/12)</f>
        <v/>
      </c>
      <c r="ARF9" s="11">
        <f>MonthlyChurn*VLOOKUP(ARB9,WinterPivotChurnTable,6,FALSE)</f>
        <v/>
      </c>
      <c r="ARG9" s="12">
        <f>MIN(MktFixed4_6,MAX(0,ASO8-CashBuffer))</f>
        <v/>
      </c>
      <c r="ARH9" s="12">
        <f>IF(ARG9&gt;0,MAX(1,ROUND(ARG9/CAC*ARD9,0)),0)</f>
        <v/>
      </c>
      <c r="ARI9" s="12">
        <f>IF(ARH9&gt;0,ROUND(ARH9*ReferralMix/(1-ReferralMix),0),0)</f>
        <v/>
      </c>
      <c r="ARJ9" s="12">
        <f>ARH9+ARI9</f>
        <v/>
      </c>
      <c r="ARK9" s="12">
        <f>ROUND(ARJ9*(1-AnnualMix),0)</f>
        <v/>
      </c>
      <c r="ARL9" s="12">
        <f>ARJ9-ARK9</f>
        <v/>
      </c>
      <c r="ARM9" s="12">
        <f>ROUND(ARK9*'Sens - Winter Pivot'!$B$6,0)</f>
        <v/>
      </c>
      <c r="ARN9" s="12">
        <f>ARK9-ARM9</f>
        <v/>
      </c>
      <c r="ARO9" s="12">
        <f>ROUND(ARL9*'Sens - Winter Pivot'!$B$6,0)</f>
        <v/>
      </c>
      <c r="ARP9" s="12">
        <f>ARL9-ARO9</f>
        <v/>
      </c>
      <c r="ARQ9" s="12">
        <f>ARM9+ARM8+ARM7+MAX(0,ARQ8-ARM8-ARM7)*(1-ARF9)</f>
        <v/>
      </c>
      <c r="ARR9" s="12">
        <f>ARN9+ARN8+ARN7+MAX(0,ARR8-ARN8-ARN7)*(1-ARF9)</f>
        <v/>
      </c>
      <c r="ARS9" s="12">
        <f>SUM(ARO$5:ARO9)</f>
        <v/>
      </c>
      <c r="ART9" s="12">
        <f>SUM(ARP$5:ARP9)</f>
        <v/>
      </c>
      <c r="ARU9" s="12">
        <f>ARQ9+ARR9+ARS9+ART9</f>
        <v/>
      </c>
      <c r="ARV9" s="9">
        <f>ARQ9*PriceEssMonthly*ARE9+ARR9*(PricePremMonthly+'Sens - Winter Pivot'!$B$7)*ARE9+ARS9*PriceEssAnnual*ARE9/12+ART9*(PricePremAnnual+'Sens - Winter Pivot'!$B$7*12)*ARE9/12</f>
        <v/>
      </c>
      <c r="ARW9" s="9">
        <f>ARV9*12</f>
        <v/>
      </c>
      <c r="ARX9" s="12">
        <f>ARQ9*PriceEssMonthly*ARE9+ARR9*(PricePremMonthly+'Sens - Winter Pivot'!$B$7)*ARE9</f>
        <v/>
      </c>
      <c r="ARY9" s="12">
        <f>ARO9*PriceEssAnnual*ARE9+ARP9*(PricePremAnnual+'Sens - Winter Pivot'!$B$7*12)*ARE9</f>
        <v/>
      </c>
      <c r="ARZ9" s="12">
        <f>0+0</f>
        <v/>
      </c>
      <c r="ASA9" s="9">
        <f>ARX9+ARY9+ARZ9</f>
        <v/>
      </c>
      <c r="ASB9" s="12">
        <f>SUM(ASA$5:ASA9)</f>
        <v/>
      </c>
      <c r="ASC9" s="12">
        <f>OR(ASC8,ASB9&gt;=VATThreshold)</f>
        <v/>
      </c>
      <c r="ASD9" s="9">
        <f>IF(ASC9,ASA9/(1+VATRate),ASA9)</f>
        <v/>
      </c>
      <c r="ASE9" s="12">
        <f>ASA9-ASD9</f>
        <v/>
      </c>
      <c r="ASF9" s="12">
        <f>IF(ASC9=0,0,IF(ARB9=1,SUMPRODUCT(--(($ARC$5:$ARC9=$ARC9-1)*($ARB$5:$ARB9&gt;=10)*($ARB$5:$ARB9&lt;=12)),$ASE$5:$ASE9),IF(ARB9=4,SUMPRODUCT(--(($ARC$5:$ARC9=$ARC9)*($ARB$5:$ARB9&gt;=1)*($ARB$5:$ARB9&lt;=3)),$ASE$5:$ASE9),IF(ARB9=7,SUMPRODUCT(--(($ARC$5:$ARC9=$ARC9)*($ARB$5:$ARB9&gt;=4)*($ARB$5:$ARB9&lt;=6)),$ASE$5:$ASE9),IF(ARB9=10,SUMPRODUCT(--(($ARC$5:$ARC9=$ARC9)*($ARB$5:$ARB9&gt;=7)*($ARB$5:$ARB9&lt;=9)),$ASE$5:$ASE9),0)))))</f>
        <v/>
      </c>
      <c r="ASG9" s="12">
        <f>ASG8+ASE9-ASF9</f>
        <v/>
      </c>
      <c r="ASH9" s="12">
        <f>IF(ProviderDelay&gt;=1,ASD8*ProviderShare,ASD9*ProviderShare)</f>
        <v/>
      </c>
      <c r="ASI9" s="12">
        <f>ASA9*PaymentFee</f>
        <v/>
      </c>
      <c r="ASJ9" s="12">
        <f>ARU9*OpsAI</f>
        <v/>
      </c>
      <c r="ASK9" s="12">
        <f>MonthlyFixed</f>
        <v/>
      </c>
      <c r="ASL9" s="12">
        <f>ARI9*ReferralReward</f>
        <v/>
      </c>
      <c r="ASM9" s="12">
        <f>ARG9</f>
        <v/>
      </c>
      <c r="ASN9" s="9">
        <f>ASD9-ASH9-ASI9-ASJ9-ASK9-ASL9-ASM9</f>
        <v/>
      </c>
      <c r="ASO9" s="9">
        <f>ASO8+ASA9-(ASH9+ASI9+ASJ9+ASK9+ASL9+ASM9+ASF9)</f>
        <v/>
      </c>
      <c r="ASP9" s="12">
        <f>IF(ARU9&gt;0,ARV9/ARU9,0)</f>
        <v/>
      </c>
      <c r="ASQ9" s="11">
        <f>IF(ARU8&gt;0,MAX(0,(ARU8+ARJ9-ARU9)/ARU8),0)</f>
        <v/>
      </c>
    </row>
    <row r="10">
      <c r="A10" s="12" t="n">
        <v>6</v>
      </c>
      <c r="B10" s="12">
        <f>MOD(A10-1+LaunchMonth-1,12)+1</f>
        <v/>
      </c>
      <c r="C10" s="12">
        <f>INT((A10-1+LaunchMonth-1)/12)+1</f>
        <v/>
      </c>
      <c r="D10" s="12">
        <f>VLOOKUP(B10,SeasonTable,2,FALSE)</f>
        <v/>
      </c>
      <c r="E10" s="12">
        <f>(1+InflationRate)^INT((A10-1)/12)</f>
        <v/>
      </c>
      <c r="F10" s="11">
        <f>'Sens - Scenarios'!$B$5*VLOOKUP(B10,ChurnSeasonTable,4,FALSE)</f>
        <v/>
      </c>
      <c r="G10" s="12">
        <f>MIN(MktFixed4_6,MAX(0,AO9-CashBuffer))</f>
        <v/>
      </c>
      <c r="H10" s="12">
        <f>IF(G10&gt;0,MAX(1,ROUND(G10/'Sens - Scenarios'!$B$8*D10,0)),0)</f>
        <v/>
      </c>
      <c r="I10" s="12">
        <f>IF(H10&gt;0,ROUND(H10*ReferralMix/(1-ReferralMix),0),0)</f>
        <v/>
      </c>
      <c r="J10" s="12">
        <f>H10+I10</f>
        <v/>
      </c>
      <c r="K10" s="12">
        <f>ROUND(J10*(1-'Sens - Scenarios'!$B$7),0)</f>
        <v/>
      </c>
      <c r="L10" s="12">
        <f>J10-K10</f>
        <v/>
      </c>
      <c r="M10" s="12">
        <f>ROUND(K10*EssentialMix,0)</f>
        <v/>
      </c>
      <c r="N10" s="12">
        <f>K10-M10</f>
        <v/>
      </c>
      <c r="O10" s="12">
        <f>ROUND(L10*EssentialMix,0)</f>
        <v/>
      </c>
      <c r="P10" s="12">
        <f>L10-O10</f>
        <v/>
      </c>
      <c r="Q10" s="12">
        <f>M10+M9+M8+MAX(0,Q9-M9-M8)*(1-F10)</f>
        <v/>
      </c>
      <c r="R10" s="12">
        <f>N10+N9+N8+MAX(0,R9-N9-N8)*(1-F10)</f>
        <v/>
      </c>
      <c r="S10" s="12">
        <f>SUM(O$5:O10)</f>
        <v/>
      </c>
      <c r="T10" s="12">
        <f>SUM(P$5:P10)</f>
        <v/>
      </c>
      <c r="U10" s="12">
        <f>Q10+R10+S10+T10</f>
        <v/>
      </c>
      <c r="V10" s="9">
        <f>Q10*PriceEssMonthly*E10+R10*PricePremMonthly*E10+S10*PriceEssAnnual*E10/12+T10*PricePremAnnual*E10/12</f>
        <v/>
      </c>
      <c r="W10" s="9">
        <f>V10*12</f>
        <v/>
      </c>
      <c r="X10" s="12">
        <f>Q10*PriceEssMonthly*E10+R10*PricePremMonthly*E10</f>
        <v/>
      </c>
      <c r="Y10" s="12">
        <f>O10*PriceEssAnnual*E10+P10*PricePremAnnual*E10</f>
        <v/>
      </c>
      <c r="Z10" s="12">
        <f>0+0</f>
        <v/>
      </c>
      <c r="AA10" s="9">
        <f>X10+Y10+Z10</f>
        <v/>
      </c>
      <c r="AB10" s="12">
        <f>SUM(AA$5:AA10)</f>
        <v/>
      </c>
      <c r="AC10" s="12">
        <f>OR(AC9,AB10&gt;=VATThreshold)</f>
        <v/>
      </c>
      <c r="AD10" s="9">
        <f>IF(AC10,AA10/(1+VATRate),AA10)</f>
        <v/>
      </c>
      <c r="AE10" s="12">
        <f>AA10-AD10</f>
        <v/>
      </c>
      <c r="AF10" s="12">
        <f>IF(AC10=0,0,IF(B10=1,SUMPRODUCT(--(($C$5:$C10=$C10-1)*($B$5:$B10&gt;=10)*($B$5:$B10&lt;=12)),$AE$5:$AE10),IF(B10=4,SUMPRODUCT(--(($C$5:$C10=$C10)*($B$5:$B10&gt;=1)*($B$5:$B10&lt;=3)),$AE$5:$AE10),IF(B10=7,SUMPRODUCT(--(($C$5:$C10=$C10)*($B$5:$B10&gt;=4)*($B$5:$B10&lt;=6)),$AE$5:$AE10),IF(B10=10,SUMPRODUCT(--(($C$5:$C10=$C10)*($B$5:$B10&gt;=7)*($B$5:$B10&lt;=9)),$AE$5:$AE10),0)))))</f>
        <v/>
      </c>
      <c r="AG10" s="12">
        <f>AG9+AE10-AF10</f>
        <v/>
      </c>
      <c r="AH10" s="12">
        <f>IF(ProviderDelay&gt;=1,AD9*ProviderShare,AD10*ProviderShare)</f>
        <v/>
      </c>
      <c r="AI10" s="12">
        <f>AA10*PaymentFee</f>
        <v/>
      </c>
      <c r="AJ10" s="12">
        <f>U10*OpsAI</f>
        <v/>
      </c>
      <c r="AK10" s="12">
        <f>MonthlyFixed</f>
        <v/>
      </c>
      <c r="AL10" s="12">
        <f>I10*ReferralReward</f>
        <v/>
      </c>
      <c r="AM10" s="12">
        <f>G10</f>
        <v/>
      </c>
      <c r="AN10" s="9">
        <f>AD10-AH10-AI10-AJ10-AK10-AL10-AM10</f>
        <v/>
      </c>
      <c r="AO10" s="9">
        <f>AO9+AA10-(AH10+AI10+AJ10+AK10+AL10+AM10+AF10)</f>
        <v/>
      </c>
      <c r="AP10" s="12">
        <f>IF(U10&gt;0,V10/U10,0)</f>
        <v/>
      </c>
      <c r="AQ10" s="11">
        <f>IF(U9&gt;0,MAX(0,(U9+J10-U10)/U9),0)</f>
        <v/>
      </c>
      <c r="AS10" s="12" t="n">
        <v>6</v>
      </c>
      <c r="AT10" s="12">
        <f>MOD(AS10-1+LaunchMonth-1,12)+1</f>
        <v/>
      </c>
      <c r="AU10" s="12">
        <f>INT((AS10-1+LaunchMonth-1)/12)+1</f>
        <v/>
      </c>
      <c r="AV10" s="12">
        <f>VLOOKUP(AT10,SeasonTable,2,FALSE)</f>
        <v/>
      </c>
      <c r="AW10" s="12">
        <f>(1+InflationRate)^INT((AS10-1)/12)</f>
        <v/>
      </c>
      <c r="AX10" s="11">
        <f>MonthlyChurn*VLOOKUP(AT10,ChurnSeasonTable,4,FALSE)</f>
        <v/>
      </c>
      <c r="AY10" s="12">
        <f>MIN(MktFixed4_6,MAX(0,CG9-CashBuffer))</f>
        <v/>
      </c>
      <c r="AZ10" s="12">
        <f>IF(AY10&gt;0,MAX(1,ROUND(AY10/CAC*AV10,0)),0)</f>
        <v/>
      </c>
      <c r="BA10" s="12">
        <f>IF(AZ10&gt;0,ROUND(AZ10*ReferralMix/(1-ReferralMix),0),0)</f>
        <v/>
      </c>
      <c r="BB10" s="12">
        <f>AZ10+BA10</f>
        <v/>
      </c>
      <c r="BC10" s="12">
        <f>ROUND(BB10*(1-AnnualMix),0)</f>
        <v/>
      </c>
      <c r="BD10" s="12">
        <f>BB10-BC10</f>
        <v/>
      </c>
      <c r="BE10" s="12">
        <f>ROUND(BC10*EssentialMix,0)</f>
        <v/>
      </c>
      <c r="BF10" s="12">
        <f>BC10-BE10</f>
        <v/>
      </c>
      <c r="BG10" s="12">
        <f>ROUND(BD10*EssentialMix,0)</f>
        <v/>
      </c>
      <c r="BH10" s="12">
        <f>BD10-BG10</f>
        <v/>
      </c>
      <c r="BI10" s="12">
        <f>BE10+BE9+BE8+MAX(0,BI9-BE9-BE8)*(1-AX10)</f>
        <v/>
      </c>
      <c r="BJ10" s="12">
        <f>BF10+BF9+BF8+MAX(0,BJ9-BF9-BF8)*(1-AX10)</f>
        <v/>
      </c>
      <c r="BK10" s="12">
        <f>SUM(BG$5:BG10)</f>
        <v/>
      </c>
      <c r="BL10" s="12">
        <f>SUM(BH$5:BH10)</f>
        <v/>
      </c>
      <c r="BM10" s="12">
        <f>BI10+BJ10+BK10+BL10</f>
        <v/>
      </c>
      <c r="BN10" s="9">
        <f>BI10*PriceEssMonthly*AW10+BJ10*PricePremMonthly*AW10+BK10*PriceEssAnnual*AW10/12+BL10*PricePremAnnual*AW10/12</f>
        <v/>
      </c>
      <c r="BO10" s="9">
        <f>BN10*12</f>
        <v/>
      </c>
      <c r="BP10" s="12">
        <f>BI10*PriceEssMonthly*AW10+BJ10*PricePremMonthly*AW10</f>
        <v/>
      </c>
      <c r="BQ10" s="12">
        <f>BG10*PriceEssAnnual*AW10+BH10*PricePremAnnual*AW10</f>
        <v/>
      </c>
      <c r="BR10" s="12">
        <f>0+0</f>
        <v/>
      </c>
      <c r="BS10" s="9">
        <f>BP10+BQ10+BR10</f>
        <v/>
      </c>
      <c r="BT10" s="12">
        <f>SUM(BS$5:BS10)</f>
        <v/>
      </c>
      <c r="BU10" s="12">
        <f>OR(BU9,BT10&gt;=VATThreshold)</f>
        <v/>
      </c>
      <c r="BV10" s="9">
        <f>IF(BU10,BS10/(1+VATRate),BS10)</f>
        <v/>
      </c>
      <c r="BW10" s="12">
        <f>BS10-BV10</f>
        <v/>
      </c>
      <c r="BX10" s="12">
        <f>IF(BU10=0,0,IF(AT10=1,SUMPRODUCT(--(($AU$5:$AU10=$AU10-1)*($AT$5:$AT10&gt;=10)*($AT$5:$AT10&lt;=12)),$BW$5:$BW10),IF(AT10=4,SUMPRODUCT(--(($AU$5:$AU10=$AU10)*($AT$5:$AT10&gt;=1)*($AT$5:$AT10&lt;=3)),$BW$5:$BW10),IF(AT10=7,SUMPRODUCT(--(($AU$5:$AU10=$AU10)*($AT$5:$AT10&gt;=4)*($AT$5:$AT10&lt;=6)),$BW$5:$BW10),IF(AT10=10,SUMPRODUCT(--(($AU$5:$AU10=$AU10)*($AT$5:$AT10&gt;=7)*($AT$5:$AT10&lt;=9)),$BW$5:$BW10),0)))))</f>
        <v/>
      </c>
      <c r="BY10" s="12">
        <f>BY9+BW10-BX10</f>
        <v/>
      </c>
      <c r="BZ10" s="12">
        <f>IF(ProviderDelay&gt;=1,BV9*ProviderShare,BV10*ProviderShare)</f>
        <v/>
      </c>
      <c r="CA10" s="12">
        <f>BS10*PaymentFee</f>
        <v/>
      </c>
      <c r="CB10" s="12">
        <f>BM10*OpsAI</f>
        <v/>
      </c>
      <c r="CC10" s="12">
        <f>MonthlyFixed</f>
        <v/>
      </c>
      <c r="CD10" s="12">
        <f>BA10*ReferralReward</f>
        <v/>
      </c>
      <c r="CE10" s="12">
        <f>AY10</f>
        <v/>
      </c>
      <c r="CF10" s="9">
        <f>BV10-BZ10-CA10-CB10-CC10-CD10-CE10</f>
        <v/>
      </c>
      <c r="CG10" s="9">
        <f>CG9+BS10-(BZ10+CA10+CB10+CC10+CD10+CE10+BX10)</f>
        <v/>
      </c>
      <c r="CH10" s="12">
        <f>IF(BM10&gt;0,BN10/BM10,0)</f>
        <v/>
      </c>
      <c r="CI10" s="11">
        <f>IF(BM9&gt;0,MAX(0,(BM9+BB10-BM10)/BM9),0)</f>
        <v/>
      </c>
      <c r="CK10" s="12" t="n">
        <v>6</v>
      </c>
      <c r="CL10" s="12">
        <f>MOD(CK10-1+LaunchMonth-1,12)+1</f>
        <v/>
      </c>
      <c r="CM10" s="12">
        <f>INT((CK10-1+LaunchMonth-1)/12)+1</f>
        <v/>
      </c>
      <c r="CN10" s="12">
        <f>VLOOKUP(CL10,SeasonTable,2,FALSE)</f>
        <v/>
      </c>
      <c r="CO10" s="12">
        <f>(1+InflationRate)^INT((CK10-1)/12)</f>
        <v/>
      </c>
      <c r="CP10" s="11">
        <f>'Sens - Scenarios'!$D$5*VLOOKUP(CL10,ChurnSeasonTable,4,FALSE)</f>
        <v/>
      </c>
      <c r="CQ10" s="12">
        <f>MIN(MktFixed4_6,MAX(0,DY9-CashBuffer))</f>
        <v/>
      </c>
      <c r="CR10" s="12">
        <f>IF(CQ10&gt;0,MAX(1,ROUND(CQ10/'Sens - Scenarios'!$D$8*CN10,0)),0)</f>
        <v/>
      </c>
      <c r="CS10" s="12">
        <f>IF(CR10&gt;0,ROUND(CR10*ReferralMix/(1-ReferralMix),0),0)</f>
        <v/>
      </c>
      <c r="CT10" s="12">
        <f>CR10+CS10</f>
        <v/>
      </c>
      <c r="CU10" s="12">
        <f>ROUND(CT10*(1-'Sens - Scenarios'!$D$7),0)</f>
        <v/>
      </c>
      <c r="CV10" s="12">
        <f>CT10-CU10</f>
        <v/>
      </c>
      <c r="CW10" s="12">
        <f>ROUND(CU10*EssentialMix,0)</f>
        <v/>
      </c>
      <c r="CX10" s="12">
        <f>CU10-CW10</f>
        <v/>
      </c>
      <c r="CY10" s="12">
        <f>ROUND(CV10*EssentialMix,0)</f>
        <v/>
      </c>
      <c r="CZ10" s="12">
        <f>CV10-CY10</f>
        <v/>
      </c>
      <c r="DA10" s="12">
        <f>CW10+CW9+CW8+MAX(0,DA9-CW9-CW8)*(1-CP10)</f>
        <v/>
      </c>
      <c r="DB10" s="12">
        <f>CX10+CX9+CX8+MAX(0,DB9-CX9-CX8)*(1-CP10)</f>
        <v/>
      </c>
      <c r="DC10" s="12">
        <f>SUM(CY$5:CY10)</f>
        <v/>
      </c>
      <c r="DD10" s="12">
        <f>SUM(CZ$5:CZ10)</f>
        <v/>
      </c>
      <c r="DE10" s="12">
        <f>DA10+DB10+DC10+DD10</f>
        <v/>
      </c>
      <c r="DF10" s="9">
        <f>DA10*PriceEssMonthly*CO10+DB10*PricePremMonthly*CO10+DC10*PriceEssAnnual*CO10/12+DD10*PricePremAnnual*CO10/12</f>
        <v/>
      </c>
      <c r="DG10" s="9">
        <f>DF10*12</f>
        <v/>
      </c>
      <c r="DH10" s="12">
        <f>DA10*PriceEssMonthly*CO10+DB10*PricePremMonthly*CO10</f>
        <v/>
      </c>
      <c r="DI10" s="12">
        <f>CY10*PriceEssAnnual*CO10+CZ10*PricePremAnnual*CO10</f>
        <v/>
      </c>
      <c r="DJ10" s="12">
        <f>0+0</f>
        <v/>
      </c>
      <c r="DK10" s="9">
        <f>DH10+DI10+DJ10</f>
        <v/>
      </c>
      <c r="DL10" s="12">
        <f>SUM(DK$5:DK10)</f>
        <v/>
      </c>
      <c r="DM10" s="12">
        <f>OR(DM9,DL10&gt;=VATThreshold)</f>
        <v/>
      </c>
      <c r="DN10" s="9">
        <f>IF(DM10,DK10/(1+VATRate),DK10)</f>
        <v/>
      </c>
      <c r="DO10" s="12">
        <f>DK10-DN10</f>
        <v/>
      </c>
      <c r="DP10" s="12">
        <f>IF(DM10=0,0,IF(CL10=1,SUMPRODUCT(--(($CM$5:$CM10=$CM10-1)*($CL$5:$CL10&gt;=10)*($CL$5:$CL10&lt;=12)),$DO$5:$DO10),IF(CL10=4,SUMPRODUCT(--(($CM$5:$CM10=$CM10)*($CL$5:$CL10&gt;=1)*($CL$5:$CL10&lt;=3)),$DO$5:$DO10),IF(CL10=7,SUMPRODUCT(--(($CM$5:$CM10=$CM10)*($CL$5:$CL10&gt;=4)*($CL$5:$CL10&lt;=6)),$DO$5:$DO10),IF(CL10=10,SUMPRODUCT(--(($CM$5:$CM10=$CM10)*($CL$5:$CL10&gt;=7)*($CL$5:$CL10&lt;=9)),$DO$5:$DO10),0)))))</f>
        <v/>
      </c>
      <c r="DQ10" s="12">
        <f>DQ9+DO10-DP10</f>
        <v/>
      </c>
      <c r="DR10" s="12">
        <f>IF(ProviderDelay&gt;=1,DN9*ProviderShare,DN10*ProviderShare)</f>
        <v/>
      </c>
      <c r="DS10" s="12">
        <f>DK10*PaymentFee</f>
        <v/>
      </c>
      <c r="DT10" s="12">
        <f>DE10*OpsAI</f>
        <v/>
      </c>
      <c r="DU10" s="12">
        <f>MonthlyFixed</f>
        <v/>
      </c>
      <c r="DV10" s="12">
        <f>CS10*ReferralReward</f>
        <v/>
      </c>
      <c r="DW10" s="12">
        <f>CQ10</f>
        <v/>
      </c>
      <c r="DX10" s="9">
        <f>DN10-DR10-DS10-DT10-DU10-DV10-DW10</f>
        <v/>
      </c>
      <c r="DY10" s="9">
        <f>DY9+DK10-(DR10+DS10+DT10+DU10+DV10+DW10+DP10)</f>
        <v/>
      </c>
      <c r="DZ10" s="12">
        <f>IF(DE10&gt;0,DF10/DE10,0)</f>
        <v/>
      </c>
      <c r="EA10" s="11">
        <f>IF(DE9&gt;0,MAX(0,(DE9+CT10-DE10)/DE9),0)</f>
        <v/>
      </c>
      <c r="EC10" s="12" t="n">
        <v>6</v>
      </c>
      <c r="ED10" s="12">
        <f>MOD(EC10-1+LaunchMonth-1,12)+1</f>
        <v/>
      </c>
      <c r="EE10" s="12">
        <f>INT((EC10-1+LaunchMonth-1)/12)+1</f>
        <v/>
      </c>
      <c r="EF10" s="12">
        <f>VLOOKUP(ED10,SeasonTable,2,FALSE)</f>
        <v/>
      </c>
      <c r="EG10" s="12">
        <f>(1+InflationRate)^INT((EC10-1)/12)</f>
        <v/>
      </c>
      <c r="EH10" s="11">
        <f>'Sens - Churn'!$A$13*VLOOKUP(ED10,ChurnSeasonTable,4,FALSE)</f>
        <v/>
      </c>
      <c r="EI10" s="12">
        <f>MIN(MktFixed4_6,MAX(0,FQ9-CashBuffer))</f>
        <v/>
      </c>
      <c r="EJ10" s="12">
        <f>IF(EI10&gt;0,MAX(1,ROUND(EI10/CAC*EF10,0)),0)</f>
        <v/>
      </c>
      <c r="EK10" s="12">
        <f>IF(EJ10&gt;0,ROUND(EJ10*ReferralMix/(1-ReferralMix),0),0)</f>
        <v/>
      </c>
      <c r="EL10" s="12">
        <f>EJ10+EK10</f>
        <v/>
      </c>
      <c r="EM10" s="12">
        <f>ROUND(EL10*(1-AnnualMix),0)</f>
        <v/>
      </c>
      <c r="EN10" s="12">
        <f>EL10-EM10</f>
        <v/>
      </c>
      <c r="EO10" s="12">
        <f>ROUND(EM10*EssentialMix,0)</f>
        <v/>
      </c>
      <c r="EP10" s="12">
        <f>EM10-EO10</f>
        <v/>
      </c>
      <c r="EQ10" s="12">
        <f>ROUND(EN10*EssentialMix,0)</f>
        <v/>
      </c>
      <c r="ER10" s="12">
        <f>EN10-EQ10</f>
        <v/>
      </c>
      <c r="ES10" s="12">
        <f>EO10+EO9+EO8+MAX(0,ES9-EO9-EO8)*(1-EH10)</f>
        <v/>
      </c>
      <c r="ET10" s="12">
        <f>EP10+EP9+EP8+MAX(0,ET9-EP9-EP8)*(1-EH10)</f>
        <v/>
      </c>
      <c r="EU10" s="12">
        <f>SUM(EQ$5:EQ10)</f>
        <v/>
      </c>
      <c r="EV10" s="12">
        <f>SUM(ER$5:ER10)</f>
        <v/>
      </c>
      <c r="EW10" s="12">
        <f>ES10+ET10+EU10+EV10</f>
        <v/>
      </c>
      <c r="EX10" s="9">
        <f>ES10*PriceEssMonthly*EG10+ET10*PricePremMonthly*EG10+EU10*PriceEssAnnual*EG10/12+EV10*PricePremAnnual*EG10/12</f>
        <v/>
      </c>
      <c r="EY10" s="9">
        <f>EX10*12</f>
        <v/>
      </c>
      <c r="EZ10" s="12">
        <f>ES10*PriceEssMonthly*EG10+ET10*PricePremMonthly*EG10</f>
        <v/>
      </c>
      <c r="FA10" s="12">
        <f>EQ10*PriceEssAnnual*EG10+ER10*PricePremAnnual*EG10</f>
        <v/>
      </c>
      <c r="FB10" s="12">
        <f>0+0</f>
        <v/>
      </c>
      <c r="FC10" s="9">
        <f>EZ10+FA10+FB10</f>
        <v/>
      </c>
      <c r="FD10" s="12">
        <f>SUM(FC$5:FC10)</f>
        <v/>
      </c>
      <c r="FE10" s="12">
        <f>OR(FE9,FD10&gt;=VATThreshold)</f>
        <v/>
      </c>
      <c r="FF10" s="9">
        <f>IF(FE10,FC10/(1+VATRate),FC10)</f>
        <v/>
      </c>
      <c r="FG10" s="12">
        <f>FC10-FF10</f>
        <v/>
      </c>
      <c r="FH10" s="12">
        <f>IF(FE10=0,0,IF(ED10=1,SUMPRODUCT(--(($EE$5:$EE10=$EE10-1)*($ED$5:$ED10&gt;=10)*($ED$5:$ED10&lt;=12)),$FG$5:$FG10),IF(ED10=4,SUMPRODUCT(--(($EE$5:$EE10=$EE10)*($ED$5:$ED10&gt;=1)*($ED$5:$ED10&lt;=3)),$FG$5:$FG10),IF(ED10=7,SUMPRODUCT(--(($EE$5:$EE10=$EE10)*($ED$5:$ED10&gt;=4)*($ED$5:$ED10&lt;=6)),$FG$5:$FG10),IF(ED10=10,SUMPRODUCT(--(($EE$5:$EE10=$EE10)*($ED$5:$ED10&gt;=7)*($ED$5:$ED10&lt;=9)),$FG$5:$FG10),0)))))</f>
        <v/>
      </c>
      <c r="FI10" s="12">
        <f>FI9+FG10-FH10</f>
        <v/>
      </c>
      <c r="FJ10" s="12">
        <f>IF(ProviderDelay&gt;=1,FF9*ProviderShare,FF10*ProviderShare)</f>
        <v/>
      </c>
      <c r="FK10" s="12">
        <f>FC10*PaymentFee</f>
        <v/>
      </c>
      <c r="FL10" s="12">
        <f>EW10*OpsAI</f>
        <v/>
      </c>
      <c r="FM10" s="12">
        <f>MonthlyFixed</f>
        <v/>
      </c>
      <c r="FN10" s="12">
        <f>EK10*ReferralReward</f>
        <v/>
      </c>
      <c r="FO10" s="12">
        <f>EI10</f>
        <v/>
      </c>
      <c r="FP10" s="9">
        <f>FF10-FJ10-FK10-FL10-FM10-FN10-FO10</f>
        <v/>
      </c>
      <c r="FQ10" s="9">
        <f>FQ9+FC10-(FJ10+FK10+FL10+FM10+FN10+FO10+FH10)</f>
        <v/>
      </c>
      <c r="FR10" s="12">
        <f>IF(EW10&gt;0,EX10/EW10,0)</f>
        <v/>
      </c>
      <c r="FS10" s="11">
        <f>IF(EW9&gt;0,MAX(0,(EW9+EL10-EW10)/EW9),0)</f>
        <v/>
      </c>
      <c r="FU10" s="12" t="n">
        <v>6</v>
      </c>
      <c r="FV10" s="12">
        <f>MOD(FU10-1+LaunchMonth-1,12)+1</f>
        <v/>
      </c>
      <c r="FW10" s="12">
        <f>INT((FU10-1+LaunchMonth-1)/12)+1</f>
        <v/>
      </c>
      <c r="FX10" s="12">
        <f>VLOOKUP(FV10,SeasonTable,2,FALSE)</f>
        <v/>
      </c>
      <c r="FY10" s="12">
        <f>(1+InflationRate)^INT((FU10-1)/12)</f>
        <v/>
      </c>
      <c r="FZ10" s="11">
        <f>'Sens - Churn'!$A$14*VLOOKUP(FV10,ChurnSeasonTable,4,FALSE)</f>
        <v/>
      </c>
      <c r="GA10" s="12">
        <f>MIN(MktFixed4_6,MAX(0,HI9-CashBuffer))</f>
        <v/>
      </c>
      <c r="GB10" s="12">
        <f>IF(GA10&gt;0,MAX(1,ROUND(GA10/CAC*FX10,0)),0)</f>
        <v/>
      </c>
      <c r="GC10" s="12">
        <f>IF(GB10&gt;0,ROUND(GB10*ReferralMix/(1-ReferralMix),0),0)</f>
        <v/>
      </c>
      <c r="GD10" s="12">
        <f>GB10+GC10</f>
        <v/>
      </c>
      <c r="GE10" s="12">
        <f>ROUND(GD10*(1-AnnualMix),0)</f>
        <v/>
      </c>
      <c r="GF10" s="12">
        <f>GD10-GE10</f>
        <v/>
      </c>
      <c r="GG10" s="12">
        <f>ROUND(GE10*EssentialMix,0)</f>
        <v/>
      </c>
      <c r="GH10" s="12">
        <f>GE10-GG10</f>
        <v/>
      </c>
      <c r="GI10" s="12">
        <f>ROUND(GF10*EssentialMix,0)</f>
        <v/>
      </c>
      <c r="GJ10" s="12">
        <f>GF10-GI10</f>
        <v/>
      </c>
      <c r="GK10" s="12">
        <f>GG10+GG9+GG8+MAX(0,GK9-GG9-GG8)*(1-FZ10)</f>
        <v/>
      </c>
      <c r="GL10" s="12">
        <f>GH10+GH9+GH8+MAX(0,GL9-GH9-GH8)*(1-FZ10)</f>
        <v/>
      </c>
      <c r="GM10" s="12">
        <f>SUM(GI$5:GI10)</f>
        <v/>
      </c>
      <c r="GN10" s="12">
        <f>SUM(GJ$5:GJ10)</f>
        <v/>
      </c>
      <c r="GO10" s="12">
        <f>GK10+GL10+GM10+GN10</f>
        <v/>
      </c>
      <c r="GP10" s="9">
        <f>GK10*PriceEssMonthly*FY10+GL10*PricePremMonthly*FY10+GM10*PriceEssAnnual*FY10/12+GN10*PricePremAnnual*FY10/12</f>
        <v/>
      </c>
      <c r="GQ10" s="9">
        <f>GP10*12</f>
        <v/>
      </c>
      <c r="GR10" s="12">
        <f>GK10*PriceEssMonthly*FY10+GL10*PricePremMonthly*FY10</f>
        <v/>
      </c>
      <c r="GS10" s="12">
        <f>GI10*PriceEssAnnual*FY10+GJ10*PricePremAnnual*FY10</f>
        <v/>
      </c>
      <c r="GT10" s="12">
        <f>0+0</f>
        <v/>
      </c>
      <c r="GU10" s="9">
        <f>GR10+GS10+GT10</f>
        <v/>
      </c>
      <c r="GV10" s="12">
        <f>SUM(GU$5:GU10)</f>
        <v/>
      </c>
      <c r="GW10" s="12">
        <f>OR(GW9,GV10&gt;=VATThreshold)</f>
        <v/>
      </c>
      <c r="GX10" s="9">
        <f>IF(GW10,GU10/(1+VATRate),GU10)</f>
        <v/>
      </c>
      <c r="GY10" s="12">
        <f>GU10-GX10</f>
        <v/>
      </c>
      <c r="GZ10" s="12">
        <f>IF(GW10=0,0,IF(FV10=1,SUMPRODUCT(--(($FW$5:$FW10=$FW10-1)*($FV$5:$FV10&gt;=10)*($FV$5:$FV10&lt;=12)),$GY$5:$GY10),IF(FV10=4,SUMPRODUCT(--(($FW$5:$FW10=$FW10)*($FV$5:$FV10&gt;=1)*($FV$5:$FV10&lt;=3)),$GY$5:$GY10),IF(FV10=7,SUMPRODUCT(--(($FW$5:$FW10=$FW10)*($FV$5:$FV10&gt;=4)*($FV$5:$FV10&lt;=6)),$GY$5:$GY10),IF(FV10=10,SUMPRODUCT(--(($FW$5:$FW10=$FW10)*($FV$5:$FV10&gt;=7)*($FV$5:$FV10&lt;=9)),$GY$5:$GY10),0)))))</f>
        <v/>
      </c>
      <c r="HA10" s="12">
        <f>HA9+GY10-GZ10</f>
        <v/>
      </c>
      <c r="HB10" s="12">
        <f>IF(ProviderDelay&gt;=1,GX9*ProviderShare,GX10*ProviderShare)</f>
        <v/>
      </c>
      <c r="HC10" s="12">
        <f>GU10*PaymentFee</f>
        <v/>
      </c>
      <c r="HD10" s="12">
        <f>GO10*OpsAI</f>
        <v/>
      </c>
      <c r="HE10" s="12">
        <f>MonthlyFixed</f>
        <v/>
      </c>
      <c r="HF10" s="12">
        <f>GC10*ReferralReward</f>
        <v/>
      </c>
      <c r="HG10" s="12">
        <f>GA10</f>
        <v/>
      </c>
      <c r="HH10" s="9">
        <f>GX10-HB10-HC10-HD10-HE10-HF10-HG10</f>
        <v/>
      </c>
      <c r="HI10" s="9">
        <f>HI9+GU10-(HB10+HC10+HD10+HE10+HF10+HG10+GZ10)</f>
        <v/>
      </c>
      <c r="HJ10" s="12">
        <f>IF(GO10&gt;0,GP10/GO10,0)</f>
        <v/>
      </c>
      <c r="HK10" s="11">
        <f>IF(GO9&gt;0,MAX(0,(GO9+GD10-GO10)/GO9),0)</f>
        <v/>
      </c>
      <c r="HM10" s="12" t="n">
        <v>6</v>
      </c>
      <c r="HN10" s="12">
        <f>MOD(HM10-1+LaunchMonth-1,12)+1</f>
        <v/>
      </c>
      <c r="HO10" s="12">
        <f>INT((HM10-1+LaunchMonth-1)/12)+1</f>
        <v/>
      </c>
      <c r="HP10" s="12">
        <f>VLOOKUP(HN10,SeasonTable,2,FALSE)</f>
        <v/>
      </c>
      <c r="HQ10" s="12">
        <f>(1+InflationRate)^INT((HM10-1)/12)</f>
        <v/>
      </c>
      <c r="HR10" s="11">
        <f>'Sens - Churn'!$A$15*VLOOKUP(HN10,ChurnSeasonTable,4,FALSE)</f>
        <v/>
      </c>
      <c r="HS10" s="12">
        <f>MIN(MktFixed4_6,MAX(0,JA9-CashBuffer))</f>
        <v/>
      </c>
      <c r="HT10" s="12">
        <f>IF(HS10&gt;0,MAX(1,ROUND(HS10/CAC*HP10,0)),0)</f>
        <v/>
      </c>
      <c r="HU10" s="12">
        <f>IF(HT10&gt;0,ROUND(HT10*ReferralMix/(1-ReferralMix),0),0)</f>
        <v/>
      </c>
      <c r="HV10" s="12">
        <f>HT10+HU10</f>
        <v/>
      </c>
      <c r="HW10" s="12">
        <f>ROUND(HV10*(1-AnnualMix),0)</f>
        <v/>
      </c>
      <c r="HX10" s="12">
        <f>HV10-HW10</f>
        <v/>
      </c>
      <c r="HY10" s="12">
        <f>ROUND(HW10*EssentialMix,0)</f>
        <v/>
      </c>
      <c r="HZ10" s="12">
        <f>HW10-HY10</f>
        <v/>
      </c>
      <c r="IA10" s="12">
        <f>ROUND(HX10*EssentialMix,0)</f>
        <v/>
      </c>
      <c r="IB10" s="12">
        <f>HX10-IA10</f>
        <v/>
      </c>
      <c r="IC10" s="12">
        <f>HY10+HY9+HY8+MAX(0,IC9-HY9-HY8)*(1-HR10)</f>
        <v/>
      </c>
      <c r="ID10" s="12">
        <f>HZ10+HZ9+HZ8+MAX(0,ID9-HZ9-HZ8)*(1-HR10)</f>
        <v/>
      </c>
      <c r="IE10" s="12">
        <f>SUM(IA$5:IA10)</f>
        <v/>
      </c>
      <c r="IF10" s="12">
        <f>SUM(IB$5:IB10)</f>
        <v/>
      </c>
      <c r="IG10" s="12">
        <f>IC10+ID10+IE10+IF10</f>
        <v/>
      </c>
      <c r="IH10" s="9">
        <f>IC10*PriceEssMonthly*HQ10+ID10*PricePremMonthly*HQ10+IE10*PriceEssAnnual*HQ10/12+IF10*PricePremAnnual*HQ10/12</f>
        <v/>
      </c>
      <c r="II10" s="9">
        <f>IH10*12</f>
        <v/>
      </c>
      <c r="IJ10" s="12">
        <f>IC10*PriceEssMonthly*HQ10+ID10*PricePremMonthly*HQ10</f>
        <v/>
      </c>
      <c r="IK10" s="12">
        <f>IA10*PriceEssAnnual*HQ10+IB10*PricePremAnnual*HQ10</f>
        <v/>
      </c>
      <c r="IL10" s="12">
        <f>0+0</f>
        <v/>
      </c>
      <c r="IM10" s="9">
        <f>IJ10+IK10+IL10</f>
        <v/>
      </c>
      <c r="IN10" s="12">
        <f>SUM(IM$5:IM10)</f>
        <v/>
      </c>
      <c r="IO10" s="12">
        <f>OR(IO9,IN10&gt;=VATThreshold)</f>
        <v/>
      </c>
      <c r="IP10" s="9">
        <f>IF(IO10,IM10/(1+VATRate),IM10)</f>
        <v/>
      </c>
      <c r="IQ10" s="12">
        <f>IM10-IP10</f>
        <v/>
      </c>
      <c r="IR10" s="12">
        <f>IF(IO10=0,0,IF(HN10=1,SUMPRODUCT(--(($HO$5:$HO10=$HO10-1)*($HN$5:$HN10&gt;=10)*($HN$5:$HN10&lt;=12)),$IQ$5:$IQ10),IF(HN10=4,SUMPRODUCT(--(($HO$5:$HO10=$HO10)*($HN$5:$HN10&gt;=1)*($HN$5:$HN10&lt;=3)),$IQ$5:$IQ10),IF(HN10=7,SUMPRODUCT(--(($HO$5:$HO10=$HO10)*($HN$5:$HN10&gt;=4)*($HN$5:$HN10&lt;=6)),$IQ$5:$IQ10),IF(HN10=10,SUMPRODUCT(--(($HO$5:$HO10=$HO10)*($HN$5:$HN10&gt;=7)*($HN$5:$HN10&lt;=9)),$IQ$5:$IQ10),0)))))</f>
        <v/>
      </c>
      <c r="IS10" s="12">
        <f>IS9+IQ10-IR10</f>
        <v/>
      </c>
      <c r="IT10" s="12">
        <f>IF(ProviderDelay&gt;=1,IP9*ProviderShare,IP10*ProviderShare)</f>
        <v/>
      </c>
      <c r="IU10" s="12">
        <f>IM10*PaymentFee</f>
        <v/>
      </c>
      <c r="IV10" s="12">
        <f>IG10*OpsAI</f>
        <v/>
      </c>
      <c r="IW10" s="12">
        <f>MonthlyFixed</f>
        <v/>
      </c>
      <c r="IX10" s="12">
        <f>HU10*ReferralReward</f>
        <v/>
      </c>
      <c r="IY10" s="12">
        <f>HS10</f>
        <v/>
      </c>
      <c r="IZ10" s="9">
        <f>IP10-IT10-IU10-IV10-IW10-IX10-IY10</f>
        <v/>
      </c>
      <c r="JA10" s="9">
        <f>JA9+IM10-(IT10+IU10+IV10+IW10+IX10+IY10+IR10)</f>
        <v/>
      </c>
      <c r="JB10" s="12">
        <f>IF(IG10&gt;0,IH10/IG10,0)</f>
        <v/>
      </c>
      <c r="JC10" s="11">
        <f>IF(IG9&gt;0,MAX(0,(IG9+HV10-IG10)/IG9),0)</f>
        <v/>
      </c>
      <c r="JE10" s="12" t="n">
        <v>6</v>
      </c>
      <c r="JF10" s="12">
        <f>MOD(JE10-1+LaunchMonth-1,12)+1</f>
        <v/>
      </c>
      <c r="JG10" s="12">
        <f>INT((JE10-1+LaunchMonth-1)/12)+1</f>
        <v/>
      </c>
      <c r="JH10" s="12">
        <f>VLOOKUP(JF10,SeasonTable,2,FALSE)</f>
        <v/>
      </c>
      <c r="JI10" s="12">
        <f>(1+InflationRate)^INT((JE10-1)/12)</f>
        <v/>
      </c>
      <c r="JJ10" s="11">
        <f>'Sens - Churn'!$A$16*VLOOKUP(JF10,ChurnSeasonTable,4,FALSE)</f>
        <v/>
      </c>
      <c r="JK10" s="12">
        <f>MIN(MktFixed4_6,MAX(0,KS9-CashBuffer))</f>
        <v/>
      </c>
      <c r="JL10" s="12">
        <f>IF(JK10&gt;0,MAX(1,ROUND(JK10/CAC*JH10,0)),0)</f>
        <v/>
      </c>
      <c r="JM10" s="12">
        <f>IF(JL10&gt;0,ROUND(JL10*ReferralMix/(1-ReferralMix),0),0)</f>
        <v/>
      </c>
      <c r="JN10" s="12">
        <f>JL10+JM10</f>
        <v/>
      </c>
      <c r="JO10" s="12">
        <f>ROUND(JN10*(1-AnnualMix),0)</f>
        <v/>
      </c>
      <c r="JP10" s="12">
        <f>JN10-JO10</f>
        <v/>
      </c>
      <c r="JQ10" s="12">
        <f>ROUND(JO10*EssentialMix,0)</f>
        <v/>
      </c>
      <c r="JR10" s="12">
        <f>JO10-JQ10</f>
        <v/>
      </c>
      <c r="JS10" s="12">
        <f>ROUND(JP10*EssentialMix,0)</f>
        <v/>
      </c>
      <c r="JT10" s="12">
        <f>JP10-JS10</f>
        <v/>
      </c>
      <c r="JU10" s="12">
        <f>JQ10+JQ9+JQ8+MAX(0,JU9-JQ9-JQ8)*(1-JJ10)</f>
        <v/>
      </c>
      <c r="JV10" s="12">
        <f>JR10+JR9+JR8+MAX(0,JV9-JR9-JR8)*(1-JJ10)</f>
        <v/>
      </c>
      <c r="JW10" s="12">
        <f>SUM(JS$5:JS10)</f>
        <v/>
      </c>
      <c r="JX10" s="12">
        <f>SUM(JT$5:JT10)</f>
        <v/>
      </c>
      <c r="JY10" s="12">
        <f>JU10+JV10+JW10+JX10</f>
        <v/>
      </c>
      <c r="JZ10" s="9">
        <f>JU10*PriceEssMonthly*JI10+JV10*PricePremMonthly*JI10+JW10*PriceEssAnnual*JI10/12+JX10*PricePremAnnual*JI10/12</f>
        <v/>
      </c>
      <c r="KA10" s="9">
        <f>JZ10*12</f>
        <v/>
      </c>
      <c r="KB10" s="12">
        <f>JU10*PriceEssMonthly*JI10+JV10*PricePremMonthly*JI10</f>
        <v/>
      </c>
      <c r="KC10" s="12">
        <f>JS10*PriceEssAnnual*JI10+JT10*PricePremAnnual*JI10</f>
        <v/>
      </c>
      <c r="KD10" s="12">
        <f>0+0</f>
        <v/>
      </c>
      <c r="KE10" s="9">
        <f>KB10+KC10+KD10</f>
        <v/>
      </c>
      <c r="KF10" s="12">
        <f>SUM(KE$5:KE10)</f>
        <v/>
      </c>
      <c r="KG10" s="12">
        <f>OR(KG9,KF10&gt;=VATThreshold)</f>
        <v/>
      </c>
      <c r="KH10" s="9">
        <f>IF(KG10,KE10/(1+VATRate),KE10)</f>
        <v/>
      </c>
      <c r="KI10" s="12">
        <f>KE10-KH10</f>
        <v/>
      </c>
      <c r="KJ10" s="12">
        <f>IF(KG10=0,0,IF(JF10=1,SUMPRODUCT(--(($JG$5:$JG10=$JG10-1)*($JF$5:$JF10&gt;=10)*($JF$5:$JF10&lt;=12)),$KI$5:$KI10),IF(JF10=4,SUMPRODUCT(--(($JG$5:$JG10=$JG10)*($JF$5:$JF10&gt;=1)*($JF$5:$JF10&lt;=3)),$KI$5:$KI10),IF(JF10=7,SUMPRODUCT(--(($JG$5:$JG10=$JG10)*($JF$5:$JF10&gt;=4)*($JF$5:$JF10&lt;=6)),$KI$5:$KI10),IF(JF10=10,SUMPRODUCT(--(($JG$5:$JG10=$JG10)*($JF$5:$JF10&gt;=7)*($JF$5:$JF10&lt;=9)),$KI$5:$KI10),0)))))</f>
        <v/>
      </c>
      <c r="KK10" s="12">
        <f>KK9+KI10-KJ10</f>
        <v/>
      </c>
      <c r="KL10" s="12">
        <f>IF(ProviderDelay&gt;=1,KH9*ProviderShare,KH10*ProviderShare)</f>
        <v/>
      </c>
      <c r="KM10" s="12">
        <f>KE10*PaymentFee</f>
        <v/>
      </c>
      <c r="KN10" s="12">
        <f>JY10*OpsAI</f>
        <v/>
      </c>
      <c r="KO10" s="12">
        <f>MonthlyFixed</f>
        <v/>
      </c>
      <c r="KP10" s="12">
        <f>JM10*ReferralReward</f>
        <v/>
      </c>
      <c r="KQ10" s="12">
        <f>JK10</f>
        <v/>
      </c>
      <c r="KR10" s="9">
        <f>KH10-KL10-KM10-KN10-KO10-KP10-KQ10</f>
        <v/>
      </c>
      <c r="KS10" s="9">
        <f>KS9+KE10-(KL10+KM10+KN10+KO10+KP10+KQ10+KJ10)</f>
        <v/>
      </c>
      <c r="KT10" s="12">
        <f>IF(JY10&gt;0,JZ10/JY10,0)</f>
        <v/>
      </c>
      <c r="KU10" s="11">
        <f>IF(JY9&gt;0,MAX(0,(JY9+JN10-JY10)/JY9),0)</f>
        <v/>
      </c>
      <c r="KW10" s="12" t="n">
        <v>6</v>
      </c>
      <c r="KX10" s="12">
        <f>MOD(KW10-1+LaunchMonth-1,12)+1</f>
        <v/>
      </c>
      <c r="KY10" s="12">
        <f>INT((KW10-1+LaunchMonth-1)/12)+1</f>
        <v/>
      </c>
      <c r="KZ10" s="12">
        <f>VLOOKUP(KX10,SeasonTable,2,FALSE)</f>
        <v/>
      </c>
      <c r="LA10" s="12">
        <f>(1+InflationRate)^INT((KW10-1)/12)</f>
        <v/>
      </c>
      <c r="LB10" s="11">
        <f>'Sens - Churn'!$A$17*VLOOKUP(KX10,ChurnSeasonTable,4,FALSE)</f>
        <v/>
      </c>
      <c r="LC10" s="12">
        <f>MIN(MktFixed4_6,MAX(0,MK9-CashBuffer))</f>
        <v/>
      </c>
      <c r="LD10" s="12">
        <f>IF(LC10&gt;0,MAX(1,ROUND(LC10/CAC*KZ10,0)),0)</f>
        <v/>
      </c>
      <c r="LE10" s="12">
        <f>IF(LD10&gt;0,ROUND(LD10*ReferralMix/(1-ReferralMix),0),0)</f>
        <v/>
      </c>
      <c r="LF10" s="12">
        <f>LD10+LE10</f>
        <v/>
      </c>
      <c r="LG10" s="12">
        <f>ROUND(LF10*(1-AnnualMix),0)</f>
        <v/>
      </c>
      <c r="LH10" s="12">
        <f>LF10-LG10</f>
        <v/>
      </c>
      <c r="LI10" s="12">
        <f>ROUND(LG10*EssentialMix,0)</f>
        <v/>
      </c>
      <c r="LJ10" s="12">
        <f>LG10-LI10</f>
        <v/>
      </c>
      <c r="LK10" s="12">
        <f>ROUND(LH10*EssentialMix,0)</f>
        <v/>
      </c>
      <c r="LL10" s="12">
        <f>LH10-LK10</f>
        <v/>
      </c>
      <c r="LM10" s="12">
        <f>LI10+LI9+LI8+MAX(0,LM9-LI9-LI8)*(1-LB10)</f>
        <v/>
      </c>
      <c r="LN10" s="12">
        <f>LJ10+LJ9+LJ8+MAX(0,LN9-LJ9-LJ8)*(1-LB10)</f>
        <v/>
      </c>
      <c r="LO10" s="12">
        <f>SUM(LK$5:LK10)</f>
        <v/>
      </c>
      <c r="LP10" s="12">
        <f>SUM(LL$5:LL10)</f>
        <v/>
      </c>
      <c r="LQ10" s="12">
        <f>LM10+LN10+LO10+LP10</f>
        <v/>
      </c>
      <c r="LR10" s="9">
        <f>LM10*PriceEssMonthly*LA10+LN10*PricePremMonthly*LA10+LO10*PriceEssAnnual*LA10/12+LP10*PricePremAnnual*LA10/12</f>
        <v/>
      </c>
      <c r="LS10" s="9">
        <f>LR10*12</f>
        <v/>
      </c>
      <c r="LT10" s="12">
        <f>LM10*PriceEssMonthly*LA10+LN10*PricePremMonthly*LA10</f>
        <v/>
      </c>
      <c r="LU10" s="12">
        <f>LK10*PriceEssAnnual*LA10+LL10*PricePremAnnual*LA10</f>
        <v/>
      </c>
      <c r="LV10" s="12">
        <f>0+0</f>
        <v/>
      </c>
      <c r="LW10" s="9">
        <f>LT10+LU10+LV10</f>
        <v/>
      </c>
      <c r="LX10" s="12">
        <f>SUM(LW$5:LW10)</f>
        <v/>
      </c>
      <c r="LY10" s="12">
        <f>OR(LY9,LX10&gt;=VATThreshold)</f>
        <v/>
      </c>
      <c r="LZ10" s="9">
        <f>IF(LY10,LW10/(1+VATRate),LW10)</f>
        <v/>
      </c>
      <c r="MA10" s="12">
        <f>LW10-LZ10</f>
        <v/>
      </c>
      <c r="MB10" s="12">
        <f>IF(LY10=0,0,IF(KX10=1,SUMPRODUCT(--(($KY$5:$KY10=$KY10-1)*($KX$5:$KX10&gt;=10)*($KX$5:$KX10&lt;=12)),$MA$5:$MA10),IF(KX10=4,SUMPRODUCT(--(($KY$5:$KY10=$KY10)*($KX$5:$KX10&gt;=1)*($KX$5:$KX10&lt;=3)),$MA$5:$MA10),IF(KX10=7,SUMPRODUCT(--(($KY$5:$KY10=$KY10)*($KX$5:$KX10&gt;=4)*($KX$5:$KX10&lt;=6)),$MA$5:$MA10),IF(KX10=10,SUMPRODUCT(--(($KY$5:$KY10=$KY10)*($KX$5:$KX10&gt;=7)*($KX$5:$KX10&lt;=9)),$MA$5:$MA10),0)))))</f>
        <v/>
      </c>
      <c r="MC10" s="12">
        <f>MC9+MA10-MB10</f>
        <v/>
      </c>
      <c r="MD10" s="12">
        <f>IF(ProviderDelay&gt;=1,LZ9*ProviderShare,LZ10*ProviderShare)</f>
        <v/>
      </c>
      <c r="ME10" s="12">
        <f>LW10*PaymentFee</f>
        <v/>
      </c>
      <c r="MF10" s="12">
        <f>LQ10*OpsAI</f>
        <v/>
      </c>
      <c r="MG10" s="12">
        <f>MonthlyFixed</f>
        <v/>
      </c>
      <c r="MH10" s="12">
        <f>LE10*ReferralReward</f>
        <v/>
      </c>
      <c r="MI10" s="12">
        <f>LC10</f>
        <v/>
      </c>
      <c r="MJ10" s="9">
        <f>LZ10-MD10-ME10-MF10-MG10-MH10-MI10</f>
        <v/>
      </c>
      <c r="MK10" s="9">
        <f>MK9+LW10-(MD10+ME10+MF10+MG10+MH10+MI10+MB10)</f>
        <v/>
      </c>
      <c r="ML10" s="12">
        <f>IF(LQ10&gt;0,LR10/LQ10,0)</f>
        <v/>
      </c>
      <c r="MM10" s="11">
        <f>IF(LQ9&gt;0,MAX(0,(LQ9+LF10-LQ10)/LQ9),0)</f>
        <v/>
      </c>
      <c r="MO10" s="12" t="n">
        <v>6</v>
      </c>
      <c r="MP10" s="12">
        <f>MOD(MO10-1+LaunchMonth-1,12)+1</f>
        <v/>
      </c>
      <c r="MQ10" s="12">
        <f>INT((MO10-1+LaunchMonth-1)/12)+1</f>
        <v/>
      </c>
      <c r="MR10" s="12">
        <f>VLOOKUP(MP10,SeasonTable,2,FALSE)</f>
        <v/>
      </c>
      <c r="MS10" s="12">
        <f>(1+InflationRate)^INT((MO10-1)/12)</f>
        <v/>
      </c>
      <c r="MT10" s="11">
        <f>'Sens - Churn'!$A$18*VLOOKUP(MP10,ChurnSeasonTable,4,FALSE)</f>
        <v/>
      </c>
      <c r="MU10" s="12">
        <f>MIN(MktFixed4_6,MAX(0,OC9-CashBuffer))</f>
        <v/>
      </c>
      <c r="MV10" s="12">
        <f>IF(MU10&gt;0,MAX(1,ROUND(MU10/CAC*MR10,0)),0)</f>
        <v/>
      </c>
      <c r="MW10" s="12">
        <f>IF(MV10&gt;0,ROUND(MV10*ReferralMix/(1-ReferralMix),0),0)</f>
        <v/>
      </c>
      <c r="MX10" s="12">
        <f>MV10+MW10</f>
        <v/>
      </c>
      <c r="MY10" s="12">
        <f>ROUND(MX10*(1-AnnualMix),0)</f>
        <v/>
      </c>
      <c r="MZ10" s="12">
        <f>MX10-MY10</f>
        <v/>
      </c>
      <c r="NA10" s="12">
        <f>ROUND(MY10*EssentialMix,0)</f>
        <v/>
      </c>
      <c r="NB10" s="12">
        <f>MY10-NA10</f>
        <v/>
      </c>
      <c r="NC10" s="12">
        <f>ROUND(MZ10*EssentialMix,0)</f>
        <v/>
      </c>
      <c r="ND10" s="12">
        <f>MZ10-NC10</f>
        <v/>
      </c>
      <c r="NE10" s="12">
        <f>NA10+NA9+NA8+MAX(0,NE9-NA9-NA8)*(1-MT10)</f>
        <v/>
      </c>
      <c r="NF10" s="12">
        <f>NB10+NB9+NB8+MAX(0,NF9-NB9-NB8)*(1-MT10)</f>
        <v/>
      </c>
      <c r="NG10" s="12">
        <f>SUM(NC$5:NC10)</f>
        <v/>
      </c>
      <c r="NH10" s="12">
        <f>SUM(ND$5:ND10)</f>
        <v/>
      </c>
      <c r="NI10" s="12">
        <f>NE10+NF10+NG10+NH10</f>
        <v/>
      </c>
      <c r="NJ10" s="9">
        <f>NE10*PriceEssMonthly*MS10+NF10*PricePremMonthly*MS10+NG10*PriceEssAnnual*MS10/12+NH10*PricePremAnnual*MS10/12</f>
        <v/>
      </c>
      <c r="NK10" s="9">
        <f>NJ10*12</f>
        <v/>
      </c>
      <c r="NL10" s="12">
        <f>NE10*PriceEssMonthly*MS10+NF10*PricePremMonthly*MS10</f>
        <v/>
      </c>
      <c r="NM10" s="12">
        <f>NC10*PriceEssAnnual*MS10+ND10*PricePremAnnual*MS10</f>
        <v/>
      </c>
      <c r="NN10" s="12">
        <f>0+0</f>
        <v/>
      </c>
      <c r="NO10" s="9">
        <f>NL10+NM10+NN10</f>
        <v/>
      </c>
      <c r="NP10" s="12">
        <f>SUM(NO$5:NO10)</f>
        <v/>
      </c>
      <c r="NQ10" s="12">
        <f>OR(NQ9,NP10&gt;=VATThreshold)</f>
        <v/>
      </c>
      <c r="NR10" s="9">
        <f>IF(NQ10,NO10/(1+VATRate),NO10)</f>
        <v/>
      </c>
      <c r="NS10" s="12">
        <f>NO10-NR10</f>
        <v/>
      </c>
      <c r="NT10" s="12">
        <f>IF(NQ10=0,0,IF(MP10=1,SUMPRODUCT(--(($MQ$5:$MQ10=$MQ10-1)*($MP$5:$MP10&gt;=10)*($MP$5:$MP10&lt;=12)),$NS$5:$NS10),IF(MP10=4,SUMPRODUCT(--(($MQ$5:$MQ10=$MQ10)*($MP$5:$MP10&gt;=1)*($MP$5:$MP10&lt;=3)),$NS$5:$NS10),IF(MP10=7,SUMPRODUCT(--(($MQ$5:$MQ10=$MQ10)*($MP$5:$MP10&gt;=4)*($MP$5:$MP10&lt;=6)),$NS$5:$NS10),IF(MP10=10,SUMPRODUCT(--(($MQ$5:$MQ10=$MQ10)*($MP$5:$MP10&gt;=7)*($MP$5:$MP10&lt;=9)),$NS$5:$NS10),0)))))</f>
        <v/>
      </c>
      <c r="NU10" s="12">
        <f>NU9+NS10-NT10</f>
        <v/>
      </c>
      <c r="NV10" s="12">
        <f>IF(ProviderDelay&gt;=1,NR9*ProviderShare,NR10*ProviderShare)</f>
        <v/>
      </c>
      <c r="NW10" s="12">
        <f>NO10*PaymentFee</f>
        <v/>
      </c>
      <c r="NX10" s="12">
        <f>NI10*OpsAI</f>
        <v/>
      </c>
      <c r="NY10" s="12">
        <f>MonthlyFixed</f>
        <v/>
      </c>
      <c r="NZ10" s="12">
        <f>MW10*ReferralReward</f>
        <v/>
      </c>
      <c r="OA10" s="12">
        <f>MU10</f>
        <v/>
      </c>
      <c r="OB10" s="9">
        <f>NR10-NV10-NW10-NX10-NY10-NZ10-OA10</f>
        <v/>
      </c>
      <c r="OC10" s="9">
        <f>OC9+NO10-(NV10+NW10+NX10+NY10+NZ10+OA10+NT10)</f>
        <v/>
      </c>
      <c r="OD10" s="12">
        <f>IF(NI10&gt;0,NJ10/NI10,0)</f>
        <v/>
      </c>
      <c r="OE10" s="11">
        <f>IF(NI9&gt;0,MAX(0,(NI9+MX10-NI10)/NI9),0)</f>
        <v/>
      </c>
      <c r="OG10" s="12" t="n">
        <v>6</v>
      </c>
      <c r="OH10" s="12">
        <f>MOD(OG10-1+LaunchMonth-1,12)+1</f>
        <v/>
      </c>
      <c r="OI10" s="12">
        <f>INT((OG10-1+LaunchMonth-1)/12)+1</f>
        <v/>
      </c>
      <c r="OJ10" s="12">
        <f>VLOOKUP(OH10,SeasonTable,2,FALSE)</f>
        <v/>
      </c>
      <c r="OK10" s="12">
        <f>(1+InflationRate)^INT((OG10-1)/12)</f>
        <v/>
      </c>
      <c r="OL10" s="11">
        <f>'Sens - Churn'!$A$19*VLOOKUP(OH10,ChurnSeasonTable,4,FALSE)</f>
        <v/>
      </c>
      <c r="OM10" s="12">
        <f>MIN(MktFixed4_6,MAX(0,PU9-CashBuffer))</f>
        <v/>
      </c>
      <c r="ON10" s="12">
        <f>IF(OM10&gt;0,MAX(1,ROUND(OM10/CAC*OJ10,0)),0)</f>
        <v/>
      </c>
      <c r="OO10" s="12">
        <f>IF(ON10&gt;0,ROUND(ON10*ReferralMix/(1-ReferralMix),0),0)</f>
        <v/>
      </c>
      <c r="OP10" s="12">
        <f>ON10+OO10</f>
        <v/>
      </c>
      <c r="OQ10" s="12">
        <f>ROUND(OP10*(1-AnnualMix),0)</f>
        <v/>
      </c>
      <c r="OR10" s="12">
        <f>OP10-OQ10</f>
        <v/>
      </c>
      <c r="OS10" s="12">
        <f>ROUND(OQ10*EssentialMix,0)</f>
        <v/>
      </c>
      <c r="OT10" s="12">
        <f>OQ10-OS10</f>
        <v/>
      </c>
      <c r="OU10" s="12">
        <f>ROUND(OR10*EssentialMix,0)</f>
        <v/>
      </c>
      <c r="OV10" s="12">
        <f>OR10-OU10</f>
        <v/>
      </c>
      <c r="OW10" s="12">
        <f>OS10+OS9+OS8+MAX(0,OW9-OS9-OS8)*(1-OL10)</f>
        <v/>
      </c>
      <c r="OX10" s="12">
        <f>OT10+OT9+OT8+MAX(0,OX9-OT9-OT8)*(1-OL10)</f>
        <v/>
      </c>
      <c r="OY10" s="12">
        <f>SUM(OU$5:OU10)</f>
        <v/>
      </c>
      <c r="OZ10" s="12">
        <f>SUM(OV$5:OV10)</f>
        <v/>
      </c>
      <c r="PA10" s="12">
        <f>OW10+OX10+OY10+OZ10</f>
        <v/>
      </c>
      <c r="PB10" s="9">
        <f>OW10*PriceEssMonthly*OK10+OX10*PricePremMonthly*OK10+OY10*PriceEssAnnual*OK10/12+OZ10*PricePremAnnual*OK10/12</f>
        <v/>
      </c>
      <c r="PC10" s="9">
        <f>PB10*12</f>
        <v/>
      </c>
      <c r="PD10" s="12">
        <f>OW10*PriceEssMonthly*OK10+OX10*PricePremMonthly*OK10</f>
        <v/>
      </c>
      <c r="PE10" s="12">
        <f>OU10*PriceEssAnnual*OK10+OV10*PricePremAnnual*OK10</f>
        <v/>
      </c>
      <c r="PF10" s="12">
        <f>0+0</f>
        <v/>
      </c>
      <c r="PG10" s="9">
        <f>PD10+PE10+PF10</f>
        <v/>
      </c>
      <c r="PH10" s="12">
        <f>SUM(PG$5:PG10)</f>
        <v/>
      </c>
      <c r="PI10" s="12">
        <f>OR(PI9,PH10&gt;=VATThreshold)</f>
        <v/>
      </c>
      <c r="PJ10" s="9">
        <f>IF(PI10,PG10/(1+VATRate),PG10)</f>
        <v/>
      </c>
      <c r="PK10" s="12">
        <f>PG10-PJ10</f>
        <v/>
      </c>
      <c r="PL10" s="12">
        <f>IF(PI10=0,0,IF(OH10=1,SUMPRODUCT(--(($OI$5:$OI10=$OI10-1)*($OH$5:$OH10&gt;=10)*($OH$5:$OH10&lt;=12)),$PK$5:$PK10),IF(OH10=4,SUMPRODUCT(--(($OI$5:$OI10=$OI10)*($OH$5:$OH10&gt;=1)*($OH$5:$OH10&lt;=3)),$PK$5:$PK10),IF(OH10=7,SUMPRODUCT(--(($OI$5:$OI10=$OI10)*($OH$5:$OH10&gt;=4)*($OH$5:$OH10&lt;=6)),$PK$5:$PK10),IF(OH10=10,SUMPRODUCT(--(($OI$5:$OI10=$OI10)*($OH$5:$OH10&gt;=7)*($OH$5:$OH10&lt;=9)),$PK$5:$PK10),0)))))</f>
        <v/>
      </c>
      <c r="PM10" s="12">
        <f>PM9+PK10-PL10</f>
        <v/>
      </c>
      <c r="PN10" s="12">
        <f>IF(ProviderDelay&gt;=1,PJ9*ProviderShare,PJ10*ProviderShare)</f>
        <v/>
      </c>
      <c r="PO10" s="12">
        <f>PG10*PaymentFee</f>
        <v/>
      </c>
      <c r="PP10" s="12">
        <f>PA10*OpsAI</f>
        <v/>
      </c>
      <c r="PQ10" s="12">
        <f>MonthlyFixed</f>
        <v/>
      </c>
      <c r="PR10" s="12">
        <f>OO10*ReferralReward</f>
        <v/>
      </c>
      <c r="PS10" s="12">
        <f>OM10</f>
        <v/>
      </c>
      <c r="PT10" s="9">
        <f>PJ10-PN10-PO10-PP10-PQ10-PR10-PS10</f>
        <v/>
      </c>
      <c r="PU10" s="9">
        <f>PU9+PG10-(PN10+PO10+PP10+PQ10+PR10+PS10+PL10)</f>
        <v/>
      </c>
      <c r="PV10" s="12">
        <f>IF(PA10&gt;0,PB10/PA10,0)</f>
        <v/>
      </c>
      <c r="PW10" s="11">
        <f>IF(PA9&gt;0,MAX(0,(PA9+OP10-PA10)/PA9),0)</f>
        <v/>
      </c>
      <c r="PY10" s="12" t="n">
        <v>6</v>
      </c>
      <c r="PZ10" s="12">
        <f>MOD(PY10-1+LaunchMonth-1,12)+1</f>
        <v/>
      </c>
      <c r="QA10" s="12">
        <f>INT((PY10-1+LaunchMonth-1)/12)+1</f>
        <v/>
      </c>
      <c r="QB10" s="12">
        <f>VLOOKUP(PZ10,SeasonTable,2,FALSE)</f>
        <v/>
      </c>
      <c r="QC10" s="12">
        <f>(1+InflationRate)^INT((PY10-1)/12)</f>
        <v/>
      </c>
      <c r="QD10" s="11">
        <f>'Sens - Churn'!$A$20*VLOOKUP(PZ10,ChurnSeasonTable,4,FALSE)</f>
        <v/>
      </c>
      <c r="QE10" s="12">
        <f>MIN(MktFixed4_6,MAX(0,RM9-CashBuffer))</f>
        <v/>
      </c>
      <c r="QF10" s="12">
        <f>IF(QE10&gt;0,MAX(1,ROUND(QE10/CAC*QB10,0)),0)</f>
        <v/>
      </c>
      <c r="QG10" s="12">
        <f>IF(QF10&gt;0,ROUND(QF10*ReferralMix/(1-ReferralMix),0),0)</f>
        <v/>
      </c>
      <c r="QH10" s="12">
        <f>QF10+QG10</f>
        <v/>
      </c>
      <c r="QI10" s="12">
        <f>ROUND(QH10*(1-AnnualMix),0)</f>
        <v/>
      </c>
      <c r="QJ10" s="12">
        <f>QH10-QI10</f>
        <v/>
      </c>
      <c r="QK10" s="12">
        <f>ROUND(QI10*EssentialMix,0)</f>
        <v/>
      </c>
      <c r="QL10" s="12">
        <f>QI10-QK10</f>
        <v/>
      </c>
      <c r="QM10" s="12">
        <f>ROUND(QJ10*EssentialMix,0)</f>
        <v/>
      </c>
      <c r="QN10" s="12">
        <f>QJ10-QM10</f>
        <v/>
      </c>
      <c r="QO10" s="12">
        <f>QK10+QK9+QK8+MAX(0,QO9-QK9-QK8)*(1-QD10)</f>
        <v/>
      </c>
      <c r="QP10" s="12">
        <f>QL10+QL9+QL8+MAX(0,QP9-QL9-QL8)*(1-QD10)</f>
        <v/>
      </c>
      <c r="QQ10" s="12">
        <f>SUM(QM$5:QM10)</f>
        <v/>
      </c>
      <c r="QR10" s="12">
        <f>SUM(QN$5:QN10)</f>
        <v/>
      </c>
      <c r="QS10" s="12">
        <f>QO10+QP10+QQ10+QR10</f>
        <v/>
      </c>
      <c r="QT10" s="9">
        <f>QO10*PriceEssMonthly*QC10+QP10*PricePremMonthly*QC10+QQ10*PriceEssAnnual*QC10/12+QR10*PricePremAnnual*QC10/12</f>
        <v/>
      </c>
      <c r="QU10" s="9">
        <f>QT10*12</f>
        <v/>
      </c>
      <c r="QV10" s="12">
        <f>QO10*PriceEssMonthly*QC10+QP10*PricePremMonthly*QC10</f>
        <v/>
      </c>
      <c r="QW10" s="12">
        <f>QM10*PriceEssAnnual*QC10+QN10*PricePremAnnual*QC10</f>
        <v/>
      </c>
      <c r="QX10" s="12">
        <f>0+0</f>
        <v/>
      </c>
      <c r="QY10" s="9">
        <f>QV10+QW10+QX10</f>
        <v/>
      </c>
      <c r="QZ10" s="12">
        <f>SUM(QY$5:QY10)</f>
        <v/>
      </c>
      <c r="RA10" s="12">
        <f>OR(RA9,QZ10&gt;=VATThreshold)</f>
        <v/>
      </c>
      <c r="RB10" s="9">
        <f>IF(RA10,QY10/(1+VATRate),QY10)</f>
        <v/>
      </c>
      <c r="RC10" s="12">
        <f>QY10-RB10</f>
        <v/>
      </c>
      <c r="RD10" s="12">
        <f>IF(RA10=0,0,IF(PZ10=1,SUMPRODUCT(--(($QA$5:$QA10=$QA10-1)*($PZ$5:$PZ10&gt;=10)*($PZ$5:$PZ10&lt;=12)),$RC$5:$RC10),IF(PZ10=4,SUMPRODUCT(--(($QA$5:$QA10=$QA10)*($PZ$5:$PZ10&gt;=1)*($PZ$5:$PZ10&lt;=3)),$RC$5:$RC10),IF(PZ10=7,SUMPRODUCT(--(($QA$5:$QA10=$QA10)*($PZ$5:$PZ10&gt;=4)*($PZ$5:$PZ10&lt;=6)),$RC$5:$RC10),IF(PZ10=10,SUMPRODUCT(--(($QA$5:$QA10=$QA10)*($PZ$5:$PZ10&gt;=7)*($PZ$5:$PZ10&lt;=9)),$RC$5:$RC10),0)))))</f>
        <v/>
      </c>
      <c r="RE10" s="12">
        <f>RE9+RC10-RD10</f>
        <v/>
      </c>
      <c r="RF10" s="12">
        <f>IF(ProviderDelay&gt;=1,RB9*ProviderShare,RB10*ProviderShare)</f>
        <v/>
      </c>
      <c r="RG10" s="12">
        <f>QY10*PaymentFee</f>
        <v/>
      </c>
      <c r="RH10" s="12">
        <f>QS10*OpsAI</f>
        <v/>
      </c>
      <c r="RI10" s="12">
        <f>MonthlyFixed</f>
        <v/>
      </c>
      <c r="RJ10" s="12">
        <f>QG10*ReferralReward</f>
        <v/>
      </c>
      <c r="RK10" s="12">
        <f>QE10</f>
        <v/>
      </c>
      <c r="RL10" s="9">
        <f>RB10-RF10-RG10-RH10-RI10-RJ10-RK10</f>
        <v/>
      </c>
      <c r="RM10" s="9">
        <f>RM9+QY10-(RF10+RG10+RH10+RI10+RJ10+RK10+RD10)</f>
        <v/>
      </c>
      <c r="RN10" s="12">
        <f>IF(QS10&gt;0,QT10/QS10,0)</f>
        <v/>
      </c>
      <c r="RO10" s="11">
        <f>IF(QS9&gt;0,MAX(0,(QS9+QH10-QS10)/QS9),0)</f>
        <v/>
      </c>
      <c r="RQ10" s="12" t="n">
        <v>6</v>
      </c>
      <c r="RR10" s="12">
        <f>MOD(RQ10-1+LaunchMonth-1,12)+1</f>
        <v/>
      </c>
      <c r="RS10" s="12">
        <f>INT((RQ10-1+LaunchMonth-1)/12)+1</f>
        <v/>
      </c>
      <c r="RT10" s="12">
        <f>VLOOKUP(RR10,SeasonTable,2,FALSE)</f>
        <v/>
      </c>
      <c r="RU10" s="12">
        <f>(1+InflationRate)^INT((RQ10-1)/12)</f>
        <v/>
      </c>
      <c r="RV10" s="11">
        <f>'Sens - Churn'!$A$21*VLOOKUP(RR10,ChurnSeasonTable,4,FALSE)</f>
        <v/>
      </c>
      <c r="RW10" s="12">
        <f>MIN(MktFixed4_6,MAX(0,TE9-CashBuffer))</f>
        <v/>
      </c>
      <c r="RX10" s="12">
        <f>IF(RW10&gt;0,MAX(1,ROUND(RW10/CAC*RT10,0)),0)</f>
        <v/>
      </c>
      <c r="RY10" s="12">
        <f>IF(RX10&gt;0,ROUND(RX10*ReferralMix/(1-ReferralMix),0),0)</f>
        <v/>
      </c>
      <c r="RZ10" s="12">
        <f>RX10+RY10</f>
        <v/>
      </c>
      <c r="SA10" s="12">
        <f>ROUND(RZ10*(1-AnnualMix),0)</f>
        <v/>
      </c>
      <c r="SB10" s="12">
        <f>RZ10-SA10</f>
        <v/>
      </c>
      <c r="SC10" s="12">
        <f>ROUND(SA10*EssentialMix,0)</f>
        <v/>
      </c>
      <c r="SD10" s="12">
        <f>SA10-SC10</f>
        <v/>
      </c>
      <c r="SE10" s="12">
        <f>ROUND(SB10*EssentialMix,0)</f>
        <v/>
      </c>
      <c r="SF10" s="12">
        <f>SB10-SE10</f>
        <v/>
      </c>
      <c r="SG10" s="12">
        <f>SC10+SC9+SC8+MAX(0,SG9-SC9-SC8)*(1-RV10)</f>
        <v/>
      </c>
      <c r="SH10" s="12">
        <f>SD10+SD9+SD8+MAX(0,SH9-SD9-SD8)*(1-RV10)</f>
        <v/>
      </c>
      <c r="SI10" s="12">
        <f>SUM(SE$5:SE10)</f>
        <v/>
      </c>
      <c r="SJ10" s="12">
        <f>SUM(SF$5:SF10)</f>
        <v/>
      </c>
      <c r="SK10" s="12">
        <f>SG10+SH10+SI10+SJ10</f>
        <v/>
      </c>
      <c r="SL10" s="9">
        <f>SG10*PriceEssMonthly*RU10+SH10*PricePremMonthly*RU10+SI10*PriceEssAnnual*RU10/12+SJ10*PricePremAnnual*RU10/12</f>
        <v/>
      </c>
      <c r="SM10" s="9">
        <f>SL10*12</f>
        <v/>
      </c>
      <c r="SN10" s="12">
        <f>SG10*PriceEssMonthly*RU10+SH10*PricePremMonthly*RU10</f>
        <v/>
      </c>
      <c r="SO10" s="12">
        <f>SE10*PriceEssAnnual*RU10+SF10*PricePremAnnual*RU10</f>
        <v/>
      </c>
      <c r="SP10" s="12">
        <f>0+0</f>
        <v/>
      </c>
      <c r="SQ10" s="9">
        <f>SN10+SO10+SP10</f>
        <v/>
      </c>
      <c r="SR10" s="12">
        <f>SUM(SQ$5:SQ10)</f>
        <v/>
      </c>
      <c r="SS10" s="12">
        <f>OR(SS9,SR10&gt;=VATThreshold)</f>
        <v/>
      </c>
      <c r="ST10" s="9">
        <f>IF(SS10,SQ10/(1+VATRate),SQ10)</f>
        <v/>
      </c>
      <c r="SU10" s="12">
        <f>SQ10-ST10</f>
        <v/>
      </c>
      <c r="SV10" s="12">
        <f>IF(SS10=0,0,IF(RR10=1,SUMPRODUCT(--(($RS$5:$RS10=$RS10-1)*($RR$5:$RR10&gt;=10)*($RR$5:$RR10&lt;=12)),$SU$5:$SU10),IF(RR10=4,SUMPRODUCT(--(($RS$5:$RS10=$RS10)*($RR$5:$RR10&gt;=1)*($RR$5:$RR10&lt;=3)),$SU$5:$SU10),IF(RR10=7,SUMPRODUCT(--(($RS$5:$RS10=$RS10)*($RR$5:$RR10&gt;=4)*($RR$5:$RR10&lt;=6)),$SU$5:$SU10),IF(RR10=10,SUMPRODUCT(--(($RS$5:$RS10=$RS10)*($RR$5:$RR10&gt;=7)*($RR$5:$RR10&lt;=9)),$SU$5:$SU10),0)))))</f>
        <v/>
      </c>
      <c r="SW10" s="12">
        <f>SW9+SU10-SV10</f>
        <v/>
      </c>
      <c r="SX10" s="12">
        <f>IF(ProviderDelay&gt;=1,ST9*ProviderShare,ST10*ProviderShare)</f>
        <v/>
      </c>
      <c r="SY10" s="12">
        <f>SQ10*PaymentFee</f>
        <v/>
      </c>
      <c r="SZ10" s="12">
        <f>SK10*OpsAI</f>
        <v/>
      </c>
      <c r="TA10" s="12">
        <f>MonthlyFixed</f>
        <v/>
      </c>
      <c r="TB10" s="12">
        <f>RY10*ReferralReward</f>
        <v/>
      </c>
      <c r="TC10" s="12">
        <f>RW10</f>
        <v/>
      </c>
      <c r="TD10" s="9">
        <f>ST10-SX10-SY10-SZ10-TA10-TB10-TC10</f>
        <v/>
      </c>
      <c r="TE10" s="9">
        <f>TE9+SQ10-(SX10+SY10+SZ10+TA10+TB10+TC10+SV10)</f>
        <v/>
      </c>
      <c r="TF10" s="12">
        <f>IF(SK10&gt;0,SL10/SK10,0)</f>
        <v/>
      </c>
      <c r="TG10" s="11">
        <f>IF(SK9&gt;0,MAX(0,(SK9+RZ10-SK10)/SK9),0)</f>
        <v/>
      </c>
      <c r="TI10" s="12" t="n">
        <v>6</v>
      </c>
      <c r="TJ10" s="12">
        <f>MOD(TI10-1+LaunchMonth-1,12)+1</f>
        <v/>
      </c>
      <c r="TK10" s="12">
        <f>INT((TI10-1+LaunchMonth-1)/12)+1</f>
        <v/>
      </c>
      <c r="TL10" s="12">
        <f>VLOOKUP(TJ10,SeasonTable,2,FALSE)</f>
        <v/>
      </c>
      <c r="TM10" s="12">
        <f>(1+InflationRate)^INT((TI10-1)/12)</f>
        <v/>
      </c>
      <c r="TN10" s="11">
        <f>MonthlyChurn*VLOOKUP(TJ10,ChurnSeasonTable,4,FALSE)</f>
        <v/>
      </c>
      <c r="TO10" s="12">
        <f>MIN(MktFixed4_6,MAX(0,UW9-CashBuffer))</f>
        <v/>
      </c>
      <c r="TP10" s="12">
        <f>IF(TO10&gt;0,MAX(1,ROUND(TO10/CAC*TL10,0)),0)</f>
        <v/>
      </c>
      <c r="TQ10" s="12">
        <f>IF(TP10&gt;0,ROUND(TP10*ReferralMix/(1-ReferralMix),0),0)</f>
        <v/>
      </c>
      <c r="TR10" s="12">
        <f>TP10+TQ10</f>
        <v/>
      </c>
      <c r="TS10" s="12">
        <f>ROUND(TR10*(1-'Sens - Annual Mix'!$A$9),0)</f>
        <v/>
      </c>
      <c r="TT10" s="12">
        <f>TR10-TS10</f>
        <v/>
      </c>
      <c r="TU10" s="12">
        <f>ROUND(TS10*EssentialMix,0)</f>
        <v/>
      </c>
      <c r="TV10" s="12">
        <f>TS10-TU10</f>
        <v/>
      </c>
      <c r="TW10" s="12">
        <f>ROUND(TT10*EssentialMix,0)</f>
        <v/>
      </c>
      <c r="TX10" s="12">
        <f>TT10-TW10</f>
        <v/>
      </c>
      <c r="TY10" s="12">
        <f>TU10+TU9+TU8+MAX(0,TY9-TU9-TU8)*(1-TN10)</f>
        <v/>
      </c>
      <c r="TZ10" s="12">
        <f>TV10+TV9+TV8+MAX(0,TZ9-TV9-TV8)*(1-TN10)</f>
        <v/>
      </c>
      <c r="UA10" s="12">
        <f>SUM(TW$5:TW10)</f>
        <v/>
      </c>
      <c r="UB10" s="12">
        <f>SUM(TX$5:TX10)</f>
        <v/>
      </c>
      <c r="UC10" s="12">
        <f>TY10+TZ10+UA10+UB10</f>
        <v/>
      </c>
      <c r="UD10" s="9">
        <f>TY10*PriceEssMonthly*TM10+TZ10*PricePremMonthly*TM10+UA10*PriceEssAnnual*TM10/12+UB10*PricePremAnnual*TM10/12</f>
        <v/>
      </c>
      <c r="UE10" s="9">
        <f>UD10*12</f>
        <v/>
      </c>
      <c r="UF10" s="12">
        <f>TY10*PriceEssMonthly*TM10+TZ10*PricePremMonthly*TM10</f>
        <v/>
      </c>
      <c r="UG10" s="12">
        <f>TW10*PriceEssAnnual*TM10+TX10*PricePremAnnual*TM10</f>
        <v/>
      </c>
      <c r="UH10" s="12">
        <f>0+0</f>
        <v/>
      </c>
      <c r="UI10" s="9">
        <f>UF10+UG10+UH10</f>
        <v/>
      </c>
      <c r="UJ10" s="12">
        <f>SUM(UI$5:UI10)</f>
        <v/>
      </c>
      <c r="UK10" s="12">
        <f>OR(UK9,UJ10&gt;=VATThreshold)</f>
        <v/>
      </c>
      <c r="UL10" s="9">
        <f>IF(UK10,UI10/(1+VATRate),UI10)</f>
        <v/>
      </c>
      <c r="UM10" s="12">
        <f>UI10-UL10</f>
        <v/>
      </c>
      <c r="UN10" s="12">
        <f>IF(UK10=0,0,IF(TJ10=1,SUMPRODUCT(--(($TK$5:$TK10=$TK10-1)*($TJ$5:$TJ10&gt;=10)*($TJ$5:$TJ10&lt;=12)),$UM$5:$UM10),IF(TJ10=4,SUMPRODUCT(--(($TK$5:$TK10=$TK10)*($TJ$5:$TJ10&gt;=1)*($TJ$5:$TJ10&lt;=3)),$UM$5:$UM10),IF(TJ10=7,SUMPRODUCT(--(($TK$5:$TK10=$TK10)*($TJ$5:$TJ10&gt;=4)*($TJ$5:$TJ10&lt;=6)),$UM$5:$UM10),IF(TJ10=10,SUMPRODUCT(--(($TK$5:$TK10=$TK10)*($TJ$5:$TJ10&gt;=7)*($TJ$5:$TJ10&lt;=9)),$UM$5:$UM10),0)))))</f>
        <v/>
      </c>
      <c r="UO10" s="12">
        <f>UO9+UM10-UN10</f>
        <v/>
      </c>
      <c r="UP10" s="12">
        <f>IF(ProviderDelay&gt;=1,UL9*ProviderShare,UL10*ProviderShare)</f>
        <v/>
      </c>
      <c r="UQ10" s="12">
        <f>UI10*PaymentFee</f>
        <v/>
      </c>
      <c r="UR10" s="12">
        <f>UC10*OpsAI</f>
        <v/>
      </c>
      <c r="US10" s="12">
        <f>MonthlyFixed</f>
        <v/>
      </c>
      <c r="UT10" s="12">
        <f>TQ10*ReferralReward</f>
        <v/>
      </c>
      <c r="UU10" s="12">
        <f>TO10</f>
        <v/>
      </c>
      <c r="UV10" s="9">
        <f>UL10-UP10-UQ10-UR10-US10-UT10-UU10</f>
        <v/>
      </c>
      <c r="UW10" s="9">
        <f>UW9+UI10-(UP10+UQ10+UR10+US10+UT10+UU10+UN10)</f>
        <v/>
      </c>
      <c r="UX10" s="12">
        <f>IF(UC10&gt;0,UD10/UC10,0)</f>
        <v/>
      </c>
      <c r="UY10" s="11">
        <f>IF(UC9&gt;0,MAX(0,(UC9+TR10-UC10)/UC9),0)</f>
        <v/>
      </c>
      <c r="VA10" s="12" t="n">
        <v>6</v>
      </c>
      <c r="VB10" s="12">
        <f>MOD(VA10-1+LaunchMonth-1,12)+1</f>
        <v/>
      </c>
      <c r="VC10" s="12">
        <f>INT((VA10-1+LaunchMonth-1)/12)+1</f>
        <v/>
      </c>
      <c r="VD10" s="12">
        <f>VLOOKUP(VB10,SeasonTable,2,FALSE)</f>
        <v/>
      </c>
      <c r="VE10" s="12">
        <f>(1+InflationRate)^INT((VA10-1)/12)</f>
        <v/>
      </c>
      <c r="VF10" s="11">
        <f>MonthlyChurn*VLOOKUP(VB10,ChurnSeasonTable,4,FALSE)</f>
        <v/>
      </c>
      <c r="VG10" s="12">
        <f>MIN(MktFixed4_6,MAX(0,WO9-CashBuffer))</f>
        <v/>
      </c>
      <c r="VH10" s="12">
        <f>IF(VG10&gt;0,MAX(1,ROUND(VG10/CAC*VD10,0)),0)</f>
        <v/>
      </c>
      <c r="VI10" s="12">
        <f>IF(VH10&gt;0,ROUND(VH10*ReferralMix/(1-ReferralMix),0),0)</f>
        <v/>
      </c>
      <c r="VJ10" s="12">
        <f>VH10+VI10</f>
        <v/>
      </c>
      <c r="VK10" s="12">
        <f>ROUND(VJ10*(1-'Sens - Annual Mix'!$A$10),0)</f>
        <v/>
      </c>
      <c r="VL10" s="12">
        <f>VJ10-VK10</f>
        <v/>
      </c>
      <c r="VM10" s="12">
        <f>ROUND(VK10*EssentialMix,0)</f>
        <v/>
      </c>
      <c r="VN10" s="12">
        <f>VK10-VM10</f>
        <v/>
      </c>
      <c r="VO10" s="12">
        <f>ROUND(VL10*EssentialMix,0)</f>
        <v/>
      </c>
      <c r="VP10" s="12">
        <f>VL10-VO10</f>
        <v/>
      </c>
      <c r="VQ10" s="12">
        <f>VM10+VM9+VM8+MAX(0,VQ9-VM9-VM8)*(1-VF10)</f>
        <v/>
      </c>
      <c r="VR10" s="12">
        <f>VN10+VN9+VN8+MAX(0,VR9-VN9-VN8)*(1-VF10)</f>
        <v/>
      </c>
      <c r="VS10" s="12">
        <f>SUM(VO$5:VO10)</f>
        <v/>
      </c>
      <c r="VT10" s="12">
        <f>SUM(VP$5:VP10)</f>
        <v/>
      </c>
      <c r="VU10" s="12">
        <f>VQ10+VR10+VS10+VT10</f>
        <v/>
      </c>
      <c r="VV10" s="9">
        <f>VQ10*PriceEssMonthly*VE10+VR10*PricePremMonthly*VE10+VS10*PriceEssAnnual*VE10/12+VT10*PricePremAnnual*VE10/12</f>
        <v/>
      </c>
      <c r="VW10" s="9">
        <f>VV10*12</f>
        <v/>
      </c>
      <c r="VX10" s="12">
        <f>VQ10*PriceEssMonthly*VE10+VR10*PricePremMonthly*VE10</f>
        <v/>
      </c>
      <c r="VY10" s="12">
        <f>VO10*PriceEssAnnual*VE10+VP10*PricePremAnnual*VE10</f>
        <v/>
      </c>
      <c r="VZ10" s="12">
        <f>0+0</f>
        <v/>
      </c>
      <c r="WA10" s="9">
        <f>VX10+VY10+VZ10</f>
        <v/>
      </c>
      <c r="WB10" s="12">
        <f>SUM(WA$5:WA10)</f>
        <v/>
      </c>
      <c r="WC10" s="12">
        <f>OR(WC9,WB10&gt;=VATThreshold)</f>
        <v/>
      </c>
      <c r="WD10" s="9">
        <f>IF(WC10,WA10/(1+VATRate),WA10)</f>
        <v/>
      </c>
      <c r="WE10" s="12">
        <f>WA10-WD10</f>
        <v/>
      </c>
      <c r="WF10" s="12">
        <f>IF(WC10=0,0,IF(VB10=1,SUMPRODUCT(--(($VC$5:$VC10=$VC10-1)*($VB$5:$VB10&gt;=10)*($VB$5:$VB10&lt;=12)),$WE$5:$WE10),IF(VB10=4,SUMPRODUCT(--(($VC$5:$VC10=$VC10)*($VB$5:$VB10&gt;=1)*($VB$5:$VB10&lt;=3)),$WE$5:$WE10),IF(VB10=7,SUMPRODUCT(--(($VC$5:$VC10=$VC10)*($VB$5:$VB10&gt;=4)*($VB$5:$VB10&lt;=6)),$WE$5:$WE10),IF(VB10=10,SUMPRODUCT(--(($VC$5:$VC10=$VC10)*($VB$5:$VB10&gt;=7)*($VB$5:$VB10&lt;=9)),$WE$5:$WE10),0)))))</f>
        <v/>
      </c>
      <c r="WG10" s="12">
        <f>WG9+WE10-WF10</f>
        <v/>
      </c>
      <c r="WH10" s="12">
        <f>IF(ProviderDelay&gt;=1,WD9*ProviderShare,WD10*ProviderShare)</f>
        <v/>
      </c>
      <c r="WI10" s="12">
        <f>WA10*PaymentFee</f>
        <v/>
      </c>
      <c r="WJ10" s="12">
        <f>VU10*OpsAI</f>
        <v/>
      </c>
      <c r="WK10" s="12">
        <f>MonthlyFixed</f>
        <v/>
      </c>
      <c r="WL10" s="12">
        <f>VI10*ReferralReward</f>
        <v/>
      </c>
      <c r="WM10" s="12">
        <f>VG10</f>
        <v/>
      </c>
      <c r="WN10" s="9">
        <f>WD10-WH10-WI10-WJ10-WK10-WL10-WM10</f>
        <v/>
      </c>
      <c r="WO10" s="9">
        <f>WO9+WA10-(WH10+WI10+WJ10+WK10+WL10+WM10+WF10)</f>
        <v/>
      </c>
      <c r="WP10" s="12">
        <f>IF(VU10&gt;0,VV10/VU10,0)</f>
        <v/>
      </c>
      <c r="WQ10" s="11">
        <f>IF(VU9&gt;0,MAX(0,(VU9+VJ10-VU10)/VU9),0)</f>
        <v/>
      </c>
      <c r="WS10" s="12" t="n">
        <v>6</v>
      </c>
      <c r="WT10" s="12">
        <f>MOD(WS10-1+LaunchMonth-1,12)+1</f>
        <v/>
      </c>
      <c r="WU10" s="12">
        <f>INT((WS10-1+LaunchMonth-1)/12)+1</f>
        <v/>
      </c>
      <c r="WV10" s="12">
        <f>VLOOKUP(WT10,SeasonTable,2,FALSE)</f>
        <v/>
      </c>
      <c r="WW10" s="12">
        <f>(1+InflationRate)^INT((WS10-1)/12)</f>
        <v/>
      </c>
      <c r="WX10" s="11">
        <f>MonthlyChurn*VLOOKUP(WT10,ChurnSeasonTable,4,FALSE)</f>
        <v/>
      </c>
      <c r="WY10" s="12">
        <f>MIN(MktFixed4_6,MAX(0,YG9-CashBuffer))</f>
        <v/>
      </c>
      <c r="WZ10" s="12">
        <f>IF(WY10&gt;0,MAX(1,ROUND(WY10/CAC*WV10,0)),0)</f>
        <v/>
      </c>
      <c r="XA10" s="12">
        <f>IF(WZ10&gt;0,ROUND(WZ10*ReferralMix/(1-ReferralMix),0),0)</f>
        <v/>
      </c>
      <c r="XB10" s="12">
        <f>WZ10+XA10</f>
        <v/>
      </c>
      <c r="XC10" s="12">
        <f>ROUND(XB10*(1-'Sens - Annual Mix'!$A$11),0)</f>
        <v/>
      </c>
      <c r="XD10" s="12">
        <f>XB10-XC10</f>
        <v/>
      </c>
      <c r="XE10" s="12">
        <f>ROUND(XC10*EssentialMix,0)</f>
        <v/>
      </c>
      <c r="XF10" s="12">
        <f>XC10-XE10</f>
        <v/>
      </c>
      <c r="XG10" s="12">
        <f>ROUND(XD10*EssentialMix,0)</f>
        <v/>
      </c>
      <c r="XH10" s="12">
        <f>XD10-XG10</f>
        <v/>
      </c>
      <c r="XI10" s="12">
        <f>XE10+XE9+XE8+MAX(0,XI9-XE9-XE8)*(1-WX10)</f>
        <v/>
      </c>
      <c r="XJ10" s="12">
        <f>XF10+XF9+XF8+MAX(0,XJ9-XF9-XF8)*(1-WX10)</f>
        <v/>
      </c>
      <c r="XK10" s="12">
        <f>SUM(XG$5:XG10)</f>
        <v/>
      </c>
      <c r="XL10" s="12">
        <f>SUM(XH$5:XH10)</f>
        <v/>
      </c>
      <c r="XM10" s="12">
        <f>XI10+XJ10+XK10+XL10</f>
        <v/>
      </c>
      <c r="XN10" s="9">
        <f>XI10*PriceEssMonthly*WW10+XJ10*PricePremMonthly*WW10+XK10*PriceEssAnnual*WW10/12+XL10*PricePremAnnual*WW10/12</f>
        <v/>
      </c>
      <c r="XO10" s="9">
        <f>XN10*12</f>
        <v/>
      </c>
      <c r="XP10" s="12">
        <f>XI10*PriceEssMonthly*WW10+XJ10*PricePremMonthly*WW10</f>
        <v/>
      </c>
      <c r="XQ10" s="12">
        <f>XG10*PriceEssAnnual*WW10+XH10*PricePremAnnual*WW10</f>
        <v/>
      </c>
      <c r="XR10" s="12">
        <f>0+0</f>
        <v/>
      </c>
      <c r="XS10" s="9">
        <f>XP10+XQ10+XR10</f>
        <v/>
      </c>
      <c r="XT10" s="12">
        <f>SUM(XS$5:XS10)</f>
        <v/>
      </c>
      <c r="XU10" s="12">
        <f>OR(XU9,XT10&gt;=VATThreshold)</f>
        <v/>
      </c>
      <c r="XV10" s="9">
        <f>IF(XU10,XS10/(1+VATRate),XS10)</f>
        <v/>
      </c>
      <c r="XW10" s="12">
        <f>XS10-XV10</f>
        <v/>
      </c>
      <c r="XX10" s="12">
        <f>IF(XU10=0,0,IF(WT10=1,SUMPRODUCT(--(($WU$5:$WU10=$WU10-1)*($WT$5:$WT10&gt;=10)*($WT$5:$WT10&lt;=12)),$XW$5:$XW10),IF(WT10=4,SUMPRODUCT(--(($WU$5:$WU10=$WU10)*($WT$5:$WT10&gt;=1)*($WT$5:$WT10&lt;=3)),$XW$5:$XW10),IF(WT10=7,SUMPRODUCT(--(($WU$5:$WU10=$WU10)*($WT$5:$WT10&gt;=4)*($WT$5:$WT10&lt;=6)),$XW$5:$XW10),IF(WT10=10,SUMPRODUCT(--(($WU$5:$WU10=$WU10)*($WT$5:$WT10&gt;=7)*($WT$5:$WT10&lt;=9)),$XW$5:$XW10),0)))))</f>
        <v/>
      </c>
      <c r="XY10" s="12">
        <f>XY9+XW10-XX10</f>
        <v/>
      </c>
      <c r="XZ10" s="12">
        <f>IF(ProviderDelay&gt;=1,XV9*ProviderShare,XV10*ProviderShare)</f>
        <v/>
      </c>
      <c r="YA10" s="12">
        <f>XS10*PaymentFee</f>
        <v/>
      </c>
      <c r="YB10" s="12">
        <f>XM10*OpsAI</f>
        <v/>
      </c>
      <c r="YC10" s="12">
        <f>MonthlyFixed</f>
        <v/>
      </c>
      <c r="YD10" s="12">
        <f>XA10*ReferralReward</f>
        <v/>
      </c>
      <c r="YE10" s="12">
        <f>WY10</f>
        <v/>
      </c>
      <c r="YF10" s="9">
        <f>XV10-XZ10-YA10-YB10-YC10-YD10-YE10</f>
        <v/>
      </c>
      <c r="YG10" s="9">
        <f>YG9+XS10-(XZ10+YA10+YB10+YC10+YD10+YE10+XX10)</f>
        <v/>
      </c>
      <c r="YH10" s="12">
        <f>IF(XM10&gt;0,XN10/XM10,0)</f>
        <v/>
      </c>
      <c r="YI10" s="11">
        <f>IF(XM9&gt;0,MAX(0,(XM9+XB10-XM10)/XM9),0)</f>
        <v/>
      </c>
      <c r="YK10" s="12" t="n">
        <v>6</v>
      </c>
      <c r="YL10" s="12">
        <f>MOD(YK10-1+LaunchMonth-1,12)+1</f>
        <v/>
      </c>
      <c r="YM10" s="12">
        <f>INT((YK10-1+LaunchMonth-1)/12)+1</f>
        <v/>
      </c>
      <c r="YN10" s="12">
        <f>VLOOKUP(YL10,SeasonTable,2,FALSE)</f>
        <v/>
      </c>
      <c r="YO10" s="12">
        <f>(1+InflationRate)^INT((YK10-1)/12)</f>
        <v/>
      </c>
      <c r="YP10" s="11">
        <f>MonthlyChurn*VLOOKUP(YL10,ChurnSeasonTable,4,FALSE)</f>
        <v/>
      </c>
      <c r="YQ10" s="12">
        <f>MIN(MktFixed4_6,MAX(0,ZY9-CashBuffer))</f>
        <v/>
      </c>
      <c r="YR10" s="12">
        <f>IF(YQ10&gt;0,MAX(1,ROUND(YQ10/CAC*YN10,0)),0)</f>
        <v/>
      </c>
      <c r="YS10" s="12">
        <f>IF(YR10&gt;0,ROUND(YR10*ReferralMix/(1-ReferralMix),0),0)</f>
        <v/>
      </c>
      <c r="YT10" s="12">
        <f>YR10+YS10</f>
        <v/>
      </c>
      <c r="YU10" s="12">
        <f>ROUND(YT10*(1-'Sens - Annual Mix'!$A$12),0)</f>
        <v/>
      </c>
      <c r="YV10" s="12">
        <f>YT10-YU10</f>
        <v/>
      </c>
      <c r="YW10" s="12">
        <f>ROUND(YU10*EssentialMix,0)</f>
        <v/>
      </c>
      <c r="YX10" s="12">
        <f>YU10-YW10</f>
        <v/>
      </c>
      <c r="YY10" s="12">
        <f>ROUND(YV10*EssentialMix,0)</f>
        <v/>
      </c>
      <c r="YZ10" s="12">
        <f>YV10-YY10</f>
        <v/>
      </c>
      <c r="ZA10" s="12">
        <f>YW10+YW9+YW8+MAX(0,ZA9-YW9-YW8)*(1-YP10)</f>
        <v/>
      </c>
      <c r="ZB10" s="12">
        <f>YX10+YX9+YX8+MAX(0,ZB9-YX9-YX8)*(1-YP10)</f>
        <v/>
      </c>
      <c r="ZC10" s="12">
        <f>SUM(YY$5:YY10)</f>
        <v/>
      </c>
      <c r="ZD10" s="12">
        <f>SUM(YZ$5:YZ10)</f>
        <v/>
      </c>
      <c r="ZE10" s="12">
        <f>ZA10+ZB10+ZC10+ZD10</f>
        <v/>
      </c>
      <c r="ZF10" s="9">
        <f>ZA10*PriceEssMonthly*YO10+ZB10*PricePremMonthly*YO10+ZC10*PriceEssAnnual*YO10/12+ZD10*PricePremAnnual*YO10/12</f>
        <v/>
      </c>
      <c r="ZG10" s="9">
        <f>ZF10*12</f>
        <v/>
      </c>
      <c r="ZH10" s="12">
        <f>ZA10*PriceEssMonthly*YO10+ZB10*PricePremMonthly*YO10</f>
        <v/>
      </c>
      <c r="ZI10" s="12">
        <f>YY10*PriceEssAnnual*YO10+YZ10*PricePremAnnual*YO10</f>
        <v/>
      </c>
      <c r="ZJ10" s="12">
        <f>0+0</f>
        <v/>
      </c>
      <c r="ZK10" s="9">
        <f>ZH10+ZI10+ZJ10</f>
        <v/>
      </c>
      <c r="ZL10" s="12">
        <f>SUM(ZK$5:ZK10)</f>
        <v/>
      </c>
      <c r="ZM10" s="12">
        <f>OR(ZM9,ZL10&gt;=VATThreshold)</f>
        <v/>
      </c>
      <c r="ZN10" s="9">
        <f>IF(ZM10,ZK10/(1+VATRate),ZK10)</f>
        <v/>
      </c>
      <c r="ZO10" s="12">
        <f>ZK10-ZN10</f>
        <v/>
      </c>
      <c r="ZP10" s="12">
        <f>IF(ZM10=0,0,IF(YL10=1,SUMPRODUCT(--(($YM$5:$YM10=$YM10-1)*($YL$5:$YL10&gt;=10)*($YL$5:$YL10&lt;=12)),$ZO$5:$ZO10),IF(YL10=4,SUMPRODUCT(--(($YM$5:$YM10=$YM10)*($YL$5:$YL10&gt;=1)*($YL$5:$YL10&lt;=3)),$ZO$5:$ZO10),IF(YL10=7,SUMPRODUCT(--(($YM$5:$YM10=$YM10)*($YL$5:$YL10&gt;=4)*($YL$5:$YL10&lt;=6)),$ZO$5:$ZO10),IF(YL10=10,SUMPRODUCT(--(($YM$5:$YM10=$YM10)*($YL$5:$YL10&gt;=7)*($YL$5:$YL10&lt;=9)),$ZO$5:$ZO10),0)))))</f>
        <v/>
      </c>
      <c r="ZQ10" s="12">
        <f>ZQ9+ZO10-ZP10</f>
        <v/>
      </c>
      <c r="ZR10" s="12">
        <f>IF(ProviderDelay&gt;=1,ZN9*ProviderShare,ZN10*ProviderShare)</f>
        <v/>
      </c>
      <c r="ZS10" s="12">
        <f>ZK10*PaymentFee</f>
        <v/>
      </c>
      <c r="ZT10" s="12">
        <f>ZE10*OpsAI</f>
        <v/>
      </c>
      <c r="ZU10" s="12">
        <f>MonthlyFixed</f>
        <v/>
      </c>
      <c r="ZV10" s="12">
        <f>YS10*ReferralReward</f>
        <v/>
      </c>
      <c r="ZW10" s="12">
        <f>YQ10</f>
        <v/>
      </c>
      <c r="ZX10" s="9">
        <f>ZN10-ZR10-ZS10-ZT10-ZU10-ZV10-ZW10</f>
        <v/>
      </c>
      <c r="ZY10" s="9">
        <f>ZY9+ZK10-(ZR10+ZS10+ZT10+ZU10+ZV10+ZW10+ZP10)</f>
        <v/>
      </c>
      <c r="ZZ10" s="12">
        <f>IF(ZE10&gt;0,ZF10/ZE10,0)</f>
        <v/>
      </c>
      <c r="AAA10" s="11">
        <f>IF(ZE9&gt;0,MAX(0,(ZE9+YT10-ZE10)/ZE9),0)</f>
        <v/>
      </c>
      <c r="AAC10" s="12" t="n">
        <v>6</v>
      </c>
      <c r="AAD10" s="12">
        <f>MOD(AAC10-1+LaunchMonth-1,12)+1</f>
        <v/>
      </c>
      <c r="AAE10" s="12">
        <f>INT((AAC10-1+LaunchMonth-1)/12)+1</f>
        <v/>
      </c>
      <c r="AAF10" s="12">
        <f>VLOOKUP(AAD10,SeasonTable,2,FALSE)</f>
        <v/>
      </c>
      <c r="AAG10" s="12">
        <f>(1+InflationRate)^INT((AAC10-1)/12)</f>
        <v/>
      </c>
      <c r="AAH10" s="11">
        <f>MonthlyChurn*VLOOKUP(AAD10,ChurnSeasonTable,4,FALSE)</f>
        <v/>
      </c>
      <c r="AAI10" s="12">
        <f>MIN(MktFixed4_6,MAX(0,ABQ9-CashBuffer))</f>
        <v/>
      </c>
      <c r="AAJ10" s="12">
        <f>IF(AAI10&gt;0,MAX(1,ROUND(AAI10/CAC*AAF10,0)),0)</f>
        <v/>
      </c>
      <c r="AAK10" s="12">
        <f>IF(AAJ10&gt;0,ROUND(AAJ10*ReferralMix/(1-ReferralMix),0),0)</f>
        <v/>
      </c>
      <c r="AAL10" s="12">
        <f>AAJ10+AAK10</f>
        <v/>
      </c>
      <c r="AAM10" s="12">
        <f>ROUND(AAL10*(1-'Sens - Annual Mix'!$A$13),0)</f>
        <v/>
      </c>
      <c r="AAN10" s="12">
        <f>AAL10-AAM10</f>
        <v/>
      </c>
      <c r="AAO10" s="12">
        <f>ROUND(AAM10*EssentialMix,0)</f>
        <v/>
      </c>
      <c r="AAP10" s="12">
        <f>AAM10-AAO10</f>
        <v/>
      </c>
      <c r="AAQ10" s="12">
        <f>ROUND(AAN10*EssentialMix,0)</f>
        <v/>
      </c>
      <c r="AAR10" s="12">
        <f>AAN10-AAQ10</f>
        <v/>
      </c>
      <c r="AAS10" s="12">
        <f>AAO10+AAO9+AAO8+MAX(0,AAS9-AAO9-AAO8)*(1-AAH10)</f>
        <v/>
      </c>
      <c r="AAT10" s="12">
        <f>AAP10+AAP9+AAP8+MAX(0,AAT9-AAP9-AAP8)*(1-AAH10)</f>
        <v/>
      </c>
      <c r="AAU10" s="12">
        <f>SUM(AAQ$5:AAQ10)</f>
        <v/>
      </c>
      <c r="AAV10" s="12">
        <f>SUM(AAR$5:AAR10)</f>
        <v/>
      </c>
      <c r="AAW10" s="12">
        <f>AAS10+AAT10+AAU10+AAV10</f>
        <v/>
      </c>
      <c r="AAX10" s="9">
        <f>AAS10*PriceEssMonthly*AAG10+AAT10*PricePremMonthly*AAG10+AAU10*PriceEssAnnual*AAG10/12+AAV10*PricePremAnnual*AAG10/12</f>
        <v/>
      </c>
      <c r="AAY10" s="9">
        <f>AAX10*12</f>
        <v/>
      </c>
      <c r="AAZ10" s="12">
        <f>AAS10*PriceEssMonthly*AAG10+AAT10*PricePremMonthly*AAG10</f>
        <v/>
      </c>
      <c r="ABA10" s="12">
        <f>AAQ10*PriceEssAnnual*AAG10+AAR10*PricePremAnnual*AAG10</f>
        <v/>
      </c>
      <c r="ABB10" s="12">
        <f>0+0</f>
        <v/>
      </c>
      <c r="ABC10" s="9">
        <f>AAZ10+ABA10+ABB10</f>
        <v/>
      </c>
      <c r="ABD10" s="12">
        <f>SUM(ABC$5:ABC10)</f>
        <v/>
      </c>
      <c r="ABE10" s="12">
        <f>OR(ABE9,ABD10&gt;=VATThreshold)</f>
        <v/>
      </c>
      <c r="ABF10" s="9">
        <f>IF(ABE10,ABC10/(1+VATRate),ABC10)</f>
        <v/>
      </c>
      <c r="ABG10" s="12">
        <f>ABC10-ABF10</f>
        <v/>
      </c>
      <c r="ABH10" s="12">
        <f>IF(ABE10=0,0,IF(AAD10=1,SUMPRODUCT(--(($AAE$5:$AAE10=$AAE10-1)*($AAD$5:$AAD10&gt;=10)*($AAD$5:$AAD10&lt;=12)),$ABG$5:$ABG10),IF(AAD10=4,SUMPRODUCT(--(($AAE$5:$AAE10=$AAE10)*($AAD$5:$AAD10&gt;=1)*($AAD$5:$AAD10&lt;=3)),$ABG$5:$ABG10),IF(AAD10=7,SUMPRODUCT(--(($AAE$5:$AAE10=$AAE10)*($AAD$5:$AAD10&gt;=4)*($AAD$5:$AAD10&lt;=6)),$ABG$5:$ABG10),IF(AAD10=10,SUMPRODUCT(--(($AAE$5:$AAE10=$AAE10)*($AAD$5:$AAD10&gt;=7)*($AAD$5:$AAD10&lt;=9)),$ABG$5:$ABG10),0)))))</f>
        <v/>
      </c>
      <c r="ABI10" s="12">
        <f>ABI9+ABG10-ABH10</f>
        <v/>
      </c>
      <c r="ABJ10" s="12">
        <f>IF(ProviderDelay&gt;=1,ABF9*ProviderShare,ABF10*ProviderShare)</f>
        <v/>
      </c>
      <c r="ABK10" s="12">
        <f>ABC10*PaymentFee</f>
        <v/>
      </c>
      <c r="ABL10" s="12">
        <f>AAW10*OpsAI</f>
        <v/>
      </c>
      <c r="ABM10" s="12">
        <f>MonthlyFixed</f>
        <v/>
      </c>
      <c r="ABN10" s="12">
        <f>AAK10*ReferralReward</f>
        <v/>
      </c>
      <c r="ABO10" s="12">
        <f>AAI10</f>
        <v/>
      </c>
      <c r="ABP10" s="9">
        <f>ABF10-ABJ10-ABK10-ABL10-ABM10-ABN10-ABO10</f>
        <v/>
      </c>
      <c r="ABQ10" s="9">
        <f>ABQ9+ABC10-(ABJ10+ABK10+ABL10+ABM10+ABN10+ABO10+ABH10)</f>
        <v/>
      </c>
      <c r="ABR10" s="12">
        <f>IF(AAW10&gt;0,AAX10/AAW10,0)</f>
        <v/>
      </c>
      <c r="ABS10" s="11">
        <f>IF(AAW9&gt;0,MAX(0,(AAW9+AAL10-AAW10)/AAW9),0)</f>
        <v/>
      </c>
      <c r="ABU10" s="12" t="n">
        <v>6</v>
      </c>
      <c r="ABV10" s="12">
        <f>MOD(ABU10-1+LaunchMonth-1,12)+1</f>
        <v/>
      </c>
      <c r="ABW10" s="12">
        <f>INT((ABU10-1+LaunchMonth-1)/12)+1</f>
        <v/>
      </c>
      <c r="ABX10" s="12">
        <f>VLOOKUP(ABV10,SeasonTable,2,FALSE)</f>
        <v/>
      </c>
      <c r="ABY10" s="12">
        <f>(1+InflationRate)^INT((ABU10-1)/12)</f>
        <v/>
      </c>
      <c r="ABZ10" s="11">
        <f>MonthlyChurn*VLOOKUP(ABV10,ChurnSeasonTable,4,FALSE)</f>
        <v/>
      </c>
      <c r="ACA10" s="12">
        <f>MIN(MktFixed4_6,MAX(0,ADI9-CashBuffer))</f>
        <v/>
      </c>
      <c r="ACB10" s="12">
        <f>IF(ACA10&gt;0,MAX(1,ROUND(ACA10/CAC*ABX10,0)),0)</f>
        <v/>
      </c>
      <c r="ACC10" s="12">
        <f>IF(ACB10&gt;0,ROUND(ACB10*ReferralMix/(1-ReferralMix),0),0)</f>
        <v/>
      </c>
      <c r="ACD10" s="12">
        <f>ACB10+ACC10</f>
        <v/>
      </c>
      <c r="ACE10" s="12">
        <f>ROUND(ACD10*(1-'Sens - Annual Mix'!$A$14),0)</f>
        <v/>
      </c>
      <c r="ACF10" s="12">
        <f>ACD10-ACE10</f>
        <v/>
      </c>
      <c r="ACG10" s="12">
        <f>ROUND(ACE10*EssentialMix,0)</f>
        <v/>
      </c>
      <c r="ACH10" s="12">
        <f>ACE10-ACG10</f>
        <v/>
      </c>
      <c r="ACI10" s="12">
        <f>ROUND(ACF10*EssentialMix,0)</f>
        <v/>
      </c>
      <c r="ACJ10" s="12">
        <f>ACF10-ACI10</f>
        <v/>
      </c>
      <c r="ACK10" s="12">
        <f>ACG10+ACG9+ACG8+MAX(0,ACK9-ACG9-ACG8)*(1-ABZ10)</f>
        <v/>
      </c>
      <c r="ACL10" s="12">
        <f>ACH10+ACH9+ACH8+MAX(0,ACL9-ACH9-ACH8)*(1-ABZ10)</f>
        <v/>
      </c>
      <c r="ACM10" s="12">
        <f>SUM(ACI$5:ACI10)</f>
        <v/>
      </c>
      <c r="ACN10" s="12">
        <f>SUM(ACJ$5:ACJ10)</f>
        <v/>
      </c>
      <c r="ACO10" s="12">
        <f>ACK10+ACL10+ACM10+ACN10</f>
        <v/>
      </c>
      <c r="ACP10" s="9">
        <f>ACK10*PriceEssMonthly*ABY10+ACL10*PricePremMonthly*ABY10+ACM10*PriceEssAnnual*ABY10/12+ACN10*PricePremAnnual*ABY10/12</f>
        <v/>
      </c>
      <c r="ACQ10" s="9">
        <f>ACP10*12</f>
        <v/>
      </c>
      <c r="ACR10" s="12">
        <f>ACK10*PriceEssMonthly*ABY10+ACL10*PricePremMonthly*ABY10</f>
        <v/>
      </c>
      <c r="ACS10" s="12">
        <f>ACI10*PriceEssAnnual*ABY10+ACJ10*PricePremAnnual*ABY10</f>
        <v/>
      </c>
      <c r="ACT10" s="12">
        <f>0+0</f>
        <v/>
      </c>
      <c r="ACU10" s="9">
        <f>ACR10+ACS10+ACT10</f>
        <v/>
      </c>
      <c r="ACV10" s="12">
        <f>SUM(ACU$5:ACU10)</f>
        <v/>
      </c>
      <c r="ACW10" s="12">
        <f>OR(ACW9,ACV10&gt;=VATThreshold)</f>
        <v/>
      </c>
      <c r="ACX10" s="9">
        <f>IF(ACW10,ACU10/(1+VATRate),ACU10)</f>
        <v/>
      </c>
      <c r="ACY10" s="12">
        <f>ACU10-ACX10</f>
        <v/>
      </c>
      <c r="ACZ10" s="12">
        <f>IF(ACW10=0,0,IF(ABV10=1,SUMPRODUCT(--(($ABW$5:$ABW10=$ABW10-1)*($ABV$5:$ABV10&gt;=10)*($ABV$5:$ABV10&lt;=12)),$ACY$5:$ACY10),IF(ABV10=4,SUMPRODUCT(--(($ABW$5:$ABW10=$ABW10)*($ABV$5:$ABV10&gt;=1)*($ABV$5:$ABV10&lt;=3)),$ACY$5:$ACY10),IF(ABV10=7,SUMPRODUCT(--(($ABW$5:$ABW10=$ABW10)*($ABV$5:$ABV10&gt;=4)*($ABV$5:$ABV10&lt;=6)),$ACY$5:$ACY10),IF(ABV10=10,SUMPRODUCT(--(($ABW$5:$ABW10=$ABW10)*($ABV$5:$ABV10&gt;=7)*($ABV$5:$ABV10&lt;=9)),$ACY$5:$ACY10),0)))))</f>
        <v/>
      </c>
      <c r="ADA10" s="12">
        <f>ADA9+ACY10-ACZ10</f>
        <v/>
      </c>
      <c r="ADB10" s="12">
        <f>IF(ProviderDelay&gt;=1,ACX9*ProviderShare,ACX10*ProviderShare)</f>
        <v/>
      </c>
      <c r="ADC10" s="12">
        <f>ACU10*PaymentFee</f>
        <v/>
      </c>
      <c r="ADD10" s="12">
        <f>ACO10*OpsAI</f>
        <v/>
      </c>
      <c r="ADE10" s="12">
        <f>MonthlyFixed</f>
        <v/>
      </c>
      <c r="ADF10" s="12">
        <f>ACC10*ReferralReward</f>
        <v/>
      </c>
      <c r="ADG10" s="12">
        <f>ACA10</f>
        <v/>
      </c>
      <c r="ADH10" s="9">
        <f>ACX10-ADB10-ADC10-ADD10-ADE10-ADF10-ADG10</f>
        <v/>
      </c>
      <c r="ADI10" s="9">
        <f>ADI9+ACU10-(ADB10+ADC10+ADD10+ADE10+ADF10+ADG10+ACZ10)</f>
        <v/>
      </c>
      <c r="ADJ10" s="12">
        <f>IF(ACO10&gt;0,ACP10/ACO10,0)</f>
        <v/>
      </c>
      <c r="ADK10" s="11">
        <f>IF(ACO9&gt;0,MAX(0,(ACO9+ACD10-ACO10)/ACO9),0)</f>
        <v/>
      </c>
      <c r="ADM10" s="12" t="n">
        <v>6</v>
      </c>
      <c r="ADN10" s="12">
        <f>MOD(ADM10-1+LaunchMonth-1,12)+1</f>
        <v/>
      </c>
      <c r="ADO10" s="12">
        <f>INT((ADM10-1+LaunchMonth-1)/12)+1</f>
        <v/>
      </c>
      <c r="ADP10" s="12">
        <f>VLOOKUP(ADN10,SeasonTable,2,FALSE)</f>
        <v/>
      </c>
      <c r="ADQ10" s="12">
        <f>(1+InflationRate)^INT((ADM10-1)/12)</f>
        <v/>
      </c>
      <c r="ADR10" s="11">
        <f>MonthlyChurn*VLOOKUP(ADN10,ChurnSeasonTable,4,FALSE)</f>
        <v/>
      </c>
      <c r="ADS10" s="12">
        <f>MIN(MktFixed4_6,MAX(0,AFA9-CashBuffer))</f>
        <v/>
      </c>
      <c r="ADT10" s="12">
        <f>IF(ADS10&gt;0,MAX(1,ROUND(ADS10/CAC*ADP10,0)),0)</f>
        <v/>
      </c>
      <c r="ADU10" s="12">
        <f>IF(ADT10&gt;0,ROUND(ADT10*ReferralMix/(1-ReferralMix),0),0)</f>
        <v/>
      </c>
      <c r="ADV10" s="12">
        <f>ADT10+ADU10</f>
        <v/>
      </c>
      <c r="ADW10" s="12">
        <f>ROUND(ADV10*(1-'Sens - Annual Mix'!$A$15),0)</f>
        <v/>
      </c>
      <c r="ADX10" s="12">
        <f>ADV10-ADW10</f>
        <v/>
      </c>
      <c r="ADY10" s="12">
        <f>ROUND(ADW10*EssentialMix,0)</f>
        <v/>
      </c>
      <c r="ADZ10" s="12">
        <f>ADW10-ADY10</f>
        <v/>
      </c>
      <c r="AEA10" s="12">
        <f>ROUND(ADX10*EssentialMix,0)</f>
        <v/>
      </c>
      <c r="AEB10" s="12">
        <f>ADX10-AEA10</f>
        <v/>
      </c>
      <c r="AEC10" s="12">
        <f>ADY10+ADY9+ADY8+MAX(0,AEC9-ADY9-ADY8)*(1-ADR10)</f>
        <v/>
      </c>
      <c r="AED10" s="12">
        <f>ADZ10+ADZ9+ADZ8+MAX(0,AED9-ADZ9-ADZ8)*(1-ADR10)</f>
        <v/>
      </c>
      <c r="AEE10" s="12">
        <f>SUM(AEA$5:AEA10)</f>
        <v/>
      </c>
      <c r="AEF10" s="12">
        <f>SUM(AEB$5:AEB10)</f>
        <v/>
      </c>
      <c r="AEG10" s="12">
        <f>AEC10+AED10+AEE10+AEF10</f>
        <v/>
      </c>
      <c r="AEH10" s="9">
        <f>AEC10*PriceEssMonthly*ADQ10+AED10*PricePremMonthly*ADQ10+AEE10*PriceEssAnnual*ADQ10/12+AEF10*PricePremAnnual*ADQ10/12</f>
        <v/>
      </c>
      <c r="AEI10" s="9">
        <f>AEH10*12</f>
        <v/>
      </c>
      <c r="AEJ10" s="12">
        <f>AEC10*PriceEssMonthly*ADQ10+AED10*PricePremMonthly*ADQ10</f>
        <v/>
      </c>
      <c r="AEK10" s="12">
        <f>AEA10*PriceEssAnnual*ADQ10+AEB10*PricePremAnnual*ADQ10</f>
        <v/>
      </c>
      <c r="AEL10" s="12">
        <f>0+0</f>
        <v/>
      </c>
      <c r="AEM10" s="9">
        <f>AEJ10+AEK10+AEL10</f>
        <v/>
      </c>
      <c r="AEN10" s="12">
        <f>SUM(AEM$5:AEM10)</f>
        <v/>
      </c>
      <c r="AEO10" s="12">
        <f>OR(AEO9,AEN10&gt;=VATThreshold)</f>
        <v/>
      </c>
      <c r="AEP10" s="9">
        <f>IF(AEO10,AEM10/(1+VATRate),AEM10)</f>
        <v/>
      </c>
      <c r="AEQ10" s="12">
        <f>AEM10-AEP10</f>
        <v/>
      </c>
      <c r="AER10" s="12">
        <f>IF(AEO10=0,0,IF(ADN10=1,SUMPRODUCT(--(($ADO$5:$ADO10=$ADO10-1)*($ADN$5:$ADN10&gt;=10)*($ADN$5:$ADN10&lt;=12)),$AEQ$5:$AEQ10),IF(ADN10=4,SUMPRODUCT(--(($ADO$5:$ADO10=$ADO10)*($ADN$5:$ADN10&gt;=1)*($ADN$5:$ADN10&lt;=3)),$AEQ$5:$AEQ10),IF(ADN10=7,SUMPRODUCT(--(($ADO$5:$ADO10=$ADO10)*($ADN$5:$ADN10&gt;=4)*($ADN$5:$ADN10&lt;=6)),$AEQ$5:$AEQ10),IF(ADN10=10,SUMPRODUCT(--(($ADO$5:$ADO10=$ADO10)*($ADN$5:$ADN10&gt;=7)*($ADN$5:$ADN10&lt;=9)),$AEQ$5:$AEQ10),0)))))</f>
        <v/>
      </c>
      <c r="AES10" s="12">
        <f>AES9+AEQ10-AER10</f>
        <v/>
      </c>
      <c r="AET10" s="12">
        <f>IF(ProviderDelay&gt;=1,AEP9*ProviderShare,AEP10*ProviderShare)</f>
        <v/>
      </c>
      <c r="AEU10" s="12">
        <f>AEM10*PaymentFee</f>
        <v/>
      </c>
      <c r="AEV10" s="12">
        <f>AEG10*OpsAI</f>
        <v/>
      </c>
      <c r="AEW10" s="12">
        <f>MonthlyFixed</f>
        <v/>
      </c>
      <c r="AEX10" s="12">
        <f>ADU10*ReferralReward</f>
        <v/>
      </c>
      <c r="AEY10" s="12">
        <f>ADS10</f>
        <v/>
      </c>
      <c r="AEZ10" s="9">
        <f>AEP10-AET10-AEU10-AEV10-AEW10-AEX10-AEY10</f>
        <v/>
      </c>
      <c r="AFA10" s="9">
        <f>AFA9+AEM10-(AET10+AEU10+AEV10+AEW10+AEX10+AEY10+AER10)</f>
        <v/>
      </c>
      <c r="AFB10" s="12">
        <f>IF(AEG10&gt;0,AEH10/AEG10,0)</f>
        <v/>
      </c>
      <c r="AFC10" s="11">
        <f>IF(AEG9&gt;0,MAX(0,(AEG9+ADV10-AEG10)/AEG9),0)</f>
        <v/>
      </c>
      <c r="AFE10" s="12" t="n">
        <v>6</v>
      </c>
      <c r="AFF10" s="12">
        <f>MOD(AFE10-1+LaunchMonth-1,12)+1</f>
        <v/>
      </c>
      <c r="AFG10" s="12">
        <f>INT((AFE10-1+LaunchMonth-1)/12)+1</f>
        <v/>
      </c>
      <c r="AFH10" s="12">
        <f>VLOOKUP(AFF10,SeasonTable,2,FALSE)</f>
        <v/>
      </c>
      <c r="AFI10" s="12">
        <f>(1+InflationRate)^INT((AFE10-1)/12)</f>
        <v/>
      </c>
      <c r="AFJ10" s="11">
        <f>MonthlyChurn*VLOOKUP(AFF10,ChurnSeasonTable,4,FALSE)</f>
        <v/>
      </c>
      <c r="AFK10" s="12">
        <f>MIN(MktFixed4_6,MAX(0,AGS9-CashBuffer))</f>
        <v/>
      </c>
      <c r="AFL10" s="12">
        <f>IF(AFK10&gt;0,MAX(1,ROUND(AFK10/'Sens - CAC &amp; Marketing'!$A$9*AFH10,0)),0)</f>
        <v/>
      </c>
      <c r="AFM10" s="12">
        <f>IF(AFL10&gt;0,ROUND(AFL10*ReferralMix/(1-ReferralMix),0),0)</f>
        <v/>
      </c>
      <c r="AFN10" s="12">
        <f>AFL10+AFM10</f>
        <v/>
      </c>
      <c r="AFO10" s="12">
        <f>ROUND(AFN10*(1-AnnualMix),0)</f>
        <v/>
      </c>
      <c r="AFP10" s="12">
        <f>AFN10-AFO10</f>
        <v/>
      </c>
      <c r="AFQ10" s="12">
        <f>ROUND(AFO10*EssentialMix,0)</f>
        <v/>
      </c>
      <c r="AFR10" s="12">
        <f>AFO10-AFQ10</f>
        <v/>
      </c>
      <c r="AFS10" s="12">
        <f>ROUND(AFP10*EssentialMix,0)</f>
        <v/>
      </c>
      <c r="AFT10" s="12">
        <f>AFP10-AFS10</f>
        <v/>
      </c>
      <c r="AFU10" s="12">
        <f>AFQ10+AFQ9+AFQ8+MAX(0,AFU9-AFQ9-AFQ8)*(1-AFJ10)</f>
        <v/>
      </c>
      <c r="AFV10" s="12">
        <f>AFR10+AFR9+AFR8+MAX(0,AFV9-AFR9-AFR8)*(1-AFJ10)</f>
        <v/>
      </c>
      <c r="AFW10" s="12">
        <f>SUM(AFS$5:AFS10)</f>
        <v/>
      </c>
      <c r="AFX10" s="12">
        <f>SUM(AFT$5:AFT10)</f>
        <v/>
      </c>
      <c r="AFY10" s="12">
        <f>AFU10+AFV10+AFW10+AFX10</f>
        <v/>
      </c>
      <c r="AFZ10" s="9">
        <f>AFU10*PriceEssMonthly*AFI10+AFV10*PricePremMonthly*AFI10+AFW10*PriceEssAnnual*AFI10/12+AFX10*PricePremAnnual*AFI10/12</f>
        <v/>
      </c>
      <c r="AGA10" s="9">
        <f>AFZ10*12</f>
        <v/>
      </c>
      <c r="AGB10" s="12">
        <f>AFU10*PriceEssMonthly*AFI10+AFV10*PricePremMonthly*AFI10</f>
        <v/>
      </c>
      <c r="AGC10" s="12">
        <f>AFS10*PriceEssAnnual*AFI10+AFT10*PricePremAnnual*AFI10</f>
        <v/>
      </c>
      <c r="AGD10" s="12">
        <f>0+0</f>
        <v/>
      </c>
      <c r="AGE10" s="9">
        <f>AGB10+AGC10+AGD10</f>
        <v/>
      </c>
      <c r="AGF10" s="12">
        <f>SUM(AGE$5:AGE10)</f>
        <v/>
      </c>
      <c r="AGG10" s="12">
        <f>OR(AGG9,AGF10&gt;=VATThreshold)</f>
        <v/>
      </c>
      <c r="AGH10" s="9">
        <f>IF(AGG10,AGE10/(1+VATRate),AGE10)</f>
        <v/>
      </c>
      <c r="AGI10" s="12">
        <f>AGE10-AGH10</f>
        <v/>
      </c>
      <c r="AGJ10" s="12">
        <f>IF(AGG10=0,0,IF(AFF10=1,SUMPRODUCT(--(($AFG$5:$AFG10=$AFG10-1)*($AFF$5:$AFF10&gt;=10)*($AFF$5:$AFF10&lt;=12)),$AGI$5:$AGI10),IF(AFF10=4,SUMPRODUCT(--(($AFG$5:$AFG10=$AFG10)*($AFF$5:$AFF10&gt;=1)*($AFF$5:$AFF10&lt;=3)),$AGI$5:$AGI10),IF(AFF10=7,SUMPRODUCT(--(($AFG$5:$AFG10=$AFG10)*($AFF$5:$AFF10&gt;=4)*($AFF$5:$AFF10&lt;=6)),$AGI$5:$AGI10),IF(AFF10=10,SUMPRODUCT(--(($AFG$5:$AFG10=$AFG10)*($AFF$5:$AFF10&gt;=7)*($AFF$5:$AFF10&lt;=9)),$AGI$5:$AGI10),0)))))</f>
        <v/>
      </c>
      <c r="AGK10" s="12">
        <f>AGK9+AGI10-AGJ10</f>
        <v/>
      </c>
      <c r="AGL10" s="12">
        <f>IF(ProviderDelay&gt;=1,AGH9*ProviderShare,AGH10*ProviderShare)</f>
        <v/>
      </c>
      <c r="AGM10" s="12">
        <f>AGE10*PaymentFee</f>
        <v/>
      </c>
      <c r="AGN10" s="12">
        <f>AFY10*OpsAI</f>
        <v/>
      </c>
      <c r="AGO10" s="12">
        <f>MonthlyFixed</f>
        <v/>
      </c>
      <c r="AGP10" s="12">
        <f>AFM10*ReferralReward</f>
        <v/>
      </c>
      <c r="AGQ10" s="12">
        <f>AFK10</f>
        <v/>
      </c>
      <c r="AGR10" s="9">
        <f>AGH10-AGL10-AGM10-AGN10-AGO10-AGP10-AGQ10</f>
        <v/>
      </c>
      <c r="AGS10" s="9">
        <f>AGS9+AGE10-(AGL10+AGM10+AGN10+AGO10+AGP10+AGQ10+AGJ10)</f>
        <v/>
      </c>
      <c r="AGT10" s="12">
        <f>IF(AFY10&gt;0,AFZ10/AFY10,0)</f>
        <v/>
      </c>
      <c r="AGU10" s="11">
        <f>IF(AFY9&gt;0,MAX(0,(AFY9+AFN10-AFY10)/AFY9),0)</f>
        <v/>
      </c>
      <c r="AGW10" s="12" t="n">
        <v>6</v>
      </c>
      <c r="AGX10" s="12">
        <f>MOD(AGW10-1+LaunchMonth-1,12)+1</f>
        <v/>
      </c>
      <c r="AGY10" s="12">
        <f>INT((AGW10-1+LaunchMonth-1)/12)+1</f>
        <v/>
      </c>
      <c r="AGZ10" s="12">
        <f>VLOOKUP(AGX10,SeasonTable,2,FALSE)</f>
        <v/>
      </c>
      <c r="AHA10" s="12">
        <f>(1+InflationRate)^INT((AGW10-1)/12)</f>
        <v/>
      </c>
      <c r="AHB10" s="11">
        <f>MonthlyChurn*VLOOKUP(AGX10,ChurnSeasonTable,4,FALSE)</f>
        <v/>
      </c>
      <c r="AHC10" s="12">
        <f>MIN(MktFixed4_6,MAX(0,AIK9-CashBuffer))</f>
        <v/>
      </c>
      <c r="AHD10" s="12">
        <f>IF(AHC10&gt;0,MAX(1,ROUND(AHC10/'Sens - CAC &amp; Marketing'!$A$10*AGZ10,0)),0)</f>
        <v/>
      </c>
      <c r="AHE10" s="12">
        <f>IF(AHD10&gt;0,ROUND(AHD10*ReferralMix/(1-ReferralMix),0),0)</f>
        <v/>
      </c>
      <c r="AHF10" s="12">
        <f>AHD10+AHE10</f>
        <v/>
      </c>
      <c r="AHG10" s="12">
        <f>ROUND(AHF10*(1-AnnualMix),0)</f>
        <v/>
      </c>
      <c r="AHH10" s="12">
        <f>AHF10-AHG10</f>
        <v/>
      </c>
      <c r="AHI10" s="12">
        <f>ROUND(AHG10*EssentialMix,0)</f>
        <v/>
      </c>
      <c r="AHJ10" s="12">
        <f>AHG10-AHI10</f>
        <v/>
      </c>
      <c r="AHK10" s="12">
        <f>ROUND(AHH10*EssentialMix,0)</f>
        <v/>
      </c>
      <c r="AHL10" s="12">
        <f>AHH10-AHK10</f>
        <v/>
      </c>
      <c r="AHM10" s="12">
        <f>AHI10+AHI9+AHI8+MAX(0,AHM9-AHI9-AHI8)*(1-AHB10)</f>
        <v/>
      </c>
      <c r="AHN10" s="12">
        <f>AHJ10+AHJ9+AHJ8+MAX(0,AHN9-AHJ9-AHJ8)*(1-AHB10)</f>
        <v/>
      </c>
      <c r="AHO10" s="12">
        <f>SUM(AHK$5:AHK10)</f>
        <v/>
      </c>
      <c r="AHP10" s="12">
        <f>SUM(AHL$5:AHL10)</f>
        <v/>
      </c>
      <c r="AHQ10" s="12">
        <f>AHM10+AHN10+AHO10+AHP10</f>
        <v/>
      </c>
      <c r="AHR10" s="9">
        <f>AHM10*PriceEssMonthly*AHA10+AHN10*PricePremMonthly*AHA10+AHO10*PriceEssAnnual*AHA10/12+AHP10*PricePremAnnual*AHA10/12</f>
        <v/>
      </c>
      <c r="AHS10" s="9">
        <f>AHR10*12</f>
        <v/>
      </c>
      <c r="AHT10" s="12">
        <f>AHM10*PriceEssMonthly*AHA10+AHN10*PricePremMonthly*AHA10</f>
        <v/>
      </c>
      <c r="AHU10" s="12">
        <f>AHK10*PriceEssAnnual*AHA10+AHL10*PricePremAnnual*AHA10</f>
        <v/>
      </c>
      <c r="AHV10" s="12">
        <f>0+0</f>
        <v/>
      </c>
      <c r="AHW10" s="9">
        <f>AHT10+AHU10+AHV10</f>
        <v/>
      </c>
      <c r="AHX10" s="12">
        <f>SUM(AHW$5:AHW10)</f>
        <v/>
      </c>
      <c r="AHY10" s="12">
        <f>OR(AHY9,AHX10&gt;=VATThreshold)</f>
        <v/>
      </c>
      <c r="AHZ10" s="9">
        <f>IF(AHY10,AHW10/(1+VATRate),AHW10)</f>
        <v/>
      </c>
      <c r="AIA10" s="12">
        <f>AHW10-AHZ10</f>
        <v/>
      </c>
      <c r="AIB10" s="12">
        <f>IF(AHY10=0,0,IF(AGX10=1,SUMPRODUCT(--(($AGY$5:$AGY10=$AGY10-1)*($AGX$5:$AGX10&gt;=10)*($AGX$5:$AGX10&lt;=12)),$AIA$5:$AIA10),IF(AGX10=4,SUMPRODUCT(--(($AGY$5:$AGY10=$AGY10)*($AGX$5:$AGX10&gt;=1)*($AGX$5:$AGX10&lt;=3)),$AIA$5:$AIA10),IF(AGX10=7,SUMPRODUCT(--(($AGY$5:$AGY10=$AGY10)*($AGX$5:$AGX10&gt;=4)*($AGX$5:$AGX10&lt;=6)),$AIA$5:$AIA10),IF(AGX10=10,SUMPRODUCT(--(($AGY$5:$AGY10=$AGY10)*($AGX$5:$AGX10&gt;=7)*($AGX$5:$AGX10&lt;=9)),$AIA$5:$AIA10),0)))))</f>
        <v/>
      </c>
      <c r="AIC10" s="12">
        <f>AIC9+AIA10-AIB10</f>
        <v/>
      </c>
      <c r="AID10" s="12">
        <f>IF(ProviderDelay&gt;=1,AHZ9*ProviderShare,AHZ10*ProviderShare)</f>
        <v/>
      </c>
      <c r="AIE10" s="12">
        <f>AHW10*PaymentFee</f>
        <v/>
      </c>
      <c r="AIF10" s="12">
        <f>AHQ10*OpsAI</f>
        <v/>
      </c>
      <c r="AIG10" s="12">
        <f>MonthlyFixed</f>
        <v/>
      </c>
      <c r="AIH10" s="12">
        <f>AHE10*ReferralReward</f>
        <v/>
      </c>
      <c r="AII10" s="12">
        <f>AHC10</f>
        <v/>
      </c>
      <c r="AIJ10" s="9">
        <f>AHZ10-AID10-AIE10-AIF10-AIG10-AIH10-AII10</f>
        <v/>
      </c>
      <c r="AIK10" s="9">
        <f>AIK9+AHW10-(AID10+AIE10+AIF10+AIG10+AIH10+AII10+AIB10)</f>
        <v/>
      </c>
      <c r="AIL10" s="12">
        <f>IF(AHQ10&gt;0,AHR10/AHQ10,0)</f>
        <v/>
      </c>
      <c r="AIM10" s="11">
        <f>IF(AHQ9&gt;0,MAX(0,(AHQ9+AHF10-AHQ10)/AHQ9),0)</f>
        <v/>
      </c>
      <c r="AIO10" s="12" t="n">
        <v>6</v>
      </c>
      <c r="AIP10" s="12">
        <f>MOD(AIO10-1+LaunchMonth-1,12)+1</f>
        <v/>
      </c>
      <c r="AIQ10" s="12">
        <f>INT((AIO10-1+LaunchMonth-1)/12)+1</f>
        <v/>
      </c>
      <c r="AIR10" s="12">
        <f>VLOOKUP(AIP10,SeasonTable,2,FALSE)</f>
        <v/>
      </c>
      <c r="AIS10" s="12">
        <f>(1+InflationRate)^INT((AIO10-1)/12)</f>
        <v/>
      </c>
      <c r="AIT10" s="11">
        <f>MonthlyChurn*VLOOKUP(AIP10,ChurnSeasonTable,4,FALSE)</f>
        <v/>
      </c>
      <c r="AIU10" s="12">
        <f>MIN(MktFixed4_6,MAX(0,AKC9-CashBuffer))</f>
        <v/>
      </c>
      <c r="AIV10" s="12">
        <f>IF(AIU10&gt;0,MAX(1,ROUND(AIU10/'Sens - CAC &amp; Marketing'!$A$11*AIR10,0)),0)</f>
        <v/>
      </c>
      <c r="AIW10" s="12">
        <f>IF(AIV10&gt;0,ROUND(AIV10*ReferralMix/(1-ReferralMix),0),0)</f>
        <v/>
      </c>
      <c r="AIX10" s="12">
        <f>AIV10+AIW10</f>
        <v/>
      </c>
      <c r="AIY10" s="12">
        <f>ROUND(AIX10*(1-AnnualMix),0)</f>
        <v/>
      </c>
      <c r="AIZ10" s="12">
        <f>AIX10-AIY10</f>
        <v/>
      </c>
      <c r="AJA10" s="12">
        <f>ROUND(AIY10*EssentialMix,0)</f>
        <v/>
      </c>
      <c r="AJB10" s="12">
        <f>AIY10-AJA10</f>
        <v/>
      </c>
      <c r="AJC10" s="12">
        <f>ROUND(AIZ10*EssentialMix,0)</f>
        <v/>
      </c>
      <c r="AJD10" s="12">
        <f>AIZ10-AJC10</f>
        <v/>
      </c>
      <c r="AJE10" s="12">
        <f>AJA10+AJA9+AJA8+MAX(0,AJE9-AJA9-AJA8)*(1-AIT10)</f>
        <v/>
      </c>
      <c r="AJF10" s="12">
        <f>AJB10+AJB9+AJB8+MAX(0,AJF9-AJB9-AJB8)*(1-AIT10)</f>
        <v/>
      </c>
      <c r="AJG10" s="12">
        <f>SUM(AJC$5:AJC10)</f>
        <v/>
      </c>
      <c r="AJH10" s="12">
        <f>SUM(AJD$5:AJD10)</f>
        <v/>
      </c>
      <c r="AJI10" s="12">
        <f>AJE10+AJF10+AJG10+AJH10</f>
        <v/>
      </c>
      <c r="AJJ10" s="9">
        <f>AJE10*PriceEssMonthly*AIS10+AJF10*PricePremMonthly*AIS10+AJG10*PriceEssAnnual*AIS10/12+AJH10*PricePremAnnual*AIS10/12</f>
        <v/>
      </c>
      <c r="AJK10" s="9">
        <f>AJJ10*12</f>
        <v/>
      </c>
      <c r="AJL10" s="12">
        <f>AJE10*PriceEssMonthly*AIS10+AJF10*PricePremMonthly*AIS10</f>
        <v/>
      </c>
      <c r="AJM10" s="12">
        <f>AJC10*PriceEssAnnual*AIS10+AJD10*PricePremAnnual*AIS10</f>
        <v/>
      </c>
      <c r="AJN10" s="12">
        <f>0+0</f>
        <v/>
      </c>
      <c r="AJO10" s="9">
        <f>AJL10+AJM10+AJN10</f>
        <v/>
      </c>
      <c r="AJP10" s="12">
        <f>SUM(AJO$5:AJO10)</f>
        <v/>
      </c>
      <c r="AJQ10" s="12">
        <f>OR(AJQ9,AJP10&gt;=VATThreshold)</f>
        <v/>
      </c>
      <c r="AJR10" s="9">
        <f>IF(AJQ10,AJO10/(1+VATRate),AJO10)</f>
        <v/>
      </c>
      <c r="AJS10" s="12">
        <f>AJO10-AJR10</f>
        <v/>
      </c>
      <c r="AJT10" s="12">
        <f>IF(AJQ10=0,0,IF(AIP10=1,SUMPRODUCT(--(($AIQ$5:$AIQ10=$AIQ10-1)*($AIP$5:$AIP10&gt;=10)*($AIP$5:$AIP10&lt;=12)),$AJS$5:$AJS10),IF(AIP10=4,SUMPRODUCT(--(($AIQ$5:$AIQ10=$AIQ10)*($AIP$5:$AIP10&gt;=1)*($AIP$5:$AIP10&lt;=3)),$AJS$5:$AJS10),IF(AIP10=7,SUMPRODUCT(--(($AIQ$5:$AIQ10=$AIQ10)*($AIP$5:$AIP10&gt;=4)*($AIP$5:$AIP10&lt;=6)),$AJS$5:$AJS10),IF(AIP10=10,SUMPRODUCT(--(($AIQ$5:$AIQ10=$AIQ10)*($AIP$5:$AIP10&gt;=7)*($AIP$5:$AIP10&lt;=9)),$AJS$5:$AJS10),0)))))</f>
        <v/>
      </c>
      <c r="AJU10" s="12">
        <f>AJU9+AJS10-AJT10</f>
        <v/>
      </c>
      <c r="AJV10" s="12">
        <f>IF(ProviderDelay&gt;=1,AJR9*ProviderShare,AJR10*ProviderShare)</f>
        <v/>
      </c>
      <c r="AJW10" s="12">
        <f>AJO10*PaymentFee</f>
        <v/>
      </c>
      <c r="AJX10" s="12">
        <f>AJI10*OpsAI</f>
        <v/>
      </c>
      <c r="AJY10" s="12">
        <f>MonthlyFixed</f>
        <v/>
      </c>
      <c r="AJZ10" s="12">
        <f>AIW10*ReferralReward</f>
        <v/>
      </c>
      <c r="AKA10" s="12">
        <f>AIU10</f>
        <v/>
      </c>
      <c r="AKB10" s="9">
        <f>AJR10-AJV10-AJW10-AJX10-AJY10-AJZ10-AKA10</f>
        <v/>
      </c>
      <c r="AKC10" s="9">
        <f>AKC9+AJO10-(AJV10+AJW10+AJX10+AJY10+AJZ10+AKA10+AJT10)</f>
        <v/>
      </c>
      <c r="AKD10" s="12">
        <f>IF(AJI10&gt;0,AJJ10/AJI10,0)</f>
        <v/>
      </c>
      <c r="AKE10" s="11">
        <f>IF(AJI9&gt;0,MAX(0,(AJI9+AIX10-AJI10)/AJI9),0)</f>
        <v/>
      </c>
      <c r="AKG10" s="12" t="n">
        <v>6</v>
      </c>
      <c r="AKH10" s="12">
        <f>MOD(AKG10-1+LaunchMonth-1,12)+1</f>
        <v/>
      </c>
      <c r="AKI10" s="12">
        <f>INT((AKG10-1+LaunchMonth-1)/12)+1</f>
        <v/>
      </c>
      <c r="AKJ10" s="12">
        <f>VLOOKUP(AKH10,SeasonTable,2,FALSE)</f>
        <v/>
      </c>
      <c r="AKK10" s="12">
        <f>(1+InflationRate)^INT((AKG10-1)/12)</f>
        <v/>
      </c>
      <c r="AKL10" s="11">
        <f>MonthlyChurn*VLOOKUP(AKH10,ChurnSeasonTable,4,FALSE)</f>
        <v/>
      </c>
      <c r="AKM10" s="12">
        <f>MIN(MktFixed4_6,MAX(0,ALU9-CashBuffer))</f>
        <v/>
      </c>
      <c r="AKN10" s="12">
        <f>IF(AKM10&gt;0,MAX(1,ROUND(AKM10/'Sens - CAC &amp; Marketing'!$A$12*AKJ10,0)),0)</f>
        <v/>
      </c>
      <c r="AKO10" s="12">
        <f>IF(AKN10&gt;0,ROUND(AKN10*ReferralMix/(1-ReferralMix),0),0)</f>
        <v/>
      </c>
      <c r="AKP10" s="12">
        <f>AKN10+AKO10</f>
        <v/>
      </c>
      <c r="AKQ10" s="12">
        <f>ROUND(AKP10*(1-AnnualMix),0)</f>
        <v/>
      </c>
      <c r="AKR10" s="12">
        <f>AKP10-AKQ10</f>
        <v/>
      </c>
      <c r="AKS10" s="12">
        <f>ROUND(AKQ10*EssentialMix,0)</f>
        <v/>
      </c>
      <c r="AKT10" s="12">
        <f>AKQ10-AKS10</f>
        <v/>
      </c>
      <c r="AKU10" s="12">
        <f>ROUND(AKR10*EssentialMix,0)</f>
        <v/>
      </c>
      <c r="AKV10" s="12">
        <f>AKR10-AKU10</f>
        <v/>
      </c>
      <c r="AKW10" s="12">
        <f>AKS10+AKS9+AKS8+MAX(0,AKW9-AKS9-AKS8)*(1-AKL10)</f>
        <v/>
      </c>
      <c r="AKX10" s="12">
        <f>AKT10+AKT9+AKT8+MAX(0,AKX9-AKT9-AKT8)*(1-AKL10)</f>
        <v/>
      </c>
      <c r="AKY10" s="12">
        <f>SUM(AKU$5:AKU10)</f>
        <v/>
      </c>
      <c r="AKZ10" s="12">
        <f>SUM(AKV$5:AKV10)</f>
        <v/>
      </c>
      <c r="ALA10" s="12">
        <f>AKW10+AKX10+AKY10+AKZ10</f>
        <v/>
      </c>
      <c r="ALB10" s="9">
        <f>AKW10*PriceEssMonthly*AKK10+AKX10*PricePremMonthly*AKK10+AKY10*PriceEssAnnual*AKK10/12+AKZ10*PricePremAnnual*AKK10/12</f>
        <v/>
      </c>
      <c r="ALC10" s="9">
        <f>ALB10*12</f>
        <v/>
      </c>
      <c r="ALD10" s="12">
        <f>AKW10*PriceEssMonthly*AKK10+AKX10*PricePremMonthly*AKK10</f>
        <v/>
      </c>
      <c r="ALE10" s="12">
        <f>AKU10*PriceEssAnnual*AKK10+AKV10*PricePremAnnual*AKK10</f>
        <v/>
      </c>
      <c r="ALF10" s="12">
        <f>0+0</f>
        <v/>
      </c>
      <c r="ALG10" s="9">
        <f>ALD10+ALE10+ALF10</f>
        <v/>
      </c>
      <c r="ALH10" s="12">
        <f>SUM(ALG$5:ALG10)</f>
        <v/>
      </c>
      <c r="ALI10" s="12">
        <f>OR(ALI9,ALH10&gt;=VATThreshold)</f>
        <v/>
      </c>
      <c r="ALJ10" s="9">
        <f>IF(ALI10,ALG10/(1+VATRate),ALG10)</f>
        <v/>
      </c>
      <c r="ALK10" s="12">
        <f>ALG10-ALJ10</f>
        <v/>
      </c>
      <c r="ALL10" s="12">
        <f>IF(ALI10=0,0,IF(AKH10=1,SUMPRODUCT(--(($AKI$5:$AKI10=$AKI10-1)*($AKH$5:$AKH10&gt;=10)*($AKH$5:$AKH10&lt;=12)),$ALK$5:$ALK10),IF(AKH10=4,SUMPRODUCT(--(($AKI$5:$AKI10=$AKI10)*($AKH$5:$AKH10&gt;=1)*($AKH$5:$AKH10&lt;=3)),$ALK$5:$ALK10),IF(AKH10=7,SUMPRODUCT(--(($AKI$5:$AKI10=$AKI10)*($AKH$5:$AKH10&gt;=4)*($AKH$5:$AKH10&lt;=6)),$ALK$5:$ALK10),IF(AKH10=10,SUMPRODUCT(--(($AKI$5:$AKI10=$AKI10)*($AKH$5:$AKH10&gt;=7)*($AKH$5:$AKH10&lt;=9)),$ALK$5:$ALK10),0)))))</f>
        <v/>
      </c>
      <c r="ALM10" s="12">
        <f>ALM9+ALK10-ALL10</f>
        <v/>
      </c>
      <c r="ALN10" s="12">
        <f>IF(ProviderDelay&gt;=1,ALJ9*ProviderShare,ALJ10*ProviderShare)</f>
        <v/>
      </c>
      <c r="ALO10" s="12">
        <f>ALG10*PaymentFee</f>
        <v/>
      </c>
      <c r="ALP10" s="12">
        <f>ALA10*OpsAI</f>
        <v/>
      </c>
      <c r="ALQ10" s="12">
        <f>MonthlyFixed</f>
        <v/>
      </c>
      <c r="ALR10" s="12">
        <f>AKO10*ReferralReward</f>
        <v/>
      </c>
      <c r="ALS10" s="12">
        <f>AKM10</f>
        <v/>
      </c>
      <c r="ALT10" s="9">
        <f>ALJ10-ALN10-ALO10-ALP10-ALQ10-ALR10-ALS10</f>
        <v/>
      </c>
      <c r="ALU10" s="9">
        <f>ALU9+ALG10-(ALN10+ALO10+ALP10+ALQ10+ALR10+ALS10+ALL10)</f>
        <v/>
      </c>
      <c r="ALV10" s="12">
        <f>IF(ALA10&gt;0,ALB10/ALA10,0)</f>
        <v/>
      </c>
      <c r="ALW10" s="11">
        <f>IF(ALA9&gt;0,MAX(0,(ALA9+AKP10-ALA10)/ALA9),0)</f>
        <v/>
      </c>
      <c r="ALY10" s="12" t="n">
        <v>6</v>
      </c>
      <c r="ALZ10" s="12">
        <f>MOD(ALY10-1+LaunchMonth-1,12)+1</f>
        <v/>
      </c>
      <c r="AMA10" s="12">
        <f>INT((ALY10-1+LaunchMonth-1)/12)+1</f>
        <v/>
      </c>
      <c r="AMB10" s="12">
        <f>VLOOKUP(ALZ10,SeasonTable,2,FALSE)</f>
        <v/>
      </c>
      <c r="AMC10" s="12">
        <f>(1+InflationRate)^INT((ALY10-1)/12)</f>
        <v/>
      </c>
      <c r="AMD10" s="11">
        <f>MonthlyChurn*VLOOKUP(ALZ10,ChurnSeasonTable,4,FALSE)</f>
        <v/>
      </c>
      <c r="AME10" s="12">
        <f>MIN(MktFixed4_6,MAX(0,ANM9-CashBuffer))</f>
        <v/>
      </c>
      <c r="AMF10" s="12">
        <f>IF(AME10&gt;0,MAX(1,ROUND(AME10/'Sens - CAC &amp; Marketing'!$A$13*AMB10,0)),0)</f>
        <v/>
      </c>
      <c r="AMG10" s="12">
        <f>IF(AMF10&gt;0,ROUND(AMF10*ReferralMix/(1-ReferralMix),0),0)</f>
        <v/>
      </c>
      <c r="AMH10" s="12">
        <f>AMF10+AMG10</f>
        <v/>
      </c>
      <c r="AMI10" s="12">
        <f>ROUND(AMH10*(1-AnnualMix),0)</f>
        <v/>
      </c>
      <c r="AMJ10" s="12">
        <f>AMH10-AMI10</f>
        <v/>
      </c>
      <c r="AMK10" s="12">
        <f>ROUND(AMI10*EssentialMix,0)</f>
        <v/>
      </c>
      <c r="AML10" s="12">
        <f>AMI10-AMK10</f>
        <v/>
      </c>
      <c r="AMM10" s="12">
        <f>ROUND(AMJ10*EssentialMix,0)</f>
        <v/>
      </c>
      <c r="AMN10" s="12">
        <f>AMJ10-AMM10</f>
        <v/>
      </c>
      <c r="AMO10" s="12">
        <f>AMK10+AMK9+AMK8+MAX(0,AMO9-AMK9-AMK8)*(1-AMD10)</f>
        <v/>
      </c>
      <c r="AMP10" s="12">
        <f>AML10+AML9+AML8+MAX(0,AMP9-AML9-AML8)*(1-AMD10)</f>
        <v/>
      </c>
      <c r="AMQ10" s="12">
        <f>SUM(AMM$5:AMM10)</f>
        <v/>
      </c>
      <c r="AMR10" s="12">
        <f>SUM(AMN$5:AMN10)</f>
        <v/>
      </c>
      <c r="AMS10" s="12">
        <f>AMO10+AMP10+AMQ10+AMR10</f>
        <v/>
      </c>
      <c r="AMT10" s="9">
        <f>AMO10*PriceEssMonthly*AMC10+AMP10*PricePremMonthly*AMC10+AMQ10*PriceEssAnnual*AMC10/12+AMR10*PricePremAnnual*AMC10/12</f>
        <v/>
      </c>
      <c r="AMU10" s="9">
        <f>AMT10*12</f>
        <v/>
      </c>
      <c r="AMV10" s="12">
        <f>AMO10*PriceEssMonthly*AMC10+AMP10*PricePremMonthly*AMC10</f>
        <v/>
      </c>
      <c r="AMW10" s="12">
        <f>AMM10*PriceEssAnnual*AMC10+AMN10*PricePremAnnual*AMC10</f>
        <v/>
      </c>
      <c r="AMX10" s="12">
        <f>0+0</f>
        <v/>
      </c>
      <c r="AMY10" s="9">
        <f>AMV10+AMW10+AMX10</f>
        <v/>
      </c>
      <c r="AMZ10" s="12">
        <f>SUM(AMY$5:AMY10)</f>
        <v/>
      </c>
      <c r="ANA10" s="12">
        <f>OR(ANA9,AMZ10&gt;=VATThreshold)</f>
        <v/>
      </c>
      <c r="ANB10" s="9">
        <f>IF(ANA10,AMY10/(1+VATRate),AMY10)</f>
        <v/>
      </c>
      <c r="ANC10" s="12">
        <f>AMY10-ANB10</f>
        <v/>
      </c>
      <c r="AND10" s="12">
        <f>IF(ANA10=0,0,IF(ALZ10=1,SUMPRODUCT(--(($AMA$5:$AMA10=$AMA10-1)*($ALZ$5:$ALZ10&gt;=10)*($ALZ$5:$ALZ10&lt;=12)),$ANC$5:$ANC10),IF(ALZ10=4,SUMPRODUCT(--(($AMA$5:$AMA10=$AMA10)*($ALZ$5:$ALZ10&gt;=1)*($ALZ$5:$ALZ10&lt;=3)),$ANC$5:$ANC10),IF(ALZ10=7,SUMPRODUCT(--(($AMA$5:$AMA10=$AMA10)*($ALZ$5:$ALZ10&gt;=4)*($ALZ$5:$ALZ10&lt;=6)),$ANC$5:$ANC10),IF(ALZ10=10,SUMPRODUCT(--(($AMA$5:$AMA10=$AMA10)*($ALZ$5:$ALZ10&gt;=7)*($ALZ$5:$ALZ10&lt;=9)),$ANC$5:$ANC10),0)))))</f>
        <v/>
      </c>
      <c r="ANE10" s="12">
        <f>ANE9+ANC10-AND10</f>
        <v/>
      </c>
      <c r="ANF10" s="12">
        <f>IF(ProviderDelay&gt;=1,ANB9*ProviderShare,ANB10*ProviderShare)</f>
        <v/>
      </c>
      <c r="ANG10" s="12">
        <f>AMY10*PaymentFee</f>
        <v/>
      </c>
      <c r="ANH10" s="12">
        <f>AMS10*OpsAI</f>
        <v/>
      </c>
      <c r="ANI10" s="12">
        <f>MonthlyFixed</f>
        <v/>
      </c>
      <c r="ANJ10" s="12">
        <f>AMG10*ReferralReward</f>
        <v/>
      </c>
      <c r="ANK10" s="12">
        <f>AME10</f>
        <v/>
      </c>
      <c r="ANL10" s="9">
        <f>ANB10-ANF10-ANG10-ANH10-ANI10-ANJ10-ANK10</f>
        <v/>
      </c>
      <c r="ANM10" s="9">
        <f>ANM9+AMY10-(ANF10+ANG10+ANH10+ANI10+ANJ10+ANK10+AND10)</f>
        <v/>
      </c>
      <c r="ANN10" s="12">
        <f>IF(AMS10&gt;0,AMT10/AMS10,0)</f>
        <v/>
      </c>
      <c r="ANO10" s="11">
        <f>IF(AMS9&gt;0,MAX(0,(AMS9+AMH10-AMS10)/AMS9),0)</f>
        <v/>
      </c>
      <c r="ANQ10" s="12" t="n">
        <v>6</v>
      </c>
      <c r="ANR10" s="12">
        <f>MOD(ANQ10-1+LaunchMonth-1,12)+1</f>
        <v/>
      </c>
      <c r="ANS10" s="12">
        <f>INT((ANQ10-1+LaunchMonth-1)/12)+1</f>
        <v/>
      </c>
      <c r="ANT10" s="12">
        <f>VLOOKUP(ANR10,SeasonTable,2,FALSE)</f>
        <v/>
      </c>
      <c r="ANU10" s="12">
        <f>(1+InflationRate)^INT((ANQ10-1)/12)</f>
        <v/>
      </c>
      <c r="ANV10" s="11">
        <f>MonthlyChurn*VLOOKUP(ANR10,ChurnSeasonTable,4,FALSE)</f>
        <v/>
      </c>
      <c r="ANW10" s="12">
        <f>MIN(MktFixed4_6,MAX(0,APE9-CashBuffer))</f>
        <v/>
      </c>
      <c r="ANX10" s="12">
        <f>IF(ANW10&gt;0,MAX(1,ROUND(ANW10/'Sens - CAC &amp; Marketing'!$A$14*ANT10,0)),0)</f>
        <v/>
      </c>
      <c r="ANY10" s="12">
        <f>IF(ANX10&gt;0,ROUND(ANX10*ReferralMix/(1-ReferralMix),0),0)</f>
        <v/>
      </c>
      <c r="ANZ10" s="12">
        <f>ANX10+ANY10</f>
        <v/>
      </c>
      <c r="AOA10" s="12">
        <f>ROUND(ANZ10*(1-AnnualMix),0)</f>
        <v/>
      </c>
      <c r="AOB10" s="12">
        <f>ANZ10-AOA10</f>
        <v/>
      </c>
      <c r="AOC10" s="12">
        <f>ROUND(AOA10*EssentialMix,0)</f>
        <v/>
      </c>
      <c r="AOD10" s="12">
        <f>AOA10-AOC10</f>
        <v/>
      </c>
      <c r="AOE10" s="12">
        <f>ROUND(AOB10*EssentialMix,0)</f>
        <v/>
      </c>
      <c r="AOF10" s="12">
        <f>AOB10-AOE10</f>
        <v/>
      </c>
      <c r="AOG10" s="12">
        <f>AOC10+AOC9+AOC8+MAX(0,AOG9-AOC9-AOC8)*(1-ANV10)</f>
        <v/>
      </c>
      <c r="AOH10" s="12">
        <f>AOD10+AOD9+AOD8+MAX(0,AOH9-AOD9-AOD8)*(1-ANV10)</f>
        <v/>
      </c>
      <c r="AOI10" s="12">
        <f>SUM(AOE$5:AOE10)</f>
        <v/>
      </c>
      <c r="AOJ10" s="12">
        <f>SUM(AOF$5:AOF10)</f>
        <v/>
      </c>
      <c r="AOK10" s="12">
        <f>AOG10+AOH10+AOI10+AOJ10</f>
        <v/>
      </c>
      <c r="AOL10" s="9">
        <f>AOG10*PriceEssMonthly*ANU10+AOH10*PricePremMonthly*ANU10+AOI10*PriceEssAnnual*ANU10/12+AOJ10*PricePremAnnual*ANU10/12</f>
        <v/>
      </c>
      <c r="AOM10" s="9">
        <f>AOL10*12</f>
        <v/>
      </c>
      <c r="AON10" s="12">
        <f>AOG10*PriceEssMonthly*ANU10+AOH10*PricePremMonthly*ANU10</f>
        <v/>
      </c>
      <c r="AOO10" s="12">
        <f>AOE10*PriceEssAnnual*ANU10+AOF10*PricePremAnnual*ANU10</f>
        <v/>
      </c>
      <c r="AOP10" s="12">
        <f>0+0</f>
        <v/>
      </c>
      <c r="AOQ10" s="9">
        <f>AON10+AOO10+AOP10</f>
        <v/>
      </c>
      <c r="AOR10" s="12">
        <f>SUM(AOQ$5:AOQ10)</f>
        <v/>
      </c>
      <c r="AOS10" s="12">
        <f>OR(AOS9,AOR10&gt;=VATThreshold)</f>
        <v/>
      </c>
      <c r="AOT10" s="9">
        <f>IF(AOS10,AOQ10/(1+VATRate),AOQ10)</f>
        <v/>
      </c>
      <c r="AOU10" s="12">
        <f>AOQ10-AOT10</f>
        <v/>
      </c>
      <c r="AOV10" s="12">
        <f>IF(AOS10=0,0,IF(ANR10=1,SUMPRODUCT(--(($ANS$5:$ANS10=$ANS10-1)*($ANR$5:$ANR10&gt;=10)*($ANR$5:$ANR10&lt;=12)),$AOU$5:$AOU10),IF(ANR10=4,SUMPRODUCT(--(($ANS$5:$ANS10=$ANS10)*($ANR$5:$ANR10&gt;=1)*($ANR$5:$ANR10&lt;=3)),$AOU$5:$AOU10),IF(ANR10=7,SUMPRODUCT(--(($ANS$5:$ANS10=$ANS10)*($ANR$5:$ANR10&gt;=4)*($ANR$5:$ANR10&lt;=6)),$AOU$5:$AOU10),IF(ANR10=10,SUMPRODUCT(--(($ANS$5:$ANS10=$ANS10)*($ANR$5:$ANR10&gt;=7)*($ANR$5:$ANR10&lt;=9)),$AOU$5:$AOU10),0)))))</f>
        <v/>
      </c>
      <c r="AOW10" s="12">
        <f>AOW9+AOU10-AOV10</f>
        <v/>
      </c>
      <c r="AOX10" s="12">
        <f>IF(ProviderDelay&gt;=1,AOT9*ProviderShare,AOT10*ProviderShare)</f>
        <v/>
      </c>
      <c r="AOY10" s="12">
        <f>AOQ10*PaymentFee</f>
        <v/>
      </c>
      <c r="AOZ10" s="12">
        <f>AOK10*OpsAI</f>
        <v/>
      </c>
      <c r="APA10" s="12">
        <f>MonthlyFixed</f>
        <v/>
      </c>
      <c r="APB10" s="12">
        <f>ANY10*ReferralReward</f>
        <v/>
      </c>
      <c r="APC10" s="12">
        <f>ANW10</f>
        <v/>
      </c>
      <c r="APD10" s="9">
        <f>AOT10-AOX10-AOY10-AOZ10-APA10-APB10-APC10</f>
        <v/>
      </c>
      <c r="APE10" s="9">
        <f>APE9+AOQ10-(AOX10+AOY10+AOZ10+APA10+APB10+APC10+AOV10)</f>
        <v/>
      </c>
      <c r="APF10" s="12">
        <f>IF(AOK10&gt;0,AOL10/AOK10,0)</f>
        <v/>
      </c>
      <c r="APG10" s="11">
        <f>IF(AOK9&gt;0,MAX(0,(AOK9+ANZ10-AOK10)/AOK9),0)</f>
        <v/>
      </c>
      <c r="API10" s="12" t="n">
        <v>6</v>
      </c>
      <c r="APJ10" s="12">
        <f>MOD(API10-1+LaunchMonth-1,12)+1</f>
        <v/>
      </c>
      <c r="APK10" s="12">
        <f>INT((API10-1+LaunchMonth-1)/12)+1</f>
        <v/>
      </c>
      <c r="APL10" s="12">
        <f>VLOOKUP(APJ10,SeasonTable,2,FALSE)</f>
        <v/>
      </c>
      <c r="APM10" s="12">
        <f>(1+InflationRate)^INT((API10-1)/12)</f>
        <v/>
      </c>
      <c r="APN10" s="11">
        <f>MonthlyChurn*VLOOKUP(APJ10,ChurnSeasonTable,4,FALSE)</f>
        <v/>
      </c>
      <c r="APO10" s="12">
        <f>MIN(MktFixed4_6,MAX(0,AQW9-CashBuffer))</f>
        <v/>
      </c>
      <c r="APP10" s="12">
        <f>IF(APO10&gt;0,MAX(1,ROUND(APO10/'Sens - CAC &amp; Marketing'!$A$15*APL10,0)),0)</f>
        <v/>
      </c>
      <c r="APQ10" s="12">
        <f>IF(APP10&gt;0,ROUND(APP10*ReferralMix/(1-ReferralMix),0),0)</f>
        <v/>
      </c>
      <c r="APR10" s="12">
        <f>APP10+APQ10</f>
        <v/>
      </c>
      <c r="APS10" s="12">
        <f>ROUND(APR10*(1-AnnualMix),0)</f>
        <v/>
      </c>
      <c r="APT10" s="12">
        <f>APR10-APS10</f>
        <v/>
      </c>
      <c r="APU10" s="12">
        <f>ROUND(APS10*EssentialMix,0)</f>
        <v/>
      </c>
      <c r="APV10" s="12">
        <f>APS10-APU10</f>
        <v/>
      </c>
      <c r="APW10" s="12">
        <f>ROUND(APT10*EssentialMix,0)</f>
        <v/>
      </c>
      <c r="APX10" s="12">
        <f>APT10-APW10</f>
        <v/>
      </c>
      <c r="APY10" s="12">
        <f>APU10+APU9+APU8+MAX(0,APY9-APU9-APU8)*(1-APN10)</f>
        <v/>
      </c>
      <c r="APZ10" s="12">
        <f>APV10+APV9+APV8+MAX(0,APZ9-APV9-APV8)*(1-APN10)</f>
        <v/>
      </c>
      <c r="AQA10" s="12">
        <f>SUM(APW$5:APW10)</f>
        <v/>
      </c>
      <c r="AQB10" s="12">
        <f>SUM(APX$5:APX10)</f>
        <v/>
      </c>
      <c r="AQC10" s="12">
        <f>APY10+APZ10+AQA10+AQB10</f>
        <v/>
      </c>
      <c r="AQD10" s="9">
        <f>APY10*PriceEssMonthly*APM10+APZ10*PricePremMonthly*APM10+AQA10*PriceEssAnnual*APM10/12+AQB10*PricePremAnnual*APM10/12</f>
        <v/>
      </c>
      <c r="AQE10" s="9">
        <f>AQD10*12</f>
        <v/>
      </c>
      <c r="AQF10" s="12">
        <f>APY10*PriceEssMonthly*APM10+APZ10*PricePremMonthly*APM10</f>
        <v/>
      </c>
      <c r="AQG10" s="12">
        <f>APW10*PriceEssAnnual*APM10+APX10*PricePremAnnual*APM10</f>
        <v/>
      </c>
      <c r="AQH10" s="12">
        <f>0+0</f>
        <v/>
      </c>
      <c r="AQI10" s="9">
        <f>AQF10+AQG10+AQH10</f>
        <v/>
      </c>
      <c r="AQJ10" s="12">
        <f>SUM(AQI$5:AQI10)</f>
        <v/>
      </c>
      <c r="AQK10" s="12">
        <f>OR(AQK9,AQJ10&gt;=VATThreshold)</f>
        <v/>
      </c>
      <c r="AQL10" s="9">
        <f>IF(AQK10,AQI10/(1+VATRate),AQI10)</f>
        <v/>
      </c>
      <c r="AQM10" s="12">
        <f>AQI10-AQL10</f>
        <v/>
      </c>
      <c r="AQN10" s="12">
        <f>IF(AQK10=0,0,IF(APJ10=1,SUMPRODUCT(--(($APK$5:$APK10=$APK10-1)*($APJ$5:$APJ10&gt;=10)*($APJ$5:$APJ10&lt;=12)),$AQM$5:$AQM10),IF(APJ10=4,SUMPRODUCT(--(($APK$5:$APK10=$APK10)*($APJ$5:$APJ10&gt;=1)*($APJ$5:$APJ10&lt;=3)),$AQM$5:$AQM10),IF(APJ10=7,SUMPRODUCT(--(($APK$5:$APK10=$APK10)*($APJ$5:$APJ10&gt;=4)*($APJ$5:$APJ10&lt;=6)),$AQM$5:$AQM10),IF(APJ10=10,SUMPRODUCT(--(($APK$5:$APK10=$APK10)*($APJ$5:$APJ10&gt;=7)*($APJ$5:$APJ10&lt;=9)),$AQM$5:$AQM10),0)))))</f>
        <v/>
      </c>
      <c r="AQO10" s="12">
        <f>AQO9+AQM10-AQN10</f>
        <v/>
      </c>
      <c r="AQP10" s="12">
        <f>IF(ProviderDelay&gt;=1,AQL9*ProviderShare,AQL10*ProviderShare)</f>
        <v/>
      </c>
      <c r="AQQ10" s="12">
        <f>AQI10*PaymentFee</f>
        <v/>
      </c>
      <c r="AQR10" s="12">
        <f>AQC10*OpsAI</f>
        <v/>
      </c>
      <c r="AQS10" s="12">
        <f>MonthlyFixed</f>
        <v/>
      </c>
      <c r="AQT10" s="12">
        <f>APQ10*ReferralReward</f>
        <v/>
      </c>
      <c r="AQU10" s="12">
        <f>APO10</f>
        <v/>
      </c>
      <c r="AQV10" s="9">
        <f>AQL10-AQP10-AQQ10-AQR10-AQS10-AQT10-AQU10</f>
        <v/>
      </c>
      <c r="AQW10" s="9">
        <f>AQW9+AQI10-(AQP10+AQQ10+AQR10+AQS10+AQT10+AQU10+AQN10)</f>
        <v/>
      </c>
      <c r="AQX10" s="12">
        <f>IF(AQC10&gt;0,AQD10/AQC10,0)</f>
        <v/>
      </c>
      <c r="AQY10" s="11">
        <f>IF(AQC9&gt;0,MAX(0,(AQC9+APR10-AQC10)/AQC9),0)</f>
        <v/>
      </c>
      <c r="ARA10" s="12" t="n">
        <v>6</v>
      </c>
      <c r="ARB10" s="12">
        <f>MOD(ARA10-1+LaunchMonth-1,12)+1</f>
        <v/>
      </c>
      <c r="ARC10" s="12">
        <f>INT((ARA10-1+LaunchMonth-1)/12)+1</f>
        <v/>
      </c>
      <c r="ARD10" s="12">
        <f>VLOOKUP(ARB10,WinterPivotSeasonTable,5,FALSE)</f>
        <v/>
      </c>
      <c r="ARE10" s="12">
        <f>(1+InflationRate)^INT((ARA10-1)/12)</f>
        <v/>
      </c>
      <c r="ARF10" s="11">
        <f>MonthlyChurn*VLOOKUP(ARB10,WinterPivotChurnTable,6,FALSE)</f>
        <v/>
      </c>
      <c r="ARG10" s="12">
        <f>MIN(MktFixed4_6,MAX(0,ASO9-CashBuffer))</f>
        <v/>
      </c>
      <c r="ARH10" s="12">
        <f>IF(ARG10&gt;0,MAX(1,ROUND(ARG10/CAC*ARD10,0)),0)</f>
        <v/>
      </c>
      <c r="ARI10" s="12">
        <f>IF(ARH10&gt;0,ROUND(ARH10*ReferralMix/(1-ReferralMix),0),0)</f>
        <v/>
      </c>
      <c r="ARJ10" s="12">
        <f>ARH10+ARI10</f>
        <v/>
      </c>
      <c r="ARK10" s="12">
        <f>ROUND(ARJ10*(1-AnnualMix),0)</f>
        <v/>
      </c>
      <c r="ARL10" s="12">
        <f>ARJ10-ARK10</f>
        <v/>
      </c>
      <c r="ARM10" s="12">
        <f>ROUND(ARK10*'Sens - Winter Pivot'!$B$6,0)</f>
        <v/>
      </c>
      <c r="ARN10" s="12">
        <f>ARK10-ARM10</f>
        <v/>
      </c>
      <c r="ARO10" s="12">
        <f>ROUND(ARL10*'Sens - Winter Pivot'!$B$6,0)</f>
        <v/>
      </c>
      <c r="ARP10" s="12">
        <f>ARL10-ARO10</f>
        <v/>
      </c>
      <c r="ARQ10" s="12">
        <f>ARM10+ARM9+ARM8+MAX(0,ARQ9-ARM9-ARM8)*(1-ARF10)</f>
        <v/>
      </c>
      <c r="ARR10" s="12">
        <f>ARN10+ARN9+ARN8+MAX(0,ARR9-ARN9-ARN8)*(1-ARF10)</f>
        <v/>
      </c>
      <c r="ARS10" s="12">
        <f>SUM(ARO$5:ARO10)</f>
        <v/>
      </c>
      <c r="ART10" s="12">
        <f>SUM(ARP$5:ARP10)</f>
        <v/>
      </c>
      <c r="ARU10" s="12">
        <f>ARQ10+ARR10+ARS10+ART10</f>
        <v/>
      </c>
      <c r="ARV10" s="9">
        <f>ARQ10*PriceEssMonthly*ARE10+ARR10*(PricePremMonthly+'Sens - Winter Pivot'!$B$7)*ARE10+ARS10*PriceEssAnnual*ARE10/12+ART10*(PricePremAnnual+'Sens - Winter Pivot'!$B$7*12)*ARE10/12</f>
        <v/>
      </c>
      <c r="ARW10" s="9">
        <f>ARV10*12</f>
        <v/>
      </c>
      <c r="ARX10" s="12">
        <f>ARQ10*PriceEssMonthly*ARE10+ARR10*(PricePremMonthly+'Sens - Winter Pivot'!$B$7)*ARE10</f>
        <v/>
      </c>
      <c r="ARY10" s="12">
        <f>ARO10*PriceEssAnnual*ARE10+ARP10*(PricePremAnnual+'Sens - Winter Pivot'!$B$7*12)*ARE10</f>
        <v/>
      </c>
      <c r="ARZ10" s="12">
        <f>0+0</f>
        <v/>
      </c>
      <c r="ASA10" s="9">
        <f>ARX10+ARY10+ARZ10</f>
        <v/>
      </c>
      <c r="ASB10" s="12">
        <f>SUM(ASA$5:ASA10)</f>
        <v/>
      </c>
      <c r="ASC10" s="12">
        <f>OR(ASC9,ASB10&gt;=VATThreshold)</f>
        <v/>
      </c>
      <c r="ASD10" s="9">
        <f>IF(ASC10,ASA10/(1+VATRate),ASA10)</f>
        <v/>
      </c>
      <c r="ASE10" s="12">
        <f>ASA10-ASD10</f>
        <v/>
      </c>
      <c r="ASF10" s="12">
        <f>IF(ASC10=0,0,IF(ARB10=1,SUMPRODUCT(--(($ARC$5:$ARC10=$ARC10-1)*($ARB$5:$ARB10&gt;=10)*($ARB$5:$ARB10&lt;=12)),$ASE$5:$ASE10),IF(ARB10=4,SUMPRODUCT(--(($ARC$5:$ARC10=$ARC10)*($ARB$5:$ARB10&gt;=1)*($ARB$5:$ARB10&lt;=3)),$ASE$5:$ASE10),IF(ARB10=7,SUMPRODUCT(--(($ARC$5:$ARC10=$ARC10)*($ARB$5:$ARB10&gt;=4)*($ARB$5:$ARB10&lt;=6)),$ASE$5:$ASE10),IF(ARB10=10,SUMPRODUCT(--(($ARC$5:$ARC10=$ARC10)*($ARB$5:$ARB10&gt;=7)*($ARB$5:$ARB10&lt;=9)),$ASE$5:$ASE10),0)))))</f>
        <v/>
      </c>
      <c r="ASG10" s="12">
        <f>ASG9+ASE10-ASF10</f>
        <v/>
      </c>
      <c r="ASH10" s="12">
        <f>IF(ProviderDelay&gt;=1,ASD9*ProviderShare,ASD10*ProviderShare)</f>
        <v/>
      </c>
      <c r="ASI10" s="12">
        <f>ASA10*PaymentFee</f>
        <v/>
      </c>
      <c r="ASJ10" s="12">
        <f>ARU10*OpsAI</f>
        <v/>
      </c>
      <c r="ASK10" s="12">
        <f>MonthlyFixed</f>
        <v/>
      </c>
      <c r="ASL10" s="12">
        <f>ARI10*ReferralReward</f>
        <v/>
      </c>
      <c r="ASM10" s="12">
        <f>ARG10</f>
        <v/>
      </c>
      <c r="ASN10" s="9">
        <f>ASD10-ASH10-ASI10-ASJ10-ASK10-ASL10-ASM10</f>
        <v/>
      </c>
      <c r="ASO10" s="9">
        <f>ASO9+ASA10-(ASH10+ASI10+ASJ10+ASK10+ASL10+ASM10+ASF10)</f>
        <v/>
      </c>
      <c r="ASP10" s="12">
        <f>IF(ARU10&gt;0,ARV10/ARU10,0)</f>
        <v/>
      </c>
      <c r="ASQ10" s="11">
        <f>IF(ARU9&gt;0,MAX(0,(ARU9+ARJ10-ARU10)/ARU9),0)</f>
        <v/>
      </c>
    </row>
    <row r="11">
      <c r="A11" s="12" t="n">
        <v>7</v>
      </c>
      <c r="B11" s="12">
        <f>MOD(A11-1+LaunchMonth-1,12)+1</f>
        <v/>
      </c>
      <c r="C11" s="12">
        <f>INT((A11-1+LaunchMonth-1)/12)+1</f>
        <v/>
      </c>
      <c r="D11" s="12">
        <f>VLOOKUP(B11,SeasonTable,2,FALSE)</f>
        <v/>
      </c>
      <c r="E11" s="12">
        <f>(1+InflationRate)^INT((A11-1)/12)</f>
        <v/>
      </c>
      <c r="F11" s="11">
        <f>'Sens - Scenarios'!$B$5*VLOOKUP(B11,ChurnSeasonTable,4,FALSE)</f>
        <v/>
      </c>
      <c r="G11" s="12">
        <f>MIN(MAX(MktMin7_12,AA10*MktPct7_12),MAX(0,AO10-CashBuffer))</f>
        <v/>
      </c>
      <c r="H11" s="12">
        <f>IF(G11&gt;0,MAX(1,ROUND(G11/'Sens - Scenarios'!$B$8*D11,0)),0)</f>
        <v/>
      </c>
      <c r="I11" s="12">
        <f>IF(H11&gt;0,ROUND(H11*ReferralMix/(1-ReferralMix),0),0)</f>
        <v/>
      </c>
      <c r="J11" s="12">
        <f>H11+I11</f>
        <v/>
      </c>
      <c r="K11" s="12">
        <f>ROUND(J11*(1-'Sens - Scenarios'!$B$7),0)</f>
        <v/>
      </c>
      <c r="L11" s="12">
        <f>J11-K11</f>
        <v/>
      </c>
      <c r="M11" s="12">
        <f>ROUND(K11*EssentialMix,0)</f>
        <v/>
      </c>
      <c r="N11" s="12">
        <f>K11-M11</f>
        <v/>
      </c>
      <c r="O11" s="12">
        <f>ROUND(L11*EssentialMix,0)</f>
        <v/>
      </c>
      <c r="P11" s="12">
        <f>L11-O11</f>
        <v/>
      </c>
      <c r="Q11" s="12">
        <f>M11+M10+M9+MAX(0,Q10-M10-M9)*(1-F11)</f>
        <v/>
      </c>
      <c r="R11" s="12">
        <f>N11+N10+N9+MAX(0,R10-N10-N9)*(1-F11)</f>
        <v/>
      </c>
      <c r="S11" s="12">
        <f>SUM(O$5:O11)</f>
        <v/>
      </c>
      <c r="T11" s="12">
        <f>SUM(P$5:P11)</f>
        <v/>
      </c>
      <c r="U11" s="12">
        <f>Q11+R11+S11+T11</f>
        <v/>
      </c>
      <c r="V11" s="9">
        <f>Q11*PriceEssMonthly*E11+R11*PricePremMonthly*E11+S11*PriceEssAnnual*E11/12+T11*PricePremAnnual*E11/12</f>
        <v/>
      </c>
      <c r="W11" s="9">
        <f>V11*12</f>
        <v/>
      </c>
      <c r="X11" s="12">
        <f>Q11*PriceEssMonthly*E11+R11*PricePremMonthly*E11</f>
        <v/>
      </c>
      <c r="Y11" s="12">
        <f>O11*PriceEssAnnual*E11+P11*PricePremAnnual*E11</f>
        <v/>
      </c>
      <c r="Z11" s="12">
        <f>0+0</f>
        <v/>
      </c>
      <c r="AA11" s="9">
        <f>X11+Y11+Z11</f>
        <v/>
      </c>
      <c r="AB11" s="12">
        <f>SUM(AA$5:AA11)</f>
        <v/>
      </c>
      <c r="AC11" s="12">
        <f>OR(AC10,AB11&gt;=VATThreshold)</f>
        <v/>
      </c>
      <c r="AD11" s="9">
        <f>IF(AC11,AA11/(1+VATRate),AA11)</f>
        <v/>
      </c>
      <c r="AE11" s="12">
        <f>AA11-AD11</f>
        <v/>
      </c>
      <c r="AF11" s="12">
        <f>IF(AC11=0,0,IF(B11=1,SUMPRODUCT(--(($C$5:$C11=$C11-1)*($B$5:$B11&gt;=10)*($B$5:$B11&lt;=12)),$AE$5:$AE11),IF(B11=4,SUMPRODUCT(--(($C$5:$C11=$C11)*($B$5:$B11&gt;=1)*($B$5:$B11&lt;=3)),$AE$5:$AE11),IF(B11=7,SUMPRODUCT(--(($C$5:$C11=$C11)*($B$5:$B11&gt;=4)*($B$5:$B11&lt;=6)),$AE$5:$AE11),IF(B11=10,SUMPRODUCT(--(($C$5:$C11=$C11)*($B$5:$B11&gt;=7)*($B$5:$B11&lt;=9)),$AE$5:$AE11),0)))))</f>
        <v/>
      </c>
      <c r="AG11" s="12">
        <f>AG10+AE11-AF11</f>
        <v/>
      </c>
      <c r="AH11" s="12">
        <f>IF(ProviderDelay&gt;=1,AD10*ProviderShare,AD11*ProviderShare)</f>
        <v/>
      </c>
      <c r="AI11" s="12">
        <f>AA11*PaymentFee</f>
        <v/>
      </c>
      <c r="AJ11" s="12">
        <f>U11*OpsAI</f>
        <v/>
      </c>
      <c r="AK11" s="12">
        <f>MonthlyFixed</f>
        <v/>
      </c>
      <c r="AL11" s="12">
        <f>I11*ReferralReward</f>
        <v/>
      </c>
      <c r="AM11" s="12">
        <f>G11</f>
        <v/>
      </c>
      <c r="AN11" s="9">
        <f>AD11-AH11-AI11-AJ11-AK11-AL11-AM11</f>
        <v/>
      </c>
      <c r="AO11" s="9">
        <f>AO10+AA11-(AH11+AI11+AJ11+AK11+AL11+AM11+AF11)</f>
        <v/>
      </c>
      <c r="AP11" s="12">
        <f>IF(U11&gt;0,V11/U11,0)</f>
        <v/>
      </c>
      <c r="AQ11" s="11">
        <f>IF(U10&gt;0,MAX(0,(U10+J11-U11)/U10),0)</f>
        <v/>
      </c>
      <c r="AS11" s="12" t="n">
        <v>7</v>
      </c>
      <c r="AT11" s="12">
        <f>MOD(AS11-1+LaunchMonth-1,12)+1</f>
        <v/>
      </c>
      <c r="AU11" s="12">
        <f>INT((AS11-1+LaunchMonth-1)/12)+1</f>
        <v/>
      </c>
      <c r="AV11" s="12">
        <f>VLOOKUP(AT11,SeasonTable,2,FALSE)</f>
        <v/>
      </c>
      <c r="AW11" s="12">
        <f>(1+InflationRate)^INT((AS11-1)/12)</f>
        <v/>
      </c>
      <c r="AX11" s="11">
        <f>MonthlyChurn*VLOOKUP(AT11,ChurnSeasonTable,4,FALSE)</f>
        <v/>
      </c>
      <c r="AY11" s="12">
        <f>MIN(MAX(MktMin7_12,BS10*MktPct7_12),MAX(0,CG10-CashBuffer))</f>
        <v/>
      </c>
      <c r="AZ11" s="12">
        <f>IF(AY11&gt;0,MAX(1,ROUND(AY11/CAC*AV11,0)),0)</f>
        <v/>
      </c>
      <c r="BA11" s="12">
        <f>IF(AZ11&gt;0,ROUND(AZ11*ReferralMix/(1-ReferralMix),0),0)</f>
        <v/>
      </c>
      <c r="BB11" s="12">
        <f>AZ11+BA11</f>
        <v/>
      </c>
      <c r="BC11" s="12">
        <f>ROUND(BB11*(1-AnnualMix),0)</f>
        <v/>
      </c>
      <c r="BD11" s="12">
        <f>BB11-BC11</f>
        <v/>
      </c>
      <c r="BE11" s="12">
        <f>ROUND(BC11*EssentialMix,0)</f>
        <v/>
      </c>
      <c r="BF11" s="12">
        <f>BC11-BE11</f>
        <v/>
      </c>
      <c r="BG11" s="12">
        <f>ROUND(BD11*EssentialMix,0)</f>
        <v/>
      </c>
      <c r="BH11" s="12">
        <f>BD11-BG11</f>
        <v/>
      </c>
      <c r="BI11" s="12">
        <f>BE11+BE10+BE9+MAX(0,BI10-BE10-BE9)*(1-AX11)</f>
        <v/>
      </c>
      <c r="BJ11" s="12">
        <f>BF11+BF10+BF9+MAX(0,BJ10-BF10-BF9)*(1-AX11)</f>
        <v/>
      </c>
      <c r="BK11" s="12">
        <f>SUM(BG$5:BG11)</f>
        <v/>
      </c>
      <c r="BL11" s="12">
        <f>SUM(BH$5:BH11)</f>
        <v/>
      </c>
      <c r="BM11" s="12">
        <f>BI11+BJ11+BK11+BL11</f>
        <v/>
      </c>
      <c r="BN11" s="9">
        <f>BI11*PriceEssMonthly*AW11+BJ11*PricePremMonthly*AW11+BK11*PriceEssAnnual*AW11/12+BL11*PricePremAnnual*AW11/12</f>
        <v/>
      </c>
      <c r="BO11" s="9">
        <f>BN11*12</f>
        <v/>
      </c>
      <c r="BP11" s="12">
        <f>BI11*PriceEssMonthly*AW11+BJ11*PricePremMonthly*AW11</f>
        <v/>
      </c>
      <c r="BQ11" s="12">
        <f>BG11*PriceEssAnnual*AW11+BH11*PricePremAnnual*AW11</f>
        <v/>
      </c>
      <c r="BR11" s="12">
        <f>0+0</f>
        <v/>
      </c>
      <c r="BS11" s="9">
        <f>BP11+BQ11+BR11</f>
        <v/>
      </c>
      <c r="BT11" s="12">
        <f>SUM(BS$5:BS11)</f>
        <v/>
      </c>
      <c r="BU11" s="12">
        <f>OR(BU10,BT11&gt;=VATThreshold)</f>
        <v/>
      </c>
      <c r="BV11" s="9">
        <f>IF(BU11,BS11/(1+VATRate),BS11)</f>
        <v/>
      </c>
      <c r="BW11" s="12">
        <f>BS11-BV11</f>
        <v/>
      </c>
      <c r="BX11" s="12">
        <f>IF(BU11=0,0,IF(AT11=1,SUMPRODUCT(--(($AU$5:$AU11=$AU11-1)*($AT$5:$AT11&gt;=10)*($AT$5:$AT11&lt;=12)),$BW$5:$BW11),IF(AT11=4,SUMPRODUCT(--(($AU$5:$AU11=$AU11)*($AT$5:$AT11&gt;=1)*($AT$5:$AT11&lt;=3)),$BW$5:$BW11),IF(AT11=7,SUMPRODUCT(--(($AU$5:$AU11=$AU11)*($AT$5:$AT11&gt;=4)*($AT$5:$AT11&lt;=6)),$BW$5:$BW11),IF(AT11=10,SUMPRODUCT(--(($AU$5:$AU11=$AU11)*($AT$5:$AT11&gt;=7)*($AT$5:$AT11&lt;=9)),$BW$5:$BW11),0)))))</f>
        <v/>
      </c>
      <c r="BY11" s="12">
        <f>BY10+BW11-BX11</f>
        <v/>
      </c>
      <c r="BZ11" s="12">
        <f>IF(ProviderDelay&gt;=1,BV10*ProviderShare,BV11*ProviderShare)</f>
        <v/>
      </c>
      <c r="CA11" s="12">
        <f>BS11*PaymentFee</f>
        <v/>
      </c>
      <c r="CB11" s="12">
        <f>BM11*OpsAI</f>
        <v/>
      </c>
      <c r="CC11" s="12">
        <f>MonthlyFixed</f>
        <v/>
      </c>
      <c r="CD11" s="12">
        <f>BA11*ReferralReward</f>
        <v/>
      </c>
      <c r="CE11" s="12">
        <f>AY11</f>
        <v/>
      </c>
      <c r="CF11" s="9">
        <f>BV11-BZ11-CA11-CB11-CC11-CD11-CE11</f>
        <v/>
      </c>
      <c r="CG11" s="9">
        <f>CG10+BS11-(BZ11+CA11+CB11+CC11+CD11+CE11+BX11)</f>
        <v/>
      </c>
      <c r="CH11" s="12">
        <f>IF(BM11&gt;0,BN11/BM11,0)</f>
        <v/>
      </c>
      <c r="CI11" s="11">
        <f>IF(BM10&gt;0,MAX(0,(BM10+BB11-BM11)/BM10),0)</f>
        <v/>
      </c>
      <c r="CK11" s="12" t="n">
        <v>7</v>
      </c>
      <c r="CL11" s="12">
        <f>MOD(CK11-1+LaunchMonth-1,12)+1</f>
        <v/>
      </c>
      <c r="CM11" s="12">
        <f>INT((CK11-1+LaunchMonth-1)/12)+1</f>
        <v/>
      </c>
      <c r="CN11" s="12">
        <f>VLOOKUP(CL11,SeasonTable,2,FALSE)</f>
        <v/>
      </c>
      <c r="CO11" s="12">
        <f>(1+InflationRate)^INT((CK11-1)/12)</f>
        <v/>
      </c>
      <c r="CP11" s="11">
        <f>'Sens - Scenarios'!$D$5*VLOOKUP(CL11,ChurnSeasonTable,4,FALSE)</f>
        <v/>
      </c>
      <c r="CQ11" s="12">
        <f>MIN(MAX(MktMin7_12,DK10*MktPct7_12),MAX(0,DY10-CashBuffer))</f>
        <v/>
      </c>
      <c r="CR11" s="12">
        <f>IF(CQ11&gt;0,MAX(1,ROUND(CQ11/'Sens - Scenarios'!$D$8*CN11,0)),0)</f>
        <v/>
      </c>
      <c r="CS11" s="12">
        <f>IF(CR11&gt;0,ROUND(CR11*ReferralMix/(1-ReferralMix),0),0)</f>
        <v/>
      </c>
      <c r="CT11" s="12">
        <f>CR11+CS11</f>
        <v/>
      </c>
      <c r="CU11" s="12">
        <f>ROUND(CT11*(1-'Sens - Scenarios'!$D$7),0)</f>
        <v/>
      </c>
      <c r="CV11" s="12">
        <f>CT11-CU11</f>
        <v/>
      </c>
      <c r="CW11" s="12">
        <f>ROUND(CU11*EssentialMix,0)</f>
        <v/>
      </c>
      <c r="CX11" s="12">
        <f>CU11-CW11</f>
        <v/>
      </c>
      <c r="CY11" s="12">
        <f>ROUND(CV11*EssentialMix,0)</f>
        <v/>
      </c>
      <c r="CZ11" s="12">
        <f>CV11-CY11</f>
        <v/>
      </c>
      <c r="DA11" s="12">
        <f>CW11+CW10+CW9+MAX(0,DA10-CW10-CW9)*(1-CP11)</f>
        <v/>
      </c>
      <c r="DB11" s="12">
        <f>CX11+CX10+CX9+MAX(0,DB10-CX10-CX9)*(1-CP11)</f>
        <v/>
      </c>
      <c r="DC11" s="12">
        <f>SUM(CY$5:CY11)</f>
        <v/>
      </c>
      <c r="DD11" s="12">
        <f>SUM(CZ$5:CZ11)</f>
        <v/>
      </c>
      <c r="DE11" s="12">
        <f>DA11+DB11+DC11+DD11</f>
        <v/>
      </c>
      <c r="DF11" s="9">
        <f>DA11*PriceEssMonthly*CO11+DB11*PricePremMonthly*CO11+DC11*PriceEssAnnual*CO11/12+DD11*PricePremAnnual*CO11/12</f>
        <v/>
      </c>
      <c r="DG11" s="9">
        <f>DF11*12</f>
        <v/>
      </c>
      <c r="DH11" s="12">
        <f>DA11*PriceEssMonthly*CO11+DB11*PricePremMonthly*CO11</f>
        <v/>
      </c>
      <c r="DI11" s="12">
        <f>CY11*PriceEssAnnual*CO11+CZ11*PricePremAnnual*CO11</f>
        <v/>
      </c>
      <c r="DJ11" s="12">
        <f>0+0</f>
        <v/>
      </c>
      <c r="DK11" s="9">
        <f>DH11+DI11+DJ11</f>
        <v/>
      </c>
      <c r="DL11" s="12">
        <f>SUM(DK$5:DK11)</f>
        <v/>
      </c>
      <c r="DM11" s="12">
        <f>OR(DM10,DL11&gt;=VATThreshold)</f>
        <v/>
      </c>
      <c r="DN11" s="9">
        <f>IF(DM11,DK11/(1+VATRate),DK11)</f>
        <v/>
      </c>
      <c r="DO11" s="12">
        <f>DK11-DN11</f>
        <v/>
      </c>
      <c r="DP11" s="12">
        <f>IF(DM11=0,0,IF(CL11=1,SUMPRODUCT(--(($CM$5:$CM11=$CM11-1)*($CL$5:$CL11&gt;=10)*($CL$5:$CL11&lt;=12)),$DO$5:$DO11),IF(CL11=4,SUMPRODUCT(--(($CM$5:$CM11=$CM11)*($CL$5:$CL11&gt;=1)*($CL$5:$CL11&lt;=3)),$DO$5:$DO11),IF(CL11=7,SUMPRODUCT(--(($CM$5:$CM11=$CM11)*($CL$5:$CL11&gt;=4)*($CL$5:$CL11&lt;=6)),$DO$5:$DO11),IF(CL11=10,SUMPRODUCT(--(($CM$5:$CM11=$CM11)*($CL$5:$CL11&gt;=7)*($CL$5:$CL11&lt;=9)),$DO$5:$DO11),0)))))</f>
        <v/>
      </c>
      <c r="DQ11" s="12">
        <f>DQ10+DO11-DP11</f>
        <v/>
      </c>
      <c r="DR11" s="12">
        <f>IF(ProviderDelay&gt;=1,DN10*ProviderShare,DN11*ProviderShare)</f>
        <v/>
      </c>
      <c r="DS11" s="12">
        <f>DK11*PaymentFee</f>
        <v/>
      </c>
      <c r="DT11" s="12">
        <f>DE11*OpsAI</f>
        <v/>
      </c>
      <c r="DU11" s="12">
        <f>MonthlyFixed</f>
        <v/>
      </c>
      <c r="DV11" s="12">
        <f>CS11*ReferralReward</f>
        <v/>
      </c>
      <c r="DW11" s="12">
        <f>CQ11</f>
        <v/>
      </c>
      <c r="DX11" s="9">
        <f>DN11-DR11-DS11-DT11-DU11-DV11-DW11</f>
        <v/>
      </c>
      <c r="DY11" s="9">
        <f>DY10+DK11-(DR11+DS11+DT11+DU11+DV11+DW11+DP11)</f>
        <v/>
      </c>
      <c r="DZ11" s="12">
        <f>IF(DE11&gt;0,DF11/DE11,0)</f>
        <v/>
      </c>
      <c r="EA11" s="11">
        <f>IF(DE10&gt;0,MAX(0,(DE10+CT11-DE11)/DE10),0)</f>
        <v/>
      </c>
      <c r="EC11" s="12" t="n">
        <v>7</v>
      </c>
      <c r="ED11" s="12">
        <f>MOD(EC11-1+LaunchMonth-1,12)+1</f>
        <v/>
      </c>
      <c r="EE11" s="12">
        <f>INT((EC11-1+LaunchMonth-1)/12)+1</f>
        <v/>
      </c>
      <c r="EF11" s="12">
        <f>VLOOKUP(ED11,SeasonTable,2,FALSE)</f>
        <v/>
      </c>
      <c r="EG11" s="12">
        <f>(1+InflationRate)^INT((EC11-1)/12)</f>
        <v/>
      </c>
      <c r="EH11" s="11">
        <f>'Sens - Churn'!$A$13*VLOOKUP(ED11,ChurnSeasonTable,4,FALSE)</f>
        <v/>
      </c>
      <c r="EI11" s="12">
        <f>MIN(MAX(MktMin7_12,FC10*MktPct7_12),MAX(0,FQ10-CashBuffer))</f>
        <v/>
      </c>
      <c r="EJ11" s="12">
        <f>IF(EI11&gt;0,MAX(1,ROUND(EI11/CAC*EF11,0)),0)</f>
        <v/>
      </c>
      <c r="EK11" s="12">
        <f>IF(EJ11&gt;0,ROUND(EJ11*ReferralMix/(1-ReferralMix),0),0)</f>
        <v/>
      </c>
      <c r="EL11" s="12">
        <f>EJ11+EK11</f>
        <v/>
      </c>
      <c r="EM11" s="12">
        <f>ROUND(EL11*(1-AnnualMix),0)</f>
        <v/>
      </c>
      <c r="EN11" s="12">
        <f>EL11-EM11</f>
        <v/>
      </c>
      <c r="EO11" s="12">
        <f>ROUND(EM11*EssentialMix,0)</f>
        <v/>
      </c>
      <c r="EP11" s="12">
        <f>EM11-EO11</f>
        <v/>
      </c>
      <c r="EQ11" s="12">
        <f>ROUND(EN11*EssentialMix,0)</f>
        <v/>
      </c>
      <c r="ER11" s="12">
        <f>EN11-EQ11</f>
        <v/>
      </c>
      <c r="ES11" s="12">
        <f>EO11+EO10+EO9+MAX(0,ES10-EO10-EO9)*(1-EH11)</f>
        <v/>
      </c>
      <c r="ET11" s="12">
        <f>EP11+EP10+EP9+MAX(0,ET10-EP10-EP9)*(1-EH11)</f>
        <v/>
      </c>
      <c r="EU11" s="12">
        <f>SUM(EQ$5:EQ11)</f>
        <v/>
      </c>
      <c r="EV11" s="12">
        <f>SUM(ER$5:ER11)</f>
        <v/>
      </c>
      <c r="EW11" s="12">
        <f>ES11+ET11+EU11+EV11</f>
        <v/>
      </c>
      <c r="EX11" s="9">
        <f>ES11*PriceEssMonthly*EG11+ET11*PricePremMonthly*EG11+EU11*PriceEssAnnual*EG11/12+EV11*PricePremAnnual*EG11/12</f>
        <v/>
      </c>
      <c r="EY11" s="9">
        <f>EX11*12</f>
        <v/>
      </c>
      <c r="EZ11" s="12">
        <f>ES11*PriceEssMonthly*EG11+ET11*PricePremMonthly*EG11</f>
        <v/>
      </c>
      <c r="FA11" s="12">
        <f>EQ11*PriceEssAnnual*EG11+ER11*PricePremAnnual*EG11</f>
        <v/>
      </c>
      <c r="FB11" s="12">
        <f>0+0</f>
        <v/>
      </c>
      <c r="FC11" s="9">
        <f>EZ11+FA11+FB11</f>
        <v/>
      </c>
      <c r="FD11" s="12">
        <f>SUM(FC$5:FC11)</f>
        <v/>
      </c>
      <c r="FE11" s="12">
        <f>OR(FE10,FD11&gt;=VATThreshold)</f>
        <v/>
      </c>
      <c r="FF11" s="9">
        <f>IF(FE11,FC11/(1+VATRate),FC11)</f>
        <v/>
      </c>
      <c r="FG11" s="12">
        <f>FC11-FF11</f>
        <v/>
      </c>
      <c r="FH11" s="12">
        <f>IF(FE11=0,0,IF(ED11=1,SUMPRODUCT(--(($EE$5:$EE11=$EE11-1)*($ED$5:$ED11&gt;=10)*($ED$5:$ED11&lt;=12)),$FG$5:$FG11),IF(ED11=4,SUMPRODUCT(--(($EE$5:$EE11=$EE11)*($ED$5:$ED11&gt;=1)*($ED$5:$ED11&lt;=3)),$FG$5:$FG11),IF(ED11=7,SUMPRODUCT(--(($EE$5:$EE11=$EE11)*($ED$5:$ED11&gt;=4)*($ED$5:$ED11&lt;=6)),$FG$5:$FG11),IF(ED11=10,SUMPRODUCT(--(($EE$5:$EE11=$EE11)*($ED$5:$ED11&gt;=7)*($ED$5:$ED11&lt;=9)),$FG$5:$FG11),0)))))</f>
        <v/>
      </c>
      <c r="FI11" s="12">
        <f>FI10+FG11-FH11</f>
        <v/>
      </c>
      <c r="FJ11" s="12">
        <f>IF(ProviderDelay&gt;=1,FF10*ProviderShare,FF11*ProviderShare)</f>
        <v/>
      </c>
      <c r="FK11" s="12">
        <f>FC11*PaymentFee</f>
        <v/>
      </c>
      <c r="FL11" s="12">
        <f>EW11*OpsAI</f>
        <v/>
      </c>
      <c r="FM11" s="12">
        <f>MonthlyFixed</f>
        <v/>
      </c>
      <c r="FN11" s="12">
        <f>EK11*ReferralReward</f>
        <v/>
      </c>
      <c r="FO11" s="12">
        <f>EI11</f>
        <v/>
      </c>
      <c r="FP11" s="9">
        <f>FF11-FJ11-FK11-FL11-FM11-FN11-FO11</f>
        <v/>
      </c>
      <c r="FQ11" s="9">
        <f>FQ10+FC11-(FJ11+FK11+FL11+FM11+FN11+FO11+FH11)</f>
        <v/>
      </c>
      <c r="FR11" s="12">
        <f>IF(EW11&gt;0,EX11/EW11,0)</f>
        <v/>
      </c>
      <c r="FS11" s="11">
        <f>IF(EW10&gt;0,MAX(0,(EW10+EL11-EW11)/EW10),0)</f>
        <v/>
      </c>
      <c r="FU11" s="12" t="n">
        <v>7</v>
      </c>
      <c r="FV11" s="12">
        <f>MOD(FU11-1+LaunchMonth-1,12)+1</f>
        <v/>
      </c>
      <c r="FW11" s="12">
        <f>INT((FU11-1+LaunchMonth-1)/12)+1</f>
        <v/>
      </c>
      <c r="FX11" s="12">
        <f>VLOOKUP(FV11,SeasonTable,2,FALSE)</f>
        <v/>
      </c>
      <c r="FY11" s="12">
        <f>(1+InflationRate)^INT((FU11-1)/12)</f>
        <v/>
      </c>
      <c r="FZ11" s="11">
        <f>'Sens - Churn'!$A$14*VLOOKUP(FV11,ChurnSeasonTable,4,FALSE)</f>
        <v/>
      </c>
      <c r="GA11" s="12">
        <f>MIN(MAX(MktMin7_12,GU10*MktPct7_12),MAX(0,HI10-CashBuffer))</f>
        <v/>
      </c>
      <c r="GB11" s="12">
        <f>IF(GA11&gt;0,MAX(1,ROUND(GA11/CAC*FX11,0)),0)</f>
        <v/>
      </c>
      <c r="GC11" s="12">
        <f>IF(GB11&gt;0,ROUND(GB11*ReferralMix/(1-ReferralMix),0),0)</f>
        <v/>
      </c>
      <c r="GD11" s="12">
        <f>GB11+GC11</f>
        <v/>
      </c>
      <c r="GE11" s="12">
        <f>ROUND(GD11*(1-AnnualMix),0)</f>
        <v/>
      </c>
      <c r="GF11" s="12">
        <f>GD11-GE11</f>
        <v/>
      </c>
      <c r="GG11" s="12">
        <f>ROUND(GE11*EssentialMix,0)</f>
        <v/>
      </c>
      <c r="GH11" s="12">
        <f>GE11-GG11</f>
        <v/>
      </c>
      <c r="GI11" s="12">
        <f>ROUND(GF11*EssentialMix,0)</f>
        <v/>
      </c>
      <c r="GJ11" s="12">
        <f>GF11-GI11</f>
        <v/>
      </c>
      <c r="GK11" s="12">
        <f>GG11+GG10+GG9+MAX(0,GK10-GG10-GG9)*(1-FZ11)</f>
        <v/>
      </c>
      <c r="GL11" s="12">
        <f>GH11+GH10+GH9+MAX(0,GL10-GH10-GH9)*(1-FZ11)</f>
        <v/>
      </c>
      <c r="GM11" s="12">
        <f>SUM(GI$5:GI11)</f>
        <v/>
      </c>
      <c r="GN11" s="12">
        <f>SUM(GJ$5:GJ11)</f>
        <v/>
      </c>
      <c r="GO11" s="12">
        <f>GK11+GL11+GM11+GN11</f>
        <v/>
      </c>
      <c r="GP11" s="9">
        <f>GK11*PriceEssMonthly*FY11+GL11*PricePremMonthly*FY11+GM11*PriceEssAnnual*FY11/12+GN11*PricePremAnnual*FY11/12</f>
        <v/>
      </c>
      <c r="GQ11" s="9">
        <f>GP11*12</f>
        <v/>
      </c>
      <c r="GR11" s="12">
        <f>GK11*PriceEssMonthly*FY11+GL11*PricePremMonthly*FY11</f>
        <v/>
      </c>
      <c r="GS11" s="12">
        <f>GI11*PriceEssAnnual*FY11+GJ11*PricePremAnnual*FY11</f>
        <v/>
      </c>
      <c r="GT11" s="12">
        <f>0+0</f>
        <v/>
      </c>
      <c r="GU11" s="9">
        <f>GR11+GS11+GT11</f>
        <v/>
      </c>
      <c r="GV11" s="12">
        <f>SUM(GU$5:GU11)</f>
        <v/>
      </c>
      <c r="GW11" s="12">
        <f>OR(GW10,GV11&gt;=VATThreshold)</f>
        <v/>
      </c>
      <c r="GX11" s="9">
        <f>IF(GW11,GU11/(1+VATRate),GU11)</f>
        <v/>
      </c>
      <c r="GY11" s="12">
        <f>GU11-GX11</f>
        <v/>
      </c>
      <c r="GZ11" s="12">
        <f>IF(GW11=0,0,IF(FV11=1,SUMPRODUCT(--(($FW$5:$FW11=$FW11-1)*($FV$5:$FV11&gt;=10)*($FV$5:$FV11&lt;=12)),$GY$5:$GY11),IF(FV11=4,SUMPRODUCT(--(($FW$5:$FW11=$FW11)*($FV$5:$FV11&gt;=1)*($FV$5:$FV11&lt;=3)),$GY$5:$GY11),IF(FV11=7,SUMPRODUCT(--(($FW$5:$FW11=$FW11)*($FV$5:$FV11&gt;=4)*($FV$5:$FV11&lt;=6)),$GY$5:$GY11),IF(FV11=10,SUMPRODUCT(--(($FW$5:$FW11=$FW11)*($FV$5:$FV11&gt;=7)*($FV$5:$FV11&lt;=9)),$GY$5:$GY11),0)))))</f>
        <v/>
      </c>
      <c r="HA11" s="12">
        <f>HA10+GY11-GZ11</f>
        <v/>
      </c>
      <c r="HB11" s="12">
        <f>IF(ProviderDelay&gt;=1,GX10*ProviderShare,GX11*ProviderShare)</f>
        <v/>
      </c>
      <c r="HC11" s="12">
        <f>GU11*PaymentFee</f>
        <v/>
      </c>
      <c r="HD11" s="12">
        <f>GO11*OpsAI</f>
        <v/>
      </c>
      <c r="HE11" s="12">
        <f>MonthlyFixed</f>
        <v/>
      </c>
      <c r="HF11" s="12">
        <f>GC11*ReferralReward</f>
        <v/>
      </c>
      <c r="HG11" s="12">
        <f>GA11</f>
        <v/>
      </c>
      <c r="HH11" s="9">
        <f>GX11-HB11-HC11-HD11-HE11-HF11-HG11</f>
        <v/>
      </c>
      <c r="HI11" s="9">
        <f>HI10+GU11-(HB11+HC11+HD11+HE11+HF11+HG11+GZ11)</f>
        <v/>
      </c>
      <c r="HJ11" s="12">
        <f>IF(GO11&gt;0,GP11/GO11,0)</f>
        <v/>
      </c>
      <c r="HK11" s="11">
        <f>IF(GO10&gt;0,MAX(0,(GO10+GD11-GO11)/GO10),0)</f>
        <v/>
      </c>
      <c r="HM11" s="12" t="n">
        <v>7</v>
      </c>
      <c r="HN11" s="12">
        <f>MOD(HM11-1+LaunchMonth-1,12)+1</f>
        <v/>
      </c>
      <c r="HO11" s="12">
        <f>INT((HM11-1+LaunchMonth-1)/12)+1</f>
        <v/>
      </c>
      <c r="HP11" s="12">
        <f>VLOOKUP(HN11,SeasonTable,2,FALSE)</f>
        <v/>
      </c>
      <c r="HQ11" s="12">
        <f>(1+InflationRate)^INT((HM11-1)/12)</f>
        <v/>
      </c>
      <c r="HR11" s="11">
        <f>'Sens - Churn'!$A$15*VLOOKUP(HN11,ChurnSeasonTable,4,FALSE)</f>
        <v/>
      </c>
      <c r="HS11" s="12">
        <f>MIN(MAX(MktMin7_12,IM10*MktPct7_12),MAX(0,JA10-CashBuffer))</f>
        <v/>
      </c>
      <c r="HT11" s="12">
        <f>IF(HS11&gt;0,MAX(1,ROUND(HS11/CAC*HP11,0)),0)</f>
        <v/>
      </c>
      <c r="HU11" s="12">
        <f>IF(HT11&gt;0,ROUND(HT11*ReferralMix/(1-ReferralMix),0),0)</f>
        <v/>
      </c>
      <c r="HV11" s="12">
        <f>HT11+HU11</f>
        <v/>
      </c>
      <c r="HW11" s="12">
        <f>ROUND(HV11*(1-AnnualMix),0)</f>
        <v/>
      </c>
      <c r="HX11" s="12">
        <f>HV11-HW11</f>
        <v/>
      </c>
      <c r="HY11" s="12">
        <f>ROUND(HW11*EssentialMix,0)</f>
        <v/>
      </c>
      <c r="HZ11" s="12">
        <f>HW11-HY11</f>
        <v/>
      </c>
      <c r="IA11" s="12">
        <f>ROUND(HX11*EssentialMix,0)</f>
        <v/>
      </c>
      <c r="IB11" s="12">
        <f>HX11-IA11</f>
        <v/>
      </c>
      <c r="IC11" s="12">
        <f>HY11+HY10+HY9+MAX(0,IC10-HY10-HY9)*(1-HR11)</f>
        <v/>
      </c>
      <c r="ID11" s="12">
        <f>HZ11+HZ10+HZ9+MAX(0,ID10-HZ10-HZ9)*(1-HR11)</f>
        <v/>
      </c>
      <c r="IE11" s="12">
        <f>SUM(IA$5:IA11)</f>
        <v/>
      </c>
      <c r="IF11" s="12">
        <f>SUM(IB$5:IB11)</f>
        <v/>
      </c>
      <c r="IG11" s="12">
        <f>IC11+ID11+IE11+IF11</f>
        <v/>
      </c>
      <c r="IH11" s="9">
        <f>IC11*PriceEssMonthly*HQ11+ID11*PricePremMonthly*HQ11+IE11*PriceEssAnnual*HQ11/12+IF11*PricePremAnnual*HQ11/12</f>
        <v/>
      </c>
      <c r="II11" s="9">
        <f>IH11*12</f>
        <v/>
      </c>
      <c r="IJ11" s="12">
        <f>IC11*PriceEssMonthly*HQ11+ID11*PricePremMonthly*HQ11</f>
        <v/>
      </c>
      <c r="IK11" s="12">
        <f>IA11*PriceEssAnnual*HQ11+IB11*PricePremAnnual*HQ11</f>
        <v/>
      </c>
      <c r="IL11" s="12">
        <f>0+0</f>
        <v/>
      </c>
      <c r="IM11" s="9">
        <f>IJ11+IK11+IL11</f>
        <v/>
      </c>
      <c r="IN11" s="12">
        <f>SUM(IM$5:IM11)</f>
        <v/>
      </c>
      <c r="IO11" s="12">
        <f>OR(IO10,IN11&gt;=VATThreshold)</f>
        <v/>
      </c>
      <c r="IP11" s="9">
        <f>IF(IO11,IM11/(1+VATRate),IM11)</f>
        <v/>
      </c>
      <c r="IQ11" s="12">
        <f>IM11-IP11</f>
        <v/>
      </c>
      <c r="IR11" s="12">
        <f>IF(IO11=0,0,IF(HN11=1,SUMPRODUCT(--(($HO$5:$HO11=$HO11-1)*($HN$5:$HN11&gt;=10)*($HN$5:$HN11&lt;=12)),$IQ$5:$IQ11),IF(HN11=4,SUMPRODUCT(--(($HO$5:$HO11=$HO11)*($HN$5:$HN11&gt;=1)*($HN$5:$HN11&lt;=3)),$IQ$5:$IQ11),IF(HN11=7,SUMPRODUCT(--(($HO$5:$HO11=$HO11)*($HN$5:$HN11&gt;=4)*($HN$5:$HN11&lt;=6)),$IQ$5:$IQ11),IF(HN11=10,SUMPRODUCT(--(($HO$5:$HO11=$HO11)*($HN$5:$HN11&gt;=7)*($HN$5:$HN11&lt;=9)),$IQ$5:$IQ11),0)))))</f>
        <v/>
      </c>
      <c r="IS11" s="12">
        <f>IS10+IQ11-IR11</f>
        <v/>
      </c>
      <c r="IT11" s="12">
        <f>IF(ProviderDelay&gt;=1,IP10*ProviderShare,IP11*ProviderShare)</f>
        <v/>
      </c>
      <c r="IU11" s="12">
        <f>IM11*PaymentFee</f>
        <v/>
      </c>
      <c r="IV11" s="12">
        <f>IG11*OpsAI</f>
        <v/>
      </c>
      <c r="IW11" s="12">
        <f>MonthlyFixed</f>
        <v/>
      </c>
      <c r="IX11" s="12">
        <f>HU11*ReferralReward</f>
        <v/>
      </c>
      <c r="IY11" s="12">
        <f>HS11</f>
        <v/>
      </c>
      <c r="IZ11" s="9">
        <f>IP11-IT11-IU11-IV11-IW11-IX11-IY11</f>
        <v/>
      </c>
      <c r="JA11" s="9">
        <f>JA10+IM11-(IT11+IU11+IV11+IW11+IX11+IY11+IR11)</f>
        <v/>
      </c>
      <c r="JB11" s="12">
        <f>IF(IG11&gt;0,IH11/IG11,0)</f>
        <v/>
      </c>
      <c r="JC11" s="11">
        <f>IF(IG10&gt;0,MAX(0,(IG10+HV11-IG11)/IG10),0)</f>
        <v/>
      </c>
      <c r="JE11" s="12" t="n">
        <v>7</v>
      </c>
      <c r="JF11" s="12">
        <f>MOD(JE11-1+LaunchMonth-1,12)+1</f>
        <v/>
      </c>
      <c r="JG11" s="12">
        <f>INT((JE11-1+LaunchMonth-1)/12)+1</f>
        <v/>
      </c>
      <c r="JH11" s="12">
        <f>VLOOKUP(JF11,SeasonTable,2,FALSE)</f>
        <v/>
      </c>
      <c r="JI11" s="12">
        <f>(1+InflationRate)^INT((JE11-1)/12)</f>
        <v/>
      </c>
      <c r="JJ11" s="11">
        <f>'Sens - Churn'!$A$16*VLOOKUP(JF11,ChurnSeasonTable,4,FALSE)</f>
        <v/>
      </c>
      <c r="JK11" s="12">
        <f>MIN(MAX(MktMin7_12,KE10*MktPct7_12),MAX(0,KS10-CashBuffer))</f>
        <v/>
      </c>
      <c r="JL11" s="12">
        <f>IF(JK11&gt;0,MAX(1,ROUND(JK11/CAC*JH11,0)),0)</f>
        <v/>
      </c>
      <c r="JM11" s="12">
        <f>IF(JL11&gt;0,ROUND(JL11*ReferralMix/(1-ReferralMix),0),0)</f>
        <v/>
      </c>
      <c r="JN11" s="12">
        <f>JL11+JM11</f>
        <v/>
      </c>
      <c r="JO11" s="12">
        <f>ROUND(JN11*(1-AnnualMix),0)</f>
        <v/>
      </c>
      <c r="JP11" s="12">
        <f>JN11-JO11</f>
        <v/>
      </c>
      <c r="JQ11" s="12">
        <f>ROUND(JO11*EssentialMix,0)</f>
        <v/>
      </c>
      <c r="JR11" s="12">
        <f>JO11-JQ11</f>
        <v/>
      </c>
      <c r="JS11" s="12">
        <f>ROUND(JP11*EssentialMix,0)</f>
        <v/>
      </c>
      <c r="JT11" s="12">
        <f>JP11-JS11</f>
        <v/>
      </c>
      <c r="JU11" s="12">
        <f>JQ11+JQ10+JQ9+MAX(0,JU10-JQ10-JQ9)*(1-JJ11)</f>
        <v/>
      </c>
      <c r="JV11" s="12">
        <f>JR11+JR10+JR9+MAX(0,JV10-JR10-JR9)*(1-JJ11)</f>
        <v/>
      </c>
      <c r="JW11" s="12">
        <f>SUM(JS$5:JS11)</f>
        <v/>
      </c>
      <c r="JX11" s="12">
        <f>SUM(JT$5:JT11)</f>
        <v/>
      </c>
      <c r="JY11" s="12">
        <f>JU11+JV11+JW11+JX11</f>
        <v/>
      </c>
      <c r="JZ11" s="9">
        <f>JU11*PriceEssMonthly*JI11+JV11*PricePremMonthly*JI11+JW11*PriceEssAnnual*JI11/12+JX11*PricePremAnnual*JI11/12</f>
        <v/>
      </c>
      <c r="KA11" s="9">
        <f>JZ11*12</f>
        <v/>
      </c>
      <c r="KB11" s="12">
        <f>JU11*PriceEssMonthly*JI11+JV11*PricePremMonthly*JI11</f>
        <v/>
      </c>
      <c r="KC11" s="12">
        <f>JS11*PriceEssAnnual*JI11+JT11*PricePremAnnual*JI11</f>
        <v/>
      </c>
      <c r="KD11" s="12">
        <f>0+0</f>
        <v/>
      </c>
      <c r="KE11" s="9">
        <f>KB11+KC11+KD11</f>
        <v/>
      </c>
      <c r="KF11" s="12">
        <f>SUM(KE$5:KE11)</f>
        <v/>
      </c>
      <c r="KG11" s="12">
        <f>OR(KG10,KF11&gt;=VATThreshold)</f>
        <v/>
      </c>
      <c r="KH11" s="9">
        <f>IF(KG11,KE11/(1+VATRate),KE11)</f>
        <v/>
      </c>
      <c r="KI11" s="12">
        <f>KE11-KH11</f>
        <v/>
      </c>
      <c r="KJ11" s="12">
        <f>IF(KG11=0,0,IF(JF11=1,SUMPRODUCT(--(($JG$5:$JG11=$JG11-1)*($JF$5:$JF11&gt;=10)*($JF$5:$JF11&lt;=12)),$KI$5:$KI11),IF(JF11=4,SUMPRODUCT(--(($JG$5:$JG11=$JG11)*($JF$5:$JF11&gt;=1)*($JF$5:$JF11&lt;=3)),$KI$5:$KI11),IF(JF11=7,SUMPRODUCT(--(($JG$5:$JG11=$JG11)*($JF$5:$JF11&gt;=4)*($JF$5:$JF11&lt;=6)),$KI$5:$KI11),IF(JF11=10,SUMPRODUCT(--(($JG$5:$JG11=$JG11)*($JF$5:$JF11&gt;=7)*($JF$5:$JF11&lt;=9)),$KI$5:$KI11),0)))))</f>
        <v/>
      </c>
      <c r="KK11" s="12">
        <f>KK10+KI11-KJ11</f>
        <v/>
      </c>
      <c r="KL11" s="12">
        <f>IF(ProviderDelay&gt;=1,KH10*ProviderShare,KH11*ProviderShare)</f>
        <v/>
      </c>
      <c r="KM11" s="12">
        <f>KE11*PaymentFee</f>
        <v/>
      </c>
      <c r="KN11" s="12">
        <f>JY11*OpsAI</f>
        <v/>
      </c>
      <c r="KO11" s="12">
        <f>MonthlyFixed</f>
        <v/>
      </c>
      <c r="KP11" s="12">
        <f>JM11*ReferralReward</f>
        <v/>
      </c>
      <c r="KQ11" s="12">
        <f>JK11</f>
        <v/>
      </c>
      <c r="KR11" s="9">
        <f>KH11-KL11-KM11-KN11-KO11-KP11-KQ11</f>
        <v/>
      </c>
      <c r="KS11" s="9">
        <f>KS10+KE11-(KL11+KM11+KN11+KO11+KP11+KQ11+KJ11)</f>
        <v/>
      </c>
      <c r="KT11" s="12">
        <f>IF(JY11&gt;0,JZ11/JY11,0)</f>
        <v/>
      </c>
      <c r="KU11" s="11">
        <f>IF(JY10&gt;0,MAX(0,(JY10+JN11-JY11)/JY10),0)</f>
        <v/>
      </c>
      <c r="KW11" s="12" t="n">
        <v>7</v>
      </c>
      <c r="KX11" s="12">
        <f>MOD(KW11-1+LaunchMonth-1,12)+1</f>
        <v/>
      </c>
      <c r="KY11" s="12">
        <f>INT((KW11-1+LaunchMonth-1)/12)+1</f>
        <v/>
      </c>
      <c r="KZ11" s="12">
        <f>VLOOKUP(KX11,SeasonTable,2,FALSE)</f>
        <v/>
      </c>
      <c r="LA11" s="12">
        <f>(1+InflationRate)^INT((KW11-1)/12)</f>
        <v/>
      </c>
      <c r="LB11" s="11">
        <f>'Sens - Churn'!$A$17*VLOOKUP(KX11,ChurnSeasonTable,4,FALSE)</f>
        <v/>
      </c>
      <c r="LC11" s="12">
        <f>MIN(MAX(MktMin7_12,LW10*MktPct7_12),MAX(0,MK10-CashBuffer))</f>
        <v/>
      </c>
      <c r="LD11" s="12">
        <f>IF(LC11&gt;0,MAX(1,ROUND(LC11/CAC*KZ11,0)),0)</f>
        <v/>
      </c>
      <c r="LE11" s="12">
        <f>IF(LD11&gt;0,ROUND(LD11*ReferralMix/(1-ReferralMix),0),0)</f>
        <v/>
      </c>
      <c r="LF11" s="12">
        <f>LD11+LE11</f>
        <v/>
      </c>
      <c r="LG11" s="12">
        <f>ROUND(LF11*(1-AnnualMix),0)</f>
        <v/>
      </c>
      <c r="LH11" s="12">
        <f>LF11-LG11</f>
        <v/>
      </c>
      <c r="LI11" s="12">
        <f>ROUND(LG11*EssentialMix,0)</f>
        <v/>
      </c>
      <c r="LJ11" s="12">
        <f>LG11-LI11</f>
        <v/>
      </c>
      <c r="LK11" s="12">
        <f>ROUND(LH11*EssentialMix,0)</f>
        <v/>
      </c>
      <c r="LL11" s="12">
        <f>LH11-LK11</f>
        <v/>
      </c>
      <c r="LM11" s="12">
        <f>LI11+LI10+LI9+MAX(0,LM10-LI10-LI9)*(1-LB11)</f>
        <v/>
      </c>
      <c r="LN11" s="12">
        <f>LJ11+LJ10+LJ9+MAX(0,LN10-LJ10-LJ9)*(1-LB11)</f>
        <v/>
      </c>
      <c r="LO11" s="12">
        <f>SUM(LK$5:LK11)</f>
        <v/>
      </c>
      <c r="LP11" s="12">
        <f>SUM(LL$5:LL11)</f>
        <v/>
      </c>
      <c r="LQ11" s="12">
        <f>LM11+LN11+LO11+LP11</f>
        <v/>
      </c>
      <c r="LR11" s="9">
        <f>LM11*PriceEssMonthly*LA11+LN11*PricePremMonthly*LA11+LO11*PriceEssAnnual*LA11/12+LP11*PricePremAnnual*LA11/12</f>
        <v/>
      </c>
      <c r="LS11" s="9">
        <f>LR11*12</f>
        <v/>
      </c>
      <c r="LT11" s="12">
        <f>LM11*PriceEssMonthly*LA11+LN11*PricePremMonthly*LA11</f>
        <v/>
      </c>
      <c r="LU11" s="12">
        <f>LK11*PriceEssAnnual*LA11+LL11*PricePremAnnual*LA11</f>
        <v/>
      </c>
      <c r="LV11" s="12">
        <f>0+0</f>
        <v/>
      </c>
      <c r="LW11" s="9">
        <f>LT11+LU11+LV11</f>
        <v/>
      </c>
      <c r="LX11" s="12">
        <f>SUM(LW$5:LW11)</f>
        <v/>
      </c>
      <c r="LY11" s="12">
        <f>OR(LY10,LX11&gt;=VATThreshold)</f>
        <v/>
      </c>
      <c r="LZ11" s="9">
        <f>IF(LY11,LW11/(1+VATRate),LW11)</f>
        <v/>
      </c>
      <c r="MA11" s="12">
        <f>LW11-LZ11</f>
        <v/>
      </c>
      <c r="MB11" s="12">
        <f>IF(LY11=0,0,IF(KX11=1,SUMPRODUCT(--(($KY$5:$KY11=$KY11-1)*($KX$5:$KX11&gt;=10)*($KX$5:$KX11&lt;=12)),$MA$5:$MA11),IF(KX11=4,SUMPRODUCT(--(($KY$5:$KY11=$KY11)*($KX$5:$KX11&gt;=1)*($KX$5:$KX11&lt;=3)),$MA$5:$MA11),IF(KX11=7,SUMPRODUCT(--(($KY$5:$KY11=$KY11)*($KX$5:$KX11&gt;=4)*($KX$5:$KX11&lt;=6)),$MA$5:$MA11),IF(KX11=10,SUMPRODUCT(--(($KY$5:$KY11=$KY11)*($KX$5:$KX11&gt;=7)*($KX$5:$KX11&lt;=9)),$MA$5:$MA11),0)))))</f>
        <v/>
      </c>
      <c r="MC11" s="12">
        <f>MC10+MA11-MB11</f>
        <v/>
      </c>
      <c r="MD11" s="12">
        <f>IF(ProviderDelay&gt;=1,LZ10*ProviderShare,LZ11*ProviderShare)</f>
        <v/>
      </c>
      <c r="ME11" s="12">
        <f>LW11*PaymentFee</f>
        <v/>
      </c>
      <c r="MF11" s="12">
        <f>LQ11*OpsAI</f>
        <v/>
      </c>
      <c r="MG11" s="12">
        <f>MonthlyFixed</f>
        <v/>
      </c>
      <c r="MH11" s="12">
        <f>LE11*ReferralReward</f>
        <v/>
      </c>
      <c r="MI11" s="12">
        <f>LC11</f>
        <v/>
      </c>
      <c r="MJ11" s="9">
        <f>LZ11-MD11-ME11-MF11-MG11-MH11-MI11</f>
        <v/>
      </c>
      <c r="MK11" s="9">
        <f>MK10+LW11-(MD11+ME11+MF11+MG11+MH11+MI11+MB11)</f>
        <v/>
      </c>
      <c r="ML11" s="12">
        <f>IF(LQ11&gt;0,LR11/LQ11,0)</f>
        <v/>
      </c>
      <c r="MM11" s="11">
        <f>IF(LQ10&gt;0,MAX(0,(LQ10+LF11-LQ11)/LQ10),0)</f>
        <v/>
      </c>
      <c r="MO11" s="12" t="n">
        <v>7</v>
      </c>
      <c r="MP11" s="12">
        <f>MOD(MO11-1+LaunchMonth-1,12)+1</f>
        <v/>
      </c>
      <c r="MQ11" s="12">
        <f>INT((MO11-1+LaunchMonth-1)/12)+1</f>
        <v/>
      </c>
      <c r="MR11" s="12">
        <f>VLOOKUP(MP11,SeasonTable,2,FALSE)</f>
        <v/>
      </c>
      <c r="MS11" s="12">
        <f>(1+InflationRate)^INT((MO11-1)/12)</f>
        <v/>
      </c>
      <c r="MT11" s="11">
        <f>'Sens - Churn'!$A$18*VLOOKUP(MP11,ChurnSeasonTable,4,FALSE)</f>
        <v/>
      </c>
      <c r="MU11" s="12">
        <f>MIN(MAX(MktMin7_12,NO10*MktPct7_12),MAX(0,OC10-CashBuffer))</f>
        <v/>
      </c>
      <c r="MV11" s="12">
        <f>IF(MU11&gt;0,MAX(1,ROUND(MU11/CAC*MR11,0)),0)</f>
        <v/>
      </c>
      <c r="MW11" s="12">
        <f>IF(MV11&gt;0,ROUND(MV11*ReferralMix/(1-ReferralMix),0),0)</f>
        <v/>
      </c>
      <c r="MX11" s="12">
        <f>MV11+MW11</f>
        <v/>
      </c>
      <c r="MY11" s="12">
        <f>ROUND(MX11*(1-AnnualMix),0)</f>
        <v/>
      </c>
      <c r="MZ11" s="12">
        <f>MX11-MY11</f>
        <v/>
      </c>
      <c r="NA11" s="12">
        <f>ROUND(MY11*EssentialMix,0)</f>
        <v/>
      </c>
      <c r="NB11" s="12">
        <f>MY11-NA11</f>
        <v/>
      </c>
      <c r="NC11" s="12">
        <f>ROUND(MZ11*EssentialMix,0)</f>
        <v/>
      </c>
      <c r="ND11" s="12">
        <f>MZ11-NC11</f>
        <v/>
      </c>
      <c r="NE11" s="12">
        <f>NA11+NA10+NA9+MAX(0,NE10-NA10-NA9)*(1-MT11)</f>
        <v/>
      </c>
      <c r="NF11" s="12">
        <f>NB11+NB10+NB9+MAX(0,NF10-NB10-NB9)*(1-MT11)</f>
        <v/>
      </c>
      <c r="NG11" s="12">
        <f>SUM(NC$5:NC11)</f>
        <v/>
      </c>
      <c r="NH11" s="12">
        <f>SUM(ND$5:ND11)</f>
        <v/>
      </c>
      <c r="NI11" s="12">
        <f>NE11+NF11+NG11+NH11</f>
        <v/>
      </c>
      <c r="NJ11" s="9">
        <f>NE11*PriceEssMonthly*MS11+NF11*PricePremMonthly*MS11+NG11*PriceEssAnnual*MS11/12+NH11*PricePremAnnual*MS11/12</f>
        <v/>
      </c>
      <c r="NK11" s="9">
        <f>NJ11*12</f>
        <v/>
      </c>
      <c r="NL11" s="12">
        <f>NE11*PriceEssMonthly*MS11+NF11*PricePremMonthly*MS11</f>
        <v/>
      </c>
      <c r="NM11" s="12">
        <f>NC11*PriceEssAnnual*MS11+ND11*PricePremAnnual*MS11</f>
        <v/>
      </c>
      <c r="NN11" s="12">
        <f>0+0</f>
        <v/>
      </c>
      <c r="NO11" s="9">
        <f>NL11+NM11+NN11</f>
        <v/>
      </c>
      <c r="NP11" s="12">
        <f>SUM(NO$5:NO11)</f>
        <v/>
      </c>
      <c r="NQ11" s="12">
        <f>OR(NQ10,NP11&gt;=VATThreshold)</f>
        <v/>
      </c>
      <c r="NR11" s="9">
        <f>IF(NQ11,NO11/(1+VATRate),NO11)</f>
        <v/>
      </c>
      <c r="NS11" s="12">
        <f>NO11-NR11</f>
        <v/>
      </c>
      <c r="NT11" s="12">
        <f>IF(NQ11=0,0,IF(MP11=1,SUMPRODUCT(--(($MQ$5:$MQ11=$MQ11-1)*($MP$5:$MP11&gt;=10)*($MP$5:$MP11&lt;=12)),$NS$5:$NS11),IF(MP11=4,SUMPRODUCT(--(($MQ$5:$MQ11=$MQ11)*($MP$5:$MP11&gt;=1)*($MP$5:$MP11&lt;=3)),$NS$5:$NS11),IF(MP11=7,SUMPRODUCT(--(($MQ$5:$MQ11=$MQ11)*($MP$5:$MP11&gt;=4)*($MP$5:$MP11&lt;=6)),$NS$5:$NS11),IF(MP11=10,SUMPRODUCT(--(($MQ$5:$MQ11=$MQ11)*($MP$5:$MP11&gt;=7)*($MP$5:$MP11&lt;=9)),$NS$5:$NS11),0)))))</f>
        <v/>
      </c>
      <c r="NU11" s="12">
        <f>NU10+NS11-NT11</f>
        <v/>
      </c>
      <c r="NV11" s="12">
        <f>IF(ProviderDelay&gt;=1,NR10*ProviderShare,NR11*ProviderShare)</f>
        <v/>
      </c>
      <c r="NW11" s="12">
        <f>NO11*PaymentFee</f>
        <v/>
      </c>
      <c r="NX11" s="12">
        <f>NI11*OpsAI</f>
        <v/>
      </c>
      <c r="NY11" s="12">
        <f>MonthlyFixed</f>
        <v/>
      </c>
      <c r="NZ11" s="12">
        <f>MW11*ReferralReward</f>
        <v/>
      </c>
      <c r="OA11" s="12">
        <f>MU11</f>
        <v/>
      </c>
      <c r="OB11" s="9">
        <f>NR11-NV11-NW11-NX11-NY11-NZ11-OA11</f>
        <v/>
      </c>
      <c r="OC11" s="9">
        <f>OC10+NO11-(NV11+NW11+NX11+NY11+NZ11+OA11+NT11)</f>
        <v/>
      </c>
      <c r="OD11" s="12">
        <f>IF(NI11&gt;0,NJ11/NI11,0)</f>
        <v/>
      </c>
      <c r="OE11" s="11">
        <f>IF(NI10&gt;0,MAX(0,(NI10+MX11-NI11)/NI10),0)</f>
        <v/>
      </c>
      <c r="OG11" s="12" t="n">
        <v>7</v>
      </c>
      <c r="OH11" s="12">
        <f>MOD(OG11-1+LaunchMonth-1,12)+1</f>
        <v/>
      </c>
      <c r="OI11" s="12">
        <f>INT((OG11-1+LaunchMonth-1)/12)+1</f>
        <v/>
      </c>
      <c r="OJ11" s="12">
        <f>VLOOKUP(OH11,SeasonTable,2,FALSE)</f>
        <v/>
      </c>
      <c r="OK11" s="12">
        <f>(1+InflationRate)^INT((OG11-1)/12)</f>
        <v/>
      </c>
      <c r="OL11" s="11">
        <f>'Sens - Churn'!$A$19*VLOOKUP(OH11,ChurnSeasonTable,4,FALSE)</f>
        <v/>
      </c>
      <c r="OM11" s="12">
        <f>MIN(MAX(MktMin7_12,PG10*MktPct7_12),MAX(0,PU10-CashBuffer))</f>
        <v/>
      </c>
      <c r="ON11" s="12">
        <f>IF(OM11&gt;0,MAX(1,ROUND(OM11/CAC*OJ11,0)),0)</f>
        <v/>
      </c>
      <c r="OO11" s="12">
        <f>IF(ON11&gt;0,ROUND(ON11*ReferralMix/(1-ReferralMix),0),0)</f>
        <v/>
      </c>
      <c r="OP11" s="12">
        <f>ON11+OO11</f>
        <v/>
      </c>
      <c r="OQ11" s="12">
        <f>ROUND(OP11*(1-AnnualMix),0)</f>
        <v/>
      </c>
      <c r="OR11" s="12">
        <f>OP11-OQ11</f>
        <v/>
      </c>
      <c r="OS11" s="12">
        <f>ROUND(OQ11*EssentialMix,0)</f>
        <v/>
      </c>
      <c r="OT11" s="12">
        <f>OQ11-OS11</f>
        <v/>
      </c>
      <c r="OU11" s="12">
        <f>ROUND(OR11*EssentialMix,0)</f>
        <v/>
      </c>
      <c r="OV11" s="12">
        <f>OR11-OU11</f>
        <v/>
      </c>
      <c r="OW11" s="12">
        <f>OS11+OS10+OS9+MAX(0,OW10-OS10-OS9)*(1-OL11)</f>
        <v/>
      </c>
      <c r="OX11" s="12">
        <f>OT11+OT10+OT9+MAX(0,OX10-OT10-OT9)*(1-OL11)</f>
        <v/>
      </c>
      <c r="OY11" s="12">
        <f>SUM(OU$5:OU11)</f>
        <v/>
      </c>
      <c r="OZ11" s="12">
        <f>SUM(OV$5:OV11)</f>
        <v/>
      </c>
      <c r="PA11" s="12">
        <f>OW11+OX11+OY11+OZ11</f>
        <v/>
      </c>
      <c r="PB11" s="9">
        <f>OW11*PriceEssMonthly*OK11+OX11*PricePremMonthly*OK11+OY11*PriceEssAnnual*OK11/12+OZ11*PricePremAnnual*OK11/12</f>
        <v/>
      </c>
      <c r="PC11" s="9">
        <f>PB11*12</f>
        <v/>
      </c>
      <c r="PD11" s="12">
        <f>OW11*PriceEssMonthly*OK11+OX11*PricePremMonthly*OK11</f>
        <v/>
      </c>
      <c r="PE11" s="12">
        <f>OU11*PriceEssAnnual*OK11+OV11*PricePremAnnual*OK11</f>
        <v/>
      </c>
      <c r="PF11" s="12">
        <f>0+0</f>
        <v/>
      </c>
      <c r="PG11" s="9">
        <f>PD11+PE11+PF11</f>
        <v/>
      </c>
      <c r="PH11" s="12">
        <f>SUM(PG$5:PG11)</f>
        <v/>
      </c>
      <c r="PI11" s="12">
        <f>OR(PI10,PH11&gt;=VATThreshold)</f>
        <v/>
      </c>
      <c r="PJ11" s="9">
        <f>IF(PI11,PG11/(1+VATRate),PG11)</f>
        <v/>
      </c>
      <c r="PK11" s="12">
        <f>PG11-PJ11</f>
        <v/>
      </c>
      <c r="PL11" s="12">
        <f>IF(PI11=0,0,IF(OH11=1,SUMPRODUCT(--(($OI$5:$OI11=$OI11-1)*($OH$5:$OH11&gt;=10)*($OH$5:$OH11&lt;=12)),$PK$5:$PK11),IF(OH11=4,SUMPRODUCT(--(($OI$5:$OI11=$OI11)*($OH$5:$OH11&gt;=1)*($OH$5:$OH11&lt;=3)),$PK$5:$PK11),IF(OH11=7,SUMPRODUCT(--(($OI$5:$OI11=$OI11)*($OH$5:$OH11&gt;=4)*($OH$5:$OH11&lt;=6)),$PK$5:$PK11),IF(OH11=10,SUMPRODUCT(--(($OI$5:$OI11=$OI11)*($OH$5:$OH11&gt;=7)*($OH$5:$OH11&lt;=9)),$PK$5:$PK11),0)))))</f>
        <v/>
      </c>
      <c r="PM11" s="12">
        <f>PM10+PK11-PL11</f>
        <v/>
      </c>
      <c r="PN11" s="12">
        <f>IF(ProviderDelay&gt;=1,PJ10*ProviderShare,PJ11*ProviderShare)</f>
        <v/>
      </c>
      <c r="PO11" s="12">
        <f>PG11*PaymentFee</f>
        <v/>
      </c>
      <c r="PP11" s="12">
        <f>PA11*OpsAI</f>
        <v/>
      </c>
      <c r="PQ11" s="12">
        <f>MonthlyFixed</f>
        <v/>
      </c>
      <c r="PR11" s="12">
        <f>OO11*ReferralReward</f>
        <v/>
      </c>
      <c r="PS11" s="12">
        <f>OM11</f>
        <v/>
      </c>
      <c r="PT11" s="9">
        <f>PJ11-PN11-PO11-PP11-PQ11-PR11-PS11</f>
        <v/>
      </c>
      <c r="PU11" s="9">
        <f>PU10+PG11-(PN11+PO11+PP11+PQ11+PR11+PS11+PL11)</f>
        <v/>
      </c>
      <c r="PV11" s="12">
        <f>IF(PA11&gt;0,PB11/PA11,0)</f>
        <v/>
      </c>
      <c r="PW11" s="11">
        <f>IF(PA10&gt;0,MAX(0,(PA10+OP11-PA11)/PA10),0)</f>
        <v/>
      </c>
      <c r="PY11" s="12" t="n">
        <v>7</v>
      </c>
      <c r="PZ11" s="12">
        <f>MOD(PY11-1+LaunchMonth-1,12)+1</f>
        <v/>
      </c>
      <c r="QA11" s="12">
        <f>INT((PY11-1+LaunchMonth-1)/12)+1</f>
        <v/>
      </c>
      <c r="QB11" s="12">
        <f>VLOOKUP(PZ11,SeasonTable,2,FALSE)</f>
        <v/>
      </c>
      <c r="QC11" s="12">
        <f>(1+InflationRate)^INT((PY11-1)/12)</f>
        <v/>
      </c>
      <c r="QD11" s="11">
        <f>'Sens - Churn'!$A$20*VLOOKUP(PZ11,ChurnSeasonTable,4,FALSE)</f>
        <v/>
      </c>
      <c r="QE11" s="12">
        <f>MIN(MAX(MktMin7_12,QY10*MktPct7_12),MAX(0,RM10-CashBuffer))</f>
        <v/>
      </c>
      <c r="QF11" s="12">
        <f>IF(QE11&gt;0,MAX(1,ROUND(QE11/CAC*QB11,0)),0)</f>
        <v/>
      </c>
      <c r="QG11" s="12">
        <f>IF(QF11&gt;0,ROUND(QF11*ReferralMix/(1-ReferralMix),0),0)</f>
        <v/>
      </c>
      <c r="QH11" s="12">
        <f>QF11+QG11</f>
        <v/>
      </c>
      <c r="QI11" s="12">
        <f>ROUND(QH11*(1-AnnualMix),0)</f>
        <v/>
      </c>
      <c r="QJ11" s="12">
        <f>QH11-QI11</f>
        <v/>
      </c>
      <c r="QK11" s="12">
        <f>ROUND(QI11*EssentialMix,0)</f>
        <v/>
      </c>
      <c r="QL11" s="12">
        <f>QI11-QK11</f>
        <v/>
      </c>
      <c r="QM11" s="12">
        <f>ROUND(QJ11*EssentialMix,0)</f>
        <v/>
      </c>
      <c r="QN11" s="12">
        <f>QJ11-QM11</f>
        <v/>
      </c>
      <c r="QO11" s="12">
        <f>QK11+QK10+QK9+MAX(0,QO10-QK10-QK9)*(1-QD11)</f>
        <v/>
      </c>
      <c r="QP11" s="12">
        <f>QL11+QL10+QL9+MAX(0,QP10-QL10-QL9)*(1-QD11)</f>
        <v/>
      </c>
      <c r="QQ11" s="12">
        <f>SUM(QM$5:QM11)</f>
        <v/>
      </c>
      <c r="QR11" s="12">
        <f>SUM(QN$5:QN11)</f>
        <v/>
      </c>
      <c r="QS11" s="12">
        <f>QO11+QP11+QQ11+QR11</f>
        <v/>
      </c>
      <c r="QT11" s="9">
        <f>QO11*PriceEssMonthly*QC11+QP11*PricePremMonthly*QC11+QQ11*PriceEssAnnual*QC11/12+QR11*PricePremAnnual*QC11/12</f>
        <v/>
      </c>
      <c r="QU11" s="9">
        <f>QT11*12</f>
        <v/>
      </c>
      <c r="QV11" s="12">
        <f>QO11*PriceEssMonthly*QC11+QP11*PricePremMonthly*QC11</f>
        <v/>
      </c>
      <c r="QW11" s="12">
        <f>QM11*PriceEssAnnual*QC11+QN11*PricePremAnnual*QC11</f>
        <v/>
      </c>
      <c r="QX11" s="12">
        <f>0+0</f>
        <v/>
      </c>
      <c r="QY11" s="9">
        <f>QV11+QW11+QX11</f>
        <v/>
      </c>
      <c r="QZ11" s="12">
        <f>SUM(QY$5:QY11)</f>
        <v/>
      </c>
      <c r="RA11" s="12">
        <f>OR(RA10,QZ11&gt;=VATThreshold)</f>
        <v/>
      </c>
      <c r="RB11" s="9">
        <f>IF(RA11,QY11/(1+VATRate),QY11)</f>
        <v/>
      </c>
      <c r="RC11" s="12">
        <f>QY11-RB11</f>
        <v/>
      </c>
      <c r="RD11" s="12">
        <f>IF(RA11=0,0,IF(PZ11=1,SUMPRODUCT(--(($QA$5:$QA11=$QA11-1)*($PZ$5:$PZ11&gt;=10)*($PZ$5:$PZ11&lt;=12)),$RC$5:$RC11),IF(PZ11=4,SUMPRODUCT(--(($QA$5:$QA11=$QA11)*($PZ$5:$PZ11&gt;=1)*($PZ$5:$PZ11&lt;=3)),$RC$5:$RC11),IF(PZ11=7,SUMPRODUCT(--(($QA$5:$QA11=$QA11)*($PZ$5:$PZ11&gt;=4)*($PZ$5:$PZ11&lt;=6)),$RC$5:$RC11),IF(PZ11=10,SUMPRODUCT(--(($QA$5:$QA11=$QA11)*($PZ$5:$PZ11&gt;=7)*($PZ$5:$PZ11&lt;=9)),$RC$5:$RC11),0)))))</f>
        <v/>
      </c>
      <c r="RE11" s="12">
        <f>RE10+RC11-RD11</f>
        <v/>
      </c>
      <c r="RF11" s="12">
        <f>IF(ProviderDelay&gt;=1,RB10*ProviderShare,RB11*ProviderShare)</f>
        <v/>
      </c>
      <c r="RG11" s="12">
        <f>QY11*PaymentFee</f>
        <v/>
      </c>
      <c r="RH11" s="12">
        <f>QS11*OpsAI</f>
        <v/>
      </c>
      <c r="RI11" s="12">
        <f>MonthlyFixed</f>
        <v/>
      </c>
      <c r="RJ11" s="12">
        <f>QG11*ReferralReward</f>
        <v/>
      </c>
      <c r="RK11" s="12">
        <f>QE11</f>
        <v/>
      </c>
      <c r="RL11" s="9">
        <f>RB11-RF11-RG11-RH11-RI11-RJ11-RK11</f>
        <v/>
      </c>
      <c r="RM11" s="9">
        <f>RM10+QY11-(RF11+RG11+RH11+RI11+RJ11+RK11+RD11)</f>
        <v/>
      </c>
      <c r="RN11" s="12">
        <f>IF(QS11&gt;0,QT11/QS11,0)</f>
        <v/>
      </c>
      <c r="RO11" s="11">
        <f>IF(QS10&gt;0,MAX(0,(QS10+QH11-QS11)/QS10),0)</f>
        <v/>
      </c>
      <c r="RQ11" s="12" t="n">
        <v>7</v>
      </c>
      <c r="RR11" s="12">
        <f>MOD(RQ11-1+LaunchMonth-1,12)+1</f>
        <v/>
      </c>
      <c r="RS11" s="12">
        <f>INT((RQ11-1+LaunchMonth-1)/12)+1</f>
        <v/>
      </c>
      <c r="RT11" s="12">
        <f>VLOOKUP(RR11,SeasonTable,2,FALSE)</f>
        <v/>
      </c>
      <c r="RU11" s="12">
        <f>(1+InflationRate)^INT((RQ11-1)/12)</f>
        <v/>
      </c>
      <c r="RV11" s="11">
        <f>'Sens - Churn'!$A$21*VLOOKUP(RR11,ChurnSeasonTable,4,FALSE)</f>
        <v/>
      </c>
      <c r="RW11" s="12">
        <f>MIN(MAX(MktMin7_12,SQ10*MktPct7_12),MAX(0,TE10-CashBuffer))</f>
        <v/>
      </c>
      <c r="RX11" s="12">
        <f>IF(RW11&gt;0,MAX(1,ROUND(RW11/CAC*RT11,0)),0)</f>
        <v/>
      </c>
      <c r="RY11" s="12">
        <f>IF(RX11&gt;0,ROUND(RX11*ReferralMix/(1-ReferralMix),0),0)</f>
        <v/>
      </c>
      <c r="RZ11" s="12">
        <f>RX11+RY11</f>
        <v/>
      </c>
      <c r="SA11" s="12">
        <f>ROUND(RZ11*(1-AnnualMix),0)</f>
        <v/>
      </c>
      <c r="SB11" s="12">
        <f>RZ11-SA11</f>
        <v/>
      </c>
      <c r="SC11" s="12">
        <f>ROUND(SA11*EssentialMix,0)</f>
        <v/>
      </c>
      <c r="SD11" s="12">
        <f>SA11-SC11</f>
        <v/>
      </c>
      <c r="SE11" s="12">
        <f>ROUND(SB11*EssentialMix,0)</f>
        <v/>
      </c>
      <c r="SF11" s="12">
        <f>SB11-SE11</f>
        <v/>
      </c>
      <c r="SG11" s="12">
        <f>SC11+SC10+SC9+MAX(0,SG10-SC10-SC9)*(1-RV11)</f>
        <v/>
      </c>
      <c r="SH11" s="12">
        <f>SD11+SD10+SD9+MAX(0,SH10-SD10-SD9)*(1-RV11)</f>
        <v/>
      </c>
      <c r="SI11" s="12">
        <f>SUM(SE$5:SE11)</f>
        <v/>
      </c>
      <c r="SJ11" s="12">
        <f>SUM(SF$5:SF11)</f>
        <v/>
      </c>
      <c r="SK11" s="12">
        <f>SG11+SH11+SI11+SJ11</f>
        <v/>
      </c>
      <c r="SL11" s="9">
        <f>SG11*PriceEssMonthly*RU11+SH11*PricePremMonthly*RU11+SI11*PriceEssAnnual*RU11/12+SJ11*PricePremAnnual*RU11/12</f>
        <v/>
      </c>
      <c r="SM11" s="9">
        <f>SL11*12</f>
        <v/>
      </c>
      <c r="SN11" s="12">
        <f>SG11*PriceEssMonthly*RU11+SH11*PricePremMonthly*RU11</f>
        <v/>
      </c>
      <c r="SO11" s="12">
        <f>SE11*PriceEssAnnual*RU11+SF11*PricePremAnnual*RU11</f>
        <v/>
      </c>
      <c r="SP11" s="12">
        <f>0+0</f>
        <v/>
      </c>
      <c r="SQ11" s="9">
        <f>SN11+SO11+SP11</f>
        <v/>
      </c>
      <c r="SR11" s="12">
        <f>SUM(SQ$5:SQ11)</f>
        <v/>
      </c>
      <c r="SS11" s="12">
        <f>OR(SS10,SR11&gt;=VATThreshold)</f>
        <v/>
      </c>
      <c r="ST11" s="9">
        <f>IF(SS11,SQ11/(1+VATRate),SQ11)</f>
        <v/>
      </c>
      <c r="SU11" s="12">
        <f>SQ11-ST11</f>
        <v/>
      </c>
      <c r="SV11" s="12">
        <f>IF(SS11=0,0,IF(RR11=1,SUMPRODUCT(--(($RS$5:$RS11=$RS11-1)*($RR$5:$RR11&gt;=10)*($RR$5:$RR11&lt;=12)),$SU$5:$SU11),IF(RR11=4,SUMPRODUCT(--(($RS$5:$RS11=$RS11)*($RR$5:$RR11&gt;=1)*($RR$5:$RR11&lt;=3)),$SU$5:$SU11),IF(RR11=7,SUMPRODUCT(--(($RS$5:$RS11=$RS11)*($RR$5:$RR11&gt;=4)*($RR$5:$RR11&lt;=6)),$SU$5:$SU11),IF(RR11=10,SUMPRODUCT(--(($RS$5:$RS11=$RS11)*($RR$5:$RR11&gt;=7)*($RR$5:$RR11&lt;=9)),$SU$5:$SU11),0)))))</f>
        <v/>
      </c>
      <c r="SW11" s="12">
        <f>SW10+SU11-SV11</f>
        <v/>
      </c>
      <c r="SX11" s="12">
        <f>IF(ProviderDelay&gt;=1,ST10*ProviderShare,ST11*ProviderShare)</f>
        <v/>
      </c>
      <c r="SY11" s="12">
        <f>SQ11*PaymentFee</f>
        <v/>
      </c>
      <c r="SZ11" s="12">
        <f>SK11*OpsAI</f>
        <v/>
      </c>
      <c r="TA11" s="12">
        <f>MonthlyFixed</f>
        <v/>
      </c>
      <c r="TB11" s="12">
        <f>RY11*ReferralReward</f>
        <v/>
      </c>
      <c r="TC11" s="12">
        <f>RW11</f>
        <v/>
      </c>
      <c r="TD11" s="9">
        <f>ST11-SX11-SY11-SZ11-TA11-TB11-TC11</f>
        <v/>
      </c>
      <c r="TE11" s="9">
        <f>TE10+SQ11-(SX11+SY11+SZ11+TA11+TB11+TC11+SV11)</f>
        <v/>
      </c>
      <c r="TF11" s="12">
        <f>IF(SK11&gt;0,SL11/SK11,0)</f>
        <v/>
      </c>
      <c r="TG11" s="11">
        <f>IF(SK10&gt;0,MAX(0,(SK10+RZ11-SK11)/SK10),0)</f>
        <v/>
      </c>
      <c r="TI11" s="12" t="n">
        <v>7</v>
      </c>
      <c r="TJ11" s="12">
        <f>MOD(TI11-1+LaunchMonth-1,12)+1</f>
        <v/>
      </c>
      <c r="TK11" s="12">
        <f>INT((TI11-1+LaunchMonth-1)/12)+1</f>
        <v/>
      </c>
      <c r="TL11" s="12">
        <f>VLOOKUP(TJ11,SeasonTable,2,FALSE)</f>
        <v/>
      </c>
      <c r="TM11" s="12">
        <f>(1+InflationRate)^INT((TI11-1)/12)</f>
        <v/>
      </c>
      <c r="TN11" s="11">
        <f>MonthlyChurn*VLOOKUP(TJ11,ChurnSeasonTable,4,FALSE)</f>
        <v/>
      </c>
      <c r="TO11" s="12">
        <f>MIN(MAX(MktMin7_12,UI10*MktPct7_12),MAX(0,UW10-CashBuffer))</f>
        <v/>
      </c>
      <c r="TP11" s="12">
        <f>IF(TO11&gt;0,MAX(1,ROUND(TO11/CAC*TL11,0)),0)</f>
        <v/>
      </c>
      <c r="TQ11" s="12">
        <f>IF(TP11&gt;0,ROUND(TP11*ReferralMix/(1-ReferralMix),0),0)</f>
        <v/>
      </c>
      <c r="TR11" s="12">
        <f>TP11+TQ11</f>
        <v/>
      </c>
      <c r="TS11" s="12">
        <f>ROUND(TR11*(1-'Sens - Annual Mix'!$A$9),0)</f>
        <v/>
      </c>
      <c r="TT11" s="12">
        <f>TR11-TS11</f>
        <v/>
      </c>
      <c r="TU11" s="12">
        <f>ROUND(TS11*EssentialMix,0)</f>
        <v/>
      </c>
      <c r="TV11" s="12">
        <f>TS11-TU11</f>
        <v/>
      </c>
      <c r="TW11" s="12">
        <f>ROUND(TT11*EssentialMix,0)</f>
        <v/>
      </c>
      <c r="TX11" s="12">
        <f>TT11-TW11</f>
        <v/>
      </c>
      <c r="TY11" s="12">
        <f>TU11+TU10+TU9+MAX(0,TY10-TU10-TU9)*(1-TN11)</f>
        <v/>
      </c>
      <c r="TZ11" s="12">
        <f>TV11+TV10+TV9+MAX(0,TZ10-TV10-TV9)*(1-TN11)</f>
        <v/>
      </c>
      <c r="UA11" s="12">
        <f>SUM(TW$5:TW11)</f>
        <v/>
      </c>
      <c r="UB11" s="12">
        <f>SUM(TX$5:TX11)</f>
        <v/>
      </c>
      <c r="UC11" s="12">
        <f>TY11+TZ11+UA11+UB11</f>
        <v/>
      </c>
      <c r="UD11" s="9">
        <f>TY11*PriceEssMonthly*TM11+TZ11*PricePremMonthly*TM11+UA11*PriceEssAnnual*TM11/12+UB11*PricePremAnnual*TM11/12</f>
        <v/>
      </c>
      <c r="UE11" s="9">
        <f>UD11*12</f>
        <v/>
      </c>
      <c r="UF11" s="12">
        <f>TY11*PriceEssMonthly*TM11+TZ11*PricePremMonthly*TM11</f>
        <v/>
      </c>
      <c r="UG11" s="12">
        <f>TW11*PriceEssAnnual*TM11+TX11*PricePremAnnual*TM11</f>
        <v/>
      </c>
      <c r="UH11" s="12">
        <f>0+0</f>
        <v/>
      </c>
      <c r="UI11" s="9">
        <f>UF11+UG11+UH11</f>
        <v/>
      </c>
      <c r="UJ11" s="12">
        <f>SUM(UI$5:UI11)</f>
        <v/>
      </c>
      <c r="UK11" s="12">
        <f>OR(UK10,UJ11&gt;=VATThreshold)</f>
        <v/>
      </c>
      <c r="UL11" s="9">
        <f>IF(UK11,UI11/(1+VATRate),UI11)</f>
        <v/>
      </c>
      <c r="UM11" s="12">
        <f>UI11-UL11</f>
        <v/>
      </c>
      <c r="UN11" s="12">
        <f>IF(UK11=0,0,IF(TJ11=1,SUMPRODUCT(--(($TK$5:$TK11=$TK11-1)*($TJ$5:$TJ11&gt;=10)*($TJ$5:$TJ11&lt;=12)),$UM$5:$UM11),IF(TJ11=4,SUMPRODUCT(--(($TK$5:$TK11=$TK11)*($TJ$5:$TJ11&gt;=1)*($TJ$5:$TJ11&lt;=3)),$UM$5:$UM11),IF(TJ11=7,SUMPRODUCT(--(($TK$5:$TK11=$TK11)*($TJ$5:$TJ11&gt;=4)*($TJ$5:$TJ11&lt;=6)),$UM$5:$UM11),IF(TJ11=10,SUMPRODUCT(--(($TK$5:$TK11=$TK11)*($TJ$5:$TJ11&gt;=7)*($TJ$5:$TJ11&lt;=9)),$UM$5:$UM11),0)))))</f>
        <v/>
      </c>
      <c r="UO11" s="12">
        <f>UO10+UM11-UN11</f>
        <v/>
      </c>
      <c r="UP11" s="12">
        <f>IF(ProviderDelay&gt;=1,UL10*ProviderShare,UL11*ProviderShare)</f>
        <v/>
      </c>
      <c r="UQ11" s="12">
        <f>UI11*PaymentFee</f>
        <v/>
      </c>
      <c r="UR11" s="12">
        <f>UC11*OpsAI</f>
        <v/>
      </c>
      <c r="US11" s="12">
        <f>MonthlyFixed</f>
        <v/>
      </c>
      <c r="UT11" s="12">
        <f>TQ11*ReferralReward</f>
        <v/>
      </c>
      <c r="UU11" s="12">
        <f>TO11</f>
        <v/>
      </c>
      <c r="UV11" s="9">
        <f>UL11-UP11-UQ11-UR11-US11-UT11-UU11</f>
        <v/>
      </c>
      <c r="UW11" s="9">
        <f>UW10+UI11-(UP11+UQ11+UR11+US11+UT11+UU11+UN11)</f>
        <v/>
      </c>
      <c r="UX11" s="12">
        <f>IF(UC11&gt;0,UD11/UC11,0)</f>
        <v/>
      </c>
      <c r="UY11" s="11">
        <f>IF(UC10&gt;0,MAX(0,(UC10+TR11-UC11)/UC10),0)</f>
        <v/>
      </c>
      <c r="VA11" s="12" t="n">
        <v>7</v>
      </c>
      <c r="VB11" s="12">
        <f>MOD(VA11-1+LaunchMonth-1,12)+1</f>
        <v/>
      </c>
      <c r="VC11" s="12">
        <f>INT((VA11-1+LaunchMonth-1)/12)+1</f>
        <v/>
      </c>
      <c r="VD11" s="12">
        <f>VLOOKUP(VB11,SeasonTable,2,FALSE)</f>
        <v/>
      </c>
      <c r="VE11" s="12">
        <f>(1+InflationRate)^INT((VA11-1)/12)</f>
        <v/>
      </c>
      <c r="VF11" s="11">
        <f>MonthlyChurn*VLOOKUP(VB11,ChurnSeasonTable,4,FALSE)</f>
        <v/>
      </c>
      <c r="VG11" s="12">
        <f>MIN(MAX(MktMin7_12,WA10*MktPct7_12),MAX(0,WO10-CashBuffer))</f>
        <v/>
      </c>
      <c r="VH11" s="12">
        <f>IF(VG11&gt;0,MAX(1,ROUND(VG11/CAC*VD11,0)),0)</f>
        <v/>
      </c>
      <c r="VI11" s="12">
        <f>IF(VH11&gt;0,ROUND(VH11*ReferralMix/(1-ReferralMix),0),0)</f>
        <v/>
      </c>
      <c r="VJ11" s="12">
        <f>VH11+VI11</f>
        <v/>
      </c>
      <c r="VK11" s="12">
        <f>ROUND(VJ11*(1-'Sens - Annual Mix'!$A$10),0)</f>
        <v/>
      </c>
      <c r="VL11" s="12">
        <f>VJ11-VK11</f>
        <v/>
      </c>
      <c r="VM11" s="12">
        <f>ROUND(VK11*EssentialMix,0)</f>
        <v/>
      </c>
      <c r="VN11" s="12">
        <f>VK11-VM11</f>
        <v/>
      </c>
      <c r="VO11" s="12">
        <f>ROUND(VL11*EssentialMix,0)</f>
        <v/>
      </c>
      <c r="VP11" s="12">
        <f>VL11-VO11</f>
        <v/>
      </c>
      <c r="VQ11" s="12">
        <f>VM11+VM10+VM9+MAX(0,VQ10-VM10-VM9)*(1-VF11)</f>
        <v/>
      </c>
      <c r="VR11" s="12">
        <f>VN11+VN10+VN9+MAX(0,VR10-VN10-VN9)*(1-VF11)</f>
        <v/>
      </c>
      <c r="VS11" s="12">
        <f>SUM(VO$5:VO11)</f>
        <v/>
      </c>
      <c r="VT11" s="12">
        <f>SUM(VP$5:VP11)</f>
        <v/>
      </c>
      <c r="VU11" s="12">
        <f>VQ11+VR11+VS11+VT11</f>
        <v/>
      </c>
      <c r="VV11" s="9">
        <f>VQ11*PriceEssMonthly*VE11+VR11*PricePremMonthly*VE11+VS11*PriceEssAnnual*VE11/12+VT11*PricePremAnnual*VE11/12</f>
        <v/>
      </c>
      <c r="VW11" s="9">
        <f>VV11*12</f>
        <v/>
      </c>
      <c r="VX11" s="12">
        <f>VQ11*PriceEssMonthly*VE11+VR11*PricePremMonthly*VE11</f>
        <v/>
      </c>
      <c r="VY11" s="12">
        <f>VO11*PriceEssAnnual*VE11+VP11*PricePremAnnual*VE11</f>
        <v/>
      </c>
      <c r="VZ11" s="12">
        <f>0+0</f>
        <v/>
      </c>
      <c r="WA11" s="9">
        <f>VX11+VY11+VZ11</f>
        <v/>
      </c>
      <c r="WB11" s="12">
        <f>SUM(WA$5:WA11)</f>
        <v/>
      </c>
      <c r="WC11" s="12">
        <f>OR(WC10,WB11&gt;=VATThreshold)</f>
        <v/>
      </c>
      <c r="WD11" s="9">
        <f>IF(WC11,WA11/(1+VATRate),WA11)</f>
        <v/>
      </c>
      <c r="WE11" s="12">
        <f>WA11-WD11</f>
        <v/>
      </c>
      <c r="WF11" s="12">
        <f>IF(WC11=0,0,IF(VB11=1,SUMPRODUCT(--(($VC$5:$VC11=$VC11-1)*($VB$5:$VB11&gt;=10)*($VB$5:$VB11&lt;=12)),$WE$5:$WE11),IF(VB11=4,SUMPRODUCT(--(($VC$5:$VC11=$VC11)*($VB$5:$VB11&gt;=1)*($VB$5:$VB11&lt;=3)),$WE$5:$WE11),IF(VB11=7,SUMPRODUCT(--(($VC$5:$VC11=$VC11)*($VB$5:$VB11&gt;=4)*($VB$5:$VB11&lt;=6)),$WE$5:$WE11),IF(VB11=10,SUMPRODUCT(--(($VC$5:$VC11=$VC11)*($VB$5:$VB11&gt;=7)*($VB$5:$VB11&lt;=9)),$WE$5:$WE11),0)))))</f>
        <v/>
      </c>
      <c r="WG11" s="12">
        <f>WG10+WE11-WF11</f>
        <v/>
      </c>
      <c r="WH11" s="12">
        <f>IF(ProviderDelay&gt;=1,WD10*ProviderShare,WD11*ProviderShare)</f>
        <v/>
      </c>
      <c r="WI11" s="12">
        <f>WA11*PaymentFee</f>
        <v/>
      </c>
      <c r="WJ11" s="12">
        <f>VU11*OpsAI</f>
        <v/>
      </c>
      <c r="WK11" s="12">
        <f>MonthlyFixed</f>
        <v/>
      </c>
      <c r="WL11" s="12">
        <f>VI11*ReferralReward</f>
        <v/>
      </c>
      <c r="WM11" s="12">
        <f>VG11</f>
        <v/>
      </c>
      <c r="WN11" s="9">
        <f>WD11-WH11-WI11-WJ11-WK11-WL11-WM11</f>
        <v/>
      </c>
      <c r="WO11" s="9">
        <f>WO10+WA11-(WH11+WI11+WJ11+WK11+WL11+WM11+WF11)</f>
        <v/>
      </c>
      <c r="WP11" s="12">
        <f>IF(VU11&gt;0,VV11/VU11,0)</f>
        <v/>
      </c>
      <c r="WQ11" s="11">
        <f>IF(VU10&gt;0,MAX(0,(VU10+VJ11-VU11)/VU10),0)</f>
        <v/>
      </c>
      <c r="WS11" s="12" t="n">
        <v>7</v>
      </c>
      <c r="WT11" s="12">
        <f>MOD(WS11-1+LaunchMonth-1,12)+1</f>
        <v/>
      </c>
      <c r="WU11" s="12">
        <f>INT((WS11-1+LaunchMonth-1)/12)+1</f>
        <v/>
      </c>
      <c r="WV11" s="12">
        <f>VLOOKUP(WT11,SeasonTable,2,FALSE)</f>
        <v/>
      </c>
      <c r="WW11" s="12">
        <f>(1+InflationRate)^INT((WS11-1)/12)</f>
        <v/>
      </c>
      <c r="WX11" s="11">
        <f>MonthlyChurn*VLOOKUP(WT11,ChurnSeasonTable,4,FALSE)</f>
        <v/>
      </c>
      <c r="WY11" s="12">
        <f>MIN(MAX(MktMin7_12,XS10*MktPct7_12),MAX(0,YG10-CashBuffer))</f>
        <v/>
      </c>
      <c r="WZ11" s="12">
        <f>IF(WY11&gt;0,MAX(1,ROUND(WY11/CAC*WV11,0)),0)</f>
        <v/>
      </c>
      <c r="XA11" s="12">
        <f>IF(WZ11&gt;0,ROUND(WZ11*ReferralMix/(1-ReferralMix),0),0)</f>
        <v/>
      </c>
      <c r="XB11" s="12">
        <f>WZ11+XA11</f>
        <v/>
      </c>
      <c r="XC11" s="12">
        <f>ROUND(XB11*(1-'Sens - Annual Mix'!$A$11),0)</f>
        <v/>
      </c>
      <c r="XD11" s="12">
        <f>XB11-XC11</f>
        <v/>
      </c>
      <c r="XE11" s="12">
        <f>ROUND(XC11*EssentialMix,0)</f>
        <v/>
      </c>
      <c r="XF11" s="12">
        <f>XC11-XE11</f>
        <v/>
      </c>
      <c r="XG11" s="12">
        <f>ROUND(XD11*EssentialMix,0)</f>
        <v/>
      </c>
      <c r="XH11" s="12">
        <f>XD11-XG11</f>
        <v/>
      </c>
      <c r="XI11" s="12">
        <f>XE11+XE10+XE9+MAX(0,XI10-XE10-XE9)*(1-WX11)</f>
        <v/>
      </c>
      <c r="XJ11" s="12">
        <f>XF11+XF10+XF9+MAX(0,XJ10-XF10-XF9)*(1-WX11)</f>
        <v/>
      </c>
      <c r="XK11" s="12">
        <f>SUM(XG$5:XG11)</f>
        <v/>
      </c>
      <c r="XL11" s="12">
        <f>SUM(XH$5:XH11)</f>
        <v/>
      </c>
      <c r="XM11" s="12">
        <f>XI11+XJ11+XK11+XL11</f>
        <v/>
      </c>
      <c r="XN11" s="9">
        <f>XI11*PriceEssMonthly*WW11+XJ11*PricePremMonthly*WW11+XK11*PriceEssAnnual*WW11/12+XL11*PricePremAnnual*WW11/12</f>
        <v/>
      </c>
      <c r="XO11" s="9">
        <f>XN11*12</f>
        <v/>
      </c>
      <c r="XP11" s="12">
        <f>XI11*PriceEssMonthly*WW11+XJ11*PricePremMonthly*WW11</f>
        <v/>
      </c>
      <c r="XQ11" s="12">
        <f>XG11*PriceEssAnnual*WW11+XH11*PricePremAnnual*WW11</f>
        <v/>
      </c>
      <c r="XR11" s="12">
        <f>0+0</f>
        <v/>
      </c>
      <c r="XS11" s="9">
        <f>XP11+XQ11+XR11</f>
        <v/>
      </c>
      <c r="XT11" s="12">
        <f>SUM(XS$5:XS11)</f>
        <v/>
      </c>
      <c r="XU11" s="12">
        <f>OR(XU10,XT11&gt;=VATThreshold)</f>
        <v/>
      </c>
      <c r="XV11" s="9">
        <f>IF(XU11,XS11/(1+VATRate),XS11)</f>
        <v/>
      </c>
      <c r="XW11" s="12">
        <f>XS11-XV11</f>
        <v/>
      </c>
      <c r="XX11" s="12">
        <f>IF(XU11=0,0,IF(WT11=1,SUMPRODUCT(--(($WU$5:$WU11=$WU11-1)*($WT$5:$WT11&gt;=10)*($WT$5:$WT11&lt;=12)),$XW$5:$XW11),IF(WT11=4,SUMPRODUCT(--(($WU$5:$WU11=$WU11)*($WT$5:$WT11&gt;=1)*($WT$5:$WT11&lt;=3)),$XW$5:$XW11),IF(WT11=7,SUMPRODUCT(--(($WU$5:$WU11=$WU11)*($WT$5:$WT11&gt;=4)*($WT$5:$WT11&lt;=6)),$XW$5:$XW11),IF(WT11=10,SUMPRODUCT(--(($WU$5:$WU11=$WU11)*($WT$5:$WT11&gt;=7)*($WT$5:$WT11&lt;=9)),$XW$5:$XW11),0)))))</f>
        <v/>
      </c>
      <c r="XY11" s="12">
        <f>XY10+XW11-XX11</f>
        <v/>
      </c>
      <c r="XZ11" s="12">
        <f>IF(ProviderDelay&gt;=1,XV10*ProviderShare,XV11*ProviderShare)</f>
        <v/>
      </c>
      <c r="YA11" s="12">
        <f>XS11*PaymentFee</f>
        <v/>
      </c>
      <c r="YB11" s="12">
        <f>XM11*OpsAI</f>
        <v/>
      </c>
      <c r="YC11" s="12">
        <f>MonthlyFixed</f>
        <v/>
      </c>
      <c r="YD11" s="12">
        <f>XA11*ReferralReward</f>
        <v/>
      </c>
      <c r="YE11" s="12">
        <f>WY11</f>
        <v/>
      </c>
      <c r="YF11" s="9">
        <f>XV11-XZ11-YA11-YB11-YC11-YD11-YE11</f>
        <v/>
      </c>
      <c r="YG11" s="9">
        <f>YG10+XS11-(XZ11+YA11+YB11+YC11+YD11+YE11+XX11)</f>
        <v/>
      </c>
      <c r="YH11" s="12">
        <f>IF(XM11&gt;0,XN11/XM11,0)</f>
        <v/>
      </c>
      <c r="YI11" s="11">
        <f>IF(XM10&gt;0,MAX(0,(XM10+XB11-XM11)/XM10),0)</f>
        <v/>
      </c>
      <c r="YK11" s="12" t="n">
        <v>7</v>
      </c>
      <c r="YL11" s="12">
        <f>MOD(YK11-1+LaunchMonth-1,12)+1</f>
        <v/>
      </c>
      <c r="YM11" s="12">
        <f>INT((YK11-1+LaunchMonth-1)/12)+1</f>
        <v/>
      </c>
      <c r="YN11" s="12">
        <f>VLOOKUP(YL11,SeasonTable,2,FALSE)</f>
        <v/>
      </c>
      <c r="YO11" s="12">
        <f>(1+InflationRate)^INT((YK11-1)/12)</f>
        <v/>
      </c>
      <c r="YP11" s="11">
        <f>MonthlyChurn*VLOOKUP(YL11,ChurnSeasonTable,4,FALSE)</f>
        <v/>
      </c>
      <c r="YQ11" s="12">
        <f>MIN(MAX(MktMin7_12,ZK10*MktPct7_12),MAX(0,ZY10-CashBuffer))</f>
        <v/>
      </c>
      <c r="YR11" s="12">
        <f>IF(YQ11&gt;0,MAX(1,ROUND(YQ11/CAC*YN11,0)),0)</f>
        <v/>
      </c>
      <c r="YS11" s="12">
        <f>IF(YR11&gt;0,ROUND(YR11*ReferralMix/(1-ReferralMix),0),0)</f>
        <v/>
      </c>
      <c r="YT11" s="12">
        <f>YR11+YS11</f>
        <v/>
      </c>
      <c r="YU11" s="12">
        <f>ROUND(YT11*(1-'Sens - Annual Mix'!$A$12),0)</f>
        <v/>
      </c>
      <c r="YV11" s="12">
        <f>YT11-YU11</f>
        <v/>
      </c>
      <c r="YW11" s="12">
        <f>ROUND(YU11*EssentialMix,0)</f>
        <v/>
      </c>
      <c r="YX11" s="12">
        <f>YU11-YW11</f>
        <v/>
      </c>
      <c r="YY11" s="12">
        <f>ROUND(YV11*EssentialMix,0)</f>
        <v/>
      </c>
      <c r="YZ11" s="12">
        <f>YV11-YY11</f>
        <v/>
      </c>
      <c r="ZA11" s="12">
        <f>YW11+YW10+YW9+MAX(0,ZA10-YW10-YW9)*(1-YP11)</f>
        <v/>
      </c>
      <c r="ZB11" s="12">
        <f>YX11+YX10+YX9+MAX(0,ZB10-YX10-YX9)*(1-YP11)</f>
        <v/>
      </c>
      <c r="ZC11" s="12">
        <f>SUM(YY$5:YY11)</f>
        <v/>
      </c>
      <c r="ZD11" s="12">
        <f>SUM(YZ$5:YZ11)</f>
        <v/>
      </c>
      <c r="ZE11" s="12">
        <f>ZA11+ZB11+ZC11+ZD11</f>
        <v/>
      </c>
      <c r="ZF11" s="9">
        <f>ZA11*PriceEssMonthly*YO11+ZB11*PricePremMonthly*YO11+ZC11*PriceEssAnnual*YO11/12+ZD11*PricePremAnnual*YO11/12</f>
        <v/>
      </c>
      <c r="ZG11" s="9">
        <f>ZF11*12</f>
        <v/>
      </c>
      <c r="ZH11" s="12">
        <f>ZA11*PriceEssMonthly*YO11+ZB11*PricePremMonthly*YO11</f>
        <v/>
      </c>
      <c r="ZI11" s="12">
        <f>YY11*PriceEssAnnual*YO11+YZ11*PricePremAnnual*YO11</f>
        <v/>
      </c>
      <c r="ZJ11" s="12">
        <f>0+0</f>
        <v/>
      </c>
      <c r="ZK11" s="9">
        <f>ZH11+ZI11+ZJ11</f>
        <v/>
      </c>
      <c r="ZL11" s="12">
        <f>SUM(ZK$5:ZK11)</f>
        <v/>
      </c>
      <c r="ZM11" s="12">
        <f>OR(ZM10,ZL11&gt;=VATThreshold)</f>
        <v/>
      </c>
      <c r="ZN11" s="9">
        <f>IF(ZM11,ZK11/(1+VATRate),ZK11)</f>
        <v/>
      </c>
      <c r="ZO11" s="12">
        <f>ZK11-ZN11</f>
        <v/>
      </c>
      <c r="ZP11" s="12">
        <f>IF(ZM11=0,0,IF(YL11=1,SUMPRODUCT(--(($YM$5:$YM11=$YM11-1)*($YL$5:$YL11&gt;=10)*($YL$5:$YL11&lt;=12)),$ZO$5:$ZO11),IF(YL11=4,SUMPRODUCT(--(($YM$5:$YM11=$YM11)*($YL$5:$YL11&gt;=1)*($YL$5:$YL11&lt;=3)),$ZO$5:$ZO11),IF(YL11=7,SUMPRODUCT(--(($YM$5:$YM11=$YM11)*($YL$5:$YL11&gt;=4)*($YL$5:$YL11&lt;=6)),$ZO$5:$ZO11),IF(YL11=10,SUMPRODUCT(--(($YM$5:$YM11=$YM11)*($YL$5:$YL11&gt;=7)*($YL$5:$YL11&lt;=9)),$ZO$5:$ZO11),0)))))</f>
        <v/>
      </c>
      <c r="ZQ11" s="12">
        <f>ZQ10+ZO11-ZP11</f>
        <v/>
      </c>
      <c r="ZR11" s="12">
        <f>IF(ProviderDelay&gt;=1,ZN10*ProviderShare,ZN11*ProviderShare)</f>
        <v/>
      </c>
      <c r="ZS11" s="12">
        <f>ZK11*PaymentFee</f>
        <v/>
      </c>
      <c r="ZT11" s="12">
        <f>ZE11*OpsAI</f>
        <v/>
      </c>
      <c r="ZU11" s="12">
        <f>MonthlyFixed</f>
        <v/>
      </c>
      <c r="ZV11" s="12">
        <f>YS11*ReferralReward</f>
        <v/>
      </c>
      <c r="ZW11" s="12">
        <f>YQ11</f>
        <v/>
      </c>
      <c r="ZX11" s="9">
        <f>ZN11-ZR11-ZS11-ZT11-ZU11-ZV11-ZW11</f>
        <v/>
      </c>
      <c r="ZY11" s="9">
        <f>ZY10+ZK11-(ZR11+ZS11+ZT11+ZU11+ZV11+ZW11+ZP11)</f>
        <v/>
      </c>
      <c r="ZZ11" s="12">
        <f>IF(ZE11&gt;0,ZF11/ZE11,0)</f>
        <v/>
      </c>
      <c r="AAA11" s="11">
        <f>IF(ZE10&gt;0,MAX(0,(ZE10+YT11-ZE11)/ZE10),0)</f>
        <v/>
      </c>
      <c r="AAC11" s="12" t="n">
        <v>7</v>
      </c>
      <c r="AAD11" s="12">
        <f>MOD(AAC11-1+LaunchMonth-1,12)+1</f>
        <v/>
      </c>
      <c r="AAE11" s="12">
        <f>INT((AAC11-1+LaunchMonth-1)/12)+1</f>
        <v/>
      </c>
      <c r="AAF11" s="12">
        <f>VLOOKUP(AAD11,SeasonTable,2,FALSE)</f>
        <v/>
      </c>
      <c r="AAG11" s="12">
        <f>(1+InflationRate)^INT((AAC11-1)/12)</f>
        <v/>
      </c>
      <c r="AAH11" s="11">
        <f>MonthlyChurn*VLOOKUP(AAD11,ChurnSeasonTable,4,FALSE)</f>
        <v/>
      </c>
      <c r="AAI11" s="12">
        <f>MIN(MAX(MktMin7_12,ABC10*MktPct7_12),MAX(0,ABQ10-CashBuffer))</f>
        <v/>
      </c>
      <c r="AAJ11" s="12">
        <f>IF(AAI11&gt;0,MAX(1,ROUND(AAI11/CAC*AAF11,0)),0)</f>
        <v/>
      </c>
      <c r="AAK11" s="12">
        <f>IF(AAJ11&gt;0,ROUND(AAJ11*ReferralMix/(1-ReferralMix),0),0)</f>
        <v/>
      </c>
      <c r="AAL11" s="12">
        <f>AAJ11+AAK11</f>
        <v/>
      </c>
      <c r="AAM11" s="12">
        <f>ROUND(AAL11*(1-'Sens - Annual Mix'!$A$13),0)</f>
        <v/>
      </c>
      <c r="AAN11" s="12">
        <f>AAL11-AAM11</f>
        <v/>
      </c>
      <c r="AAO11" s="12">
        <f>ROUND(AAM11*EssentialMix,0)</f>
        <v/>
      </c>
      <c r="AAP11" s="12">
        <f>AAM11-AAO11</f>
        <v/>
      </c>
      <c r="AAQ11" s="12">
        <f>ROUND(AAN11*EssentialMix,0)</f>
        <v/>
      </c>
      <c r="AAR11" s="12">
        <f>AAN11-AAQ11</f>
        <v/>
      </c>
      <c r="AAS11" s="12">
        <f>AAO11+AAO10+AAO9+MAX(0,AAS10-AAO10-AAO9)*(1-AAH11)</f>
        <v/>
      </c>
      <c r="AAT11" s="12">
        <f>AAP11+AAP10+AAP9+MAX(0,AAT10-AAP10-AAP9)*(1-AAH11)</f>
        <v/>
      </c>
      <c r="AAU11" s="12">
        <f>SUM(AAQ$5:AAQ11)</f>
        <v/>
      </c>
      <c r="AAV11" s="12">
        <f>SUM(AAR$5:AAR11)</f>
        <v/>
      </c>
      <c r="AAW11" s="12">
        <f>AAS11+AAT11+AAU11+AAV11</f>
        <v/>
      </c>
      <c r="AAX11" s="9">
        <f>AAS11*PriceEssMonthly*AAG11+AAT11*PricePremMonthly*AAG11+AAU11*PriceEssAnnual*AAG11/12+AAV11*PricePremAnnual*AAG11/12</f>
        <v/>
      </c>
      <c r="AAY11" s="9">
        <f>AAX11*12</f>
        <v/>
      </c>
      <c r="AAZ11" s="12">
        <f>AAS11*PriceEssMonthly*AAG11+AAT11*PricePremMonthly*AAG11</f>
        <v/>
      </c>
      <c r="ABA11" s="12">
        <f>AAQ11*PriceEssAnnual*AAG11+AAR11*PricePremAnnual*AAG11</f>
        <v/>
      </c>
      <c r="ABB11" s="12">
        <f>0+0</f>
        <v/>
      </c>
      <c r="ABC11" s="9">
        <f>AAZ11+ABA11+ABB11</f>
        <v/>
      </c>
      <c r="ABD11" s="12">
        <f>SUM(ABC$5:ABC11)</f>
        <v/>
      </c>
      <c r="ABE11" s="12">
        <f>OR(ABE10,ABD11&gt;=VATThreshold)</f>
        <v/>
      </c>
      <c r="ABF11" s="9">
        <f>IF(ABE11,ABC11/(1+VATRate),ABC11)</f>
        <v/>
      </c>
      <c r="ABG11" s="12">
        <f>ABC11-ABF11</f>
        <v/>
      </c>
      <c r="ABH11" s="12">
        <f>IF(ABE11=0,0,IF(AAD11=1,SUMPRODUCT(--(($AAE$5:$AAE11=$AAE11-1)*($AAD$5:$AAD11&gt;=10)*($AAD$5:$AAD11&lt;=12)),$ABG$5:$ABG11),IF(AAD11=4,SUMPRODUCT(--(($AAE$5:$AAE11=$AAE11)*($AAD$5:$AAD11&gt;=1)*($AAD$5:$AAD11&lt;=3)),$ABG$5:$ABG11),IF(AAD11=7,SUMPRODUCT(--(($AAE$5:$AAE11=$AAE11)*($AAD$5:$AAD11&gt;=4)*($AAD$5:$AAD11&lt;=6)),$ABG$5:$ABG11),IF(AAD11=10,SUMPRODUCT(--(($AAE$5:$AAE11=$AAE11)*($AAD$5:$AAD11&gt;=7)*($AAD$5:$AAD11&lt;=9)),$ABG$5:$ABG11),0)))))</f>
        <v/>
      </c>
      <c r="ABI11" s="12">
        <f>ABI10+ABG11-ABH11</f>
        <v/>
      </c>
      <c r="ABJ11" s="12">
        <f>IF(ProviderDelay&gt;=1,ABF10*ProviderShare,ABF11*ProviderShare)</f>
        <v/>
      </c>
      <c r="ABK11" s="12">
        <f>ABC11*PaymentFee</f>
        <v/>
      </c>
      <c r="ABL11" s="12">
        <f>AAW11*OpsAI</f>
        <v/>
      </c>
      <c r="ABM11" s="12">
        <f>MonthlyFixed</f>
        <v/>
      </c>
      <c r="ABN11" s="12">
        <f>AAK11*ReferralReward</f>
        <v/>
      </c>
      <c r="ABO11" s="12">
        <f>AAI11</f>
        <v/>
      </c>
      <c r="ABP11" s="9">
        <f>ABF11-ABJ11-ABK11-ABL11-ABM11-ABN11-ABO11</f>
        <v/>
      </c>
      <c r="ABQ11" s="9">
        <f>ABQ10+ABC11-(ABJ11+ABK11+ABL11+ABM11+ABN11+ABO11+ABH11)</f>
        <v/>
      </c>
      <c r="ABR11" s="12">
        <f>IF(AAW11&gt;0,AAX11/AAW11,0)</f>
        <v/>
      </c>
      <c r="ABS11" s="11">
        <f>IF(AAW10&gt;0,MAX(0,(AAW10+AAL11-AAW11)/AAW10),0)</f>
        <v/>
      </c>
      <c r="ABU11" s="12" t="n">
        <v>7</v>
      </c>
      <c r="ABV11" s="12">
        <f>MOD(ABU11-1+LaunchMonth-1,12)+1</f>
        <v/>
      </c>
      <c r="ABW11" s="12">
        <f>INT((ABU11-1+LaunchMonth-1)/12)+1</f>
        <v/>
      </c>
      <c r="ABX11" s="12">
        <f>VLOOKUP(ABV11,SeasonTable,2,FALSE)</f>
        <v/>
      </c>
      <c r="ABY11" s="12">
        <f>(1+InflationRate)^INT((ABU11-1)/12)</f>
        <v/>
      </c>
      <c r="ABZ11" s="11">
        <f>MonthlyChurn*VLOOKUP(ABV11,ChurnSeasonTable,4,FALSE)</f>
        <v/>
      </c>
      <c r="ACA11" s="12">
        <f>MIN(MAX(MktMin7_12,ACU10*MktPct7_12),MAX(0,ADI10-CashBuffer))</f>
        <v/>
      </c>
      <c r="ACB11" s="12">
        <f>IF(ACA11&gt;0,MAX(1,ROUND(ACA11/CAC*ABX11,0)),0)</f>
        <v/>
      </c>
      <c r="ACC11" s="12">
        <f>IF(ACB11&gt;0,ROUND(ACB11*ReferralMix/(1-ReferralMix),0),0)</f>
        <v/>
      </c>
      <c r="ACD11" s="12">
        <f>ACB11+ACC11</f>
        <v/>
      </c>
      <c r="ACE11" s="12">
        <f>ROUND(ACD11*(1-'Sens - Annual Mix'!$A$14),0)</f>
        <v/>
      </c>
      <c r="ACF11" s="12">
        <f>ACD11-ACE11</f>
        <v/>
      </c>
      <c r="ACG11" s="12">
        <f>ROUND(ACE11*EssentialMix,0)</f>
        <v/>
      </c>
      <c r="ACH11" s="12">
        <f>ACE11-ACG11</f>
        <v/>
      </c>
      <c r="ACI11" s="12">
        <f>ROUND(ACF11*EssentialMix,0)</f>
        <v/>
      </c>
      <c r="ACJ11" s="12">
        <f>ACF11-ACI11</f>
        <v/>
      </c>
      <c r="ACK11" s="12">
        <f>ACG11+ACG10+ACG9+MAX(0,ACK10-ACG10-ACG9)*(1-ABZ11)</f>
        <v/>
      </c>
      <c r="ACL11" s="12">
        <f>ACH11+ACH10+ACH9+MAX(0,ACL10-ACH10-ACH9)*(1-ABZ11)</f>
        <v/>
      </c>
      <c r="ACM11" s="12">
        <f>SUM(ACI$5:ACI11)</f>
        <v/>
      </c>
      <c r="ACN11" s="12">
        <f>SUM(ACJ$5:ACJ11)</f>
        <v/>
      </c>
      <c r="ACO11" s="12">
        <f>ACK11+ACL11+ACM11+ACN11</f>
        <v/>
      </c>
      <c r="ACP11" s="9">
        <f>ACK11*PriceEssMonthly*ABY11+ACL11*PricePremMonthly*ABY11+ACM11*PriceEssAnnual*ABY11/12+ACN11*PricePremAnnual*ABY11/12</f>
        <v/>
      </c>
      <c r="ACQ11" s="9">
        <f>ACP11*12</f>
        <v/>
      </c>
      <c r="ACR11" s="12">
        <f>ACK11*PriceEssMonthly*ABY11+ACL11*PricePremMonthly*ABY11</f>
        <v/>
      </c>
      <c r="ACS11" s="12">
        <f>ACI11*PriceEssAnnual*ABY11+ACJ11*PricePremAnnual*ABY11</f>
        <v/>
      </c>
      <c r="ACT11" s="12">
        <f>0+0</f>
        <v/>
      </c>
      <c r="ACU11" s="9">
        <f>ACR11+ACS11+ACT11</f>
        <v/>
      </c>
      <c r="ACV11" s="12">
        <f>SUM(ACU$5:ACU11)</f>
        <v/>
      </c>
      <c r="ACW11" s="12">
        <f>OR(ACW10,ACV11&gt;=VATThreshold)</f>
        <v/>
      </c>
      <c r="ACX11" s="9">
        <f>IF(ACW11,ACU11/(1+VATRate),ACU11)</f>
        <v/>
      </c>
      <c r="ACY11" s="12">
        <f>ACU11-ACX11</f>
        <v/>
      </c>
      <c r="ACZ11" s="12">
        <f>IF(ACW11=0,0,IF(ABV11=1,SUMPRODUCT(--(($ABW$5:$ABW11=$ABW11-1)*($ABV$5:$ABV11&gt;=10)*($ABV$5:$ABV11&lt;=12)),$ACY$5:$ACY11),IF(ABV11=4,SUMPRODUCT(--(($ABW$5:$ABW11=$ABW11)*($ABV$5:$ABV11&gt;=1)*($ABV$5:$ABV11&lt;=3)),$ACY$5:$ACY11),IF(ABV11=7,SUMPRODUCT(--(($ABW$5:$ABW11=$ABW11)*($ABV$5:$ABV11&gt;=4)*($ABV$5:$ABV11&lt;=6)),$ACY$5:$ACY11),IF(ABV11=10,SUMPRODUCT(--(($ABW$5:$ABW11=$ABW11)*($ABV$5:$ABV11&gt;=7)*($ABV$5:$ABV11&lt;=9)),$ACY$5:$ACY11),0)))))</f>
        <v/>
      </c>
      <c r="ADA11" s="12">
        <f>ADA10+ACY11-ACZ11</f>
        <v/>
      </c>
      <c r="ADB11" s="12">
        <f>IF(ProviderDelay&gt;=1,ACX10*ProviderShare,ACX11*ProviderShare)</f>
        <v/>
      </c>
      <c r="ADC11" s="12">
        <f>ACU11*PaymentFee</f>
        <v/>
      </c>
      <c r="ADD11" s="12">
        <f>ACO11*OpsAI</f>
        <v/>
      </c>
      <c r="ADE11" s="12">
        <f>MonthlyFixed</f>
        <v/>
      </c>
      <c r="ADF11" s="12">
        <f>ACC11*ReferralReward</f>
        <v/>
      </c>
      <c r="ADG11" s="12">
        <f>ACA11</f>
        <v/>
      </c>
      <c r="ADH11" s="9">
        <f>ACX11-ADB11-ADC11-ADD11-ADE11-ADF11-ADG11</f>
        <v/>
      </c>
      <c r="ADI11" s="9">
        <f>ADI10+ACU11-(ADB11+ADC11+ADD11+ADE11+ADF11+ADG11+ACZ11)</f>
        <v/>
      </c>
      <c r="ADJ11" s="12">
        <f>IF(ACO11&gt;0,ACP11/ACO11,0)</f>
        <v/>
      </c>
      <c r="ADK11" s="11">
        <f>IF(ACO10&gt;0,MAX(0,(ACO10+ACD11-ACO11)/ACO10),0)</f>
        <v/>
      </c>
      <c r="ADM11" s="12" t="n">
        <v>7</v>
      </c>
      <c r="ADN11" s="12">
        <f>MOD(ADM11-1+LaunchMonth-1,12)+1</f>
        <v/>
      </c>
      <c r="ADO11" s="12">
        <f>INT((ADM11-1+LaunchMonth-1)/12)+1</f>
        <v/>
      </c>
      <c r="ADP11" s="12">
        <f>VLOOKUP(ADN11,SeasonTable,2,FALSE)</f>
        <v/>
      </c>
      <c r="ADQ11" s="12">
        <f>(1+InflationRate)^INT((ADM11-1)/12)</f>
        <v/>
      </c>
      <c r="ADR11" s="11">
        <f>MonthlyChurn*VLOOKUP(ADN11,ChurnSeasonTable,4,FALSE)</f>
        <v/>
      </c>
      <c r="ADS11" s="12">
        <f>MIN(MAX(MktMin7_12,AEM10*MktPct7_12),MAX(0,AFA10-CashBuffer))</f>
        <v/>
      </c>
      <c r="ADT11" s="12">
        <f>IF(ADS11&gt;0,MAX(1,ROUND(ADS11/CAC*ADP11,0)),0)</f>
        <v/>
      </c>
      <c r="ADU11" s="12">
        <f>IF(ADT11&gt;0,ROUND(ADT11*ReferralMix/(1-ReferralMix),0),0)</f>
        <v/>
      </c>
      <c r="ADV11" s="12">
        <f>ADT11+ADU11</f>
        <v/>
      </c>
      <c r="ADW11" s="12">
        <f>ROUND(ADV11*(1-'Sens - Annual Mix'!$A$15),0)</f>
        <v/>
      </c>
      <c r="ADX11" s="12">
        <f>ADV11-ADW11</f>
        <v/>
      </c>
      <c r="ADY11" s="12">
        <f>ROUND(ADW11*EssentialMix,0)</f>
        <v/>
      </c>
      <c r="ADZ11" s="12">
        <f>ADW11-ADY11</f>
        <v/>
      </c>
      <c r="AEA11" s="12">
        <f>ROUND(ADX11*EssentialMix,0)</f>
        <v/>
      </c>
      <c r="AEB11" s="12">
        <f>ADX11-AEA11</f>
        <v/>
      </c>
      <c r="AEC11" s="12">
        <f>ADY11+ADY10+ADY9+MAX(0,AEC10-ADY10-ADY9)*(1-ADR11)</f>
        <v/>
      </c>
      <c r="AED11" s="12">
        <f>ADZ11+ADZ10+ADZ9+MAX(0,AED10-ADZ10-ADZ9)*(1-ADR11)</f>
        <v/>
      </c>
      <c r="AEE11" s="12">
        <f>SUM(AEA$5:AEA11)</f>
        <v/>
      </c>
      <c r="AEF11" s="12">
        <f>SUM(AEB$5:AEB11)</f>
        <v/>
      </c>
      <c r="AEG11" s="12">
        <f>AEC11+AED11+AEE11+AEF11</f>
        <v/>
      </c>
      <c r="AEH11" s="9">
        <f>AEC11*PriceEssMonthly*ADQ11+AED11*PricePremMonthly*ADQ11+AEE11*PriceEssAnnual*ADQ11/12+AEF11*PricePremAnnual*ADQ11/12</f>
        <v/>
      </c>
      <c r="AEI11" s="9">
        <f>AEH11*12</f>
        <v/>
      </c>
      <c r="AEJ11" s="12">
        <f>AEC11*PriceEssMonthly*ADQ11+AED11*PricePremMonthly*ADQ11</f>
        <v/>
      </c>
      <c r="AEK11" s="12">
        <f>AEA11*PriceEssAnnual*ADQ11+AEB11*PricePremAnnual*ADQ11</f>
        <v/>
      </c>
      <c r="AEL11" s="12">
        <f>0+0</f>
        <v/>
      </c>
      <c r="AEM11" s="9">
        <f>AEJ11+AEK11+AEL11</f>
        <v/>
      </c>
      <c r="AEN11" s="12">
        <f>SUM(AEM$5:AEM11)</f>
        <v/>
      </c>
      <c r="AEO11" s="12">
        <f>OR(AEO10,AEN11&gt;=VATThreshold)</f>
        <v/>
      </c>
      <c r="AEP11" s="9">
        <f>IF(AEO11,AEM11/(1+VATRate),AEM11)</f>
        <v/>
      </c>
      <c r="AEQ11" s="12">
        <f>AEM11-AEP11</f>
        <v/>
      </c>
      <c r="AER11" s="12">
        <f>IF(AEO11=0,0,IF(ADN11=1,SUMPRODUCT(--(($ADO$5:$ADO11=$ADO11-1)*($ADN$5:$ADN11&gt;=10)*($ADN$5:$ADN11&lt;=12)),$AEQ$5:$AEQ11),IF(ADN11=4,SUMPRODUCT(--(($ADO$5:$ADO11=$ADO11)*($ADN$5:$ADN11&gt;=1)*($ADN$5:$ADN11&lt;=3)),$AEQ$5:$AEQ11),IF(ADN11=7,SUMPRODUCT(--(($ADO$5:$ADO11=$ADO11)*($ADN$5:$ADN11&gt;=4)*($ADN$5:$ADN11&lt;=6)),$AEQ$5:$AEQ11),IF(ADN11=10,SUMPRODUCT(--(($ADO$5:$ADO11=$ADO11)*($ADN$5:$ADN11&gt;=7)*($ADN$5:$ADN11&lt;=9)),$AEQ$5:$AEQ11),0)))))</f>
        <v/>
      </c>
      <c r="AES11" s="12">
        <f>AES10+AEQ11-AER11</f>
        <v/>
      </c>
      <c r="AET11" s="12">
        <f>IF(ProviderDelay&gt;=1,AEP10*ProviderShare,AEP11*ProviderShare)</f>
        <v/>
      </c>
      <c r="AEU11" s="12">
        <f>AEM11*PaymentFee</f>
        <v/>
      </c>
      <c r="AEV11" s="12">
        <f>AEG11*OpsAI</f>
        <v/>
      </c>
      <c r="AEW11" s="12">
        <f>MonthlyFixed</f>
        <v/>
      </c>
      <c r="AEX11" s="12">
        <f>ADU11*ReferralReward</f>
        <v/>
      </c>
      <c r="AEY11" s="12">
        <f>ADS11</f>
        <v/>
      </c>
      <c r="AEZ11" s="9">
        <f>AEP11-AET11-AEU11-AEV11-AEW11-AEX11-AEY11</f>
        <v/>
      </c>
      <c r="AFA11" s="9">
        <f>AFA10+AEM11-(AET11+AEU11+AEV11+AEW11+AEX11+AEY11+AER11)</f>
        <v/>
      </c>
      <c r="AFB11" s="12">
        <f>IF(AEG11&gt;0,AEH11/AEG11,0)</f>
        <v/>
      </c>
      <c r="AFC11" s="11">
        <f>IF(AEG10&gt;0,MAX(0,(AEG10+ADV11-AEG11)/AEG10),0)</f>
        <v/>
      </c>
      <c r="AFE11" s="12" t="n">
        <v>7</v>
      </c>
      <c r="AFF11" s="12">
        <f>MOD(AFE11-1+LaunchMonth-1,12)+1</f>
        <v/>
      </c>
      <c r="AFG11" s="12">
        <f>INT((AFE11-1+LaunchMonth-1)/12)+1</f>
        <v/>
      </c>
      <c r="AFH11" s="12">
        <f>VLOOKUP(AFF11,SeasonTable,2,FALSE)</f>
        <v/>
      </c>
      <c r="AFI11" s="12">
        <f>(1+InflationRate)^INT((AFE11-1)/12)</f>
        <v/>
      </c>
      <c r="AFJ11" s="11">
        <f>MonthlyChurn*VLOOKUP(AFF11,ChurnSeasonTable,4,FALSE)</f>
        <v/>
      </c>
      <c r="AFK11" s="12">
        <f>MIN(MAX(MktMin7_12,AGE10*MktPct7_12),MAX(0,AGS10-CashBuffer))</f>
        <v/>
      </c>
      <c r="AFL11" s="12">
        <f>IF(AFK11&gt;0,MAX(1,ROUND(AFK11/'Sens - CAC &amp; Marketing'!$A$9*AFH11,0)),0)</f>
        <v/>
      </c>
      <c r="AFM11" s="12">
        <f>IF(AFL11&gt;0,ROUND(AFL11*ReferralMix/(1-ReferralMix),0),0)</f>
        <v/>
      </c>
      <c r="AFN11" s="12">
        <f>AFL11+AFM11</f>
        <v/>
      </c>
      <c r="AFO11" s="12">
        <f>ROUND(AFN11*(1-AnnualMix),0)</f>
        <v/>
      </c>
      <c r="AFP11" s="12">
        <f>AFN11-AFO11</f>
        <v/>
      </c>
      <c r="AFQ11" s="12">
        <f>ROUND(AFO11*EssentialMix,0)</f>
        <v/>
      </c>
      <c r="AFR11" s="12">
        <f>AFO11-AFQ11</f>
        <v/>
      </c>
      <c r="AFS11" s="12">
        <f>ROUND(AFP11*EssentialMix,0)</f>
        <v/>
      </c>
      <c r="AFT11" s="12">
        <f>AFP11-AFS11</f>
        <v/>
      </c>
      <c r="AFU11" s="12">
        <f>AFQ11+AFQ10+AFQ9+MAX(0,AFU10-AFQ10-AFQ9)*(1-AFJ11)</f>
        <v/>
      </c>
      <c r="AFV11" s="12">
        <f>AFR11+AFR10+AFR9+MAX(0,AFV10-AFR10-AFR9)*(1-AFJ11)</f>
        <v/>
      </c>
      <c r="AFW11" s="12">
        <f>SUM(AFS$5:AFS11)</f>
        <v/>
      </c>
      <c r="AFX11" s="12">
        <f>SUM(AFT$5:AFT11)</f>
        <v/>
      </c>
      <c r="AFY11" s="12">
        <f>AFU11+AFV11+AFW11+AFX11</f>
        <v/>
      </c>
      <c r="AFZ11" s="9">
        <f>AFU11*PriceEssMonthly*AFI11+AFV11*PricePremMonthly*AFI11+AFW11*PriceEssAnnual*AFI11/12+AFX11*PricePremAnnual*AFI11/12</f>
        <v/>
      </c>
      <c r="AGA11" s="9">
        <f>AFZ11*12</f>
        <v/>
      </c>
      <c r="AGB11" s="12">
        <f>AFU11*PriceEssMonthly*AFI11+AFV11*PricePremMonthly*AFI11</f>
        <v/>
      </c>
      <c r="AGC11" s="12">
        <f>AFS11*PriceEssAnnual*AFI11+AFT11*PricePremAnnual*AFI11</f>
        <v/>
      </c>
      <c r="AGD11" s="12">
        <f>0+0</f>
        <v/>
      </c>
      <c r="AGE11" s="9">
        <f>AGB11+AGC11+AGD11</f>
        <v/>
      </c>
      <c r="AGF11" s="12">
        <f>SUM(AGE$5:AGE11)</f>
        <v/>
      </c>
      <c r="AGG11" s="12">
        <f>OR(AGG10,AGF11&gt;=VATThreshold)</f>
        <v/>
      </c>
      <c r="AGH11" s="9">
        <f>IF(AGG11,AGE11/(1+VATRate),AGE11)</f>
        <v/>
      </c>
      <c r="AGI11" s="12">
        <f>AGE11-AGH11</f>
        <v/>
      </c>
      <c r="AGJ11" s="12">
        <f>IF(AGG11=0,0,IF(AFF11=1,SUMPRODUCT(--(($AFG$5:$AFG11=$AFG11-1)*($AFF$5:$AFF11&gt;=10)*($AFF$5:$AFF11&lt;=12)),$AGI$5:$AGI11),IF(AFF11=4,SUMPRODUCT(--(($AFG$5:$AFG11=$AFG11)*($AFF$5:$AFF11&gt;=1)*($AFF$5:$AFF11&lt;=3)),$AGI$5:$AGI11),IF(AFF11=7,SUMPRODUCT(--(($AFG$5:$AFG11=$AFG11)*($AFF$5:$AFF11&gt;=4)*($AFF$5:$AFF11&lt;=6)),$AGI$5:$AGI11),IF(AFF11=10,SUMPRODUCT(--(($AFG$5:$AFG11=$AFG11)*($AFF$5:$AFF11&gt;=7)*($AFF$5:$AFF11&lt;=9)),$AGI$5:$AGI11),0)))))</f>
        <v/>
      </c>
      <c r="AGK11" s="12">
        <f>AGK10+AGI11-AGJ11</f>
        <v/>
      </c>
      <c r="AGL11" s="12">
        <f>IF(ProviderDelay&gt;=1,AGH10*ProviderShare,AGH11*ProviderShare)</f>
        <v/>
      </c>
      <c r="AGM11" s="12">
        <f>AGE11*PaymentFee</f>
        <v/>
      </c>
      <c r="AGN11" s="12">
        <f>AFY11*OpsAI</f>
        <v/>
      </c>
      <c r="AGO11" s="12">
        <f>MonthlyFixed</f>
        <v/>
      </c>
      <c r="AGP11" s="12">
        <f>AFM11*ReferralReward</f>
        <v/>
      </c>
      <c r="AGQ11" s="12">
        <f>AFK11</f>
        <v/>
      </c>
      <c r="AGR11" s="9">
        <f>AGH11-AGL11-AGM11-AGN11-AGO11-AGP11-AGQ11</f>
        <v/>
      </c>
      <c r="AGS11" s="9">
        <f>AGS10+AGE11-(AGL11+AGM11+AGN11+AGO11+AGP11+AGQ11+AGJ11)</f>
        <v/>
      </c>
      <c r="AGT11" s="12">
        <f>IF(AFY11&gt;0,AFZ11/AFY11,0)</f>
        <v/>
      </c>
      <c r="AGU11" s="11">
        <f>IF(AFY10&gt;0,MAX(0,(AFY10+AFN11-AFY11)/AFY10),0)</f>
        <v/>
      </c>
      <c r="AGW11" s="12" t="n">
        <v>7</v>
      </c>
      <c r="AGX11" s="12">
        <f>MOD(AGW11-1+LaunchMonth-1,12)+1</f>
        <v/>
      </c>
      <c r="AGY11" s="12">
        <f>INT((AGW11-1+LaunchMonth-1)/12)+1</f>
        <v/>
      </c>
      <c r="AGZ11" s="12">
        <f>VLOOKUP(AGX11,SeasonTable,2,FALSE)</f>
        <v/>
      </c>
      <c r="AHA11" s="12">
        <f>(1+InflationRate)^INT((AGW11-1)/12)</f>
        <v/>
      </c>
      <c r="AHB11" s="11">
        <f>MonthlyChurn*VLOOKUP(AGX11,ChurnSeasonTable,4,FALSE)</f>
        <v/>
      </c>
      <c r="AHC11" s="12">
        <f>MIN(MAX(MktMin7_12,AHW10*MktPct7_12),MAX(0,AIK10-CashBuffer))</f>
        <v/>
      </c>
      <c r="AHD11" s="12">
        <f>IF(AHC11&gt;0,MAX(1,ROUND(AHC11/'Sens - CAC &amp; Marketing'!$A$10*AGZ11,0)),0)</f>
        <v/>
      </c>
      <c r="AHE11" s="12">
        <f>IF(AHD11&gt;0,ROUND(AHD11*ReferralMix/(1-ReferralMix),0),0)</f>
        <v/>
      </c>
      <c r="AHF11" s="12">
        <f>AHD11+AHE11</f>
        <v/>
      </c>
      <c r="AHG11" s="12">
        <f>ROUND(AHF11*(1-AnnualMix),0)</f>
        <v/>
      </c>
      <c r="AHH11" s="12">
        <f>AHF11-AHG11</f>
        <v/>
      </c>
      <c r="AHI11" s="12">
        <f>ROUND(AHG11*EssentialMix,0)</f>
        <v/>
      </c>
      <c r="AHJ11" s="12">
        <f>AHG11-AHI11</f>
        <v/>
      </c>
      <c r="AHK11" s="12">
        <f>ROUND(AHH11*EssentialMix,0)</f>
        <v/>
      </c>
      <c r="AHL11" s="12">
        <f>AHH11-AHK11</f>
        <v/>
      </c>
      <c r="AHM11" s="12">
        <f>AHI11+AHI10+AHI9+MAX(0,AHM10-AHI10-AHI9)*(1-AHB11)</f>
        <v/>
      </c>
      <c r="AHN11" s="12">
        <f>AHJ11+AHJ10+AHJ9+MAX(0,AHN10-AHJ10-AHJ9)*(1-AHB11)</f>
        <v/>
      </c>
      <c r="AHO11" s="12">
        <f>SUM(AHK$5:AHK11)</f>
        <v/>
      </c>
      <c r="AHP11" s="12">
        <f>SUM(AHL$5:AHL11)</f>
        <v/>
      </c>
      <c r="AHQ11" s="12">
        <f>AHM11+AHN11+AHO11+AHP11</f>
        <v/>
      </c>
      <c r="AHR11" s="9">
        <f>AHM11*PriceEssMonthly*AHA11+AHN11*PricePremMonthly*AHA11+AHO11*PriceEssAnnual*AHA11/12+AHP11*PricePremAnnual*AHA11/12</f>
        <v/>
      </c>
      <c r="AHS11" s="9">
        <f>AHR11*12</f>
        <v/>
      </c>
      <c r="AHT11" s="12">
        <f>AHM11*PriceEssMonthly*AHA11+AHN11*PricePremMonthly*AHA11</f>
        <v/>
      </c>
      <c r="AHU11" s="12">
        <f>AHK11*PriceEssAnnual*AHA11+AHL11*PricePremAnnual*AHA11</f>
        <v/>
      </c>
      <c r="AHV11" s="12">
        <f>0+0</f>
        <v/>
      </c>
      <c r="AHW11" s="9">
        <f>AHT11+AHU11+AHV11</f>
        <v/>
      </c>
      <c r="AHX11" s="12">
        <f>SUM(AHW$5:AHW11)</f>
        <v/>
      </c>
      <c r="AHY11" s="12">
        <f>OR(AHY10,AHX11&gt;=VATThreshold)</f>
        <v/>
      </c>
      <c r="AHZ11" s="9">
        <f>IF(AHY11,AHW11/(1+VATRate),AHW11)</f>
        <v/>
      </c>
      <c r="AIA11" s="12">
        <f>AHW11-AHZ11</f>
        <v/>
      </c>
      <c r="AIB11" s="12">
        <f>IF(AHY11=0,0,IF(AGX11=1,SUMPRODUCT(--(($AGY$5:$AGY11=$AGY11-1)*($AGX$5:$AGX11&gt;=10)*($AGX$5:$AGX11&lt;=12)),$AIA$5:$AIA11),IF(AGX11=4,SUMPRODUCT(--(($AGY$5:$AGY11=$AGY11)*($AGX$5:$AGX11&gt;=1)*($AGX$5:$AGX11&lt;=3)),$AIA$5:$AIA11),IF(AGX11=7,SUMPRODUCT(--(($AGY$5:$AGY11=$AGY11)*($AGX$5:$AGX11&gt;=4)*($AGX$5:$AGX11&lt;=6)),$AIA$5:$AIA11),IF(AGX11=10,SUMPRODUCT(--(($AGY$5:$AGY11=$AGY11)*($AGX$5:$AGX11&gt;=7)*($AGX$5:$AGX11&lt;=9)),$AIA$5:$AIA11),0)))))</f>
        <v/>
      </c>
      <c r="AIC11" s="12">
        <f>AIC10+AIA11-AIB11</f>
        <v/>
      </c>
      <c r="AID11" s="12">
        <f>IF(ProviderDelay&gt;=1,AHZ10*ProviderShare,AHZ11*ProviderShare)</f>
        <v/>
      </c>
      <c r="AIE11" s="12">
        <f>AHW11*PaymentFee</f>
        <v/>
      </c>
      <c r="AIF11" s="12">
        <f>AHQ11*OpsAI</f>
        <v/>
      </c>
      <c r="AIG11" s="12">
        <f>MonthlyFixed</f>
        <v/>
      </c>
      <c r="AIH11" s="12">
        <f>AHE11*ReferralReward</f>
        <v/>
      </c>
      <c r="AII11" s="12">
        <f>AHC11</f>
        <v/>
      </c>
      <c r="AIJ11" s="9">
        <f>AHZ11-AID11-AIE11-AIF11-AIG11-AIH11-AII11</f>
        <v/>
      </c>
      <c r="AIK11" s="9">
        <f>AIK10+AHW11-(AID11+AIE11+AIF11+AIG11+AIH11+AII11+AIB11)</f>
        <v/>
      </c>
      <c r="AIL11" s="12">
        <f>IF(AHQ11&gt;0,AHR11/AHQ11,0)</f>
        <v/>
      </c>
      <c r="AIM11" s="11">
        <f>IF(AHQ10&gt;0,MAX(0,(AHQ10+AHF11-AHQ11)/AHQ10),0)</f>
        <v/>
      </c>
      <c r="AIO11" s="12" t="n">
        <v>7</v>
      </c>
      <c r="AIP11" s="12">
        <f>MOD(AIO11-1+LaunchMonth-1,12)+1</f>
        <v/>
      </c>
      <c r="AIQ11" s="12">
        <f>INT((AIO11-1+LaunchMonth-1)/12)+1</f>
        <v/>
      </c>
      <c r="AIR11" s="12">
        <f>VLOOKUP(AIP11,SeasonTable,2,FALSE)</f>
        <v/>
      </c>
      <c r="AIS11" s="12">
        <f>(1+InflationRate)^INT((AIO11-1)/12)</f>
        <v/>
      </c>
      <c r="AIT11" s="11">
        <f>MonthlyChurn*VLOOKUP(AIP11,ChurnSeasonTable,4,FALSE)</f>
        <v/>
      </c>
      <c r="AIU11" s="12">
        <f>MIN(MAX(MktMin7_12,AJO10*MktPct7_12),MAX(0,AKC10-CashBuffer))</f>
        <v/>
      </c>
      <c r="AIV11" s="12">
        <f>IF(AIU11&gt;0,MAX(1,ROUND(AIU11/'Sens - CAC &amp; Marketing'!$A$11*AIR11,0)),0)</f>
        <v/>
      </c>
      <c r="AIW11" s="12">
        <f>IF(AIV11&gt;0,ROUND(AIV11*ReferralMix/(1-ReferralMix),0),0)</f>
        <v/>
      </c>
      <c r="AIX11" s="12">
        <f>AIV11+AIW11</f>
        <v/>
      </c>
      <c r="AIY11" s="12">
        <f>ROUND(AIX11*(1-AnnualMix),0)</f>
        <v/>
      </c>
      <c r="AIZ11" s="12">
        <f>AIX11-AIY11</f>
        <v/>
      </c>
      <c r="AJA11" s="12">
        <f>ROUND(AIY11*EssentialMix,0)</f>
        <v/>
      </c>
      <c r="AJB11" s="12">
        <f>AIY11-AJA11</f>
        <v/>
      </c>
      <c r="AJC11" s="12">
        <f>ROUND(AIZ11*EssentialMix,0)</f>
        <v/>
      </c>
      <c r="AJD11" s="12">
        <f>AIZ11-AJC11</f>
        <v/>
      </c>
      <c r="AJE11" s="12">
        <f>AJA11+AJA10+AJA9+MAX(0,AJE10-AJA10-AJA9)*(1-AIT11)</f>
        <v/>
      </c>
      <c r="AJF11" s="12">
        <f>AJB11+AJB10+AJB9+MAX(0,AJF10-AJB10-AJB9)*(1-AIT11)</f>
        <v/>
      </c>
      <c r="AJG11" s="12">
        <f>SUM(AJC$5:AJC11)</f>
        <v/>
      </c>
      <c r="AJH11" s="12">
        <f>SUM(AJD$5:AJD11)</f>
        <v/>
      </c>
      <c r="AJI11" s="12">
        <f>AJE11+AJF11+AJG11+AJH11</f>
        <v/>
      </c>
      <c r="AJJ11" s="9">
        <f>AJE11*PriceEssMonthly*AIS11+AJF11*PricePremMonthly*AIS11+AJG11*PriceEssAnnual*AIS11/12+AJH11*PricePremAnnual*AIS11/12</f>
        <v/>
      </c>
      <c r="AJK11" s="9">
        <f>AJJ11*12</f>
        <v/>
      </c>
      <c r="AJL11" s="12">
        <f>AJE11*PriceEssMonthly*AIS11+AJF11*PricePremMonthly*AIS11</f>
        <v/>
      </c>
      <c r="AJM11" s="12">
        <f>AJC11*PriceEssAnnual*AIS11+AJD11*PricePremAnnual*AIS11</f>
        <v/>
      </c>
      <c r="AJN11" s="12">
        <f>0+0</f>
        <v/>
      </c>
      <c r="AJO11" s="9">
        <f>AJL11+AJM11+AJN11</f>
        <v/>
      </c>
      <c r="AJP11" s="12">
        <f>SUM(AJO$5:AJO11)</f>
        <v/>
      </c>
      <c r="AJQ11" s="12">
        <f>OR(AJQ10,AJP11&gt;=VATThreshold)</f>
        <v/>
      </c>
      <c r="AJR11" s="9">
        <f>IF(AJQ11,AJO11/(1+VATRate),AJO11)</f>
        <v/>
      </c>
      <c r="AJS11" s="12">
        <f>AJO11-AJR11</f>
        <v/>
      </c>
      <c r="AJT11" s="12">
        <f>IF(AJQ11=0,0,IF(AIP11=1,SUMPRODUCT(--(($AIQ$5:$AIQ11=$AIQ11-1)*($AIP$5:$AIP11&gt;=10)*($AIP$5:$AIP11&lt;=12)),$AJS$5:$AJS11),IF(AIP11=4,SUMPRODUCT(--(($AIQ$5:$AIQ11=$AIQ11)*($AIP$5:$AIP11&gt;=1)*($AIP$5:$AIP11&lt;=3)),$AJS$5:$AJS11),IF(AIP11=7,SUMPRODUCT(--(($AIQ$5:$AIQ11=$AIQ11)*($AIP$5:$AIP11&gt;=4)*($AIP$5:$AIP11&lt;=6)),$AJS$5:$AJS11),IF(AIP11=10,SUMPRODUCT(--(($AIQ$5:$AIQ11=$AIQ11)*($AIP$5:$AIP11&gt;=7)*($AIP$5:$AIP11&lt;=9)),$AJS$5:$AJS11),0)))))</f>
        <v/>
      </c>
      <c r="AJU11" s="12">
        <f>AJU10+AJS11-AJT11</f>
        <v/>
      </c>
      <c r="AJV11" s="12">
        <f>IF(ProviderDelay&gt;=1,AJR10*ProviderShare,AJR11*ProviderShare)</f>
        <v/>
      </c>
      <c r="AJW11" s="12">
        <f>AJO11*PaymentFee</f>
        <v/>
      </c>
      <c r="AJX11" s="12">
        <f>AJI11*OpsAI</f>
        <v/>
      </c>
      <c r="AJY11" s="12">
        <f>MonthlyFixed</f>
        <v/>
      </c>
      <c r="AJZ11" s="12">
        <f>AIW11*ReferralReward</f>
        <v/>
      </c>
      <c r="AKA11" s="12">
        <f>AIU11</f>
        <v/>
      </c>
      <c r="AKB11" s="9">
        <f>AJR11-AJV11-AJW11-AJX11-AJY11-AJZ11-AKA11</f>
        <v/>
      </c>
      <c r="AKC11" s="9">
        <f>AKC10+AJO11-(AJV11+AJW11+AJX11+AJY11+AJZ11+AKA11+AJT11)</f>
        <v/>
      </c>
      <c r="AKD11" s="12">
        <f>IF(AJI11&gt;0,AJJ11/AJI11,0)</f>
        <v/>
      </c>
      <c r="AKE11" s="11">
        <f>IF(AJI10&gt;0,MAX(0,(AJI10+AIX11-AJI11)/AJI10),0)</f>
        <v/>
      </c>
      <c r="AKG11" s="12" t="n">
        <v>7</v>
      </c>
      <c r="AKH11" s="12">
        <f>MOD(AKG11-1+LaunchMonth-1,12)+1</f>
        <v/>
      </c>
      <c r="AKI11" s="12">
        <f>INT((AKG11-1+LaunchMonth-1)/12)+1</f>
        <v/>
      </c>
      <c r="AKJ11" s="12">
        <f>VLOOKUP(AKH11,SeasonTable,2,FALSE)</f>
        <v/>
      </c>
      <c r="AKK11" s="12">
        <f>(1+InflationRate)^INT((AKG11-1)/12)</f>
        <v/>
      </c>
      <c r="AKL11" s="11">
        <f>MonthlyChurn*VLOOKUP(AKH11,ChurnSeasonTable,4,FALSE)</f>
        <v/>
      </c>
      <c r="AKM11" s="12">
        <f>MIN(MAX(MktMin7_12,ALG10*MktPct7_12),MAX(0,ALU10-CashBuffer))</f>
        <v/>
      </c>
      <c r="AKN11" s="12">
        <f>IF(AKM11&gt;0,MAX(1,ROUND(AKM11/'Sens - CAC &amp; Marketing'!$A$12*AKJ11,0)),0)</f>
        <v/>
      </c>
      <c r="AKO11" s="12">
        <f>IF(AKN11&gt;0,ROUND(AKN11*ReferralMix/(1-ReferralMix),0),0)</f>
        <v/>
      </c>
      <c r="AKP11" s="12">
        <f>AKN11+AKO11</f>
        <v/>
      </c>
      <c r="AKQ11" s="12">
        <f>ROUND(AKP11*(1-AnnualMix),0)</f>
        <v/>
      </c>
      <c r="AKR11" s="12">
        <f>AKP11-AKQ11</f>
        <v/>
      </c>
      <c r="AKS11" s="12">
        <f>ROUND(AKQ11*EssentialMix,0)</f>
        <v/>
      </c>
      <c r="AKT11" s="12">
        <f>AKQ11-AKS11</f>
        <v/>
      </c>
      <c r="AKU11" s="12">
        <f>ROUND(AKR11*EssentialMix,0)</f>
        <v/>
      </c>
      <c r="AKV11" s="12">
        <f>AKR11-AKU11</f>
        <v/>
      </c>
      <c r="AKW11" s="12">
        <f>AKS11+AKS10+AKS9+MAX(0,AKW10-AKS10-AKS9)*(1-AKL11)</f>
        <v/>
      </c>
      <c r="AKX11" s="12">
        <f>AKT11+AKT10+AKT9+MAX(0,AKX10-AKT10-AKT9)*(1-AKL11)</f>
        <v/>
      </c>
      <c r="AKY11" s="12">
        <f>SUM(AKU$5:AKU11)</f>
        <v/>
      </c>
      <c r="AKZ11" s="12">
        <f>SUM(AKV$5:AKV11)</f>
        <v/>
      </c>
      <c r="ALA11" s="12">
        <f>AKW11+AKX11+AKY11+AKZ11</f>
        <v/>
      </c>
      <c r="ALB11" s="9">
        <f>AKW11*PriceEssMonthly*AKK11+AKX11*PricePremMonthly*AKK11+AKY11*PriceEssAnnual*AKK11/12+AKZ11*PricePremAnnual*AKK11/12</f>
        <v/>
      </c>
      <c r="ALC11" s="9">
        <f>ALB11*12</f>
        <v/>
      </c>
      <c r="ALD11" s="12">
        <f>AKW11*PriceEssMonthly*AKK11+AKX11*PricePremMonthly*AKK11</f>
        <v/>
      </c>
      <c r="ALE11" s="12">
        <f>AKU11*PriceEssAnnual*AKK11+AKV11*PricePremAnnual*AKK11</f>
        <v/>
      </c>
      <c r="ALF11" s="12">
        <f>0+0</f>
        <v/>
      </c>
      <c r="ALG11" s="9">
        <f>ALD11+ALE11+ALF11</f>
        <v/>
      </c>
      <c r="ALH11" s="12">
        <f>SUM(ALG$5:ALG11)</f>
        <v/>
      </c>
      <c r="ALI11" s="12">
        <f>OR(ALI10,ALH11&gt;=VATThreshold)</f>
        <v/>
      </c>
      <c r="ALJ11" s="9">
        <f>IF(ALI11,ALG11/(1+VATRate),ALG11)</f>
        <v/>
      </c>
      <c r="ALK11" s="12">
        <f>ALG11-ALJ11</f>
        <v/>
      </c>
      <c r="ALL11" s="12">
        <f>IF(ALI11=0,0,IF(AKH11=1,SUMPRODUCT(--(($AKI$5:$AKI11=$AKI11-1)*($AKH$5:$AKH11&gt;=10)*($AKH$5:$AKH11&lt;=12)),$ALK$5:$ALK11),IF(AKH11=4,SUMPRODUCT(--(($AKI$5:$AKI11=$AKI11)*($AKH$5:$AKH11&gt;=1)*($AKH$5:$AKH11&lt;=3)),$ALK$5:$ALK11),IF(AKH11=7,SUMPRODUCT(--(($AKI$5:$AKI11=$AKI11)*($AKH$5:$AKH11&gt;=4)*($AKH$5:$AKH11&lt;=6)),$ALK$5:$ALK11),IF(AKH11=10,SUMPRODUCT(--(($AKI$5:$AKI11=$AKI11)*($AKH$5:$AKH11&gt;=7)*($AKH$5:$AKH11&lt;=9)),$ALK$5:$ALK11),0)))))</f>
        <v/>
      </c>
      <c r="ALM11" s="12">
        <f>ALM10+ALK11-ALL11</f>
        <v/>
      </c>
      <c r="ALN11" s="12">
        <f>IF(ProviderDelay&gt;=1,ALJ10*ProviderShare,ALJ11*ProviderShare)</f>
        <v/>
      </c>
      <c r="ALO11" s="12">
        <f>ALG11*PaymentFee</f>
        <v/>
      </c>
      <c r="ALP11" s="12">
        <f>ALA11*OpsAI</f>
        <v/>
      </c>
      <c r="ALQ11" s="12">
        <f>MonthlyFixed</f>
        <v/>
      </c>
      <c r="ALR11" s="12">
        <f>AKO11*ReferralReward</f>
        <v/>
      </c>
      <c r="ALS11" s="12">
        <f>AKM11</f>
        <v/>
      </c>
      <c r="ALT11" s="9">
        <f>ALJ11-ALN11-ALO11-ALP11-ALQ11-ALR11-ALS11</f>
        <v/>
      </c>
      <c r="ALU11" s="9">
        <f>ALU10+ALG11-(ALN11+ALO11+ALP11+ALQ11+ALR11+ALS11+ALL11)</f>
        <v/>
      </c>
      <c r="ALV11" s="12">
        <f>IF(ALA11&gt;0,ALB11/ALA11,0)</f>
        <v/>
      </c>
      <c r="ALW11" s="11">
        <f>IF(ALA10&gt;0,MAX(0,(ALA10+AKP11-ALA11)/ALA10),0)</f>
        <v/>
      </c>
      <c r="ALY11" s="12" t="n">
        <v>7</v>
      </c>
      <c r="ALZ11" s="12">
        <f>MOD(ALY11-1+LaunchMonth-1,12)+1</f>
        <v/>
      </c>
      <c r="AMA11" s="12">
        <f>INT((ALY11-1+LaunchMonth-1)/12)+1</f>
        <v/>
      </c>
      <c r="AMB11" s="12">
        <f>VLOOKUP(ALZ11,SeasonTable,2,FALSE)</f>
        <v/>
      </c>
      <c r="AMC11" s="12">
        <f>(1+InflationRate)^INT((ALY11-1)/12)</f>
        <v/>
      </c>
      <c r="AMD11" s="11">
        <f>MonthlyChurn*VLOOKUP(ALZ11,ChurnSeasonTable,4,FALSE)</f>
        <v/>
      </c>
      <c r="AME11" s="12">
        <f>MIN(MAX(MktMin7_12,AMY10*MktPct7_12),MAX(0,ANM10-CashBuffer))</f>
        <v/>
      </c>
      <c r="AMF11" s="12">
        <f>IF(AME11&gt;0,MAX(1,ROUND(AME11/'Sens - CAC &amp; Marketing'!$A$13*AMB11,0)),0)</f>
        <v/>
      </c>
      <c r="AMG11" s="12">
        <f>IF(AMF11&gt;0,ROUND(AMF11*ReferralMix/(1-ReferralMix),0),0)</f>
        <v/>
      </c>
      <c r="AMH11" s="12">
        <f>AMF11+AMG11</f>
        <v/>
      </c>
      <c r="AMI11" s="12">
        <f>ROUND(AMH11*(1-AnnualMix),0)</f>
        <v/>
      </c>
      <c r="AMJ11" s="12">
        <f>AMH11-AMI11</f>
        <v/>
      </c>
      <c r="AMK11" s="12">
        <f>ROUND(AMI11*EssentialMix,0)</f>
        <v/>
      </c>
      <c r="AML11" s="12">
        <f>AMI11-AMK11</f>
        <v/>
      </c>
      <c r="AMM11" s="12">
        <f>ROUND(AMJ11*EssentialMix,0)</f>
        <v/>
      </c>
      <c r="AMN11" s="12">
        <f>AMJ11-AMM11</f>
        <v/>
      </c>
      <c r="AMO11" s="12">
        <f>AMK11+AMK10+AMK9+MAX(0,AMO10-AMK10-AMK9)*(1-AMD11)</f>
        <v/>
      </c>
      <c r="AMP11" s="12">
        <f>AML11+AML10+AML9+MAX(0,AMP10-AML10-AML9)*(1-AMD11)</f>
        <v/>
      </c>
      <c r="AMQ11" s="12">
        <f>SUM(AMM$5:AMM11)</f>
        <v/>
      </c>
      <c r="AMR11" s="12">
        <f>SUM(AMN$5:AMN11)</f>
        <v/>
      </c>
      <c r="AMS11" s="12">
        <f>AMO11+AMP11+AMQ11+AMR11</f>
        <v/>
      </c>
      <c r="AMT11" s="9">
        <f>AMO11*PriceEssMonthly*AMC11+AMP11*PricePremMonthly*AMC11+AMQ11*PriceEssAnnual*AMC11/12+AMR11*PricePremAnnual*AMC11/12</f>
        <v/>
      </c>
      <c r="AMU11" s="9">
        <f>AMT11*12</f>
        <v/>
      </c>
      <c r="AMV11" s="12">
        <f>AMO11*PriceEssMonthly*AMC11+AMP11*PricePremMonthly*AMC11</f>
        <v/>
      </c>
      <c r="AMW11" s="12">
        <f>AMM11*PriceEssAnnual*AMC11+AMN11*PricePremAnnual*AMC11</f>
        <v/>
      </c>
      <c r="AMX11" s="12">
        <f>0+0</f>
        <v/>
      </c>
      <c r="AMY11" s="9">
        <f>AMV11+AMW11+AMX11</f>
        <v/>
      </c>
      <c r="AMZ11" s="12">
        <f>SUM(AMY$5:AMY11)</f>
        <v/>
      </c>
      <c r="ANA11" s="12">
        <f>OR(ANA10,AMZ11&gt;=VATThreshold)</f>
        <v/>
      </c>
      <c r="ANB11" s="9">
        <f>IF(ANA11,AMY11/(1+VATRate),AMY11)</f>
        <v/>
      </c>
      <c r="ANC11" s="12">
        <f>AMY11-ANB11</f>
        <v/>
      </c>
      <c r="AND11" s="12">
        <f>IF(ANA11=0,0,IF(ALZ11=1,SUMPRODUCT(--(($AMA$5:$AMA11=$AMA11-1)*($ALZ$5:$ALZ11&gt;=10)*($ALZ$5:$ALZ11&lt;=12)),$ANC$5:$ANC11),IF(ALZ11=4,SUMPRODUCT(--(($AMA$5:$AMA11=$AMA11)*($ALZ$5:$ALZ11&gt;=1)*($ALZ$5:$ALZ11&lt;=3)),$ANC$5:$ANC11),IF(ALZ11=7,SUMPRODUCT(--(($AMA$5:$AMA11=$AMA11)*($ALZ$5:$ALZ11&gt;=4)*($ALZ$5:$ALZ11&lt;=6)),$ANC$5:$ANC11),IF(ALZ11=10,SUMPRODUCT(--(($AMA$5:$AMA11=$AMA11)*($ALZ$5:$ALZ11&gt;=7)*($ALZ$5:$ALZ11&lt;=9)),$ANC$5:$ANC11),0)))))</f>
        <v/>
      </c>
      <c r="ANE11" s="12">
        <f>ANE10+ANC11-AND11</f>
        <v/>
      </c>
      <c r="ANF11" s="12">
        <f>IF(ProviderDelay&gt;=1,ANB10*ProviderShare,ANB11*ProviderShare)</f>
        <v/>
      </c>
      <c r="ANG11" s="12">
        <f>AMY11*PaymentFee</f>
        <v/>
      </c>
      <c r="ANH11" s="12">
        <f>AMS11*OpsAI</f>
        <v/>
      </c>
      <c r="ANI11" s="12">
        <f>MonthlyFixed</f>
        <v/>
      </c>
      <c r="ANJ11" s="12">
        <f>AMG11*ReferralReward</f>
        <v/>
      </c>
      <c r="ANK11" s="12">
        <f>AME11</f>
        <v/>
      </c>
      <c r="ANL11" s="9">
        <f>ANB11-ANF11-ANG11-ANH11-ANI11-ANJ11-ANK11</f>
        <v/>
      </c>
      <c r="ANM11" s="9">
        <f>ANM10+AMY11-(ANF11+ANG11+ANH11+ANI11+ANJ11+ANK11+AND11)</f>
        <v/>
      </c>
      <c r="ANN11" s="12">
        <f>IF(AMS11&gt;0,AMT11/AMS11,0)</f>
        <v/>
      </c>
      <c r="ANO11" s="11">
        <f>IF(AMS10&gt;0,MAX(0,(AMS10+AMH11-AMS11)/AMS10),0)</f>
        <v/>
      </c>
      <c r="ANQ11" s="12" t="n">
        <v>7</v>
      </c>
      <c r="ANR11" s="12">
        <f>MOD(ANQ11-1+LaunchMonth-1,12)+1</f>
        <v/>
      </c>
      <c r="ANS11" s="12">
        <f>INT((ANQ11-1+LaunchMonth-1)/12)+1</f>
        <v/>
      </c>
      <c r="ANT11" s="12">
        <f>VLOOKUP(ANR11,SeasonTable,2,FALSE)</f>
        <v/>
      </c>
      <c r="ANU11" s="12">
        <f>(1+InflationRate)^INT((ANQ11-1)/12)</f>
        <v/>
      </c>
      <c r="ANV11" s="11">
        <f>MonthlyChurn*VLOOKUP(ANR11,ChurnSeasonTable,4,FALSE)</f>
        <v/>
      </c>
      <c r="ANW11" s="12">
        <f>MIN(MAX(MktMin7_12,AOQ10*MktPct7_12),MAX(0,APE10-CashBuffer))</f>
        <v/>
      </c>
      <c r="ANX11" s="12">
        <f>IF(ANW11&gt;0,MAX(1,ROUND(ANW11/'Sens - CAC &amp; Marketing'!$A$14*ANT11,0)),0)</f>
        <v/>
      </c>
      <c r="ANY11" s="12">
        <f>IF(ANX11&gt;0,ROUND(ANX11*ReferralMix/(1-ReferralMix),0),0)</f>
        <v/>
      </c>
      <c r="ANZ11" s="12">
        <f>ANX11+ANY11</f>
        <v/>
      </c>
      <c r="AOA11" s="12">
        <f>ROUND(ANZ11*(1-AnnualMix),0)</f>
        <v/>
      </c>
      <c r="AOB11" s="12">
        <f>ANZ11-AOA11</f>
        <v/>
      </c>
      <c r="AOC11" s="12">
        <f>ROUND(AOA11*EssentialMix,0)</f>
        <v/>
      </c>
      <c r="AOD11" s="12">
        <f>AOA11-AOC11</f>
        <v/>
      </c>
      <c r="AOE11" s="12">
        <f>ROUND(AOB11*EssentialMix,0)</f>
        <v/>
      </c>
      <c r="AOF11" s="12">
        <f>AOB11-AOE11</f>
        <v/>
      </c>
      <c r="AOG11" s="12">
        <f>AOC11+AOC10+AOC9+MAX(0,AOG10-AOC10-AOC9)*(1-ANV11)</f>
        <v/>
      </c>
      <c r="AOH11" s="12">
        <f>AOD11+AOD10+AOD9+MAX(0,AOH10-AOD10-AOD9)*(1-ANV11)</f>
        <v/>
      </c>
      <c r="AOI11" s="12">
        <f>SUM(AOE$5:AOE11)</f>
        <v/>
      </c>
      <c r="AOJ11" s="12">
        <f>SUM(AOF$5:AOF11)</f>
        <v/>
      </c>
      <c r="AOK11" s="12">
        <f>AOG11+AOH11+AOI11+AOJ11</f>
        <v/>
      </c>
      <c r="AOL11" s="9">
        <f>AOG11*PriceEssMonthly*ANU11+AOH11*PricePremMonthly*ANU11+AOI11*PriceEssAnnual*ANU11/12+AOJ11*PricePremAnnual*ANU11/12</f>
        <v/>
      </c>
      <c r="AOM11" s="9">
        <f>AOL11*12</f>
        <v/>
      </c>
      <c r="AON11" s="12">
        <f>AOG11*PriceEssMonthly*ANU11+AOH11*PricePremMonthly*ANU11</f>
        <v/>
      </c>
      <c r="AOO11" s="12">
        <f>AOE11*PriceEssAnnual*ANU11+AOF11*PricePremAnnual*ANU11</f>
        <v/>
      </c>
      <c r="AOP11" s="12">
        <f>0+0</f>
        <v/>
      </c>
      <c r="AOQ11" s="9">
        <f>AON11+AOO11+AOP11</f>
        <v/>
      </c>
      <c r="AOR11" s="12">
        <f>SUM(AOQ$5:AOQ11)</f>
        <v/>
      </c>
      <c r="AOS11" s="12">
        <f>OR(AOS10,AOR11&gt;=VATThreshold)</f>
        <v/>
      </c>
      <c r="AOT11" s="9">
        <f>IF(AOS11,AOQ11/(1+VATRate),AOQ11)</f>
        <v/>
      </c>
      <c r="AOU11" s="12">
        <f>AOQ11-AOT11</f>
        <v/>
      </c>
      <c r="AOV11" s="12">
        <f>IF(AOS11=0,0,IF(ANR11=1,SUMPRODUCT(--(($ANS$5:$ANS11=$ANS11-1)*($ANR$5:$ANR11&gt;=10)*($ANR$5:$ANR11&lt;=12)),$AOU$5:$AOU11),IF(ANR11=4,SUMPRODUCT(--(($ANS$5:$ANS11=$ANS11)*($ANR$5:$ANR11&gt;=1)*($ANR$5:$ANR11&lt;=3)),$AOU$5:$AOU11),IF(ANR11=7,SUMPRODUCT(--(($ANS$5:$ANS11=$ANS11)*($ANR$5:$ANR11&gt;=4)*($ANR$5:$ANR11&lt;=6)),$AOU$5:$AOU11),IF(ANR11=10,SUMPRODUCT(--(($ANS$5:$ANS11=$ANS11)*($ANR$5:$ANR11&gt;=7)*($ANR$5:$ANR11&lt;=9)),$AOU$5:$AOU11),0)))))</f>
        <v/>
      </c>
      <c r="AOW11" s="12">
        <f>AOW10+AOU11-AOV11</f>
        <v/>
      </c>
      <c r="AOX11" s="12">
        <f>IF(ProviderDelay&gt;=1,AOT10*ProviderShare,AOT11*ProviderShare)</f>
        <v/>
      </c>
      <c r="AOY11" s="12">
        <f>AOQ11*PaymentFee</f>
        <v/>
      </c>
      <c r="AOZ11" s="12">
        <f>AOK11*OpsAI</f>
        <v/>
      </c>
      <c r="APA11" s="12">
        <f>MonthlyFixed</f>
        <v/>
      </c>
      <c r="APB11" s="12">
        <f>ANY11*ReferralReward</f>
        <v/>
      </c>
      <c r="APC11" s="12">
        <f>ANW11</f>
        <v/>
      </c>
      <c r="APD11" s="9">
        <f>AOT11-AOX11-AOY11-AOZ11-APA11-APB11-APC11</f>
        <v/>
      </c>
      <c r="APE11" s="9">
        <f>APE10+AOQ11-(AOX11+AOY11+AOZ11+APA11+APB11+APC11+AOV11)</f>
        <v/>
      </c>
      <c r="APF11" s="12">
        <f>IF(AOK11&gt;0,AOL11/AOK11,0)</f>
        <v/>
      </c>
      <c r="APG11" s="11">
        <f>IF(AOK10&gt;0,MAX(0,(AOK10+ANZ11-AOK11)/AOK10),0)</f>
        <v/>
      </c>
      <c r="API11" s="12" t="n">
        <v>7</v>
      </c>
      <c r="APJ11" s="12">
        <f>MOD(API11-1+LaunchMonth-1,12)+1</f>
        <v/>
      </c>
      <c r="APK11" s="12">
        <f>INT((API11-1+LaunchMonth-1)/12)+1</f>
        <v/>
      </c>
      <c r="APL11" s="12">
        <f>VLOOKUP(APJ11,SeasonTable,2,FALSE)</f>
        <v/>
      </c>
      <c r="APM11" s="12">
        <f>(1+InflationRate)^INT((API11-1)/12)</f>
        <v/>
      </c>
      <c r="APN11" s="11">
        <f>MonthlyChurn*VLOOKUP(APJ11,ChurnSeasonTable,4,FALSE)</f>
        <v/>
      </c>
      <c r="APO11" s="12">
        <f>MIN(MAX(MktMin7_12,AQI10*MktPct7_12),MAX(0,AQW10-CashBuffer))</f>
        <v/>
      </c>
      <c r="APP11" s="12">
        <f>IF(APO11&gt;0,MAX(1,ROUND(APO11/'Sens - CAC &amp; Marketing'!$A$15*APL11,0)),0)</f>
        <v/>
      </c>
      <c r="APQ11" s="12">
        <f>IF(APP11&gt;0,ROUND(APP11*ReferralMix/(1-ReferralMix),0),0)</f>
        <v/>
      </c>
      <c r="APR11" s="12">
        <f>APP11+APQ11</f>
        <v/>
      </c>
      <c r="APS11" s="12">
        <f>ROUND(APR11*(1-AnnualMix),0)</f>
        <v/>
      </c>
      <c r="APT11" s="12">
        <f>APR11-APS11</f>
        <v/>
      </c>
      <c r="APU11" s="12">
        <f>ROUND(APS11*EssentialMix,0)</f>
        <v/>
      </c>
      <c r="APV11" s="12">
        <f>APS11-APU11</f>
        <v/>
      </c>
      <c r="APW11" s="12">
        <f>ROUND(APT11*EssentialMix,0)</f>
        <v/>
      </c>
      <c r="APX11" s="12">
        <f>APT11-APW11</f>
        <v/>
      </c>
      <c r="APY11" s="12">
        <f>APU11+APU10+APU9+MAX(0,APY10-APU10-APU9)*(1-APN11)</f>
        <v/>
      </c>
      <c r="APZ11" s="12">
        <f>APV11+APV10+APV9+MAX(0,APZ10-APV10-APV9)*(1-APN11)</f>
        <v/>
      </c>
      <c r="AQA11" s="12">
        <f>SUM(APW$5:APW11)</f>
        <v/>
      </c>
      <c r="AQB11" s="12">
        <f>SUM(APX$5:APX11)</f>
        <v/>
      </c>
      <c r="AQC11" s="12">
        <f>APY11+APZ11+AQA11+AQB11</f>
        <v/>
      </c>
      <c r="AQD11" s="9">
        <f>APY11*PriceEssMonthly*APM11+APZ11*PricePremMonthly*APM11+AQA11*PriceEssAnnual*APM11/12+AQB11*PricePremAnnual*APM11/12</f>
        <v/>
      </c>
      <c r="AQE11" s="9">
        <f>AQD11*12</f>
        <v/>
      </c>
      <c r="AQF11" s="12">
        <f>APY11*PriceEssMonthly*APM11+APZ11*PricePremMonthly*APM11</f>
        <v/>
      </c>
      <c r="AQG11" s="12">
        <f>APW11*PriceEssAnnual*APM11+APX11*PricePremAnnual*APM11</f>
        <v/>
      </c>
      <c r="AQH11" s="12">
        <f>0+0</f>
        <v/>
      </c>
      <c r="AQI11" s="9">
        <f>AQF11+AQG11+AQH11</f>
        <v/>
      </c>
      <c r="AQJ11" s="12">
        <f>SUM(AQI$5:AQI11)</f>
        <v/>
      </c>
      <c r="AQK11" s="12">
        <f>OR(AQK10,AQJ11&gt;=VATThreshold)</f>
        <v/>
      </c>
      <c r="AQL11" s="9">
        <f>IF(AQK11,AQI11/(1+VATRate),AQI11)</f>
        <v/>
      </c>
      <c r="AQM11" s="12">
        <f>AQI11-AQL11</f>
        <v/>
      </c>
      <c r="AQN11" s="12">
        <f>IF(AQK11=0,0,IF(APJ11=1,SUMPRODUCT(--(($APK$5:$APK11=$APK11-1)*($APJ$5:$APJ11&gt;=10)*($APJ$5:$APJ11&lt;=12)),$AQM$5:$AQM11),IF(APJ11=4,SUMPRODUCT(--(($APK$5:$APK11=$APK11)*($APJ$5:$APJ11&gt;=1)*($APJ$5:$APJ11&lt;=3)),$AQM$5:$AQM11),IF(APJ11=7,SUMPRODUCT(--(($APK$5:$APK11=$APK11)*($APJ$5:$APJ11&gt;=4)*($APJ$5:$APJ11&lt;=6)),$AQM$5:$AQM11),IF(APJ11=10,SUMPRODUCT(--(($APK$5:$APK11=$APK11)*($APJ$5:$APJ11&gt;=7)*($APJ$5:$APJ11&lt;=9)),$AQM$5:$AQM11),0)))))</f>
        <v/>
      </c>
      <c r="AQO11" s="12">
        <f>AQO10+AQM11-AQN11</f>
        <v/>
      </c>
      <c r="AQP11" s="12">
        <f>IF(ProviderDelay&gt;=1,AQL10*ProviderShare,AQL11*ProviderShare)</f>
        <v/>
      </c>
      <c r="AQQ11" s="12">
        <f>AQI11*PaymentFee</f>
        <v/>
      </c>
      <c r="AQR11" s="12">
        <f>AQC11*OpsAI</f>
        <v/>
      </c>
      <c r="AQS11" s="12">
        <f>MonthlyFixed</f>
        <v/>
      </c>
      <c r="AQT11" s="12">
        <f>APQ11*ReferralReward</f>
        <v/>
      </c>
      <c r="AQU11" s="12">
        <f>APO11</f>
        <v/>
      </c>
      <c r="AQV11" s="9">
        <f>AQL11-AQP11-AQQ11-AQR11-AQS11-AQT11-AQU11</f>
        <v/>
      </c>
      <c r="AQW11" s="9">
        <f>AQW10+AQI11-(AQP11+AQQ11+AQR11+AQS11+AQT11+AQU11+AQN11)</f>
        <v/>
      </c>
      <c r="AQX11" s="12">
        <f>IF(AQC11&gt;0,AQD11/AQC11,0)</f>
        <v/>
      </c>
      <c r="AQY11" s="11">
        <f>IF(AQC10&gt;0,MAX(0,(AQC10+APR11-AQC11)/AQC10),0)</f>
        <v/>
      </c>
      <c r="ARA11" s="12" t="n">
        <v>7</v>
      </c>
      <c r="ARB11" s="12">
        <f>MOD(ARA11-1+LaunchMonth-1,12)+1</f>
        <v/>
      </c>
      <c r="ARC11" s="12">
        <f>INT((ARA11-1+LaunchMonth-1)/12)+1</f>
        <v/>
      </c>
      <c r="ARD11" s="12">
        <f>VLOOKUP(ARB11,WinterPivotSeasonTable,5,FALSE)</f>
        <v/>
      </c>
      <c r="ARE11" s="12">
        <f>(1+InflationRate)^INT((ARA11-1)/12)</f>
        <v/>
      </c>
      <c r="ARF11" s="11">
        <f>MonthlyChurn*VLOOKUP(ARB11,WinterPivotChurnTable,6,FALSE)</f>
        <v/>
      </c>
      <c r="ARG11" s="12">
        <f>MIN(MAX(MktMin7_12,ASA10*MktPct7_12),MAX(0,ASO10-CashBuffer))</f>
        <v/>
      </c>
      <c r="ARH11" s="12">
        <f>IF(ARG11&gt;0,MAX(1,ROUND(ARG11/CAC*ARD11,0)),0)</f>
        <v/>
      </c>
      <c r="ARI11" s="12">
        <f>IF(ARH11&gt;0,ROUND(ARH11*ReferralMix/(1-ReferralMix),0),0)</f>
        <v/>
      </c>
      <c r="ARJ11" s="12">
        <f>ARH11+ARI11</f>
        <v/>
      </c>
      <c r="ARK11" s="12">
        <f>ROUND(ARJ11*(1-AnnualMix),0)</f>
        <v/>
      </c>
      <c r="ARL11" s="12">
        <f>ARJ11-ARK11</f>
        <v/>
      </c>
      <c r="ARM11" s="12">
        <f>ROUND(ARK11*'Sens - Winter Pivot'!$B$6,0)</f>
        <v/>
      </c>
      <c r="ARN11" s="12">
        <f>ARK11-ARM11</f>
        <v/>
      </c>
      <c r="ARO11" s="12">
        <f>ROUND(ARL11*'Sens - Winter Pivot'!$B$6,0)</f>
        <v/>
      </c>
      <c r="ARP11" s="12">
        <f>ARL11-ARO11</f>
        <v/>
      </c>
      <c r="ARQ11" s="12">
        <f>ARM11+ARM10+ARM9+MAX(0,ARQ10-ARM10-ARM9)*(1-ARF11)</f>
        <v/>
      </c>
      <c r="ARR11" s="12">
        <f>ARN11+ARN10+ARN9+MAX(0,ARR10-ARN10-ARN9)*(1-ARF11)</f>
        <v/>
      </c>
      <c r="ARS11" s="12">
        <f>SUM(ARO$5:ARO11)</f>
        <v/>
      </c>
      <c r="ART11" s="12">
        <f>SUM(ARP$5:ARP11)</f>
        <v/>
      </c>
      <c r="ARU11" s="12">
        <f>ARQ11+ARR11+ARS11+ART11</f>
        <v/>
      </c>
      <c r="ARV11" s="9">
        <f>ARQ11*PriceEssMonthly*ARE11+ARR11*(PricePremMonthly+'Sens - Winter Pivot'!$B$7)*ARE11+ARS11*PriceEssAnnual*ARE11/12+ART11*(PricePremAnnual+'Sens - Winter Pivot'!$B$7*12)*ARE11/12</f>
        <v/>
      </c>
      <c r="ARW11" s="9">
        <f>ARV11*12</f>
        <v/>
      </c>
      <c r="ARX11" s="12">
        <f>ARQ11*PriceEssMonthly*ARE11+ARR11*(PricePremMonthly+'Sens - Winter Pivot'!$B$7)*ARE11</f>
        <v/>
      </c>
      <c r="ARY11" s="12">
        <f>ARO11*PriceEssAnnual*ARE11+ARP11*(PricePremAnnual+'Sens - Winter Pivot'!$B$7*12)*ARE11</f>
        <v/>
      </c>
      <c r="ARZ11" s="12">
        <f>0+0</f>
        <v/>
      </c>
      <c r="ASA11" s="9">
        <f>ARX11+ARY11+ARZ11</f>
        <v/>
      </c>
      <c r="ASB11" s="12">
        <f>SUM(ASA$5:ASA11)</f>
        <v/>
      </c>
      <c r="ASC11" s="12">
        <f>OR(ASC10,ASB11&gt;=VATThreshold)</f>
        <v/>
      </c>
      <c r="ASD11" s="9">
        <f>IF(ASC11,ASA11/(1+VATRate),ASA11)</f>
        <v/>
      </c>
      <c r="ASE11" s="12">
        <f>ASA11-ASD11</f>
        <v/>
      </c>
      <c r="ASF11" s="12">
        <f>IF(ASC11=0,0,IF(ARB11=1,SUMPRODUCT(--(($ARC$5:$ARC11=$ARC11-1)*($ARB$5:$ARB11&gt;=10)*($ARB$5:$ARB11&lt;=12)),$ASE$5:$ASE11),IF(ARB11=4,SUMPRODUCT(--(($ARC$5:$ARC11=$ARC11)*($ARB$5:$ARB11&gt;=1)*($ARB$5:$ARB11&lt;=3)),$ASE$5:$ASE11),IF(ARB11=7,SUMPRODUCT(--(($ARC$5:$ARC11=$ARC11)*($ARB$5:$ARB11&gt;=4)*($ARB$5:$ARB11&lt;=6)),$ASE$5:$ASE11),IF(ARB11=10,SUMPRODUCT(--(($ARC$5:$ARC11=$ARC11)*($ARB$5:$ARB11&gt;=7)*($ARB$5:$ARB11&lt;=9)),$ASE$5:$ASE11),0)))))</f>
        <v/>
      </c>
      <c r="ASG11" s="12">
        <f>ASG10+ASE11-ASF11</f>
        <v/>
      </c>
      <c r="ASH11" s="12">
        <f>IF(ProviderDelay&gt;=1,ASD10*ProviderShare,ASD11*ProviderShare)</f>
        <v/>
      </c>
      <c r="ASI11" s="12">
        <f>ASA11*PaymentFee</f>
        <v/>
      </c>
      <c r="ASJ11" s="12">
        <f>ARU11*OpsAI</f>
        <v/>
      </c>
      <c r="ASK11" s="12">
        <f>MonthlyFixed</f>
        <v/>
      </c>
      <c r="ASL11" s="12">
        <f>ARI11*ReferralReward</f>
        <v/>
      </c>
      <c r="ASM11" s="12">
        <f>ARG11</f>
        <v/>
      </c>
      <c r="ASN11" s="9">
        <f>ASD11-ASH11-ASI11-ASJ11-ASK11-ASL11-ASM11</f>
        <v/>
      </c>
      <c r="ASO11" s="9">
        <f>ASO10+ASA11-(ASH11+ASI11+ASJ11+ASK11+ASL11+ASM11+ASF11)</f>
        <v/>
      </c>
      <c r="ASP11" s="12">
        <f>IF(ARU11&gt;0,ARV11/ARU11,0)</f>
        <v/>
      </c>
      <c r="ASQ11" s="11">
        <f>IF(ARU10&gt;0,MAX(0,(ARU10+ARJ11-ARU11)/ARU10),0)</f>
        <v/>
      </c>
    </row>
    <row r="12">
      <c r="A12" s="12" t="n">
        <v>8</v>
      </c>
      <c r="B12" s="12">
        <f>MOD(A12-1+LaunchMonth-1,12)+1</f>
        <v/>
      </c>
      <c r="C12" s="12">
        <f>INT((A12-1+LaunchMonth-1)/12)+1</f>
        <v/>
      </c>
      <c r="D12" s="12">
        <f>VLOOKUP(B12,SeasonTable,2,FALSE)</f>
        <v/>
      </c>
      <c r="E12" s="12">
        <f>(1+InflationRate)^INT((A12-1)/12)</f>
        <v/>
      </c>
      <c r="F12" s="11">
        <f>'Sens - Scenarios'!$B$5*VLOOKUP(B12,ChurnSeasonTable,4,FALSE)</f>
        <v/>
      </c>
      <c r="G12" s="12">
        <f>MIN(MAX(MktMin7_12,AA11*MktPct7_12),MAX(0,AO11-CashBuffer))</f>
        <v/>
      </c>
      <c r="H12" s="12">
        <f>IF(G12&gt;0,MAX(1,ROUND(G12/'Sens - Scenarios'!$B$8*D12,0)),0)</f>
        <v/>
      </c>
      <c r="I12" s="12">
        <f>IF(H12&gt;0,ROUND(H12*ReferralMix/(1-ReferralMix),0),0)</f>
        <v/>
      </c>
      <c r="J12" s="12">
        <f>H12+I12</f>
        <v/>
      </c>
      <c r="K12" s="12">
        <f>ROUND(J12*(1-'Sens - Scenarios'!$B$7),0)</f>
        <v/>
      </c>
      <c r="L12" s="12">
        <f>J12-K12</f>
        <v/>
      </c>
      <c r="M12" s="12">
        <f>ROUND(K12*EssentialMix,0)</f>
        <v/>
      </c>
      <c r="N12" s="12">
        <f>K12-M12</f>
        <v/>
      </c>
      <c r="O12" s="12">
        <f>ROUND(L12*EssentialMix,0)</f>
        <v/>
      </c>
      <c r="P12" s="12">
        <f>L12-O12</f>
        <v/>
      </c>
      <c r="Q12" s="12">
        <f>M12+M11+M10+MAX(0,Q11-M11-M10)*(1-F12)</f>
        <v/>
      </c>
      <c r="R12" s="12">
        <f>N12+N11+N10+MAX(0,R11-N11-N10)*(1-F12)</f>
        <v/>
      </c>
      <c r="S12" s="12">
        <f>SUM(O$5:O12)</f>
        <v/>
      </c>
      <c r="T12" s="12">
        <f>SUM(P$5:P12)</f>
        <v/>
      </c>
      <c r="U12" s="12">
        <f>Q12+R12+S12+T12</f>
        <v/>
      </c>
      <c r="V12" s="9">
        <f>Q12*PriceEssMonthly*E12+R12*PricePremMonthly*E12+S12*PriceEssAnnual*E12/12+T12*PricePremAnnual*E12/12</f>
        <v/>
      </c>
      <c r="W12" s="9">
        <f>V12*12</f>
        <v/>
      </c>
      <c r="X12" s="12">
        <f>Q12*PriceEssMonthly*E12+R12*PricePremMonthly*E12</f>
        <v/>
      </c>
      <c r="Y12" s="12">
        <f>O12*PriceEssAnnual*E12+P12*PricePremAnnual*E12</f>
        <v/>
      </c>
      <c r="Z12" s="12">
        <f>0+0</f>
        <v/>
      </c>
      <c r="AA12" s="9">
        <f>X12+Y12+Z12</f>
        <v/>
      </c>
      <c r="AB12" s="12">
        <f>SUM(AA$5:AA12)</f>
        <v/>
      </c>
      <c r="AC12" s="12">
        <f>OR(AC11,AB12&gt;=VATThreshold)</f>
        <v/>
      </c>
      <c r="AD12" s="9">
        <f>IF(AC12,AA12/(1+VATRate),AA12)</f>
        <v/>
      </c>
      <c r="AE12" s="12">
        <f>AA12-AD12</f>
        <v/>
      </c>
      <c r="AF12" s="12">
        <f>IF(AC12=0,0,IF(B12=1,SUMPRODUCT(--(($C$5:$C12=$C12-1)*($B$5:$B12&gt;=10)*($B$5:$B12&lt;=12)),$AE$5:$AE12),IF(B12=4,SUMPRODUCT(--(($C$5:$C12=$C12)*($B$5:$B12&gt;=1)*($B$5:$B12&lt;=3)),$AE$5:$AE12),IF(B12=7,SUMPRODUCT(--(($C$5:$C12=$C12)*($B$5:$B12&gt;=4)*($B$5:$B12&lt;=6)),$AE$5:$AE12),IF(B12=10,SUMPRODUCT(--(($C$5:$C12=$C12)*($B$5:$B12&gt;=7)*($B$5:$B12&lt;=9)),$AE$5:$AE12),0)))))</f>
        <v/>
      </c>
      <c r="AG12" s="12">
        <f>AG11+AE12-AF12</f>
        <v/>
      </c>
      <c r="AH12" s="12">
        <f>IF(ProviderDelay&gt;=1,AD11*ProviderShare,AD12*ProviderShare)</f>
        <v/>
      </c>
      <c r="AI12" s="12">
        <f>AA12*PaymentFee</f>
        <v/>
      </c>
      <c r="AJ12" s="12">
        <f>U12*OpsAI</f>
        <v/>
      </c>
      <c r="AK12" s="12">
        <f>MonthlyFixed</f>
        <v/>
      </c>
      <c r="AL12" s="12">
        <f>I12*ReferralReward</f>
        <v/>
      </c>
      <c r="AM12" s="12">
        <f>G12</f>
        <v/>
      </c>
      <c r="AN12" s="9">
        <f>AD12-AH12-AI12-AJ12-AK12-AL12-AM12</f>
        <v/>
      </c>
      <c r="AO12" s="9">
        <f>AO11+AA12-(AH12+AI12+AJ12+AK12+AL12+AM12+AF12)</f>
        <v/>
      </c>
      <c r="AP12" s="12">
        <f>IF(U12&gt;0,V12/U12,0)</f>
        <v/>
      </c>
      <c r="AQ12" s="11">
        <f>IF(U11&gt;0,MAX(0,(U11+J12-U12)/U11),0)</f>
        <v/>
      </c>
      <c r="AS12" s="12" t="n">
        <v>8</v>
      </c>
      <c r="AT12" s="12">
        <f>MOD(AS12-1+LaunchMonth-1,12)+1</f>
        <v/>
      </c>
      <c r="AU12" s="12">
        <f>INT((AS12-1+LaunchMonth-1)/12)+1</f>
        <v/>
      </c>
      <c r="AV12" s="12">
        <f>VLOOKUP(AT12,SeasonTable,2,FALSE)</f>
        <v/>
      </c>
      <c r="AW12" s="12">
        <f>(1+InflationRate)^INT((AS12-1)/12)</f>
        <v/>
      </c>
      <c r="AX12" s="11">
        <f>MonthlyChurn*VLOOKUP(AT12,ChurnSeasonTable,4,FALSE)</f>
        <v/>
      </c>
      <c r="AY12" s="12">
        <f>MIN(MAX(MktMin7_12,BS11*MktPct7_12),MAX(0,CG11-CashBuffer))</f>
        <v/>
      </c>
      <c r="AZ12" s="12">
        <f>IF(AY12&gt;0,MAX(1,ROUND(AY12/CAC*AV12,0)),0)</f>
        <v/>
      </c>
      <c r="BA12" s="12">
        <f>IF(AZ12&gt;0,ROUND(AZ12*ReferralMix/(1-ReferralMix),0),0)</f>
        <v/>
      </c>
      <c r="BB12" s="12">
        <f>AZ12+BA12</f>
        <v/>
      </c>
      <c r="BC12" s="12">
        <f>ROUND(BB12*(1-AnnualMix),0)</f>
        <v/>
      </c>
      <c r="BD12" s="12">
        <f>BB12-BC12</f>
        <v/>
      </c>
      <c r="BE12" s="12">
        <f>ROUND(BC12*EssentialMix,0)</f>
        <v/>
      </c>
      <c r="BF12" s="12">
        <f>BC12-BE12</f>
        <v/>
      </c>
      <c r="BG12" s="12">
        <f>ROUND(BD12*EssentialMix,0)</f>
        <v/>
      </c>
      <c r="BH12" s="12">
        <f>BD12-BG12</f>
        <v/>
      </c>
      <c r="BI12" s="12">
        <f>BE12+BE11+BE10+MAX(0,BI11-BE11-BE10)*(1-AX12)</f>
        <v/>
      </c>
      <c r="BJ12" s="12">
        <f>BF12+BF11+BF10+MAX(0,BJ11-BF11-BF10)*(1-AX12)</f>
        <v/>
      </c>
      <c r="BK12" s="12">
        <f>SUM(BG$5:BG12)</f>
        <v/>
      </c>
      <c r="BL12" s="12">
        <f>SUM(BH$5:BH12)</f>
        <v/>
      </c>
      <c r="BM12" s="12">
        <f>BI12+BJ12+BK12+BL12</f>
        <v/>
      </c>
      <c r="BN12" s="9">
        <f>BI12*PriceEssMonthly*AW12+BJ12*PricePremMonthly*AW12+BK12*PriceEssAnnual*AW12/12+BL12*PricePremAnnual*AW12/12</f>
        <v/>
      </c>
      <c r="BO12" s="9">
        <f>BN12*12</f>
        <v/>
      </c>
      <c r="BP12" s="12">
        <f>BI12*PriceEssMonthly*AW12+BJ12*PricePremMonthly*AW12</f>
        <v/>
      </c>
      <c r="BQ12" s="12">
        <f>BG12*PriceEssAnnual*AW12+BH12*PricePremAnnual*AW12</f>
        <v/>
      </c>
      <c r="BR12" s="12">
        <f>0+0</f>
        <v/>
      </c>
      <c r="BS12" s="9">
        <f>BP12+BQ12+BR12</f>
        <v/>
      </c>
      <c r="BT12" s="12">
        <f>SUM(BS$5:BS12)</f>
        <v/>
      </c>
      <c r="BU12" s="12">
        <f>OR(BU11,BT12&gt;=VATThreshold)</f>
        <v/>
      </c>
      <c r="BV12" s="9">
        <f>IF(BU12,BS12/(1+VATRate),BS12)</f>
        <v/>
      </c>
      <c r="BW12" s="12">
        <f>BS12-BV12</f>
        <v/>
      </c>
      <c r="BX12" s="12">
        <f>IF(BU12=0,0,IF(AT12=1,SUMPRODUCT(--(($AU$5:$AU12=$AU12-1)*($AT$5:$AT12&gt;=10)*($AT$5:$AT12&lt;=12)),$BW$5:$BW12),IF(AT12=4,SUMPRODUCT(--(($AU$5:$AU12=$AU12)*($AT$5:$AT12&gt;=1)*($AT$5:$AT12&lt;=3)),$BW$5:$BW12),IF(AT12=7,SUMPRODUCT(--(($AU$5:$AU12=$AU12)*($AT$5:$AT12&gt;=4)*($AT$5:$AT12&lt;=6)),$BW$5:$BW12),IF(AT12=10,SUMPRODUCT(--(($AU$5:$AU12=$AU12)*($AT$5:$AT12&gt;=7)*($AT$5:$AT12&lt;=9)),$BW$5:$BW12),0)))))</f>
        <v/>
      </c>
      <c r="BY12" s="12">
        <f>BY11+BW12-BX12</f>
        <v/>
      </c>
      <c r="BZ12" s="12">
        <f>IF(ProviderDelay&gt;=1,BV11*ProviderShare,BV12*ProviderShare)</f>
        <v/>
      </c>
      <c r="CA12" s="12">
        <f>BS12*PaymentFee</f>
        <v/>
      </c>
      <c r="CB12" s="12">
        <f>BM12*OpsAI</f>
        <v/>
      </c>
      <c r="CC12" s="12">
        <f>MonthlyFixed</f>
        <v/>
      </c>
      <c r="CD12" s="12">
        <f>BA12*ReferralReward</f>
        <v/>
      </c>
      <c r="CE12" s="12">
        <f>AY12</f>
        <v/>
      </c>
      <c r="CF12" s="9">
        <f>BV12-BZ12-CA12-CB12-CC12-CD12-CE12</f>
        <v/>
      </c>
      <c r="CG12" s="9">
        <f>CG11+BS12-(BZ12+CA12+CB12+CC12+CD12+CE12+BX12)</f>
        <v/>
      </c>
      <c r="CH12" s="12">
        <f>IF(BM12&gt;0,BN12/BM12,0)</f>
        <v/>
      </c>
      <c r="CI12" s="11">
        <f>IF(BM11&gt;0,MAX(0,(BM11+BB12-BM12)/BM11),0)</f>
        <v/>
      </c>
      <c r="CK12" s="12" t="n">
        <v>8</v>
      </c>
      <c r="CL12" s="12">
        <f>MOD(CK12-1+LaunchMonth-1,12)+1</f>
        <v/>
      </c>
      <c r="CM12" s="12">
        <f>INT((CK12-1+LaunchMonth-1)/12)+1</f>
        <v/>
      </c>
      <c r="CN12" s="12">
        <f>VLOOKUP(CL12,SeasonTable,2,FALSE)</f>
        <v/>
      </c>
      <c r="CO12" s="12">
        <f>(1+InflationRate)^INT((CK12-1)/12)</f>
        <v/>
      </c>
      <c r="CP12" s="11">
        <f>'Sens - Scenarios'!$D$5*VLOOKUP(CL12,ChurnSeasonTable,4,FALSE)</f>
        <v/>
      </c>
      <c r="CQ12" s="12">
        <f>MIN(MAX(MktMin7_12,DK11*MktPct7_12),MAX(0,DY11-CashBuffer))</f>
        <v/>
      </c>
      <c r="CR12" s="12">
        <f>IF(CQ12&gt;0,MAX(1,ROUND(CQ12/'Sens - Scenarios'!$D$8*CN12,0)),0)</f>
        <v/>
      </c>
      <c r="CS12" s="12">
        <f>IF(CR12&gt;0,ROUND(CR12*ReferralMix/(1-ReferralMix),0),0)</f>
        <v/>
      </c>
      <c r="CT12" s="12">
        <f>CR12+CS12</f>
        <v/>
      </c>
      <c r="CU12" s="12">
        <f>ROUND(CT12*(1-'Sens - Scenarios'!$D$7),0)</f>
        <v/>
      </c>
      <c r="CV12" s="12">
        <f>CT12-CU12</f>
        <v/>
      </c>
      <c r="CW12" s="12">
        <f>ROUND(CU12*EssentialMix,0)</f>
        <v/>
      </c>
      <c r="CX12" s="12">
        <f>CU12-CW12</f>
        <v/>
      </c>
      <c r="CY12" s="12">
        <f>ROUND(CV12*EssentialMix,0)</f>
        <v/>
      </c>
      <c r="CZ12" s="12">
        <f>CV12-CY12</f>
        <v/>
      </c>
      <c r="DA12" s="12">
        <f>CW12+CW11+CW10+MAX(0,DA11-CW11-CW10)*(1-CP12)</f>
        <v/>
      </c>
      <c r="DB12" s="12">
        <f>CX12+CX11+CX10+MAX(0,DB11-CX11-CX10)*(1-CP12)</f>
        <v/>
      </c>
      <c r="DC12" s="12">
        <f>SUM(CY$5:CY12)</f>
        <v/>
      </c>
      <c r="DD12" s="12">
        <f>SUM(CZ$5:CZ12)</f>
        <v/>
      </c>
      <c r="DE12" s="12">
        <f>DA12+DB12+DC12+DD12</f>
        <v/>
      </c>
      <c r="DF12" s="9">
        <f>DA12*PriceEssMonthly*CO12+DB12*PricePremMonthly*CO12+DC12*PriceEssAnnual*CO12/12+DD12*PricePremAnnual*CO12/12</f>
        <v/>
      </c>
      <c r="DG12" s="9">
        <f>DF12*12</f>
        <v/>
      </c>
      <c r="DH12" s="12">
        <f>DA12*PriceEssMonthly*CO12+DB12*PricePremMonthly*CO12</f>
        <v/>
      </c>
      <c r="DI12" s="12">
        <f>CY12*PriceEssAnnual*CO12+CZ12*PricePremAnnual*CO12</f>
        <v/>
      </c>
      <c r="DJ12" s="12">
        <f>0+0</f>
        <v/>
      </c>
      <c r="DK12" s="9">
        <f>DH12+DI12+DJ12</f>
        <v/>
      </c>
      <c r="DL12" s="12">
        <f>SUM(DK$5:DK12)</f>
        <v/>
      </c>
      <c r="DM12" s="12">
        <f>OR(DM11,DL12&gt;=VATThreshold)</f>
        <v/>
      </c>
      <c r="DN12" s="9">
        <f>IF(DM12,DK12/(1+VATRate),DK12)</f>
        <v/>
      </c>
      <c r="DO12" s="12">
        <f>DK12-DN12</f>
        <v/>
      </c>
      <c r="DP12" s="12">
        <f>IF(DM12=0,0,IF(CL12=1,SUMPRODUCT(--(($CM$5:$CM12=$CM12-1)*($CL$5:$CL12&gt;=10)*($CL$5:$CL12&lt;=12)),$DO$5:$DO12),IF(CL12=4,SUMPRODUCT(--(($CM$5:$CM12=$CM12)*($CL$5:$CL12&gt;=1)*($CL$5:$CL12&lt;=3)),$DO$5:$DO12),IF(CL12=7,SUMPRODUCT(--(($CM$5:$CM12=$CM12)*($CL$5:$CL12&gt;=4)*($CL$5:$CL12&lt;=6)),$DO$5:$DO12),IF(CL12=10,SUMPRODUCT(--(($CM$5:$CM12=$CM12)*($CL$5:$CL12&gt;=7)*($CL$5:$CL12&lt;=9)),$DO$5:$DO12),0)))))</f>
        <v/>
      </c>
      <c r="DQ12" s="12">
        <f>DQ11+DO12-DP12</f>
        <v/>
      </c>
      <c r="DR12" s="12">
        <f>IF(ProviderDelay&gt;=1,DN11*ProviderShare,DN12*ProviderShare)</f>
        <v/>
      </c>
      <c r="DS12" s="12">
        <f>DK12*PaymentFee</f>
        <v/>
      </c>
      <c r="DT12" s="12">
        <f>DE12*OpsAI</f>
        <v/>
      </c>
      <c r="DU12" s="12">
        <f>MonthlyFixed</f>
        <v/>
      </c>
      <c r="DV12" s="12">
        <f>CS12*ReferralReward</f>
        <v/>
      </c>
      <c r="DW12" s="12">
        <f>CQ12</f>
        <v/>
      </c>
      <c r="DX12" s="9">
        <f>DN12-DR12-DS12-DT12-DU12-DV12-DW12</f>
        <v/>
      </c>
      <c r="DY12" s="9">
        <f>DY11+DK12-(DR12+DS12+DT12+DU12+DV12+DW12+DP12)</f>
        <v/>
      </c>
      <c r="DZ12" s="12">
        <f>IF(DE12&gt;0,DF12/DE12,0)</f>
        <v/>
      </c>
      <c r="EA12" s="11">
        <f>IF(DE11&gt;0,MAX(0,(DE11+CT12-DE12)/DE11),0)</f>
        <v/>
      </c>
      <c r="EC12" s="12" t="n">
        <v>8</v>
      </c>
      <c r="ED12" s="12">
        <f>MOD(EC12-1+LaunchMonth-1,12)+1</f>
        <v/>
      </c>
      <c r="EE12" s="12">
        <f>INT((EC12-1+LaunchMonth-1)/12)+1</f>
        <v/>
      </c>
      <c r="EF12" s="12">
        <f>VLOOKUP(ED12,SeasonTable,2,FALSE)</f>
        <v/>
      </c>
      <c r="EG12" s="12">
        <f>(1+InflationRate)^INT((EC12-1)/12)</f>
        <v/>
      </c>
      <c r="EH12" s="11">
        <f>'Sens - Churn'!$A$13*VLOOKUP(ED12,ChurnSeasonTable,4,FALSE)</f>
        <v/>
      </c>
      <c r="EI12" s="12">
        <f>MIN(MAX(MktMin7_12,FC11*MktPct7_12),MAX(0,FQ11-CashBuffer))</f>
        <v/>
      </c>
      <c r="EJ12" s="12">
        <f>IF(EI12&gt;0,MAX(1,ROUND(EI12/CAC*EF12,0)),0)</f>
        <v/>
      </c>
      <c r="EK12" s="12">
        <f>IF(EJ12&gt;0,ROUND(EJ12*ReferralMix/(1-ReferralMix),0),0)</f>
        <v/>
      </c>
      <c r="EL12" s="12">
        <f>EJ12+EK12</f>
        <v/>
      </c>
      <c r="EM12" s="12">
        <f>ROUND(EL12*(1-AnnualMix),0)</f>
        <v/>
      </c>
      <c r="EN12" s="12">
        <f>EL12-EM12</f>
        <v/>
      </c>
      <c r="EO12" s="12">
        <f>ROUND(EM12*EssentialMix,0)</f>
        <v/>
      </c>
      <c r="EP12" s="12">
        <f>EM12-EO12</f>
        <v/>
      </c>
      <c r="EQ12" s="12">
        <f>ROUND(EN12*EssentialMix,0)</f>
        <v/>
      </c>
      <c r="ER12" s="12">
        <f>EN12-EQ12</f>
        <v/>
      </c>
      <c r="ES12" s="12">
        <f>EO12+EO11+EO10+MAX(0,ES11-EO11-EO10)*(1-EH12)</f>
        <v/>
      </c>
      <c r="ET12" s="12">
        <f>EP12+EP11+EP10+MAX(0,ET11-EP11-EP10)*(1-EH12)</f>
        <v/>
      </c>
      <c r="EU12" s="12">
        <f>SUM(EQ$5:EQ12)</f>
        <v/>
      </c>
      <c r="EV12" s="12">
        <f>SUM(ER$5:ER12)</f>
        <v/>
      </c>
      <c r="EW12" s="12">
        <f>ES12+ET12+EU12+EV12</f>
        <v/>
      </c>
      <c r="EX12" s="9">
        <f>ES12*PriceEssMonthly*EG12+ET12*PricePremMonthly*EG12+EU12*PriceEssAnnual*EG12/12+EV12*PricePremAnnual*EG12/12</f>
        <v/>
      </c>
      <c r="EY12" s="9">
        <f>EX12*12</f>
        <v/>
      </c>
      <c r="EZ12" s="12">
        <f>ES12*PriceEssMonthly*EG12+ET12*PricePremMonthly*EG12</f>
        <v/>
      </c>
      <c r="FA12" s="12">
        <f>EQ12*PriceEssAnnual*EG12+ER12*PricePremAnnual*EG12</f>
        <v/>
      </c>
      <c r="FB12" s="12">
        <f>0+0</f>
        <v/>
      </c>
      <c r="FC12" s="9">
        <f>EZ12+FA12+FB12</f>
        <v/>
      </c>
      <c r="FD12" s="12">
        <f>SUM(FC$5:FC12)</f>
        <v/>
      </c>
      <c r="FE12" s="12">
        <f>OR(FE11,FD12&gt;=VATThreshold)</f>
        <v/>
      </c>
      <c r="FF12" s="9">
        <f>IF(FE12,FC12/(1+VATRate),FC12)</f>
        <v/>
      </c>
      <c r="FG12" s="12">
        <f>FC12-FF12</f>
        <v/>
      </c>
      <c r="FH12" s="12">
        <f>IF(FE12=0,0,IF(ED12=1,SUMPRODUCT(--(($EE$5:$EE12=$EE12-1)*($ED$5:$ED12&gt;=10)*($ED$5:$ED12&lt;=12)),$FG$5:$FG12),IF(ED12=4,SUMPRODUCT(--(($EE$5:$EE12=$EE12)*($ED$5:$ED12&gt;=1)*($ED$5:$ED12&lt;=3)),$FG$5:$FG12),IF(ED12=7,SUMPRODUCT(--(($EE$5:$EE12=$EE12)*($ED$5:$ED12&gt;=4)*($ED$5:$ED12&lt;=6)),$FG$5:$FG12),IF(ED12=10,SUMPRODUCT(--(($EE$5:$EE12=$EE12)*($ED$5:$ED12&gt;=7)*($ED$5:$ED12&lt;=9)),$FG$5:$FG12),0)))))</f>
        <v/>
      </c>
      <c r="FI12" s="12">
        <f>FI11+FG12-FH12</f>
        <v/>
      </c>
      <c r="FJ12" s="12">
        <f>IF(ProviderDelay&gt;=1,FF11*ProviderShare,FF12*ProviderShare)</f>
        <v/>
      </c>
      <c r="FK12" s="12">
        <f>FC12*PaymentFee</f>
        <v/>
      </c>
      <c r="FL12" s="12">
        <f>EW12*OpsAI</f>
        <v/>
      </c>
      <c r="FM12" s="12">
        <f>MonthlyFixed</f>
        <v/>
      </c>
      <c r="FN12" s="12">
        <f>EK12*ReferralReward</f>
        <v/>
      </c>
      <c r="FO12" s="12">
        <f>EI12</f>
        <v/>
      </c>
      <c r="FP12" s="9">
        <f>FF12-FJ12-FK12-FL12-FM12-FN12-FO12</f>
        <v/>
      </c>
      <c r="FQ12" s="9">
        <f>FQ11+FC12-(FJ12+FK12+FL12+FM12+FN12+FO12+FH12)</f>
        <v/>
      </c>
      <c r="FR12" s="12">
        <f>IF(EW12&gt;0,EX12/EW12,0)</f>
        <v/>
      </c>
      <c r="FS12" s="11">
        <f>IF(EW11&gt;0,MAX(0,(EW11+EL12-EW12)/EW11),0)</f>
        <v/>
      </c>
      <c r="FU12" s="12" t="n">
        <v>8</v>
      </c>
      <c r="FV12" s="12">
        <f>MOD(FU12-1+LaunchMonth-1,12)+1</f>
        <v/>
      </c>
      <c r="FW12" s="12">
        <f>INT((FU12-1+LaunchMonth-1)/12)+1</f>
        <v/>
      </c>
      <c r="FX12" s="12">
        <f>VLOOKUP(FV12,SeasonTable,2,FALSE)</f>
        <v/>
      </c>
      <c r="FY12" s="12">
        <f>(1+InflationRate)^INT((FU12-1)/12)</f>
        <v/>
      </c>
      <c r="FZ12" s="11">
        <f>'Sens - Churn'!$A$14*VLOOKUP(FV12,ChurnSeasonTable,4,FALSE)</f>
        <v/>
      </c>
      <c r="GA12" s="12">
        <f>MIN(MAX(MktMin7_12,GU11*MktPct7_12),MAX(0,HI11-CashBuffer))</f>
        <v/>
      </c>
      <c r="GB12" s="12">
        <f>IF(GA12&gt;0,MAX(1,ROUND(GA12/CAC*FX12,0)),0)</f>
        <v/>
      </c>
      <c r="GC12" s="12">
        <f>IF(GB12&gt;0,ROUND(GB12*ReferralMix/(1-ReferralMix),0),0)</f>
        <v/>
      </c>
      <c r="GD12" s="12">
        <f>GB12+GC12</f>
        <v/>
      </c>
      <c r="GE12" s="12">
        <f>ROUND(GD12*(1-AnnualMix),0)</f>
        <v/>
      </c>
      <c r="GF12" s="12">
        <f>GD12-GE12</f>
        <v/>
      </c>
      <c r="GG12" s="12">
        <f>ROUND(GE12*EssentialMix,0)</f>
        <v/>
      </c>
      <c r="GH12" s="12">
        <f>GE12-GG12</f>
        <v/>
      </c>
      <c r="GI12" s="12">
        <f>ROUND(GF12*EssentialMix,0)</f>
        <v/>
      </c>
      <c r="GJ12" s="12">
        <f>GF12-GI12</f>
        <v/>
      </c>
      <c r="GK12" s="12">
        <f>GG12+GG11+GG10+MAX(0,GK11-GG11-GG10)*(1-FZ12)</f>
        <v/>
      </c>
      <c r="GL12" s="12">
        <f>GH12+GH11+GH10+MAX(0,GL11-GH11-GH10)*(1-FZ12)</f>
        <v/>
      </c>
      <c r="GM12" s="12">
        <f>SUM(GI$5:GI12)</f>
        <v/>
      </c>
      <c r="GN12" s="12">
        <f>SUM(GJ$5:GJ12)</f>
        <v/>
      </c>
      <c r="GO12" s="12">
        <f>GK12+GL12+GM12+GN12</f>
        <v/>
      </c>
      <c r="GP12" s="9">
        <f>GK12*PriceEssMonthly*FY12+GL12*PricePremMonthly*FY12+GM12*PriceEssAnnual*FY12/12+GN12*PricePremAnnual*FY12/12</f>
        <v/>
      </c>
      <c r="GQ12" s="9">
        <f>GP12*12</f>
        <v/>
      </c>
      <c r="GR12" s="12">
        <f>GK12*PriceEssMonthly*FY12+GL12*PricePremMonthly*FY12</f>
        <v/>
      </c>
      <c r="GS12" s="12">
        <f>GI12*PriceEssAnnual*FY12+GJ12*PricePremAnnual*FY12</f>
        <v/>
      </c>
      <c r="GT12" s="12">
        <f>0+0</f>
        <v/>
      </c>
      <c r="GU12" s="9">
        <f>GR12+GS12+GT12</f>
        <v/>
      </c>
      <c r="GV12" s="12">
        <f>SUM(GU$5:GU12)</f>
        <v/>
      </c>
      <c r="GW12" s="12">
        <f>OR(GW11,GV12&gt;=VATThreshold)</f>
        <v/>
      </c>
      <c r="GX12" s="9">
        <f>IF(GW12,GU12/(1+VATRate),GU12)</f>
        <v/>
      </c>
      <c r="GY12" s="12">
        <f>GU12-GX12</f>
        <v/>
      </c>
      <c r="GZ12" s="12">
        <f>IF(GW12=0,0,IF(FV12=1,SUMPRODUCT(--(($FW$5:$FW12=$FW12-1)*($FV$5:$FV12&gt;=10)*($FV$5:$FV12&lt;=12)),$GY$5:$GY12),IF(FV12=4,SUMPRODUCT(--(($FW$5:$FW12=$FW12)*($FV$5:$FV12&gt;=1)*($FV$5:$FV12&lt;=3)),$GY$5:$GY12),IF(FV12=7,SUMPRODUCT(--(($FW$5:$FW12=$FW12)*($FV$5:$FV12&gt;=4)*($FV$5:$FV12&lt;=6)),$GY$5:$GY12),IF(FV12=10,SUMPRODUCT(--(($FW$5:$FW12=$FW12)*($FV$5:$FV12&gt;=7)*($FV$5:$FV12&lt;=9)),$GY$5:$GY12),0)))))</f>
        <v/>
      </c>
      <c r="HA12" s="12">
        <f>HA11+GY12-GZ12</f>
        <v/>
      </c>
      <c r="HB12" s="12">
        <f>IF(ProviderDelay&gt;=1,GX11*ProviderShare,GX12*ProviderShare)</f>
        <v/>
      </c>
      <c r="HC12" s="12">
        <f>GU12*PaymentFee</f>
        <v/>
      </c>
      <c r="HD12" s="12">
        <f>GO12*OpsAI</f>
        <v/>
      </c>
      <c r="HE12" s="12">
        <f>MonthlyFixed</f>
        <v/>
      </c>
      <c r="HF12" s="12">
        <f>GC12*ReferralReward</f>
        <v/>
      </c>
      <c r="HG12" s="12">
        <f>GA12</f>
        <v/>
      </c>
      <c r="HH12" s="9">
        <f>GX12-HB12-HC12-HD12-HE12-HF12-HG12</f>
        <v/>
      </c>
      <c r="HI12" s="9">
        <f>HI11+GU12-(HB12+HC12+HD12+HE12+HF12+HG12+GZ12)</f>
        <v/>
      </c>
      <c r="HJ12" s="12">
        <f>IF(GO12&gt;0,GP12/GO12,0)</f>
        <v/>
      </c>
      <c r="HK12" s="11">
        <f>IF(GO11&gt;0,MAX(0,(GO11+GD12-GO12)/GO11),0)</f>
        <v/>
      </c>
      <c r="HM12" s="12" t="n">
        <v>8</v>
      </c>
      <c r="HN12" s="12">
        <f>MOD(HM12-1+LaunchMonth-1,12)+1</f>
        <v/>
      </c>
      <c r="HO12" s="12">
        <f>INT((HM12-1+LaunchMonth-1)/12)+1</f>
        <v/>
      </c>
      <c r="HP12" s="12">
        <f>VLOOKUP(HN12,SeasonTable,2,FALSE)</f>
        <v/>
      </c>
      <c r="HQ12" s="12">
        <f>(1+InflationRate)^INT((HM12-1)/12)</f>
        <v/>
      </c>
      <c r="HR12" s="11">
        <f>'Sens - Churn'!$A$15*VLOOKUP(HN12,ChurnSeasonTable,4,FALSE)</f>
        <v/>
      </c>
      <c r="HS12" s="12">
        <f>MIN(MAX(MktMin7_12,IM11*MktPct7_12),MAX(0,JA11-CashBuffer))</f>
        <v/>
      </c>
      <c r="HT12" s="12">
        <f>IF(HS12&gt;0,MAX(1,ROUND(HS12/CAC*HP12,0)),0)</f>
        <v/>
      </c>
      <c r="HU12" s="12">
        <f>IF(HT12&gt;0,ROUND(HT12*ReferralMix/(1-ReferralMix),0),0)</f>
        <v/>
      </c>
      <c r="HV12" s="12">
        <f>HT12+HU12</f>
        <v/>
      </c>
      <c r="HW12" s="12">
        <f>ROUND(HV12*(1-AnnualMix),0)</f>
        <v/>
      </c>
      <c r="HX12" s="12">
        <f>HV12-HW12</f>
        <v/>
      </c>
      <c r="HY12" s="12">
        <f>ROUND(HW12*EssentialMix,0)</f>
        <v/>
      </c>
      <c r="HZ12" s="12">
        <f>HW12-HY12</f>
        <v/>
      </c>
      <c r="IA12" s="12">
        <f>ROUND(HX12*EssentialMix,0)</f>
        <v/>
      </c>
      <c r="IB12" s="12">
        <f>HX12-IA12</f>
        <v/>
      </c>
      <c r="IC12" s="12">
        <f>HY12+HY11+HY10+MAX(0,IC11-HY11-HY10)*(1-HR12)</f>
        <v/>
      </c>
      <c r="ID12" s="12">
        <f>HZ12+HZ11+HZ10+MAX(0,ID11-HZ11-HZ10)*(1-HR12)</f>
        <v/>
      </c>
      <c r="IE12" s="12">
        <f>SUM(IA$5:IA12)</f>
        <v/>
      </c>
      <c r="IF12" s="12">
        <f>SUM(IB$5:IB12)</f>
        <v/>
      </c>
      <c r="IG12" s="12">
        <f>IC12+ID12+IE12+IF12</f>
        <v/>
      </c>
      <c r="IH12" s="9">
        <f>IC12*PriceEssMonthly*HQ12+ID12*PricePremMonthly*HQ12+IE12*PriceEssAnnual*HQ12/12+IF12*PricePremAnnual*HQ12/12</f>
        <v/>
      </c>
      <c r="II12" s="9">
        <f>IH12*12</f>
        <v/>
      </c>
      <c r="IJ12" s="12">
        <f>IC12*PriceEssMonthly*HQ12+ID12*PricePremMonthly*HQ12</f>
        <v/>
      </c>
      <c r="IK12" s="12">
        <f>IA12*PriceEssAnnual*HQ12+IB12*PricePremAnnual*HQ12</f>
        <v/>
      </c>
      <c r="IL12" s="12">
        <f>0+0</f>
        <v/>
      </c>
      <c r="IM12" s="9">
        <f>IJ12+IK12+IL12</f>
        <v/>
      </c>
      <c r="IN12" s="12">
        <f>SUM(IM$5:IM12)</f>
        <v/>
      </c>
      <c r="IO12" s="12">
        <f>OR(IO11,IN12&gt;=VATThreshold)</f>
        <v/>
      </c>
      <c r="IP12" s="9">
        <f>IF(IO12,IM12/(1+VATRate),IM12)</f>
        <v/>
      </c>
      <c r="IQ12" s="12">
        <f>IM12-IP12</f>
        <v/>
      </c>
      <c r="IR12" s="12">
        <f>IF(IO12=0,0,IF(HN12=1,SUMPRODUCT(--(($HO$5:$HO12=$HO12-1)*($HN$5:$HN12&gt;=10)*($HN$5:$HN12&lt;=12)),$IQ$5:$IQ12),IF(HN12=4,SUMPRODUCT(--(($HO$5:$HO12=$HO12)*($HN$5:$HN12&gt;=1)*($HN$5:$HN12&lt;=3)),$IQ$5:$IQ12),IF(HN12=7,SUMPRODUCT(--(($HO$5:$HO12=$HO12)*($HN$5:$HN12&gt;=4)*($HN$5:$HN12&lt;=6)),$IQ$5:$IQ12),IF(HN12=10,SUMPRODUCT(--(($HO$5:$HO12=$HO12)*($HN$5:$HN12&gt;=7)*($HN$5:$HN12&lt;=9)),$IQ$5:$IQ12),0)))))</f>
        <v/>
      </c>
      <c r="IS12" s="12">
        <f>IS11+IQ12-IR12</f>
        <v/>
      </c>
      <c r="IT12" s="12">
        <f>IF(ProviderDelay&gt;=1,IP11*ProviderShare,IP12*ProviderShare)</f>
        <v/>
      </c>
      <c r="IU12" s="12">
        <f>IM12*PaymentFee</f>
        <v/>
      </c>
      <c r="IV12" s="12">
        <f>IG12*OpsAI</f>
        <v/>
      </c>
      <c r="IW12" s="12">
        <f>MonthlyFixed</f>
        <v/>
      </c>
      <c r="IX12" s="12">
        <f>HU12*ReferralReward</f>
        <v/>
      </c>
      <c r="IY12" s="12">
        <f>HS12</f>
        <v/>
      </c>
      <c r="IZ12" s="9">
        <f>IP12-IT12-IU12-IV12-IW12-IX12-IY12</f>
        <v/>
      </c>
      <c r="JA12" s="9">
        <f>JA11+IM12-(IT12+IU12+IV12+IW12+IX12+IY12+IR12)</f>
        <v/>
      </c>
      <c r="JB12" s="12">
        <f>IF(IG12&gt;0,IH12/IG12,0)</f>
        <v/>
      </c>
      <c r="JC12" s="11">
        <f>IF(IG11&gt;0,MAX(0,(IG11+HV12-IG12)/IG11),0)</f>
        <v/>
      </c>
      <c r="JE12" s="12" t="n">
        <v>8</v>
      </c>
      <c r="JF12" s="12">
        <f>MOD(JE12-1+LaunchMonth-1,12)+1</f>
        <v/>
      </c>
      <c r="JG12" s="12">
        <f>INT((JE12-1+LaunchMonth-1)/12)+1</f>
        <v/>
      </c>
      <c r="JH12" s="12">
        <f>VLOOKUP(JF12,SeasonTable,2,FALSE)</f>
        <v/>
      </c>
      <c r="JI12" s="12">
        <f>(1+InflationRate)^INT((JE12-1)/12)</f>
        <v/>
      </c>
      <c r="JJ12" s="11">
        <f>'Sens - Churn'!$A$16*VLOOKUP(JF12,ChurnSeasonTable,4,FALSE)</f>
        <v/>
      </c>
      <c r="JK12" s="12">
        <f>MIN(MAX(MktMin7_12,KE11*MktPct7_12),MAX(0,KS11-CashBuffer))</f>
        <v/>
      </c>
      <c r="JL12" s="12">
        <f>IF(JK12&gt;0,MAX(1,ROUND(JK12/CAC*JH12,0)),0)</f>
        <v/>
      </c>
      <c r="JM12" s="12">
        <f>IF(JL12&gt;0,ROUND(JL12*ReferralMix/(1-ReferralMix),0),0)</f>
        <v/>
      </c>
      <c r="JN12" s="12">
        <f>JL12+JM12</f>
        <v/>
      </c>
      <c r="JO12" s="12">
        <f>ROUND(JN12*(1-AnnualMix),0)</f>
        <v/>
      </c>
      <c r="JP12" s="12">
        <f>JN12-JO12</f>
        <v/>
      </c>
      <c r="JQ12" s="12">
        <f>ROUND(JO12*EssentialMix,0)</f>
        <v/>
      </c>
      <c r="JR12" s="12">
        <f>JO12-JQ12</f>
        <v/>
      </c>
      <c r="JS12" s="12">
        <f>ROUND(JP12*EssentialMix,0)</f>
        <v/>
      </c>
      <c r="JT12" s="12">
        <f>JP12-JS12</f>
        <v/>
      </c>
      <c r="JU12" s="12">
        <f>JQ12+JQ11+JQ10+MAX(0,JU11-JQ11-JQ10)*(1-JJ12)</f>
        <v/>
      </c>
      <c r="JV12" s="12">
        <f>JR12+JR11+JR10+MAX(0,JV11-JR11-JR10)*(1-JJ12)</f>
        <v/>
      </c>
      <c r="JW12" s="12">
        <f>SUM(JS$5:JS12)</f>
        <v/>
      </c>
      <c r="JX12" s="12">
        <f>SUM(JT$5:JT12)</f>
        <v/>
      </c>
      <c r="JY12" s="12">
        <f>JU12+JV12+JW12+JX12</f>
        <v/>
      </c>
      <c r="JZ12" s="9">
        <f>JU12*PriceEssMonthly*JI12+JV12*PricePremMonthly*JI12+JW12*PriceEssAnnual*JI12/12+JX12*PricePremAnnual*JI12/12</f>
        <v/>
      </c>
      <c r="KA12" s="9">
        <f>JZ12*12</f>
        <v/>
      </c>
      <c r="KB12" s="12">
        <f>JU12*PriceEssMonthly*JI12+JV12*PricePremMonthly*JI12</f>
        <v/>
      </c>
      <c r="KC12" s="12">
        <f>JS12*PriceEssAnnual*JI12+JT12*PricePremAnnual*JI12</f>
        <v/>
      </c>
      <c r="KD12" s="12">
        <f>0+0</f>
        <v/>
      </c>
      <c r="KE12" s="9">
        <f>KB12+KC12+KD12</f>
        <v/>
      </c>
      <c r="KF12" s="12">
        <f>SUM(KE$5:KE12)</f>
        <v/>
      </c>
      <c r="KG12" s="12">
        <f>OR(KG11,KF12&gt;=VATThreshold)</f>
        <v/>
      </c>
      <c r="KH12" s="9">
        <f>IF(KG12,KE12/(1+VATRate),KE12)</f>
        <v/>
      </c>
      <c r="KI12" s="12">
        <f>KE12-KH12</f>
        <v/>
      </c>
      <c r="KJ12" s="12">
        <f>IF(KG12=0,0,IF(JF12=1,SUMPRODUCT(--(($JG$5:$JG12=$JG12-1)*($JF$5:$JF12&gt;=10)*($JF$5:$JF12&lt;=12)),$KI$5:$KI12),IF(JF12=4,SUMPRODUCT(--(($JG$5:$JG12=$JG12)*($JF$5:$JF12&gt;=1)*($JF$5:$JF12&lt;=3)),$KI$5:$KI12),IF(JF12=7,SUMPRODUCT(--(($JG$5:$JG12=$JG12)*($JF$5:$JF12&gt;=4)*($JF$5:$JF12&lt;=6)),$KI$5:$KI12),IF(JF12=10,SUMPRODUCT(--(($JG$5:$JG12=$JG12)*($JF$5:$JF12&gt;=7)*($JF$5:$JF12&lt;=9)),$KI$5:$KI12),0)))))</f>
        <v/>
      </c>
      <c r="KK12" s="12">
        <f>KK11+KI12-KJ12</f>
        <v/>
      </c>
      <c r="KL12" s="12">
        <f>IF(ProviderDelay&gt;=1,KH11*ProviderShare,KH12*ProviderShare)</f>
        <v/>
      </c>
      <c r="KM12" s="12">
        <f>KE12*PaymentFee</f>
        <v/>
      </c>
      <c r="KN12" s="12">
        <f>JY12*OpsAI</f>
        <v/>
      </c>
      <c r="KO12" s="12">
        <f>MonthlyFixed</f>
        <v/>
      </c>
      <c r="KP12" s="12">
        <f>JM12*ReferralReward</f>
        <v/>
      </c>
      <c r="KQ12" s="12">
        <f>JK12</f>
        <v/>
      </c>
      <c r="KR12" s="9">
        <f>KH12-KL12-KM12-KN12-KO12-KP12-KQ12</f>
        <v/>
      </c>
      <c r="KS12" s="9">
        <f>KS11+KE12-(KL12+KM12+KN12+KO12+KP12+KQ12+KJ12)</f>
        <v/>
      </c>
      <c r="KT12" s="12">
        <f>IF(JY12&gt;0,JZ12/JY12,0)</f>
        <v/>
      </c>
      <c r="KU12" s="11">
        <f>IF(JY11&gt;0,MAX(0,(JY11+JN12-JY12)/JY11),0)</f>
        <v/>
      </c>
      <c r="KW12" s="12" t="n">
        <v>8</v>
      </c>
      <c r="KX12" s="12">
        <f>MOD(KW12-1+LaunchMonth-1,12)+1</f>
        <v/>
      </c>
      <c r="KY12" s="12">
        <f>INT((KW12-1+LaunchMonth-1)/12)+1</f>
        <v/>
      </c>
      <c r="KZ12" s="12">
        <f>VLOOKUP(KX12,SeasonTable,2,FALSE)</f>
        <v/>
      </c>
      <c r="LA12" s="12">
        <f>(1+InflationRate)^INT((KW12-1)/12)</f>
        <v/>
      </c>
      <c r="LB12" s="11">
        <f>'Sens - Churn'!$A$17*VLOOKUP(KX12,ChurnSeasonTable,4,FALSE)</f>
        <v/>
      </c>
      <c r="LC12" s="12">
        <f>MIN(MAX(MktMin7_12,LW11*MktPct7_12),MAX(0,MK11-CashBuffer))</f>
        <v/>
      </c>
      <c r="LD12" s="12">
        <f>IF(LC12&gt;0,MAX(1,ROUND(LC12/CAC*KZ12,0)),0)</f>
        <v/>
      </c>
      <c r="LE12" s="12">
        <f>IF(LD12&gt;0,ROUND(LD12*ReferralMix/(1-ReferralMix),0),0)</f>
        <v/>
      </c>
      <c r="LF12" s="12">
        <f>LD12+LE12</f>
        <v/>
      </c>
      <c r="LG12" s="12">
        <f>ROUND(LF12*(1-AnnualMix),0)</f>
        <v/>
      </c>
      <c r="LH12" s="12">
        <f>LF12-LG12</f>
        <v/>
      </c>
      <c r="LI12" s="12">
        <f>ROUND(LG12*EssentialMix,0)</f>
        <v/>
      </c>
      <c r="LJ12" s="12">
        <f>LG12-LI12</f>
        <v/>
      </c>
      <c r="LK12" s="12">
        <f>ROUND(LH12*EssentialMix,0)</f>
        <v/>
      </c>
      <c r="LL12" s="12">
        <f>LH12-LK12</f>
        <v/>
      </c>
      <c r="LM12" s="12">
        <f>LI12+LI11+LI10+MAX(0,LM11-LI11-LI10)*(1-LB12)</f>
        <v/>
      </c>
      <c r="LN12" s="12">
        <f>LJ12+LJ11+LJ10+MAX(0,LN11-LJ11-LJ10)*(1-LB12)</f>
        <v/>
      </c>
      <c r="LO12" s="12">
        <f>SUM(LK$5:LK12)</f>
        <v/>
      </c>
      <c r="LP12" s="12">
        <f>SUM(LL$5:LL12)</f>
        <v/>
      </c>
      <c r="LQ12" s="12">
        <f>LM12+LN12+LO12+LP12</f>
        <v/>
      </c>
      <c r="LR12" s="9">
        <f>LM12*PriceEssMonthly*LA12+LN12*PricePremMonthly*LA12+LO12*PriceEssAnnual*LA12/12+LP12*PricePremAnnual*LA12/12</f>
        <v/>
      </c>
      <c r="LS12" s="9">
        <f>LR12*12</f>
        <v/>
      </c>
      <c r="LT12" s="12">
        <f>LM12*PriceEssMonthly*LA12+LN12*PricePremMonthly*LA12</f>
        <v/>
      </c>
      <c r="LU12" s="12">
        <f>LK12*PriceEssAnnual*LA12+LL12*PricePremAnnual*LA12</f>
        <v/>
      </c>
      <c r="LV12" s="12">
        <f>0+0</f>
        <v/>
      </c>
      <c r="LW12" s="9">
        <f>LT12+LU12+LV12</f>
        <v/>
      </c>
      <c r="LX12" s="12">
        <f>SUM(LW$5:LW12)</f>
        <v/>
      </c>
      <c r="LY12" s="12">
        <f>OR(LY11,LX12&gt;=VATThreshold)</f>
        <v/>
      </c>
      <c r="LZ12" s="9">
        <f>IF(LY12,LW12/(1+VATRate),LW12)</f>
        <v/>
      </c>
      <c r="MA12" s="12">
        <f>LW12-LZ12</f>
        <v/>
      </c>
      <c r="MB12" s="12">
        <f>IF(LY12=0,0,IF(KX12=1,SUMPRODUCT(--(($KY$5:$KY12=$KY12-1)*($KX$5:$KX12&gt;=10)*($KX$5:$KX12&lt;=12)),$MA$5:$MA12),IF(KX12=4,SUMPRODUCT(--(($KY$5:$KY12=$KY12)*($KX$5:$KX12&gt;=1)*($KX$5:$KX12&lt;=3)),$MA$5:$MA12),IF(KX12=7,SUMPRODUCT(--(($KY$5:$KY12=$KY12)*($KX$5:$KX12&gt;=4)*($KX$5:$KX12&lt;=6)),$MA$5:$MA12),IF(KX12=10,SUMPRODUCT(--(($KY$5:$KY12=$KY12)*($KX$5:$KX12&gt;=7)*($KX$5:$KX12&lt;=9)),$MA$5:$MA12),0)))))</f>
        <v/>
      </c>
      <c r="MC12" s="12">
        <f>MC11+MA12-MB12</f>
        <v/>
      </c>
      <c r="MD12" s="12">
        <f>IF(ProviderDelay&gt;=1,LZ11*ProviderShare,LZ12*ProviderShare)</f>
        <v/>
      </c>
      <c r="ME12" s="12">
        <f>LW12*PaymentFee</f>
        <v/>
      </c>
      <c r="MF12" s="12">
        <f>LQ12*OpsAI</f>
        <v/>
      </c>
      <c r="MG12" s="12">
        <f>MonthlyFixed</f>
        <v/>
      </c>
      <c r="MH12" s="12">
        <f>LE12*ReferralReward</f>
        <v/>
      </c>
      <c r="MI12" s="12">
        <f>LC12</f>
        <v/>
      </c>
      <c r="MJ12" s="9">
        <f>LZ12-MD12-ME12-MF12-MG12-MH12-MI12</f>
        <v/>
      </c>
      <c r="MK12" s="9">
        <f>MK11+LW12-(MD12+ME12+MF12+MG12+MH12+MI12+MB12)</f>
        <v/>
      </c>
      <c r="ML12" s="12">
        <f>IF(LQ12&gt;0,LR12/LQ12,0)</f>
        <v/>
      </c>
      <c r="MM12" s="11">
        <f>IF(LQ11&gt;0,MAX(0,(LQ11+LF12-LQ12)/LQ11),0)</f>
        <v/>
      </c>
      <c r="MO12" s="12" t="n">
        <v>8</v>
      </c>
      <c r="MP12" s="12">
        <f>MOD(MO12-1+LaunchMonth-1,12)+1</f>
        <v/>
      </c>
      <c r="MQ12" s="12">
        <f>INT((MO12-1+LaunchMonth-1)/12)+1</f>
        <v/>
      </c>
      <c r="MR12" s="12">
        <f>VLOOKUP(MP12,SeasonTable,2,FALSE)</f>
        <v/>
      </c>
      <c r="MS12" s="12">
        <f>(1+InflationRate)^INT((MO12-1)/12)</f>
        <v/>
      </c>
      <c r="MT12" s="11">
        <f>'Sens - Churn'!$A$18*VLOOKUP(MP12,ChurnSeasonTable,4,FALSE)</f>
        <v/>
      </c>
      <c r="MU12" s="12">
        <f>MIN(MAX(MktMin7_12,NO11*MktPct7_12),MAX(0,OC11-CashBuffer))</f>
        <v/>
      </c>
      <c r="MV12" s="12">
        <f>IF(MU12&gt;0,MAX(1,ROUND(MU12/CAC*MR12,0)),0)</f>
        <v/>
      </c>
      <c r="MW12" s="12">
        <f>IF(MV12&gt;0,ROUND(MV12*ReferralMix/(1-ReferralMix),0),0)</f>
        <v/>
      </c>
      <c r="MX12" s="12">
        <f>MV12+MW12</f>
        <v/>
      </c>
      <c r="MY12" s="12">
        <f>ROUND(MX12*(1-AnnualMix),0)</f>
        <v/>
      </c>
      <c r="MZ12" s="12">
        <f>MX12-MY12</f>
        <v/>
      </c>
      <c r="NA12" s="12">
        <f>ROUND(MY12*EssentialMix,0)</f>
        <v/>
      </c>
      <c r="NB12" s="12">
        <f>MY12-NA12</f>
        <v/>
      </c>
      <c r="NC12" s="12">
        <f>ROUND(MZ12*EssentialMix,0)</f>
        <v/>
      </c>
      <c r="ND12" s="12">
        <f>MZ12-NC12</f>
        <v/>
      </c>
      <c r="NE12" s="12">
        <f>NA12+NA11+NA10+MAX(0,NE11-NA11-NA10)*(1-MT12)</f>
        <v/>
      </c>
      <c r="NF12" s="12">
        <f>NB12+NB11+NB10+MAX(0,NF11-NB11-NB10)*(1-MT12)</f>
        <v/>
      </c>
      <c r="NG12" s="12">
        <f>SUM(NC$5:NC12)</f>
        <v/>
      </c>
      <c r="NH12" s="12">
        <f>SUM(ND$5:ND12)</f>
        <v/>
      </c>
      <c r="NI12" s="12">
        <f>NE12+NF12+NG12+NH12</f>
        <v/>
      </c>
      <c r="NJ12" s="9">
        <f>NE12*PriceEssMonthly*MS12+NF12*PricePremMonthly*MS12+NG12*PriceEssAnnual*MS12/12+NH12*PricePremAnnual*MS12/12</f>
        <v/>
      </c>
      <c r="NK12" s="9">
        <f>NJ12*12</f>
        <v/>
      </c>
      <c r="NL12" s="12">
        <f>NE12*PriceEssMonthly*MS12+NF12*PricePremMonthly*MS12</f>
        <v/>
      </c>
      <c r="NM12" s="12">
        <f>NC12*PriceEssAnnual*MS12+ND12*PricePremAnnual*MS12</f>
        <v/>
      </c>
      <c r="NN12" s="12">
        <f>0+0</f>
        <v/>
      </c>
      <c r="NO12" s="9">
        <f>NL12+NM12+NN12</f>
        <v/>
      </c>
      <c r="NP12" s="12">
        <f>SUM(NO$5:NO12)</f>
        <v/>
      </c>
      <c r="NQ12" s="12">
        <f>OR(NQ11,NP12&gt;=VATThreshold)</f>
        <v/>
      </c>
      <c r="NR12" s="9">
        <f>IF(NQ12,NO12/(1+VATRate),NO12)</f>
        <v/>
      </c>
      <c r="NS12" s="12">
        <f>NO12-NR12</f>
        <v/>
      </c>
      <c r="NT12" s="12">
        <f>IF(NQ12=0,0,IF(MP12=1,SUMPRODUCT(--(($MQ$5:$MQ12=$MQ12-1)*($MP$5:$MP12&gt;=10)*($MP$5:$MP12&lt;=12)),$NS$5:$NS12),IF(MP12=4,SUMPRODUCT(--(($MQ$5:$MQ12=$MQ12)*($MP$5:$MP12&gt;=1)*($MP$5:$MP12&lt;=3)),$NS$5:$NS12),IF(MP12=7,SUMPRODUCT(--(($MQ$5:$MQ12=$MQ12)*($MP$5:$MP12&gt;=4)*($MP$5:$MP12&lt;=6)),$NS$5:$NS12),IF(MP12=10,SUMPRODUCT(--(($MQ$5:$MQ12=$MQ12)*($MP$5:$MP12&gt;=7)*($MP$5:$MP12&lt;=9)),$NS$5:$NS12),0)))))</f>
        <v/>
      </c>
      <c r="NU12" s="12">
        <f>NU11+NS12-NT12</f>
        <v/>
      </c>
      <c r="NV12" s="12">
        <f>IF(ProviderDelay&gt;=1,NR11*ProviderShare,NR12*ProviderShare)</f>
        <v/>
      </c>
      <c r="NW12" s="12">
        <f>NO12*PaymentFee</f>
        <v/>
      </c>
      <c r="NX12" s="12">
        <f>NI12*OpsAI</f>
        <v/>
      </c>
      <c r="NY12" s="12">
        <f>MonthlyFixed</f>
        <v/>
      </c>
      <c r="NZ12" s="12">
        <f>MW12*ReferralReward</f>
        <v/>
      </c>
      <c r="OA12" s="12">
        <f>MU12</f>
        <v/>
      </c>
      <c r="OB12" s="9">
        <f>NR12-NV12-NW12-NX12-NY12-NZ12-OA12</f>
        <v/>
      </c>
      <c r="OC12" s="9">
        <f>OC11+NO12-(NV12+NW12+NX12+NY12+NZ12+OA12+NT12)</f>
        <v/>
      </c>
      <c r="OD12" s="12">
        <f>IF(NI12&gt;0,NJ12/NI12,0)</f>
        <v/>
      </c>
      <c r="OE12" s="11">
        <f>IF(NI11&gt;0,MAX(0,(NI11+MX12-NI12)/NI11),0)</f>
        <v/>
      </c>
      <c r="OG12" s="12" t="n">
        <v>8</v>
      </c>
      <c r="OH12" s="12">
        <f>MOD(OG12-1+LaunchMonth-1,12)+1</f>
        <v/>
      </c>
      <c r="OI12" s="12">
        <f>INT((OG12-1+LaunchMonth-1)/12)+1</f>
        <v/>
      </c>
      <c r="OJ12" s="12">
        <f>VLOOKUP(OH12,SeasonTable,2,FALSE)</f>
        <v/>
      </c>
      <c r="OK12" s="12">
        <f>(1+InflationRate)^INT((OG12-1)/12)</f>
        <v/>
      </c>
      <c r="OL12" s="11">
        <f>'Sens - Churn'!$A$19*VLOOKUP(OH12,ChurnSeasonTable,4,FALSE)</f>
        <v/>
      </c>
      <c r="OM12" s="12">
        <f>MIN(MAX(MktMin7_12,PG11*MktPct7_12),MAX(0,PU11-CashBuffer))</f>
        <v/>
      </c>
      <c r="ON12" s="12">
        <f>IF(OM12&gt;0,MAX(1,ROUND(OM12/CAC*OJ12,0)),0)</f>
        <v/>
      </c>
      <c r="OO12" s="12">
        <f>IF(ON12&gt;0,ROUND(ON12*ReferralMix/(1-ReferralMix),0),0)</f>
        <v/>
      </c>
      <c r="OP12" s="12">
        <f>ON12+OO12</f>
        <v/>
      </c>
      <c r="OQ12" s="12">
        <f>ROUND(OP12*(1-AnnualMix),0)</f>
        <v/>
      </c>
      <c r="OR12" s="12">
        <f>OP12-OQ12</f>
        <v/>
      </c>
      <c r="OS12" s="12">
        <f>ROUND(OQ12*EssentialMix,0)</f>
        <v/>
      </c>
      <c r="OT12" s="12">
        <f>OQ12-OS12</f>
        <v/>
      </c>
      <c r="OU12" s="12">
        <f>ROUND(OR12*EssentialMix,0)</f>
        <v/>
      </c>
      <c r="OV12" s="12">
        <f>OR12-OU12</f>
        <v/>
      </c>
      <c r="OW12" s="12">
        <f>OS12+OS11+OS10+MAX(0,OW11-OS11-OS10)*(1-OL12)</f>
        <v/>
      </c>
      <c r="OX12" s="12">
        <f>OT12+OT11+OT10+MAX(0,OX11-OT11-OT10)*(1-OL12)</f>
        <v/>
      </c>
      <c r="OY12" s="12">
        <f>SUM(OU$5:OU12)</f>
        <v/>
      </c>
      <c r="OZ12" s="12">
        <f>SUM(OV$5:OV12)</f>
        <v/>
      </c>
      <c r="PA12" s="12">
        <f>OW12+OX12+OY12+OZ12</f>
        <v/>
      </c>
      <c r="PB12" s="9">
        <f>OW12*PriceEssMonthly*OK12+OX12*PricePremMonthly*OK12+OY12*PriceEssAnnual*OK12/12+OZ12*PricePremAnnual*OK12/12</f>
        <v/>
      </c>
      <c r="PC12" s="9">
        <f>PB12*12</f>
        <v/>
      </c>
      <c r="PD12" s="12">
        <f>OW12*PriceEssMonthly*OK12+OX12*PricePremMonthly*OK12</f>
        <v/>
      </c>
      <c r="PE12" s="12">
        <f>OU12*PriceEssAnnual*OK12+OV12*PricePremAnnual*OK12</f>
        <v/>
      </c>
      <c r="PF12" s="12">
        <f>0+0</f>
        <v/>
      </c>
      <c r="PG12" s="9">
        <f>PD12+PE12+PF12</f>
        <v/>
      </c>
      <c r="PH12" s="12">
        <f>SUM(PG$5:PG12)</f>
        <v/>
      </c>
      <c r="PI12" s="12">
        <f>OR(PI11,PH12&gt;=VATThreshold)</f>
        <v/>
      </c>
      <c r="PJ12" s="9">
        <f>IF(PI12,PG12/(1+VATRate),PG12)</f>
        <v/>
      </c>
      <c r="PK12" s="12">
        <f>PG12-PJ12</f>
        <v/>
      </c>
      <c r="PL12" s="12">
        <f>IF(PI12=0,0,IF(OH12=1,SUMPRODUCT(--(($OI$5:$OI12=$OI12-1)*($OH$5:$OH12&gt;=10)*($OH$5:$OH12&lt;=12)),$PK$5:$PK12),IF(OH12=4,SUMPRODUCT(--(($OI$5:$OI12=$OI12)*($OH$5:$OH12&gt;=1)*($OH$5:$OH12&lt;=3)),$PK$5:$PK12),IF(OH12=7,SUMPRODUCT(--(($OI$5:$OI12=$OI12)*($OH$5:$OH12&gt;=4)*($OH$5:$OH12&lt;=6)),$PK$5:$PK12),IF(OH12=10,SUMPRODUCT(--(($OI$5:$OI12=$OI12)*($OH$5:$OH12&gt;=7)*($OH$5:$OH12&lt;=9)),$PK$5:$PK12),0)))))</f>
        <v/>
      </c>
      <c r="PM12" s="12">
        <f>PM11+PK12-PL12</f>
        <v/>
      </c>
      <c r="PN12" s="12">
        <f>IF(ProviderDelay&gt;=1,PJ11*ProviderShare,PJ12*ProviderShare)</f>
        <v/>
      </c>
      <c r="PO12" s="12">
        <f>PG12*PaymentFee</f>
        <v/>
      </c>
      <c r="PP12" s="12">
        <f>PA12*OpsAI</f>
        <v/>
      </c>
      <c r="PQ12" s="12">
        <f>MonthlyFixed</f>
        <v/>
      </c>
      <c r="PR12" s="12">
        <f>OO12*ReferralReward</f>
        <v/>
      </c>
      <c r="PS12" s="12">
        <f>OM12</f>
        <v/>
      </c>
      <c r="PT12" s="9">
        <f>PJ12-PN12-PO12-PP12-PQ12-PR12-PS12</f>
        <v/>
      </c>
      <c r="PU12" s="9">
        <f>PU11+PG12-(PN12+PO12+PP12+PQ12+PR12+PS12+PL12)</f>
        <v/>
      </c>
      <c r="PV12" s="12">
        <f>IF(PA12&gt;0,PB12/PA12,0)</f>
        <v/>
      </c>
      <c r="PW12" s="11">
        <f>IF(PA11&gt;0,MAX(0,(PA11+OP12-PA12)/PA11),0)</f>
        <v/>
      </c>
      <c r="PY12" s="12" t="n">
        <v>8</v>
      </c>
      <c r="PZ12" s="12">
        <f>MOD(PY12-1+LaunchMonth-1,12)+1</f>
        <v/>
      </c>
      <c r="QA12" s="12">
        <f>INT((PY12-1+LaunchMonth-1)/12)+1</f>
        <v/>
      </c>
      <c r="QB12" s="12">
        <f>VLOOKUP(PZ12,SeasonTable,2,FALSE)</f>
        <v/>
      </c>
      <c r="QC12" s="12">
        <f>(1+InflationRate)^INT((PY12-1)/12)</f>
        <v/>
      </c>
      <c r="QD12" s="11">
        <f>'Sens - Churn'!$A$20*VLOOKUP(PZ12,ChurnSeasonTable,4,FALSE)</f>
        <v/>
      </c>
      <c r="QE12" s="12">
        <f>MIN(MAX(MktMin7_12,QY11*MktPct7_12),MAX(0,RM11-CashBuffer))</f>
        <v/>
      </c>
      <c r="QF12" s="12">
        <f>IF(QE12&gt;0,MAX(1,ROUND(QE12/CAC*QB12,0)),0)</f>
        <v/>
      </c>
      <c r="QG12" s="12">
        <f>IF(QF12&gt;0,ROUND(QF12*ReferralMix/(1-ReferralMix),0),0)</f>
        <v/>
      </c>
      <c r="QH12" s="12">
        <f>QF12+QG12</f>
        <v/>
      </c>
      <c r="QI12" s="12">
        <f>ROUND(QH12*(1-AnnualMix),0)</f>
        <v/>
      </c>
      <c r="QJ12" s="12">
        <f>QH12-QI12</f>
        <v/>
      </c>
      <c r="QK12" s="12">
        <f>ROUND(QI12*EssentialMix,0)</f>
        <v/>
      </c>
      <c r="QL12" s="12">
        <f>QI12-QK12</f>
        <v/>
      </c>
      <c r="QM12" s="12">
        <f>ROUND(QJ12*EssentialMix,0)</f>
        <v/>
      </c>
      <c r="QN12" s="12">
        <f>QJ12-QM12</f>
        <v/>
      </c>
      <c r="QO12" s="12">
        <f>QK12+QK11+QK10+MAX(0,QO11-QK11-QK10)*(1-QD12)</f>
        <v/>
      </c>
      <c r="QP12" s="12">
        <f>QL12+QL11+QL10+MAX(0,QP11-QL11-QL10)*(1-QD12)</f>
        <v/>
      </c>
      <c r="QQ12" s="12">
        <f>SUM(QM$5:QM12)</f>
        <v/>
      </c>
      <c r="QR12" s="12">
        <f>SUM(QN$5:QN12)</f>
        <v/>
      </c>
      <c r="QS12" s="12">
        <f>QO12+QP12+QQ12+QR12</f>
        <v/>
      </c>
      <c r="QT12" s="9">
        <f>QO12*PriceEssMonthly*QC12+QP12*PricePremMonthly*QC12+QQ12*PriceEssAnnual*QC12/12+QR12*PricePremAnnual*QC12/12</f>
        <v/>
      </c>
      <c r="QU12" s="9">
        <f>QT12*12</f>
        <v/>
      </c>
      <c r="QV12" s="12">
        <f>QO12*PriceEssMonthly*QC12+QP12*PricePremMonthly*QC12</f>
        <v/>
      </c>
      <c r="QW12" s="12">
        <f>QM12*PriceEssAnnual*QC12+QN12*PricePremAnnual*QC12</f>
        <v/>
      </c>
      <c r="QX12" s="12">
        <f>0+0</f>
        <v/>
      </c>
      <c r="QY12" s="9">
        <f>QV12+QW12+QX12</f>
        <v/>
      </c>
      <c r="QZ12" s="12">
        <f>SUM(QY$5:QY12)</f>
        <v/>
      </c>
      <c r="RA12" s="12">
        <f>OR(RA11,QZ12&gt;=VATThreshold)</f>
        <v/>
      </c>
      <c r="RB12" s="9">
        <f>IF(RA12,QY12/(1+VATRate),QY12)</f>
        <v/>
      </c>
      <c r="RC12" s="12">
        <f>QY12-RB12</f>
        <v/>
      </c>
      <c r="RD12" s="12">
        <f>IF(RA12=0,0,IF(PZ12=1,SUMPRODUCT(--(($QA$5:$QA12=$QA12-1)*($PZ$5:$PZ12&gt;=10)*($PZ$5:$PZ12&lt;=12)),$RC$5:$RC12),IF(PZ12=4,SUMPRODUCT(--(($QA$5:$QA12=$QA12)*($PZ$5:$PZ12&gt;=1)*($PZ$5:$PZ12&lt;=3)),$RC$5:$RC12),IF(PZ12=7,SUMPRODUCT(--(($QA$5:$QA12=$QA12)*($PZ$5:$PZ12&gt;=4)*($PZ$5:$PZ12&lt;=6)),$RC$5:$RC12),IF(PZ12=10,SUMPRODUCT(--(($QA$5:$QA12=$QA12)*($PZ$5:$PZ12&gt;=7)*($PZ$5:$PZ12&lt;=9)),$RC$5:$RC12),0)))))</f>
        <v/>
      </c>
      <c r="RE12" s="12">
        <f>RE11+RC12-RD12</f>
        <v/>
      </c>
      <c r="RF12" s="12">
        <f>IF(ProviderDelay&gt;=1,RB11*ProviderShare,RB12*ProviderShare)</f>
        <v/>
      </c>
      <c r="RG12" s="12">
        <f>QY12*PaymentFee</f>
        <v/>
      </c>
      <c r="RH12" s="12">
        <f>QS12*OpsAI</f>
        <v/>
      </c>
      <c r="RI12" s="12">
        <f>MonthlyFixed</f>
        <v/>
      </c>
      <c r="RJ12" s="12">
        <f>QG12*ReferralReward</f>
        <v/>
      </c>
      <c r="RK12" s="12">
        <f>QE12</f>
        <v/>
      </c>
      <c r="RL12" s="9">
        <f>RB12-RF12-RG12-RH12-RI12-RJ12-RK12</f>
        <v/>
      </c>
      <c r="RM12" s="9">
        <f>RM11+QY12-(RF12+RG12+RH12+RI12+RJ12+RK12+RD12)</f>
        <v/>
      </c>
      <c r="RN12" s="12">
        <f>IF(QS12&gt;0,QT12/QS12,0)</f>
        <v/>
      </c>
      <c r="RO12" s="11">
        <f>IF(QS11&gt;0,MAX(0,(QS11+QH12-QS12)/QS11),0)</f>
        <v/>
      </c>
      <c r="RQ12" s="12" t="n">
        <v>8</v>
      </c>
      <c r="RR12" s="12">
        <f>MOD(RQ12-1+LaunchMonth-1,12)+1</f>
        <v/>
      </c>
      <c r="RS12" s="12">
        <f>INT((RQ12-1+LaunchMonth-1)/12)+1</f>
        <v/>
      </c>
      <c r="RT12" s="12">
        <f>VLOOKUP(RR12,SeasonTable,2,FALSE)</f>
        <v/>
      </c>
      <c r="RU12" s="12">
        <f>(1+InflationRate)^INT((RQ12-1)/12)</f>
        <v/>
      </c>
      <c r="RV12" s="11">
        <f>'Sens - Churn'!$A$21*VLOOKUP(RR12,ChurnSeasonTable,4,FALSE)</f>
        <v/>
      </c>
      <c r="RW12" s="12">
        <f>MIN(MAX(MktMin7_12,SQ11*MktPct7_12),MAX(0,TE11-CashBuffer))</f>
        <v/>
      </c>
      <c r="RX12" s="12">
        <f>IF(RW12&gt;0,MAX(1,ROUND(RW12/CAC*RT12,0)),0)</f>
        <v/>
      </c>
      <c r="RY12" s="12">
        <f>IF(RX12&gt;0,ROUND(RX12*ReferralMix/(1-ReferralMix),0),0)</f>
        <v/>
      </c>
      <c r="RZ12" s="12">
        <f>RX12+RY12</f>
        <v/>
      </c>
      <c r="SA12" s="12">
        <f>ROUND(RZ12*(1-AnnualMix),0)</f>
        <v/>
      </c>
      <c r="SB12" s="12">
        <f>RZ12-SA12</f>
        <v/>
      </c>
      <c r="SC12" s="12">
        <f>ROUND(SA12*EssentialMix,0)</f>
        <v/>
      </c>
      <c r="SD12" s="12">
        <f>SA12-SC12</f>
        <v/>
      </c>
      <c r="SE12" s="12">
        <f>ROUND(SB12*EssentialMix,0)</f>
        <v/>
      </c>
      <c r="SF12" s="12">
        <f>SB12-SE12</f>
        <v/>
      </c>
      <c r="SG12" s="12">
        <f>SC12+SC11+SC10+MAX(0,SG11-SC11-SC10)*(1-RV12)</f>
        <v/>
      </c>
      <c r="SH12" s="12">
        <f>SD12+SD11+SD10+MAX(0,SH11-SD11-SD10)*(1-RV12)</f>
        <v/>
      </c>
      <c r="SI12" s="12">
        <f>SUM(SE$5:SE12)</f>
        <v/>
      </c>
      <c r="SJ12" s="12">
        <f>SUM(SF$5:SF12)</f>
        <v/>
      </c>
      <c r="SK12" s="12">
        <f>SG12+SH12+SI12+SJ12</f>
        <v/>
      </c>
      <c r="SL12" s="9">
        <f>SG12*PriceEssMonthly*RU12+SH12*PricePremMonthly*RU12+SI12*PriceEssAnnual*RU12/12+SJ12*PricePremAnnual*RU12/12</f>
        <v/>
      </c>
      <c r="SM12" s="9">
        <f>SL12*12</f>
        <v/>
      </c>
      <c r="SN12" s="12">
        <f>SG12*PriceEssMonthly*RU12+SH12*PricePremMonthly*RU12</f>
        <v/>
      </c>
      <c r="SO12" s="12">
        <f>SE12*PriceEssAnnual*RU12+SF12*PricePremAnnual*RU12</f>
        <v/>
      </c>
      <c r="SP12" s="12">
        <f>0+0</f>
        <v/>
      </c>
      <c r="SQ12" s="9">
        <f>SN12+SO12+SP12</f>
        <v/>
      </c>
      <c r="SR12" s="12">
        <f>SUM(SQ$5:SQ12)</f>
        <v/>
      </c>
      <c r="SS12" s="12">
        <f>OR(SS11,SR12&gt;=VATThreshold)</f>
        <v/>
      </c>
      <c r="ST12" s="9">
        <f>IF(SS12,SQ12/(1+VATRate),SQ12)</f>
        <v/>
      </c>
      <c r="SU12" s="12">
        <f>SQ12-ST12</f>
        <v/>
      </c>
      <c r="SV12" s="12">
        <f>IF(SS12=0,0,IF(RR12=1,SUMPRODUCT(--(($RS$5:$RS12=$RS12-1)*($RR$5:$RR12&gt;=10)*($RR$5:$RR12&lt;=12)),$SU$5:$SU12),IF(RR12=4,SUMPRODUCT(--(($RS$5:$RS12=$RS12)*($RR$5:$RR12&gt;=1)*($RR$5:$RR12&lt;=3)),$SU$5:$SU12),IF(RR12=7,SUMPRODUCT(--(($RS$5:$RS12=$RS12)*($RR$5:$RR12&gt;=4)*($RR$5:$RR12&lt;=6)),$SU$5:$SU12),IF(RR12=10,SUMPRODUCT(--(($RS$5:$RS12=$RS12)*($RR$5:$RR12&gt;=7)*($RR$5:$RR12&lt;=9)),$SU$5:$SU12),0)))))</f>
        <v/>
      </c>
      <c r="SW12" s="12">
        <f>SW11+SU12-SV12</f>
        <v/>
      </c>
      <c r="SX12" s="12">
        <f>IF(ProviderDelay&gt;=1,ST11*ProviderShare,ST12*ProviderShare)</f>
        <v/>
      </c>
      <c r="SY12" s="12">
        <f>SQ12*PaymentFee</f>
        <v/>
      </c>
      <c r="SZ12" s="12">
        <f>SK12*OpsAI</f>
        <v/>
      </c>
      <c r="TA12" s="12">
        <f>MonthlyFixed</f>
        <v/>
      </c>
      <c r="TB12" s="12">
        <f>RY12*ReferralReward</f>
        <v/>
      </c>
      <c r="TC12" s="12">
        <f>RW12</f>
        <v/>
      </c>
      <c r="TD12" s="9">
        <f>ST12-SX12-SY12-SZ12-TA12-TB12-TC12</f>
        <v/>
      </c>
      <c r="TE12" s="9">
        <f>TE11+SQ12-(SX12+SY12+SZ12+TA12+TB12+TC12+SV12)</f>
        <v/>
      </c>
      <c r="TF12" s="12">
        <f>IF(SK12&gt;0,SL12/SK12,0)</f>
        <v/>
      </c>
      <c r="TG12" s="11">
        <f>IF(SK11&gt;0,MAX(0,(SK11+RZ12-SK12)/SK11),0)</f>
        <v/>
      </c>
      <c r="TI12" s="12" t="n">
        <v>8</v>
      </c>
      <c r="TJ12" s="12">
        <f>MOD(TI12-1+LaunchMonth-1,12)+1</f>
        <v/>
      </c>
      <c r="TK12" s="12">
        <f>INT((TI12-1+LaunchMonth-1)/12)+1</f>
        <v/>
      </c>
      <c r="TL12" s="12">
        <f>VLOOKUP(TJ12,SeasonTable,2,FALSE)</f>
        <v/>
      </c>
      <c r="TM12" s="12">
        <f>(1+InflationRate)^INT((TI12-1)/12)</f>
        <v/>
      </c>
      <c r="TN12" s="11">
        <f>MonthlyChurn*VLOOKUP(TJ12,ChurnSeasonTable,4,FALSE)</f>
        <v/>
      </c>
      <c r="TO12" s="12">
        <f>MIN(MAX(MktMin7_12,UI11*MktPct7_12),MAX(0,UW11-CashBuffer))</f>
        <v/>
      </c>
      <c r="TP12" s="12">
        <f>IF(TO12&gt;0,MAX(1,ROUND(TO12/CAC*TL12,0)),0)</f>
        <v/>
      </c>
      <c r="TQ12" s="12">
        <f>IF(TP12&gt;0,ROUND(TP12*ReferralMix/(1-ReferralMix),0),0)</f>
        <v/>
      </c>
      <c r="TR12" s="12">
        <f>TP12+TQ12</f>
        <v/>
      </c>
      <c r="TS12" s="12">
        <f>ROUND(TR12*(1-'Sens - Annual Mix'!$A$9),0)</f>
        <v/>
      </c>
      <c r="TT12" s="12">
        <f>TR12-TS12</f>
        <v/>
      </c>
      <c r="TU12" s="12">
        <f>ROUND(TS12*EssentialMix,0)</f>
        <v/>
      </c>
      <c r="TV12" s="12">
        <f>TS12-TU12</f>
        <v/>
      </c>
      <c r="TW12" s="12">
        <f>ROUND(TT12*EssentialMix,0)</f>
        <v/>
      </c>
      <c r="TX12" s="12">
        <f>TT12-TW12</f>
        <v/>
      </c>
      <c r="TY12" s="12">
        <f>TU12+TU11+TU10+MAX(0,TY11-TU11-TU10)*(1-TN12)</f>
        <v/>
      </c>
      <c r="TZ12" s="12">
        <f>TV12+TV11+TV10+MAX(0,TZ11-TV11-TV10)*(1-TN12)</f>
        <v/>
      </c>
      <c r="UA12" s="12">
        <f>SUM(TW$5:TW12)</f>
        <v/>
      </c>
      <c r="UB12" s="12">
        <f>SUM(TX$5:TX12)</f>
        <v/>
      </c>
      <c r="UC12" s="12">
        <f>TY12+TZ12+UA12+UB12</f>
        <v/>
      </c>
      <c r="UD12" s="9">
        <f>TY12*PriceEssMonthly*TM12+TZ12*PricePremMonthly*TM12+UA12*PriceEssAnnual*TM12/12+UB12*PricePremAnnual*TM12/12</f>
        <v/>
      </c>
      <c r="UE12" s="9">
        <f>UD12*12</f>
        <v/>
      </c>
      <c r="UF12" s="12">
        <f>TY12*PriceEssMonthly*TM12+TZ12*PricePremMonthly*TM12</f>
        <v/>
      </c>
      <c r="UG12" s="12">
        <f>TW12*PriceEssAnnual*TM12+TX12*PricePremAnnual*TM12</f>
        <v/>
      </c>
      <c r="UH12" s="12">
        <f>0+0</f>
        <v/>
      </c>
      <c r="UI12" s="9">
        <f>UF12+UG12+UH12</f>
        <v/>
      </c>
      <c r="UJ12" s="12">
        <f>SUM(UI$5:UI12)</f>
        <v/>
      </c>
      <c r="UK12" s="12">
        <f>OR(UK11,UJ12&gt;=VATThreshold)</f>
        <v/>
      </c>
      <c r="UL12" s="9">
        <f>IF(UK12,UI12/(1+VATRate),UI12)</f>
        <v/>
      </c>
      <c r="UM12" s="12">
        <f>UI12-UL12</f>
        <v/>
      </c>
      <c r="UN12" s="12">
        <f>IF(UK12=0,0,IF(TJ12=1,SUMPRODUCT(--(($TK$5:$TK12=$TK12-1)*($TJ$5:$TJ12&gt;=10)*($TJ$5:$TJ12&lt;=12)),$UM$5:$UM12),IF(TJ12=4,SUMPRODUCT(--(($TK$5:$TK12=$TK12)*($TJ$5:$TJ12&gt;=1)*($TJ$5:$TJ12&lt;=3)),$UM$5:$UM12),IF(TJ12=7,SUMPRODUCT(--(($TK$5:$TK12=$TK12)*($TJ$5:$TJ12&gt;=4)*($TJ$5:$TJ12&lt;=6)),$UM$5:$UM12),IF(TJ12=10,SUMPRODUCT(--(($TK$5:$TK12=$TK12)*($TJ$5:$TJ12&gt;=7)*($TJ$5:$TJ12&lt;=9)),$UM$5:$UM12),0)))))</f>
        <v/>
      </c>
      <c r="UO12" s="12">
        <f>UO11+UM12-UN12</f>
        <v/>
      </c>
      <c r="UP12" s="12">
        <f>IF(ProviderDelay&gt;=1,UL11*ProviderShare,UL12*ProviderShare)</f>
        <v/>
      </c>
      <c r="UQ12" s="12">
        <f>UI12*PaymentFee</f>
        <v/>
      </c>
      <c r="UR12" s="12">
        <f>UC12*OpsAI</f>
        <v/>
      </c>
      <c r="US12" s="12">
        <f>MonthlyFixed</f>
        <v/>
      </c>
      <c r="UT12" s="12">
        <f>TQ12*ReferralReward</f>
        <v/>
      </c>
      <c r="UU12" s="12">
        <f>TO12</f>
        <v/>
      </c>
      <c r="UV12" s="9">
        <f>UL12-UP12-UQ12-UR12-US12-UT12-UU12</f>
        <v/>
      </c>
      <c r="UW12" s="9">
        <f>UW11+UI12-(UP12+UQ12+UR12+US12+UT12+UU12+UN12)</f>
        <v/>
      </c>
      <c r="UX12" s="12">
        <f>IF(UC12&gt;0,UD12/UC12,0)</f>
        <v/>
      </c>
      <c r="UY12" s="11">
        <f>IF(UC11&gt;0,MAX(0,(UC11+TR12-UC12)/UC11),0)</f>
        <v/>
      </c>
      <c r="VA12" s="12" t="n">
        <v>8</v>
      </c>
      <c r="VB12" s="12">
        <f>MOD(VA12-1+LaunchMonth-1,12)+1</f>
        <v/>
      </c>
      <c r="VC12" s="12">
        <f>INT((VA12-1+LaunchMonth-1)/12)+1</f>
        <v/>
      </c>
      <c r="VD12" s="12">
        <f>VLOOKUP(VB12,SeasonTable,2,FALSE)</f>
        <v/>
      </c>
      <c r="VE12" s="12">
        <f>(1+InflationRate)^INT((VA12-1)/12)</f>
        <v/>
      </c>
      <c r="VF12" s="11">
        <f>MonthlyChurn*VLOOKUP(VB12,ChurnSeasonTable,4,FALSE)</f>
        <v/>
      </c>
      <c r="VG12" s="12">
        <f>MIN(MAX(MktMin7_12,WA11*MktPct7_12),MAX(0,WO11-CashBuffer))</f>
        <v/>
      </c>
      <c r="VH12" s="12">
        <f>IF(VG12&gt;0,MAX(1,ROUND(VG12/CAC*VD12,0)),0)</f>
        <v/>
      </c>
      <c r="VI12" s="12">
        <f>IF(VH12&gt;0,ROUND(VH12*ReferralMix/(1-ReferralMix),0),0)</f>
        <v/>
      </c>
      <c r="VJ12" s="12">
        <f>VH12+VI12</f>
        <v/>
      </c>
      <c r="VK12" s="12">
        <f>ROUND(VJ12*(1-'Sens - Annual Mix'!$A$10),0)</f>
        <v/>
      </c>
      <c r="VL12" s="12">
        <f>VJ12-VK12</f>
        <v/>
      </c>
      <c r="VM12" s="12">
        <f>ROUND(VK12*EssentialMix,0)</f>
        <v/>
      </c>
      <c r="VN12" s="12">
        <f>VK12-VM12</f>
        <v/>
      </c>
      <c r="VO12" s="12">
        <f>ROUND(VL12*EssentialMix,0)</f>
        <v/>
      </c>
      <c r="VP12" s="12">
        <f>VL12-VO12</f>
        <v/>
      </c>
      <c r="VQ12" s="12">
        <f>VM12+VM11+VM10+MAX(0,VQ11-VM11-VM10)*(1-VF12)</f>
        <v/>
      </c>
      <c r="VR12" s="12">
        <f>VN12+VN11+VN10+MAX(0,VR11-VN11-VN10)*(1-VF12)</f>
        <v/>
      </c>
      <c r="VS12" s="12">
        <f>SUM(VO$5:VO12)</f>
        <v/>
      </c>
      <c r="VT12" s="12">
        <f>SUM(VP$5:VP12)</f>
        <v/>
      </c>
      <c r="VU12" s="12">
        <f>VQ12+VR12+VS12+VT12</f>
        <v/>
      </c>
      <c r="VV12" s="9">
        <f>VQ12*PriceEssMonthly*VE12+VR12*PricePremMonthly*VE12+VS12*PriceEssAnnual*VE12/12+VT12*PricePremAnnual*VE12/12</f>
        <v/>
      </c>
      <c r="VW12" s="9">
        <f>VV12*12</f>
        <v/>
      </c>
      <c r="VX12" s="12">
        <f>VQ12*PriceEssMonthly*VE12+VR12*PricePremMonthly*VE12</f>
        <v/>
      </c>
      <c r="VY12" s="12">
        <f>VO12*PriceEssAnnual*VE12+VP12*PricePremAnnual*VE12</f>
        <v/>
      </c>
      <c r="VZ12" s="12">
        <f>0+0</f>
        <v/>
      </c>
      <c r="WA12" s="9">
        <f>VX12+VY12+VZ12</f>
        <v/>
      </c>
      <c r="WB12" s="12">
        <f>SUM(WA$5:WA12)</f>
        <v/>
      </c>
      <c r="WC12" s="12">
        <f>OR(WC11,WB12&gt;=VATThreshold)</f>
        <v/>
      </c>
      <c r="WD12" s="9">
        <f>IF(WC12,WA12/(1+VATRate),WA12)</f>
        <v/>
      </c>
      <c r="WE12" s="12">
        <f>WA12-WD12</f>
        <v/>
      </c>
      <c r="WF12" s="12">
        <f>IF(WC12=0,0,IF(VB12=1,SUMPRODUCT(--(($VC$5:$VC12=$VC12-1)*($VB$5:$VB12&gt;=10)*($VB$5:$VB12&lt;=12)),$WE$5:$WE12),IF(VB12=4,SUMPRODUCT(--(($VC$5:$VC12=$VC12)*($VB$5:$VB12&gt;=1)*($VB$5:$VB12&lt;=3)),$WE$5:$WE12),IF(VB12=7,SUMPRODUCT(--(($VC$5:$VC12=$VC12)*($VB$5:$VB12&gt;=4)*($VB$5:$VB12&lt;=6)),$WE$5:$WE12),IF(VB12=10,SUMPRODUCT(--(($VC$5:$VC12=$VC12)*($VB$5:$VB12&gt;=7)*($VB$5:$VB12&lt;=9)),$WE$5:$WE12),0)))))</f>
        <v/>
      </c>
      <c r="WG12" s="12">
        <f>WG11+WE12-WF12</f>
        <v/>
      </c>
      <c r="WH12" s="12">
        <f>IF(ProviderDelay&gt;=1,WD11*ProviderShare,WD12*ProviderShare)</f>
        <v/>
      </c>
      <c r="WI12" s="12">
        <f>WA12*PaymentFee</f>
        <v/>
      </c>
      <c r="WJ12" s="12">
        <f>VU12*OpsAI</f>
        <v/>
      </c>
      <c r="WK12" s="12">
        <f>MonthlyFixed</f>
        <v/>
      </c>
      <c r="WL12" s="12">
        <f>VI12*ReferralReward</f>
        <v/>
      </c>
      <c r="WM12" s="12">
        <f>VG12</f>
        <v/>
      </c>
      <c r="WN12" s="9">
        <f>WD12-WH12-WI12-WJ12-WK12-WL12-WM12</f>
        <v/>
      </c>
      <c r="WO12" s="9">
        <f>WO11+WA12-(WH12+WI12+WJ12+WK12+WL12+WM12+WF12)</f>
        <v/>
      </c>
      <c r="WP12" s="12">
        <f>IF(VU12&gt;0,VV12/VU12,0)</f>
        <v/>
      </c>
      <c r="WQ12" s="11">
        <f>IF(VU11&gt;0,MAX(0,(VU11+VJ12-VU12)/VU11),0)</f>
        <v/>
      </c>
      <c r="WS12" s="12" t="n">
        <v>8</v>
      </c>
      <c r="WT12" s="12">
        <f>MOD(WS12-1+LaunchMonth-1,12)+1</f>
        <v/>
      </c>
      <c r="WU12" s="12">
        <f>INT((WS12-1+LaunchMonth-1)/12)+1</f>
        <v/>
      </c>
      <c r="WV12" s="12">
        <f>VLOOKUP(WT12,SeasonTable,2,FALSE)</f>
        <v/>
      </c>
      <c r="WW12" s="12">
        <f>(1+InflationRate)^INT((WS12-1)/12)</f>
        <v/>
      </c>
      <c r="WX12" s="11">
        <f>MonthlyChurn*VLOOKUP(WT12,ChurnSeasonTable,4,FALSE)</f>
        <v/>
      </c>
      <c r="WY12" s="12">
        <f>MIN(MAX(MktMin7_12,XS11*MktPct7_12),MAX(0,YG11-CashBuffer))</f>
        <v/>
      </c>
      <c r="WZ12" s="12">
        <f>IF(WY12&gt;0,MAX(1,ROUND(WY12/CAC*WV12,0)),0)</f>
        <v/>
      </c>
      <c r="XA12" s="12">
        <f>IF(WZ12&gt;0,ROUND(WZ12*ReferralMix/(1-ReferralMix),0),0)</f>
        <v/>
      </c>
      <c r="XB12" s="12">
        <f>WZ12+XA12</f>
        <v/>
      </c>
      <c r="XC12" s="12">
        <f>ROUND(XB12*(1-'Sens - Annual Mix'!$A$11),0)</f>
        <v/>
      </c>
      <c r="XD12" s="12">
        <f>XB12-XC12</f>
        <v/>
      </c>
      <c r="XE12" s="12">
        <f>ROUND(XC12*EssentialMix,0)</f>
        <v/>
      </c>
      <c r="XF12" s="12">
        <f>XC12-XE12</f>
        <v/>
      </c>
      <c r="XG12" s="12">
        <f>ROUND(XD12*EssentialMix,0)</f>
        <v/>
      </c>
      <c r="XH12" s="12">
        <f>XD12-XG12</f>
        <v/>
      </c>
      <c r="XI12" s="12">
        <f>XE12+XE11+XE10+MAX(0,XI11-XE11-XE10)*(1-WX12)</f>
        <v/>
      </c>
      <c r="XJ12" s="12">
        <f>XF12+XF11+XF10+MAX(0,XJ11-XF11-XF10)*(1-WX12)</f>
        <v/>
      </c>
      <c r="XK12" s="12">
        <f>SUM(XG$5:XG12)</f>
        <v/>
      </c>
      <c r="XL12" s="12">
        <f>SUM(XH$5:XH12)</f>
        <v/>
      </c>
      <c r="XM12" s="12">
        <f>XI12+XJ12+XK12+XL12</f>
        <v/>
      </c>
      <c r="XN12" s="9">
        <f>XI12*PriceEssMonthly*WW12+XJ12*PricePremMonthly*WW12+XK12*PriceEssAnnual*WW12/12+XL12*PricePremAnnual*WW12/12</f>
        <v/>
      </c>
      <c r="XO12" s="9">
        <f>XN12*12</f>
        <v/>
      </c>
      <c r="XP12" s="12">
        <f>XI12*PriceEssMonthly*WW12+XJ12*PricePremMonthly*WW12</f>
        <v/>
      </c>
      <c r="XQ12" s="12">
        <f>XG12*PriceEssAnnual*WW12+XH12*PricePremAnnual*WW12</f>
        <v/>
      </c>
      <c r="XR12" s="12">
        <f>0+0</f>
        <v/>
      </c>
      <c r="XS12" s="9">
        <f>XP12+XQ12+XR12</f>
        <v/>
      </c>
      <c r="XT12" s="12">
        <f>SUM(XS$5:XS12)</f>
        <v/>
      </c>
      <c r="XU12" s="12">
        <f>OR(XU11,XT12&gt;=VATThreshold)</f>
        <v/>
      </c>
      <c r="XV12" s="9">
        <f>IF(XU12,XS12/(1+VATRate),XS12)</f>
        <v/>
      </c>
      <c r="XW12" s="12">
        <f>XS12-XV12</f>
        <v/>
      </c>
      <c r="XX12" s="12">
        <f>IF(XU12=0,0,IF(WT12=1,SUMPRODUCT(--(($WU$5:$WU12=$WU12-1)*($WT$5:$WT12&gt;=10)*($WT$5:$WT12&lt;=12)),$XW$5:$XW12),IF(WT12=4,SUMPRODUCT(--(($WU$5:$WU12=$WU12)*($WT$5:$WT12&gt;=1)*($WT$5:$WT12&lt;=3)),$XW$5:$XW12),IF(WT12=7,SUMPRODUCT(--(($WU$5:$WU12=$WU12)*($WT$5:$WT12&gt;=4)*($WT$5:$WT12&lt;=6)),$XW$5:$XW12),IF(WT12=10,SUMPRODUCT(--(($WU$5:$WU12=$WU12)*($WT$5:$WT12&gt;=7)*($WT$5:$WT12&lt;=9)),$XW$5:$XW12),0)))))</f>
        <v/>
      </c>
      <c r="XY12" s="12">
        <f>XY11+XW12-XX12</f>
        <v/>
      </c>
      <c r="XZ12" s="12">
        <f>IF(ProviderDelay&gt;=1,XV11*ProviderShare,XV12*ProviderShare)</f>
        <v/>
      </c>
      <c r="YA12" s="12">
        <f>XS12*PaymentFee</f>
        <v/>
      </c>
      <c r="YB12" s="12">
        <f>XM12*OpsAI</f>
        <v/>
      </c>
      <c r="YC12" s="12">
        <f>MonthlyFixed</f>
        <v/>
      </c>
      <c r="YD12" s="12">
        <f>XA12*ReferralReward</f>
        <v/>
      </c>
      <c r="YE12" s="12">
        <f>WY12</f>
        <v/>
      </c>
      <c r="YF12" s="9">
        <f>XV12-XZ12-YA12-YB12-YC12-YD12-YE12</f>
        <v/>
      </c>
      <c r="YG12" s="9">
        <f>YG11+XS12-(XZ12+YA12+YB12+YC12+YD12+YE12+XX12)</f>
        <v/>
      </c>
      <c r="YH12" s="12">
        <f>IF(XM12&gt;0,XN12/XM12,0)</f>
        <v/>
      </c>
      <c r="YI12" s="11">
        <f>IF(XM11&gt;0,MAX(0,(XM11+XB12-XM12)/XM11),0)</f>
        <v/>
      </c>
      <c r="YK12" s="12" t="n">
        <v>8</v>
      </c>
      <c r="YL12" s="12">
        <f>MOD(YK12-1+LaunchMonth-1,12)+1</f>
        <v/>
      </c>
      <c r="YM12" s="12">
        <f>INT((YK12-1+LaunchMonth-1)/12)+1</f>
        <v/>
      </c>
      <c r="YN12" s="12">
        <f>VLOOKUP(YL12,SeasonTable,2,FALSE)</f>
        <v/>
      </c>
      <c r="YO12" s="12">
        <f>(1+InflationRate)^INT((YK12-1)/12)</f>
        <v/>
      </c>
      <c r="YP12" s="11">
        <f>MonthlyChurn*VLOOKUP(YL12,ChurnSeasonTable,4,FALSE)</f>
        <v/>
      </c>
      <c r="YQ12" s="12">
        <f>MIN(MAX(MktMin7_12,ZK11*MktPct7_12),MAX(0,ZY11-CashBuffer))</f>
        <v/>
      </c>
      <c r="YR12" s="12">
        <f>IF(YQ12&gt;0,MAX(1,ROUND(YQ12/CAC*YN12,0)),0)</f>
        <v/>
      </c>
      <c r="YS12" s="12">
        <f>IF(YR12&gt;0,ROUND(YR12*ReferralMix/(1-ReferralMix),0),0)</f>
        <v/>
      </c>
      <c r="YT12" s="12">
        <f>YR12+YS12</f>
        <v/>
      </c>
      <c r="YU12" s="12">
        <f>ROUND(YT12*(1-'Sens - Annual Mix'!$A$12),0)</f>
        <v/>
      </c>
      <c r="YV12" s="12">
        <f>YT12-YU12</f>
        <v/>
      </c>
      <c r="YW12" s="12">
        <f>ROUND(YU12*EssentialMix,0)</f>
        <v/>
      </c>
      <c r="YX12" s="12">
        <f>YU12-YW12</f>
        <v/>
      </c>
      <c r="YY12" s="12">
        <f>ROUND(YV12*EssentialMix,0)</f>
        <v/>
      </c>
      <c r="YZ12" s="12">
        <f>YV12-YY12</f>
        <v/>
      </c>
      <c r="ZA12" s="12">
        <f>YW12+YW11+YW10+MAX(0,ZA11-YW11-YW10)*(1-YP12)</f>
        <v/>
      </c>
      <c r="ZB12" s="12">
        <f>YX12+YX11+YX10+MAX(0,ZB11-YX11-YX10)*(1-YP12)</f>
        <v/>
      </c>
      <c r="ZC12" s="12">
        <f>SUM(YY$5:YY12)</f>
        <v/>
      </c>
      <c r="ZD12" s="12">
        <f>SUM(YZ$5:YZ12)</f>
        <v/>
      </c>
      <c r="ZE12" s="12">
        <f>ZA12+ZB12+ZC12+ZD12</f>
        <v/>
      </c>
      <c r="ZF12" s="9">
        <f>ZA12*PriceEssMonthly*YO12+ZB12*PricePremMonthly*YO12+ZC12*PriceEssAnnual*YO12/12+ZD12*PricePremAnnual*YO12/12</f>
        <v/>
      </c>
      <c r="ZG12" s="9">
        <f>ZF12*12</f>
        <v/>
      </c>
      <c r="ZH12" s="12">
        <f>ZA12*PriceEssMonthly*YO12+ZB12*PricePremMonthly*YO12</f>
        <v/>
      </c>
      <c r="ZI12" s="12">
        <f>YY12*PriceEssAnnual*YO12+YZ12*PricePremAnnual*YO12</f>
        <v/>
      </c>
      <c r="ZJ12" s="12">
        <f>0+0</f>
        <v/>
      </c>
      <c r="ZK12" s="9">
        <f>ZH12+ZI12+ZJ12</f>
        <v/>
      </c>
      <c r="ZL12" s="12">
        <f>SUM(ZK$5:ZK12)</f>
        <v/>
      </c>
      <c r="ZM12" s="12">
        <f>OR(ZM11,ZL12&gt;=VATThreshold)</f>
        <v/>
      </c>
      <c r="ZN12" s="9">
        <f>IF(ZM12,ZK12/(1+VATRate),ZK12)</f>
        <v/>
      </c>
      <c r="ZO12" s="12">
        <f>ZK12-ZN12</f>
        <v/>
      </c>
      <c r="ZP12" s="12">
        <f>IF(ZM12=0,0,IF(YL12=1,SUMPRODUCT(--(($YM$5:$YM12=$YM12-1)*($YL$5:$YL12&gt;=10)*($YL$5:$YL12&lt;=12)),$ZO$5:$ZO12),IF(YL12=4,SUMPRODUCT(--(($YM$5:$YM12=$YM12)*($YL$5:$YL12&gt;=1)*($YL$5:$YL12&lt;=3)),$ZO$5:$ZO12),IF(YL12=7,SUMPRODUCT(--(($YM$5:$YM12=$YM12)*($YL$5:$YL12&gt;=4)*($YL$5:$YL12&lt;=6)),$ZO$5:$ZO12),IF(YL12=10,SUMPRODUCT(--(($YM$5:$YM12=$YM12)*($YL$5:$YL12&gt;=7)*($YL$5:$YL12&lt;=9)),$ZO$5:$ZO12),0)))))</f>
        <v/>
      </c>
      <c r="ZQ12" s="12">
        <f>ZQ11+ZO12-ZP12</f>
        <v/>
      </c>
      <c r="ZR12" s="12">
        <f>IF(ProviderDelay&gt;=1,ZN11*ProviderShare,ZN12*ProviderShare)</f>
        <v/>
      </c>
      <c r="ZS12" s="12">
        <f>ZK12*PaymentFee</f>
        <v/>
      </c>
      <c r="ZT12" s="12">
        <f>ZE12*OpsAI</f>
        <v/>
      </c>
      <c r="ZU12" s="12">
        <f>MonthlyFixed</f>
        <v/>
      </c>
      <c r="ZV12" s="12">
        <f>YS12*ReferralReward</f>
        <v/>
      </c>
      <c r="ZW12" s="12">
        <f>YQ12</f>
        <v/>
      </c>
      <c r="ZX12" s="9">
        <f>ZN12-ZR12-ZS12-ZT12-ZU12-ZV12-ZW12</f>
        <v/>
      </c>
      <c r="ZY12" s="9">
        <f>ZY11+ZK12-(ZR12+ZS12+ZT12+ZU12+ZV12+ZW12+ZP12)</f>
        <v/>
      </c>
      <c r="ZZ12" s="12">
        <f>IF(ZE12&gt;0,ZF12/ZE12,0)</f>
        <v/>
      </c>
      <c r="AAA12" s="11">
        <f>IF(ZE11&gt;0,MAX(0,(ZE11+YT12-ZE12)/ZE11),0)</f>
        <v/>
      </c>
      <c r="AAC12" s="12" t="n">
        <v>8</v>
      </c>
      <c r="AAD12" s="12">
        <f>MOD(AAC12-1+LaunchMonth-1,12)+1</f>
        <v/>
      </c>
      <c r="AAE12" s="12">
        <f>INT((AAC12-1+LaunchMonth-1)/12)+1</f>
        <v/>
      </c>
      <c r="AAF12" s="12">
        <f>VLOOKUP(AAD12,SeasonTable,2,FALSE)</f>
        <v/>
      </c>
      <c r="AAG12" s="12">
        <f>(1+InflationRate)^INT((AAC12-1)/12)</f>
        <v/>
      </c>
      <c r="AAH12" s="11">
        <f>MonthlyChurn*VLOOKUP(AAD12,ChurnSeasonTable,4,FALSE)</f>
        <v/>
      </c>
      <c r="AAI12" s="12">
        <f>MIN(MAX(MktMin7_12,ABC11*MktPct7_12),MAX(0,ABQ11-CashBuffer))</f>
        <v/>
      </c>
      <c r="AAJ12" s="12">
        <f>IF(AAI12&gt;0,MAX(1,ROUND(AAI12/CAC*AAF12,0)),0)</f>
        <v/>
      </c>
      <c r="AAK12" s="12">
        <f>IF(AAJ12&gt;0,ROUND(AAJ12*ReferralMix/(1-ReferralMix),0),0)</f>
        <v/>
      </c>
      <c r="AAL12" s="12">
        <f>AAJ12+AAK12</f>
        <v/>
      </c>
      <c r="AAM12" s="12">
        <f>ROUND(AAL12*(1-'Sens - Annual Mix'!$A$13),0)</f>
        <v/>
      </c>
      <c r="AAN12" s="12">
        <f>AAL12-AAM12</f>
        <v/>
      </c>
      <c r="AAO12" s="12">
        <f>ROUND(AAM12*EssentialMix,0)</f>
        <v/>
      </c>
      <c r="AAP12" s="12">
        <f>AAM12-AAO12</f>
        <v/>
      </c>
      <c r="AAQ12" s="12">
        <f>ROUND(AAN12*EssentialMix,0)</f>
        <v/>
      </c>
      <c r="AAR12" s="12">
        <f>AAN12-AAQ12</f>
        <v/>
      </c>
      <c r="AAS12" s="12">
        <f>AAO12+AAO11+AAO10+MAX(0,AAS11-AAO11-AAO10)*(1-AAH12)</f>
        <v/>
      </c>
      <c r="AAT12" s="12">
        <f>AAP12+AAP11+AAP10+MAX(0,AAT11-AAP11-AAP10)*(1-AAH12)</f>
        <v/>
      </c>
      <c r="AAU12" s="12">
        <f>SUM(AAQ$5:AAQ12)</f>
        <v/>
      </c>
      <c r="AAV12" s="12">
        <f>SUM(AAR$5:AAR12)</f>
        <v/>
      </c>
      <c r="AAW12" s="12">
        <f>AAS12+AAT12+AAU12+AAV12</f>
        <v/>
      </c>
      <c r="AAX12" s="9">
        <f>AAS12*PriceEssMonthly*AAG12+AAT12*PricePremMonthly*AAG12+AAU12*PriceEssAnnual*AAG12/12+AAV12*PricePremAnnual*AAG12/12</f>
        <v/>
      </c>
      <c r="AAY12" s="9">
        <f>AAX12*12</f>
        <v/>
      </c>
      <c r="AAZ12" s="12">
        <f>AAS12*PriceEssMonthly*AAG12+AAT12*PricePremMonthly*AAG12</f>
        <v/>
      </c>
      <c r="ABA12" s="12">
        <f>AAQ12*PriceEssAnnual*AAG12+AAR12*PricePremAnnual*AAG12</f>
        <v/>
      </c>
      <c r="ABB12" s="12">
        <f>0+0</f>
        <v/>
      </c>
      <c r="ABC12" s="9">
        <f>AAZ12+ABA12+ABB12</f>
        <v/>
      </c>
      <c r="ABD12" s="12">
        <f>SUM(ABC$5:ABC12)</f>
        <v/>
      </c>
      <c r="ABE12" s="12">
        <f>OR(ABE11,ABD12&gt;=VATThreshold)</f>
        <v/>
      </c>
      <c r="ABF12" s="9">
        <f>IF(ABE12,ABC12/(1+VATRate),ABC12)</f>
        <v/>
      </c>
      <c r="ABG12" s="12">
        <f>ABC12-ABF12</f>
        <v/>
      </c>
      <c r="ABH12" s="12">
        <f>IF(ABE12=0,0,IF(AAD12=1,SUMPRODUCT(--(($AAE$5:$AAE12=$AAE12-1)*($AAD$5:$AAD12&gt;=10)*($AAD$5:$AAD12&lt;=12)),$ABG$5:$ABG12),IF(AAD12=4,SUMPRODUCT(--(($AAE$5:$AAE12=$AAE12)*($AAD$5:$AAD12&gt;=1)*($AAD$5:$AAD12&lt;=3)),$ABG$5:$ABG12),IF(AAD12=7,SUMPRODUCT(--(($AAE$5:$AAE12=$AAE12)*($AAD$5:$AAD12&gt;=4)*($AAD$5:$AAD12&lt;=6)),$ABG$5:$ABG12),IF(AAD12=10,SUMPRODUCT(--(($AAE$5:$AAE12=$AAE12)*($AAD$5:$AAD12&gt;=7)*($AAD$5:$AAD12&lt;=9)),$ABG$5:$ABG12),0)))))</f>
        <v/>
      </c>
      <c r="ABI12" s="12">
        <f>ABI11+ABG12-ABH12</f>
        <v/>
      </c>
      <c r="ABJ12" s="12">
        <f>IF(ProviderDelay&gt;=1,ABF11*ProviderShare,ABF12*ProviderShare)</f>
        <v/>
      </c>
      <c r="ABK12" s="12">
        <f>ABC12*PaymentFee</f>
        <v/>
      </c>
      <c r="ABL12" s="12">
        <f>AAW12*OpsAI</f>
        <v/>
      </c>
      <c r="ABM12" s="12">
        <f>MonthlyFixed</f>
        <v/>
      </c>
      <c r="ABN12" s="12">
        <f>AAK12*ReferralReward</f>
        <v/>
      </c>
      <c r="ABO12" s="12">
        <f>AAI12</f>
        <v/>
      </c>
      <c r="ABP12" s="9">
        <f>ABF12-ABJ12-ABK12-ABL12-ABM12-ABN12-ABO12</f>
        <v/>
      </c>
      <c r="ABQ12" s="9">
        <f>ABQ11+ABC12-(ABJ12+ABK12+ABL12+ABM12+ABN12+ABO12+ABH12)</f>
        <v/>
      </c>
      <c r="ABR12" s="12">
        <f>IF(AAW12&gt;0,AAX12/AAW12,0)</f>
        <v/>
      </c>
      <c r="ABS12" s="11">
        <f>IF(AAW11&gt;0,MAX(0,(AAW11+AAL12-AAW12)/AAW11),0)</f>
        <v/>
      </c>
      <c r="ABU12" s="12" t="n">
        <v>8</v>
      </c>
      <c r="ABV12" s="12">
        <f>MOD(ABU12-1+LaunchMonth-1,12)+1</f>
        <v/>
      </c>
      <c r="ABW12" s="12">
        <f>INT((ABU12-1+LaunchMonth-1)/12)+1</f>
        <v/>
      </c>
      <c r="ABX12" s="12">
        <f>VLOOKUP(ABV12,SeasonTable,2,FALSE)</f>
        <v/>
      </c>
      <c r="ABY12" s="12">
        <f>(1+InflationRate)^INT((ABU12-1)/12)</f>
        <v/>
      </c>
      <c r="ABZ12" s="11">
        <f>MonthlyChurn*VLOOKUP(ABV12,ChurnSeasonTable,4,FALSE)</f>
        <v/>
      </c>
      <c r="ACA12" s="12">
        <f>MIN(MAX(MktMin7_12,ACU11*MktPct7_12),MAX(0,ADI11-CashBuffer))</f>
        <v/>
      </c>
      <c r="ACB12" s="12">
        <f>IF(ACA12&gt;0,MAX(1,ROUND(ACA12/CAC*ABX12,0)),0)</f>
        <v/>
      </c>
      <c r="ACC12" s="12">
        <f>IF(ACB12&gt;0,ROUND(ACB12*ReferralMix/(1-ReferralMix),0),0)</f>
        <v/>
      </c>
      <c r="ACD12" s="12">
        <f>ACB12+ACC12</f>
        <v/>
      </c>
      <c r="ACE12" s="12">
        <f>ROUND(ACD12*(1-'Sens - Annual Mix'!$A$14),0)</f>
        <v/>
      </c>
      <c r="ACF12" s="12">
        <f>ACD12-ACE12</f>
        <v/>
      </c>
      <c r="ACG12" s="12">
        <f>ROUND(ACE12*EssentialMix,0)</f>
        <v/>
      </c>
      <c r="ACH12" s="12">
        <f>ACE12-ACG12</f>
        <v/>
      </c>
      <c r="ACI12" s="12">
        <f>ROUND(ACF12*EssentialMix,0)</f>
        <v/>
      </c>
      <c r="ACJ12" s="12">
        <f>ACF12-ACI12</f>
        <v/>
      </c>
      <c r="ACK12" s="12">
        <f>ACG12+ACG11+ACG10+MAX(0,ACK11-ACG11-ACG10)*(1-ABZ12)</f>
        <v/>
      </c>
      <c r="ACL12" s="12">
        <f>ACH12+ACH11+ACH10+MAX(0,ACL11-ACH11-ACH10)*(1-ABZ12)</f>
        <v/>
      </c>
      <c r="ACM12" s="12">
        <f>SUM(ACI$5:ACI12)</f>
        <v/>
      </c>
      <c r="ACN12" s="12">
        <f>SUM(ACJ$5:ACJ12)</f>
        <v/>
      </c>
      <c r="ACO12" s="12">
        <f>ACK12+ACL12+ACM12+ACN12</f>
        <v/>
      </c>
      <c r="ACP12" s="9">
        <f>ACK12*PriceEssMonthly*ABY12+ACL12*PricePremMonthly*ABY12+ACM12*PriceEssAnnual*ABY12/12+ACN12*PricePremAnnual*ABY12/12</f>
        <v/>
      </c>
      <c r="ACQ12" s="9">
        <f>ACP12*12</f>
        <v/>
      </c>
      <c r="ACR12" s="12">
        <f>ACK12*PriceEssMonthly*ABY12+ACL12*PricePremMonthly*ABY12</f>
        <v/>
      </c>
      <c r="ACS12" s="12">
        <f>ACI12*PriceEssAnnual*ABY12+ACJ12*PricePremAnnual*ABY12</f>
        <v/>
      </c>
      <c r="ACT12" s="12">
        <f>0+0</f>
        <v/>
      </c>
      <c r="ACU12" s="9">
        <f>ACR12+ACS12+ACT12</f>
        <v/>
      </c>
      <c r="ACV12" s="12">
        <f>SUM(ACU$5:ACU12)</f>
        <v/>
      </c>
      <c r="ACW12" s="12">
        <f>OR(ACW11,ACV12&gt;=VATThreshold)</f>
        <v/>
      </c>
      <c r="ACX12" s="9">
        <f>IF(ACW12,ACU12/(1+VATRate),ACU12)</f>
        <v/>
      </c>
      <c r="ACY12" s="12">
        <f>ACU12-ACX12</f>
        <v/>
      </c>
      <c r="ACZ12" s="12">
        <f>IF(ACW12=0,0,IF(ABV12=1,SUMPRODUCT(--(($ABW$5:$ABW12=$ABW12-1)*($ABV$5:$ABV12&gt;=10)*($ABV$5:$ABV12&lt;=12)),$ACY$5:$ACY12),IF(ABV12=4,SUMPRODUCT(--(($ABW$5:$ABW12=$ABW12)*($ABV$5:$ABV12&gt;=1)*($ABV$5:$ABV12&lt;=3)),$ACY$5:$ACY12),IF(ABV12=7,SUMPRODUCT(--(($ABW$5:$ABW12=$ABW12)*($ABV$5:$ABV12&gt;=4)*($ABV$5:$ABV12&lt;=6)),$ACY$5:$ACY12),IF(ABV12=10,SUMPRODUCT(--(($ABW$5:$ABW12=$ABW12)*($ABV$5:$ABV12&gt;=7)*($ABV$5:$ABV12&lt;=9)),$ACY$5:$ACY12),0)))))</f>
        <v/>
      </c>
      <c r="ADA12" s="12">
        <f>ADA11+ACY12-ACZ12</f>
        <v/>
      </c>
      <c r="ADB12" s="12">
        <f>IF(ProviderDelay&gt;=1,ACX11*ProviderShare,ACX12*ProviderShare)</f>
        <v/>
      </c>
      <c r="ADC12" s="12">
        <f>ACU12*PaymentFee</f>
        <v/>
      </c>
      <c r="ADD12" s="12">
        <f>ACO12*OpsAI</f>
        <v/>
      </c>
      <c r="ADE12" s="12">
        <f>MonthlyFixed</f>
        <v/>
      </c>
      <c r="ADF12" s="12">
        <f>ACC12*ReferralReward</f>
        <v/>
      </c>
      <c r="ADG12" s="12">
        <f>ACA12</f>
        <v/>
      </c>
      <c r="ADH12" s="9">
        <f>ACX12-ADB12-ADC12-ADD12-ADE12-ADF12-ADG12</f>
        <v/>
      </c>
      <c r="ADI12" s="9">
        <f>ADI11+ACU12-(ADB12+ADC12+ADD12+ADE12+ADF12+ADG12+ACZ12)</f>
        <v/>
      </c>
      <c r="ADJ12" s="12">
        <f>IF(ACO12&gt;0,ACP12/ACO12,0)</f>
        <v/>
      </c>
      <c r="ADK12" s="11">
        <f>IF(ACO11&gt;0,MAX(0,(ACO11+ACD12-ACO12)/ACO11),0)</f>
        <v/>
      </c>
      <c r="ADM12" s="12" t="n">
        <v>8</v>
      </c>
      <c r="ADN12" s="12">
        <f>MOD(ADM12-1+LaunchMonth-1,12)+1</f>
        <v/>
      </c>
      <c r="ADO12" s="12">
        <f>INT((ADM12-1+LaunchMonth-1)/12)+1</f>
        <v/>
      </c>
      <c r="ADP12" s="12">
        <f>VLOOKUP(ADN12,SeasonTable,2,FALSE)</f>
        <v/>
      </c>
      <c r="ADQ12" s="12">
        <f>(1+InflationRate)^INT((ADM12-1)/12)</f>
        <v/>
      </c>
      <c r="ADR12" s="11">
        <f>MonthlyChurn*VLOOKUP(ADN12,ChurnSeasonTable,4,FALSE)</f>
        <v/>
      </c>
      <c r="ADS12" s="12">
        <f>MIN(MAX(MktMin7_12,AEM11*MktPct7_12),MAX(0,AFA11-CashBuffer))</f>
        <v/>
      </c>
      <c r="ADT12" s="12">
        <f>IF(ADS12&gt;0,MAX(1,ROUND(ADS12/CAC*ADP12,0)),0)</f>
        <v/>
      </c>
      <c r="ADU12" s="12">
        <f>IF(ADT12&gt;0,ROUND(ADT12*ReferralMix/(1-ReferralMix),0),0)</f>
        <v/>
      </c>
      <c r="ADV12" s="12">
        <f>ADT12+ADU12</f>
        <v/>
      </c>
      <c r="ADW12" s="12">
        <f>ROUND(ADV12*(1-'Sens - Annual Mix'!$A$15),0)</f>
        <v/>
      </c>
      <c r="ADX12" s="12">
        <f>ADV12-ADW12</f>
        <v/>
      </c>
      <c r="ADY12" s="12">
        <f>ROUND(ADW12*EssentialMix,0)</f>
        <v/>
      </c>
      <c r="ADZ12" s="12">
        <f>ADW12-ADY12</f>
        <v/>
      </c>
      <c r="AEA12" s="12">
        <f>ROUND(ADX12*EssentialMix,0)</f>
        <v/>
      </c>
      <c r="AEB12" s="12">
        <f>ADX12-AEA12</f>
        <v/>
      </c>
      <c r="AEC12" s="12">
        <f>ADY12+ADY11+ADY10+MAX(0,AEC11-ADY11-ADY10)*(1-ADR12)</f>
        <v/>
      </c>
      <c r="AED12" s="12">
        <f>ADZ12+ADZ11+ADZ10+MAX(0,AED11-ADZ11-ADZ10)*(1-ADR12)</f>
        <v/>
      </c>
      <c r="AEE12" s="12">
        <f>SUM(AEA$5:AEA12)</f>
        <v/>
      </c>
      <c r="AEF12" s="12">
        <f>SUM(AEB$5:AEB12)</f>
        <v/>
      </c>
      <c r="AEG12" s="12">
        <f>AEC12+AED12+AEE12+AEF12</f>
        <v/>
      </c>
      <c r="AEH12" s="9">
        <f>AEC12*PriceEssMonthly*ADQ12+AED12*PricePremMonthly*ADQ12+AEE12*PriceEssAnnual*ADQ12/12+AEF12*PricePremAnnual*ADQ12/12</f>
        <v/>
      </c>
      <c r="AEI12" s="9">
        <f>AEH12*12</f>
        <v/>
      </c>
      <c r="AEJ12" s="12">
        <f>AEC12*PriceEssMonthly*ADQ12+AED12*PricePremMonthly*ADQ12</f>
        <v/>
      </c>
      <c r="AEK12" s="12">
        <f>AEA12*PriceEssAnnual*ADQ12+AEB12*PricePremAnnual*ADQ12</f>
        <v/>
      </c>
      <c r="AEL12" s="12">
        <f>0+0</f>
        <v/>
      </c>
      <c r="AEM12" s="9">
        <f>AEJ12+AEK12+AEL12</f>
        <v/>
      </c>
      <c r="AEN12" s="12">
        <f>SUM(AEM$5:AEM12)</f>
        <v/>
      </c>
      <c r="AEO12" s="12">
        <f>OR(AEO11,AEN12&gt;=VATThreshold)</f>
        <v/>
      </c>
      <c r="AEP12" s="9">
        <f>IF(AEO12,AEM12/(1+VATRate),AEM12)</f>
        <v/>
      </c>
      <c r="AEQ12" s="12">
        <f>AEM12-AEP12</f>
        <v/>
      </c>
      <c r="AER12" s="12">
        <f>IF(AEO12=0,0,IF(ADN12=1,SUMPRODUCT(--(($ADO$5:$ADO12=$ADO12-1)*($ADN$5:$ADN12&gt;=10)*($ADN$5:$ADN12&lt;=12)),$AEQ$5:$AEQ12),IF(ADN12=4,SUMPRODUCT(--(($ADO$5:$ADO12=$ADO12)*($ADN$5:$ADN12&gt;=1)*($ADN$5:$ADN12&lt;=3)),$AEQ$5:$AEQ12),IF(ADN12=7,SUMPRODUCT(--(($ADO$5:$ADO12=$ADO12)*($ADN$5:$ADN12&gt;=4)*($ADN$5:$ADN12&lt;=6)),$AEQ$5:$AEQ12),IF(ADN12=10,SUMPRODUCT(--(($ADO$5:$ADO12=$ADO12)*($ADN$5:$ADN12&gt;=7)*($ADN$5:$ADN12&lt;=9)),$AEQ$5:$AEQ12),0)))))</f>
        <v/>
      </c>
      <c r="AES12" s="12">
        <f>AES11+AEQ12-AER12</f>
        <v/>
      </c>
      <c r="AET12" s="12">
        <f>IF(ProviderDelay&gt;=1,AEP11*ProviderShare,AEP12*ProviderShare)</f>
        <v/>
      </c>
      <c r="AEU12" s="12">
        <f>AEM12*PaymentFee</f>
        <v/>
      </c>
      <c r="AEV12" s="12">
        <f>AEG12*OpsAI</f>
        <v/>
      </c>
      <c r="AEW12" s="12">
        <f>MonthlyFixed</f>
        <v/>
      </c>
      <c r="AEX12" s="12">
        <f>ADU12*ReferralReward</f>
        <v/>
      </c>
      <c r="AEY12" s="12">
        <f>ADS12</f>
        <v/>
      </c>
      <c r="AEZ12" s="9">
        <f>AEP12-AET12-AEU12-AEV12-AEW12-AEX12-AEY12</f>
        <v/>
      </c>
      <c r="AFA12" s="9">
        <f>AFA11+AEM12-(AET12+AEU12+AEV12+AEW12+AEX12+AEY12+AER12)</f>
        <v/>
      </c>
      <c r="AFB12" s="12">
        <f>IF(AEG12&gt;0,AEH12/AEG12,0)</f>
        <v/>
      </c>
      <c r="AFC12" s="11">
        <f>IF(AEG11&gt;0,MAX(0,(AEG11+ADV12-AEG12)/AEG11),0)</f>
        <v/>
      </c>
      <c r="AFE12" s="12" t="n">
        <v>8</v>
      </c>
      <c r="AFF12" s="12">
        <f>MOD(AFE12-1+LaunchMonth-1,12)+1</f>
        <v/>
      </c>
      <c r="AFG12" s="12">
        <f>INT((AFE12-1+LaunchMonth-1)/12)+1</f>
        <v/>
      </c>
      <c r="AFH12" s="12">
        <f>VLOOKUP(AFF12,SeasonTable,2,FALSE)</f>
        <v/>
      </c>
      <c r="AFI12" s="12">
        <f>(1+InflationRate)^INT((AFE12-1)/12)</f>
        <v/>
      </c>
      <c r="AFJ12" s="11">
        <f>MonthlyChurn*VLOOKUP(AFF12,ChurnSeasonTable,4,FALSE)</f>
        <v/>
      </c>
      <c r="AFK12" s="12">
        <f>MIN(MAX(MktMin7_12,AGE11*MktPct7_12),MAX(0,AGS11-CashBuffer))</f>
        <v/>
      </c>
      <c r="AFL12" s="12">
        <f>IF(AFK12&gt;0,MAX(1,ROUND(AFK12/'Sens - CAC &amp; Marketing'!$A$9*AFH12,0)),0)</f>
        <v/>
      </c>
      <c r="AFM12" s="12">
        <f>IF(AFL12&gt;0,ROUND(AFL12*ReferralMix/(1-ReferralMix),0),0)</f>
        <v/>
      </c>
      <c r="AFN12" s="12">
        <f>AFL12+AFM12</f>
        <v/>
      </c>
      <c r="AFO12" s="12">
        <f>ROUND(AFN12*(1-AnnualMix),0)</f>
        <v/>
      </c>
      <c r="AFP12" s="12">
        <f>AFN12-AFO12</f>
        <v/>
      </c>
      <c r="AFQ12" s="12">
        <f>ROUND(AFO12*EssentialMix,0)</f>
        <v/>
      </c>
      <c r="AFR12" s="12">
        <f>AFO12-AFQ12</f>
        <v/>
      </c>
      <c r="AFS12" s="12">
        <f>ROUND(AFP12*EssentialMix,0)</f>
        <v/>
      </c>
      <c r="AFT12" s="12">
        <f>AFP12-AFS12</f>
        <v/>
      </c>
      <c r="AFU12" s="12">
        <f>AFQ12+AFQ11+AFQ10+MAX(0,AFU11-AFQ11-AFQ10)*(1-AFJ12)</f>
        <v/>
      </c>
      <c r="AFV12" s="12">
        <f>AFR12+AFR11+AFR10+MAX(0,AFV11-AFR11-AFR10)*(1-AFJ12)</f>
        <v/>
      </c>
      <c r="AFW12" s="12">
        <f>SUM(AFS$5:AFS12)</f>
        <v/>
      </c>
      <c r="AFX12" s="12">
        <f>SUM(AFT$5:AFT12)</f>
        <v/>
      </c>
      <c r="AFY12" s="12">
        <f>AFU12+AFV12+AFW12+AFX12</f>
        <v/>
      </c>
      <c r="AFZ12" s="9">
        <f>AFU12*PriceEssMonthly*AFI12+AFV12*PricePremMonthly*AFI12+AFW12*PriceEssAnnual*AFI12/12+AFX12*PricePremAnnual*AFI12/12</f>
        <v/>
      </c>
      <c r="AGA12" s="9">
        <f>AFZ12*12</f>
        <v/>
      </c>
      <c r="AGB12" s="12">
        <f>AFU12*PriceEssMonthly*AFI12+AFV12*PricePremMonthly*AFI12</f>
        <v/>
      </c>
      <c r="AGC12" s="12">
        <f>AFS12*PriceEssAnnual*AFI12+AFT12*PricePremAnnual*AFI12</f>
        <v/>
      </c>
      <c r="AGD12" s="12">
        <f>0+0</f>
        <v/>
      </c>
      <c r="AGE12" s="9">
        <f>AGB12+AGC12+AGD12</f>
        <v/>
      </c>
      <c r="AGF12" s="12">
        <f>SUM(AGE$5:AGE12)</f>
        <v/>
      </c>
      <c r="AGG12" s="12">
        <f>OR(AGG11,AGF12&gt;=VATThreshold)</f>
        <v/>
      </c>
      <c r="AGH12" s="9">
        <f>IF(AGG12,AGE12/(1+VATRate),AGE12)</f>
        <v/>
      </c>
      <c r="AGI12" s="12">
        <f>AGE12-AGH12</f>
        <v/>
      </c>
      <c r="AGJ12" s="12">
        <f>IF(AGG12=0,0,IF(AFF12=1,SUMPRODUCT(--(($AFG$5:$AFG12=$AFG12-1)*($AFF$5:$AFF12&gt;=10)*($AFF$5:$AFF12&lt;=12)),$AGI$5:$AGI12),IF(AFF12=4,SUMPRODUCT(--(($AFG$5:$AFG12=$AFG12)*($AFF$5:$AFF12&gt;=1)*($AFF$5:$AFF12&lt;=3)),$AGI$5:$AGI12),IF(AFF12=7,SUMPRODUCT(--(($AFG$5:$AFG12=$AFG12)*($AFF$5:$AFF12&gt;=4)*($AFF$5:$AFF12&lt;=6)),$AGI$5:$AGI12),IF(AFF12=10,SUMPRODUCT(--(($AFG$5:$AFG12=$AFG12)*($AFF$5:$AFF12&gt;=7)*($AFF$5:$AFF12&lt;=9)),$AGI$5:$AGI12),0)))))</f>
        <v/>
      </c>
      <c r="AGK12" s="12">
        <f>AGK11+AGI12-AGJ12</f>
        <v/>
      </c>
      <c r="AGL12" s="12">
        <f>IF(ProviderDelay&gt;=1,AGH11*ProviderShare,AGH12*ProviderShare)</f>
        <v/>
      </c>
      <c r="AGM12" s="12">
        <f>AGE12*PaymentFee</f>
        <v/>
      </c>
      <c r="AGN12" s="12">
        <f>AFY12*OpsAI</f>
        <v/>
      </c>
      <c r="AGO12" s="12">
        <f>MonthlyFixed</f>
        <v/>
      </c>
      <c r="AGP12" s="12">
        <f>AFM12*ReferralReward</f>
        <v/>
      </c>
      <c r="AGQ12" s="12">
        <f>AFK12</f>
        <v/>
      </c>
      <c r="AGR12" s="9">
        <f>AGH12-AGL12-AGM12-AGN12-AGO12-AGP12-AGQ12</f>
        <v/>
      </c>
      <c r="AGS12" s="9">
        <f>AGS11+AGE12-(AGL12+AGM12+AGN12+AGO12+AGP12+AGQ12+AGJ12)</f>
        <v/>
      </c>
      <c r="AGT12" s="12">
        <f>IF(AFY12&gt;0,AFZ12/AFY12,0)</f>
        <v/>
      </c>
      <c r="AGU12" s="11">
        <f>IF(AFY11&gt;0,MAX(0,(AFY11+AFN12-AFY12)/AFY11),0)</f>
        <v/>
      </c>
      <c r="AGW12" s="12" t="n">
        <v>8</v>
      </c>
      <c r="AGX12" s="12">
        <f>MOD(AGW12-1+LaunchMonth-1,12)+1</f>
        <v/>
      </c>
      <c r="AGY12" s="12">
        <f>INT((AGW12-1+LaunchMonth-1)/12)+1</f>
        <v/>
      </c>
      <c r="AGZ12" s="12">
        <f>VLOOKUP(AGX12,SeasonTable,2,FALSE)</f>
        <v/>
      </c>
      <c r="AHA12" s="12">
        <f>(1+InflationRate)^INT((AGW12-1)/12)</f>
        <v/>
      </c>
      <c r="AHB12" s="11">
        <f>MonthlyChurn*VLOOKUP(AGX12,ChurnSeasonTable,4,FALSE)</f>
        <v/>
      </c>
      <c r="AHC12" s="12">
        <f>MIN(MAX(MktMin7_12,AHW11*MktPct7_12),MAX(0,AIK11-CashBuffer))</f>
        <v/>
      </c>
      <c r="AHD12" s="12">
        <f>IF(AHC12&gt;0,MAX(1,ROUND(AHC12/'Sens - CAC &amp; Marketing'!$A$10*AGZ12,0)),0)</f>
        <v/>
      </c>
      <c r="AHE12" s="12">
        <f>IF(AHD12&gt;0,ROUND(AHD12*ReferralMix/(1-ReferralMix),0),0)</f>
        <v/>
      </c>
      <c r="AHF12" s="12">
        <f>AHD12+AHE12</f>
        <v/>
      </c>
      <c r="AHG12" s="12">
        <f>ROUND(AHF12*(1-AnnualMix),0)</f>
        <v/>
      </c>
      <c r="AHH12" s="12">
        <f>AHF12-AHG12</f>
        <v/>
      </c>
      <c r="AHI12" s="12">
        <f>ROUND(AHG12*EssentialMix,0)</f>
        <v/>
      </c>
      <c r="AHJ12" s="12">
        <f>AHG12-AHI12</f>
        <v/>
      </c>
      <c r="AHK12" s="12">
        <f>ROUND(AHH12*EssentialMix,0)</f>
        <v/>
      </c>
      <c r="AHL12" s="12">
        <f>AHH12-AHK12</f>
        <v/>
      </c>
      <c r="AHM12" s="12">
        <f>AHI12+AHI11+AHI10+MAX(0,AHM11-AHI11-AHI10)*(1-AHB12)</f>
        <v/>
      </c>
      <c r="AHN12" s="12">
        <f>AHJ12+AHJ11+AHJ10+MAX(0,AHN11-AHJ11-AHJ10)*(1-AHB12)</f>
        <v/>
      </c>
      <c r="AHO12" s="12">
        <f>SUM(AHK$5:AHK12)</f>
        <v/>
      </c>
      <c r="AHP12" s="12">
        <f>SUM(AHL$5:AHL12)</f>
        <v/>
      </c>
      <c r="AHQ12" s="12">
        <f>AHM12+AHN12+AHO12+AHP12</f>
        <v/>
      </c>
      <c r="AHR12" s="9">
        <f>AHM12*PriceEssMonthly*AHA12+AHN12*PricePremMonthly*AHA12+AHO12*PriceEssAnnual*AHA12/12+AHP12*PricePremAnnual*AHA12/12</f>
        <v/>
      </c>
      <c r="AHS12" s="9">
        <f>AHR12*12</f>
        <v/>
      </c>
      <c r="AHT12" s="12">
        <f>AHM12*PriceEssMonthly*AHA12+AHN12*PricePremMonthly*AHA12</f>
        <v/>
      </c>
      <c r="AHU12" s="12">
        <f>AHK12*PriceEssAnnual*AHA12+AHL12*PricePremAnnual*AHA12</f>
        <v/>
      </c>
      <c r="AHV12" s="12">
        <f>0+0</f>
        <v/>
      </c>
      <c r="AHW12" s="9">
        <f>AHT12+AHU12+AHV12</f>
        <v/>
      </c>
      <c r="AHX12" s="12">
        <f>SUM(AHW$5:AHW12)</f>
        <v/>
      </c>
      <c r="AHY12" s="12">
        <f>OR(AHY11,AHX12&gt;=VATThreshold)</f>
        <v/>
      </c>
      <c r="AHZ12" s="9">
        <f>IF(AHY12,AHW12/(1+VATRate),AHW12)</f>
        <v/>
      </c>
      <c r="AIA12" s="12">
        <f>AHW12-AHZ12</f>
        <v/>
      </c>
      <c r="AIB12" s="12">
        <f>IF(AHY12=0,0,IF(AGX12=1,SUMPRODUCT(--(($AGY$5:$AGY12=$AGY12-1)*($AGX$5:$AGX12&gt;=10)*($AGX$5:$AGX12&lt;=12)),$AIA$5:$AIA12),IF(AGX12=4,SUMPRODUCT(--(($AGY$5:$AGY12=$AGY12)*($AGX$5:$AGX12&gt;=1)*($AGX$5:$AGX12&lt;=3)),$AIA$5:$AIA12),IF(AGX12=7,SUMPRODUCT(--(($AGY$5:$AGY12=$AGY12)*($AGX$5:$AGX12&gt;=4)*($AGX$5:$AGX12&lt;=6)),$AIA$5:$AIA12),IF(AGX12=10,SUMPRODUCT(--(($AGY$5:$AGY12=$AGY12)*($AGX$5:$AGX12&gt;=7)*($AGX$5:$AGX12&lt;=9)),$AIA$5:$AIA12),0)))))</f>
        <v/>
      </c>
      <c r="AIC12" s="12">
        <f>AIC11+AIA12-AIB12</f>
        <v/>
      </c>
      <c r="AID12" s="12">
        <f>IF(ProviderDelay&gt;=1,AHZ11*ProviderShare,AHZ12*ProviderShare)</f>
        <v/>
      </c>
      <c r="AIE12" s="12">
        <f>AHW12*PaymentFee</f>
        <v/>
      </c>
      <c r="AIF12" s="12">
        <f>AHQ12*OpsAI</f>
        <v/>
      </c>
      <c r="AIG12" s="12">
        <f>MonthlyFixed</f>
        <v/>
      </c>
      <c r="AIH12" s="12">
        <f>AHE12*ReferralReward</f>
        <v/>
      </c>
      <c r="AII12" s="12">
        <f>AHC12</f>
        <v/>
      </c>
      <c r="AIJ12" s="9">
        <f>AHZ12-AID12-AIE12-AIF12-AIG12-AIH12-AII12</f>
        <v/>
      </c>
      <c r="AIK12" s="9">
        <f>AIK11+AHW12-(AID12+AIE12+AIF12+AIG12+AIH12+AII12+AIB12)</f>
        <v/>
      </c>
      <c r="AIL12" s="12">
        <f>IF(AHQ12&gt;0,AHR12/AHQ12,0)</f>
        <v/>
      </c>
      <c r="AIM12" s="11">
        <f>IF(AHQ11&gt;0,MAX(0,(AHQ11+AHF12-AHQ12)/AHQ11),0)</f>
        <v/>
      </c>
      <c r="AIO12" s="12" t="n">
        <v>8</v>
      </c>
      <c r="AIP12" s="12">
        <f>MOD(AIO12-1+LaunchMonth-1,12)+1</f>
        <v/>
      </c>
      <c r="AIQ12" s="12">
        <f>INT((AIO12-1+LaunchMonth-1)/12)+1</f>
        <v/>
      </c>
      <c r="AIR12" s="12">
        <f>VLOOKUP(AIP12,SeasonTable,2,FALSE)</f>
        <v/>
      </c>
      <c r="AIS12" s="12">
        <f>(1+InflationRate)^INT((AIO12-1)/12)</f>
        <v/>
      </c>
      <c r="AIT12" s="11">
        <f>MonthlyChurn*VLOOKUP(AIP12,ChurnSeasonTable,4,FALSE)</f>
        <v/>
      </c>
      <c r="AIU12" s="12">
        <f>MIN(MAX(MktMin7_12,AJO11*MktPct7_12),MAX(0,AKC11-CashBuffer))</f>
        <v/>
      </c>
      <c r="AIV12" s="12">
        <f>IF(AIU12&gt;0,MAX(1,ROUND(AIU12/'Sens - CAC &amp; Marketing'!$A$11*AIR12,0)),0)</f>
        <v/>
      </c>
      <c r="AIW12" s="12">
        <f>IF(AIV12&gt;0,ROUND(AIV12*ReferralMix/(1-ReferralMix),0),0)</f>
        <v/>
      </c>
      <c r="AIX12" s="12">
        <f>AIV12+AIW12</f>
        <v/>
      </c>
      <c r="AIY12" s="12">
        <f>ROUND(AIX12*(1-AnnualMix),0)</f>
        <v/>
      </c>
      <c r="AIZ12" s="12">
        <f>AIX12-AIY12</f>
        <v/>
      </c>
      <c r="AJA12" s="12">
        <f>ROUND(AIY12*EssentialMix,0)</f>
        <v/>
      </c>
      <c r="AJB12" s="12">
        <f>AIY12-AJA12</f>
        <v/>
      </c>
      <c r="AJC12" s="12">
        <f>ROUND(AIZ12*EssentialMix,0)</f>
        <v/>
      </c>
      <c r="AJD12" s="12">
        <f>AIZ12-AJC12</f>
        <v/>
      </c>
      <c r="AJE12" s="12">
        <f>AJA12+AJA11+AJA10+MAX(0,AJE11-AJA11-AJA10)*(1-AIT12)</f>
        <v/>
      </c>
      <c r="AJF12" s="12">
        <f>AJB12+AJB11+AJB10+MAX(0,AJF11-AJB11-AJB10)*(1-AIT12)</f>
        <v/>
      </c>
      <c r="AJG12" s="12">
        <f>SUM(AJC$5:AJC12)</f>
        <v/>
      </c>
      <c r="AJH12" s="12">
        <f>SUM(AJD$5:AJD12)</f>
        <v/>
      </c>
      <c r="AJI12" s="12">
        <f>AJE12+AJF12+AJG12+AJH12</f>
        <v/>
      </c>
      <c r="AJJ12" s="9">
        <f>AJE12*PriceEssMonthly*AIS12+AJF12*PricePremMonthly*AIS12+AJG12*PriceEssAnnual*AIS12/12+AJH12*PricePremAnnual*AIS12/12</f>
        <v/>
      </c>
      <c r="AJK12" s="9">
        <f>AJJ12*12</f>
        <v/>
      </c>
      <c r="AJL12" s="12">
        <f>AJE12*PriceEssMonthly*AIS12+AJF12*PricePremMonthly*AIS12</f>
        <v/>
      </c>
      <c r="AJM12" s="12">
        <f>AJC12*PriceEssAnnual*AIS12+AJD12*PricePremAnnual*AIS12</f>
        <v/>
      </c>
      <c r="AJN12" s="12">
        <f>0+0</f>
        <v/>
      </c>
      <c r="AJO12" s="9">
        <f>AJL12+AJM12+AJN12</f>
        <v/>
      </c>
      <c r="AJP12" s="12">
        <f>SUM(AJO$5:AJO12)</f>
        <v/>
      </c>
      <c r="AJQ12" s="12">
        <f>OR(AJQ11,AJP12&gt;=VATThreshold)</f>
        <v/>
      </c>
      <c r="AJR12" s="9">
        <f>IF(AJQ12,AJO12/(1+VATRate),AJO12)</f>
        <v/>
      </c>
      <c r="AJS12" s="12">
        <f>AJO12-AJR12</f>
        <v/>
      </c>
      <c r="AJT12" s="12">
        <f>IF(AJQ12=0,0,IF(AIP12=1,SUMPRODUCT(--(($AIQ$5:$AIQ12=$AIQ12-1)*($AIP$5:$AIP12&gt;=10)*($AIP$5:$AIP12&lt;=12)),$AJS$5:$AJS12),IF(AIP12=4,SUMPRODUCT(--(($AIQ$5:$AIQ12=$AIQ12)*($AIP$5:$AIP12&gt;=1)*($AIP$5:$AIP12&lt;=3)),$AJS$5:$AJS12),IF(AIP12=7,SUMPRODUCT(--(($AIQ$5:$AIQ12=$AIQ12)*($AIP$5:$AIP12&gt;=4)*($AIP$5:$AIP12&lt;=6)),$AJS$5:$AJS12),IF(AIP12=10,SUMPRODUCT(--(($AIQ$5:$AIQ12=$AIQ12)*($AIP$5:$AIP12&gt;=7)*($AIP$5:$AIP12&lt;=9)),$AJS$5:$AJS12),0)))))</f>
        <v/>
      </c>
      <c r="AJU12" s="12">
        <f>AJU11+AJS12-AJT12</f>
        <v/>
      </c>
      <c r="AJV12" s="12">
        <f>IF(ProviderDelay&gt;=1,AJR11*ProviderShare,AJR12*ProviderShare)</f>
        <v/>
      </c>
      <c r="AJW12" s="12">
        <f>AJO12*PaymentFee</f>
        <v/>
      </c>
      <c r="AJX12" s="12">
        <f>AJI12*OpsAI</f>
        <v/>
      </c>
      <c r="AJY12" s="12">
        <f>MonthlyFixed</f>
        <v/>
      </c>
      <c r="AJZ12" s="12">
        <f>AIW12*ReferralReward</f>
        <v/>
      </c>
      <c r="AKA12" s="12">
        <f>AIU12</f>
        <v/>
      </c>
      <c r="AKB12" s="9">
        <f>AJR12-AJV12-AJW12-AJX12-AJY12-AJZ12-AKA12</f>
        <v/>
      </c>
      <c r="AKC12" s="9">
        <f>AKC11+AJO12-(AJV12+AJW12+AJX12+AJY12+AJZ12+AKA12+AJT12)</f>
        <v/>
      </c>
      <c r="AKD12" s="12">
        <f>IF(AJI12&gt;0,AJJ12/AJI12,0)</f>
        <v/>
      </c>
      <c r="AKE12" s="11">
        <f>IF(AJI11&gt;0,MAX(0,(AJI11+AIX12-AJI12)/AJI11),0)</f>
        <v/>
      </c>
      <c r="AKG12" s="12" t="n">
        <v>8</v>
      </c>
      <c r="AKH12" s="12">
        <f>MOD(AKG12-1+LaunchMonth-1,12)+1</f>
        <v/>
      </c>
      <c r="AKI12" s="12">
        <f>INT((AKG12-1+LaunchMonth-1)/12)+1</f>
        <v/>
      </c>
      <c r="AKJ12" s="12">
        <f>VLOOKUP(AKH12,SeasonTable,2,FALSE)</f>
        <v/>
      </c>
      <c r="AKK12" s="12">
        <f>(1+InflationRate)^INT((AKG12-1)/12)</f>
        <v/>
      </c>
      <c r="AKL12" s="11">
        <f>MonthlyChurn*VLOOKUP(AKH12,ChurnSeasonTable,4,FALSE)</f>
        <v/>
      </c>
      <c r="AKM12" s="12">
        <f>MIN(MAX(MktMin7_12,ALG11*MktPct7_12),MAX(0,ALU11-CashBuffer))</f>
        <v/>
      </c>
      <c r="AKN12" s="12">
        <f>IF(AKM12&gt;0,MAX(1,ROUND(AKM12/'Sens - CAC &amp; Marketing'!$A$12*AKJ12,0)),0)</f>
        <v/>
      </c>
      <c r="AKO12" s="12">
        <f>IF(AKN12&gt;0,ROUND(AKN12*ReferralMix/(1-ReferralMix),0),0)</f>
        <v/>
      </c>
      <c r="AKP12" s="12">
        <f>AKN12+AKO12</f>
        <v/>
      </c>
      <c r="AKQ12" s="12">
        <f>ROUND(AKP12*(1-AnnualMix),0)</f>
        <v/>
      </c>
      <c r="AKR12" s="12">
        <f>AKP12-AKQ12</f>
        <v/>
      </c>
      <c r="AKS12" s="12">
        <f>ROUND(AKQ12*EssentialMix,0)</f>
        <v/>
      </c>
      <c r="AKT12" s="12">
        <f>AKQ12-AKS12</f>
        <v/>
      </c>
      <c r="AKU12" s="12">
        <f>ROUND(AKR12*EssentialMix,0)</f>
        <v/>
      </c>
      <c r="AKV12" s="12">
        <f>AKR12-AKU12</f>
        <v/>
      </c>
      <c r="AKW12" s="12">
        <f>AKS12+AKS11+AKS10+MAX(0,AKW11-AKS11-AKS10)*(1-AKL12)</f>
        <v/>
      </c>
      <c r="AKX12" s="12">
        <f>AKT12+AKT11+AKT10+MAX(0,AKX11-AKT11-AKT10)*(1-AKL12)</f>
        <v/>
      </c>
      <c r="AKY12" s="12">
        <f>SUM(AKU$5:AKU12)</f>
        <v/>
      </c>
      <c r="AKZ12" s="12">
        <f>SUM(AKV$5:AKV12)</f>
        <v/>
      </c>
      <c r="ALA12" s="12">
        <f>AKW12+AKX12+AKY12+AKZ12</f>
        <v/>
      </c>
      <c r="ALB12" s="9">
        <f>AKW12*PriceEssMonthly*AKK12+AKX12*PricePremMonthly*AKK12+AKY12*PriceEssAnnual*AKK12/12+AKZ12*PricePremAnnual*AKK12/12</f>
        <v/>
      </c>
      <c r="ALC12" s="9">
        <f>ALB12*12</f>
        <v/>
      </c>
      <c r="ALD12" s="12">
        <f>AKW12*PriceEssMonthly*AKK12+AKX12*PricePremMonthly*AKK12</f>
        <v/>
      </c>
      <c r="ALE12" s="12">
        <f>AKU12*PriceEssAnnual*AKK12+AKV12*PricePremAnnual*AKK12</f>
        <v/>
      </c>
      <c r="ALF12" s="12">
        <f>0+0</f>
        <v/>
      </c>
      <c r="ALG12" s="9">
        <f>ALD12+ALE12+ALF12</f>
        <v/>
      </c>
      <c r="ALH12" s="12">
        <f>SUM(ALG$5:ALG12)</f>
        <v/>
      </c>
      <c r="ALI12" s="12">
        <f>OR(ALI11,ALH12&gt;=VATThreshold)</f>
        <v/>
      </c>
      <c r="ALJ12" s="9">
        <f>IF(ALI12,ALG12/(1+VATRate),ALG12)</f>
        <v/>
      </c>
      <c r="ALK12" s="12">
        <f>ALG12-ALJ12</f>
        <v/>
      </c>
      <c r="ALL12" s="12">
        <f>IF(ALI12=0,0,IF(AKH12=1,SUMPRODUCT(--(($AKI$5:$AKI12=$AKI12-1)*($AKH$5:$AKH12&gt;=10)*($AKH$5:$AKH12&lt;=12)),$ALK$5:$ALK12),IF(AKH12=4,SUMPRODUCT(--(($AKI$5:$AKI12=$AKI12)*($AKH$5:$AKH12&gt;=1)*($AKH$5:$AKH12&lt;=3)),$ALK$5:$ALK12),IF(AKH12=7,SUMPRODUCT(--(($AKI$5:$AKI12=$AKI12)*($AKH$5:$AKH12&gt;=4)*($AKH$5:$AKH12&lt;=6)),$ALK$5:$ALK12),IF(AKH12=10,SUMPRODUCT(--(($AKI$5:$AKI12=$AKI12)*($AKH$5:$AKH12&gt;=7)*($AKH$5:$AKH12&lt;=9)),$ALK$5:$ALK12),0)))))</f>
        <v/>
      </c>
      <c r="ALM12" s="12">
        <f>ALM11+ALK12-ALL12</f>
        <v/>
      </c>
      <c r="ALN12" s="12">
        <f>IF(ProviderDelay&gt;=1,ALJ11*ProviderShare,ALJ12*ProviderShare)</f>
        <v/>
      </c>
      <c r="ALO12" s="12">
        <f>ALG12*PaymentFee</f>
        <v/>
      </c>
      <c r="ALP12" s="12">
        <f>ALA12*OpsAI</f>
        <v/>
      </c>
      <c r="ALQ12" s="12">
        <f>MonthlyFixed</f>
        <v/>
      </c>
      <c r="ALR12" s="12">
        <f>AKO12*ReferralReward</f>
        <v/>
      </c>
      <c r="ALS12" s="12">
        <f>AKM12</f>
        <v/>
      </c>
      <c r="ALT12" s="9">
        <f>ALJ12-ALN12-ALO12-ALP12-ALQ12-ALR12-ALS12</f>
        <v/>
      </c>
      <c r="ALU12" s="9">
        <f>ALU11+ALG12-(ALN12+ALO12+ALP12+ALQ12+ALR12+ALS12+ALL12)</f>
        <v/>
      </c>
      <c r="ALV12" s="12">
        <f>IF(ALA12&gt;0,ALB12/ALA12,0)</f>
        <v/>
      </c>
      <c r="ALW12" s="11">
        <f>IF(ALA11&gt;0,MAX(0,(ALA11+AKP12-ALA12)/ALA11),0)</f>
        <v/>
      </c>
      <c r="ALY12" s="12" t="n">
        <v>8</v>
      </c>
      <c r="ALZ12" s="12">
        <f>MOD(ALY12-1+LaunchMonth-1,12)+1</f>
        <v/>
      </c>
      <c r="AMA12" s="12">
        <f>INT((ALY12-1+LaunchMonth-1)/12)+1</f>
        <v/>
      </c>
      <c r="AMB12" s="12">
        <f>VLOOKUP(ALZ12,SeasonTable,2,FALSE)</f>
        <v/>
      </c>
      <c r="AMC12" s="12">
        <f>(1+InflationRate)^INT((ALY12-1)/12)</f>
        <v/>
      </c>
      <c r="AMD12" s="11">
        <f>MonthlyChurn*VLOOKUP(ALZ12,ChurnSeasonTable,4,FALSE)</f>
        <v/>
      </c>
      <c r="AME12" s="12">
        <f>MIN(MAX(MktMin7_12,AMY11*MktPct7_12),MAX(0,ANM11-CashBuffer))</f>
        <v/>
      </c>
      <c r="AMF12" s="12">
        <f>IF(AME12&gt;0,MAX(1,ROUND(AME12/'Sens - CAC &amp; Marketing'!$A$13*AMB12,0)),0)</f>
        <v/>
      </c>
      <c r="AMG12" s="12">
        <f>IF(AMF12&gt;0,ROUND(AMF12*ReferralMix/(1-ReferralMix),0),0)</f>
        <v/>
      </c>
      <c r="AMH12" s="12">
        <f>AMF12+AMG12</f>
        <v/>
      </c>
      <c r="AMI12" s="12">
        <f>ROUND(AMH12*(1-AnnualMix),0)</f>
        <v/>
      </c>
      <c r="AMJ12" s="12">
        <f>AMH12-AMI12</f>
        <v/>
      </c>
      <c r="AMK12" s="12">
        <f>ROUND(AMI12*EssentialMix,0)</f>
        <v/>
      </c>
      <c r="AML12" s="12">
        <f>AMI12-AMK12</f>
        <v/>
      </c>
      <c r="AMM12" s="12">
        <f>ROUND(AMJ12*EssentialMix,0)</f>
        <v/>
      </c>
      <c r="AMN12" s="12">
        <f>AMJ12-AMM12</f>
        <v/>
      </c>
      <c r="AMO12" s="12">
        <f>AMK12+AMK11+AMK10+MAX(0,AMO11-AMK11-AMK10)*(1-AMD12)</f>
        <v/>
      </c>
      <c r="AMP12" s="12">
        <f>AML12+AML11+AML10+MAX(0,AMP11-AML11-AML10)*(1-AMD12)</f>
        <v/>
      </c>
      <c r="AMQ12" s="12">
        <f>SUM(AMM$5:AMM12)</f>
        <v/>
      </c>
      <c r="AMR12" s="12">
        <f>SUM(AMN$5:AMN12)</f>
        <v/>
      </c>
      <c r="AMS12" s="12">
        <f>AMO12+AMP12+AMQ12+AMR12</f>
        <v/>
      </c>
      <c r="AMT12" s="9">
        <f>AMO12*PriceEssMonthly*AMC12+AMP12*PricePremMonthly*AMC12+AMQ12*PriceEssAnnual*AMC12/12+AMR12*PricePremAnnual*AMC12/12</f>
        <v/>
      </c>
      <c r="AMU12" s="9">
        <f>AMT12*12</f>
        <v/>
      </c>
      <c r="AMV12" s="12">
        <f>AMO12*PriceEssMonthly*AMC12+AMP12*PricePremMonthly*AMC12</f>
        <v/>
      </c>
      <c r="AMW12" s="12">
        <f>AMM12*PriceEssAnnual*AMC12+AMN12*PricePremAnnual*AMC12</f>
        <v/>
      </c>
      <c r="AMX12" s="12">
        <f>0+0</f>
        <v/>
      </c>
      <c r="AMY12" s="9">
        <f>AMV12+AMW12+AMX12</f>
        <v/>
      </c>
      <c r="AMZ12" s="12">
        <f>SUM(AMY$5:AMY12)</f>
        <v/>
      </c>
      <c r="ANA12" s="12">
        <f>OR(ANA11,AMZ12&gt;=VATThreshold)</f>
        <v/>
      </c>
      <c r="ANB12" s="9">
        <f>IF(ANA12,AMY12/(1+VATRate),AMY12)</f>
        <v/>
      </c>
      <c r="ANC12" s="12">
        <f>AMY12-ANB12</f>
        <v/>
      </c>
      <c r="AND12" s="12">
        <f>IF(ANA12=0,0,IF(ALZ12=1,SUMPRODUCT(--(($AMA$5:$AMA12=$AMA12-1)*($ALZ$5:$ALZ12&gt;=10)*($ALZ$5:$ALZ12&lt;=12)),$ANC$5:$ANC12),IF(ALZ12=4,SUMPRODUCT(--(($AMA$5:$AMA12=$AMA12)*($ALZ$5:$ALZ12&gt;=1)*($ALZ$5:$ALZ12&lt;=3)),$ANC$5:$ANC12),IF(ALZ12=7,SUMPRODUCT(--(($AMA$5:$AMA12=$AMA12)*($ALZ$5:$ALZ12&gt;=4)*($ALZ$5:$ALZ12&lt;=6)),$ANC$5:$ANC12),IF(ALZ12=10,SUMPRODUCT(--(($AMA$5:$AMA12=$AMA12)*($ALZ$5:$ALZ12&gt;=7)*($ALZ$5:$ALZ12&lt;=9)),$ANC$5:$ANC12),0)))))</f>
        <v/>
      </c>
      <c r="ANE12" s="12">
        <f>ANE11+ANC12-AND12</f>
        <v/>
      </c>
      <c r="ANF12" s="12">
        <f>IF(ProviderDelay&gt;=1,ANB11*ProviderShare,ANB12*ProviderShare)</f>
        <v/>
      </c>
      <c r="ANG12" s="12">
        <f>AMY12*PaymentFee</f>
        <v/>
      </c>
      <c r="ANH12" s="12">
        <f>AMS12*OpsAI</f>
        <v/>
      </c>
      <c r="ANI12" s="12">
        <f>MonthlyFixed</f>
        <v/>
      </c>
      <c r="ANJ12" s="12">
        <f>AMG12*ReferralReward</f>
        <v/>
      </c>
      <c r="ANK12" s="12">
        <f>AME12</f>
        <v/>
      </c>
      <c r="ANL12" s="9">
        <f>ANB12-ANF12-ANG12-ANH12-ANI12-ANJ12-ANK12</f>
        <v/>
      </c>
      <c r="ANM12" s="9">
        <f>ANM11+AMY12-(ANF12+ANG12+ANH12+ANI12+ANJ12+ANK12+AND12)</f>
        <v/>
      </c>
      <c r="ANN12" s="12">
        <f>IF(AMS12&gt;0,AMT12/AMS12,0)</f>
        <v/>
      </c>
      <c r="ANO12" s="11">
        <f>IF(AMS11&gt;0,MAX(0,(AMS11+AMH12-AMS12)/AMS11),0)</f>
        <v/>
      </c>
      <c r="ANQ12" s="12" t="n">
        <v>8</v>
      </c>
      <c r="ANR12" s="12">
        <f>MOD(ANQ12-1+LaunchMonth-1,12)+1</f>
        <v/>
      </c>
      <c r="ANS12" s="12">
        <f>INT((ANQ12-1+LaunchMonth-1)/12)+1</f>
        <v/>
      </c>
      <c r="ANT12" s="12">
        <f>VLOOKUP(ANR12,SeasonTable,2,FALSE)</f>
        <v/>
      </c>
      <c r="ANU12" s="12">
        <f>(1+InflationRate)^INT((ANQ12-1)/12)</f>
        <v/>
      </c>
      <c r="ANV12" s="11">
        <f>MonthlyChurn*VLOOKUP(ANR12,ChurnSeasonTable,4,FALSE)</f>
        <v/>
      </c>
      <c r="ANW12" s="12">
        <f>MIN(MAX(MktMin7_12,AOQ11*MktPct7_12),MAX(0,APE11-CashBuffer))</f>
        <v/>
      </c>
      <c r="ANX12" s="12">
        <f>IF(ANW12&gt;0,MAX(1,ROUND(ANW12/'Sens - CAC &amp; Marketing'!$A$14*ANT12,0)),0)</f>
        <v/>
      </c>
      <c r="ANY12" s="12">
        <f>IF(ANX12&gt;0,ROUND(ANX12*ReferralMix/(1-ReferralMix),0),0)</f>
        <v/>
      </c>
      <c r="ANZ12" s="12">
        <f>ANX12+ANY12</f>
        <v/>
      </c>
      <c r="AOA12" s="12">
        <f>ROUND(ANZ12*(1-AnnualMix),0)</f>
        <v/>
      </c>
      <c r="AOB12" s="12">
        <f>ANZ12-AOA12</f>
        <v/>
      </c>
      <c r="AOC12" s="12">
        <f>ROUND(AOA12*EssentialMix,0)</f>
        <v/>
      </c>
      <c r="AOD12" s="12">
        <f>AOA12-AOC12</f>
        <v/>
      </c>
      <c r="AOE12" s="12">
        <f>ROUND(AOB12*EssentialMix,0)</f>
        <v/>
      </c>
      <c r="AOF12" s="12">
        <f>AOB12-AOE12</f>
        <v/>
      </c>
      <c r="AOG12" s="12">
        <f>AOC12+AOC11+AOC10+MAX(0,AOG11-AOC11-AOC10)*(1-ANV12)</f>
        <v/>
      </c>
      <c r="AOH12" s="12">
        <f>AOD12+AOD11+AOD10+MAX(0,AOH11-AOD11-AOD10)*(1-ANV12)</f>
        <v/>
      </c>
      <c r="AOI12" s="12">
        <f>SUM(AOE$5:AOE12)</f>
        <v/>
      </c>
      <c r="AOJ12" s="12">
        <f>SUM(AOF$5:AOF12)</f>
        <v/>
      </c>
      <c r="AOK12" s="12">
        <f>AOG12+AOH12+AOI12+AOJ12</f>
        <v/>
      </c>
      <c r="AOL12" s="9">
        <f>AOG12*PriceEssMonthly*ANU12+AOH12*PricePremMonthly*ANU12+AOI12*PriceEssAnnual*ANU12/12+AOJ12*PricePremAnnual*ANU12/12</f>
        <v/>
      </c>
      <c r="AOM12" s="9">
        <f>AOL12*12</f>
        <v/>
      </c>
      <c r="AON12" s="12">
        <f>AOG12*PriceEssMonthly*ANU12+AOH12*PricePremMonthly*ANU12</f>
        <v/>
      </c>
      <c r="AOO12" s="12">
        <f>AOE12*PriceEssAnnual*ANU12+AOF12*PricePremAnnual*ANU12</f>
        <v/>
      </c>
      <c r="AOP12" s="12">
        <f>0+0</f>
        <v/>
      </c>
      <c r="AOQ12" s="9">
        <f>AON12+AOO12+AOP12</f>
        <v/>
      </c>
      <c r="AOR12" s="12">
        <f>SUM(AOQ$5:AOQ12)</f>
        <v/>
      </c>
      <c r="AOS12" s="12">
        <f>OR(AOS11,AOR12&gt;=VATThreshold)</f>
        <v/>
      </c>
      <c r="AOT12" s="9">
        <f>IF(AOS12,AOQ12/(1+VATRate),AOQ12)</f>
        <v/>
      </c>
      <c r="AOU12" s="12">
        <f>AOQ12-AOT12</f>
        <v/>
      </c>
      <c r="AOV12" s="12">
        <f>IF(AOS12=0,0,IF(ANR12=1,SUMPRODUCT(--(($ANS$5:$ANS12=$ANS12-1)*($ANR$5:$ANR12&gt;=10)*($ANR$5:$ANR12&lt;=12)),$AOU$5:$AOU12),IF(ANR12=4,SUMPRODUCT(--(($ANS$5:$ANS12=$ANS12)*($ANR$5:$ANR12&gt;=1)*($ANR$5:$ANR12&lt;=3)),$AOU$5:$AOU12),IF(ANR12=7,SUMPRODUCT(--(($ANS$5:$ANS12=$ANS12)*($ANR$5:$ANR12&gt;=4)*($ANR$5:$ANR12&lt;=6)),$AOU$5:$AOU12),IF(ANR12=10,SUMPRODUCT(--(($ANS$5:$ANS12=$ANS12)*($ANR$5:$ANR12&gt;=7)*($ANR$5:$ANR12&lt;=9)),$AOU$5:$AOU12),0)))))</f>
        <v/>
      </c>
      <c r="AOW12" s="12">
        <f>AOW11+AOU12-AOV12</f>
        <v/>
      </c>
      <c r="AOX12" s="12">
        <f>IF(ProviderDelay&gt;=1,AOT11*ProviderShare,AOT12*ProviderShare)</f>
        <v/>
      </c>
      <c r="AOY12" s="12">
        <f>AOQ12*PaymentFee</f>
        <v/>
      </c>
      <c r="AOZ12" s="12">
        <f>AOK12*OpsAI</f>
        <v/>
      </c>
      <c r="APA12" s="12">
        <f>MonthlyFixed</f>
        <v/>
      </c>
      <c r="APB12" s="12">
        <f>ANY12*ReferralReward</f>
        <v/>
      </c>
      <c r="APC12" s="12">
        <f>ANW12</f>
        <v/>
      </c>
      <c r="APD12" s="9">
        <f>AOT12-AOX12-AOY12-AOZ12-APA12-APB12-APC12</f>
        <v/>
      </c>
      <c r="APE12" s="9">
        <f>APE11+AOQ12-(AOX12+AOY12+AOZ12+APA12+APB12+APC12+AOV12)</f>
        <v/>
      </c>
      <c r="APF12" s="12">
        <f>IF(AOK12&gt;0,AOL12/AOK12,0)</f>
        <v/>
      </c>
      <c r="APG12" s="11">
        <f>IF(AOK11&gt;0,MAX(0,(AOK11+ANZ12-AOK12)/AOK11),0)</f>
        <v/>
      </c>
      <c r="API12" s="12" t="n">
        <v>8</v>
      </c>
      <c r="APJ12" s="12">
        <f>MOD(API12-1+LaunchMonth-1,12)+1</f>
        <v/>
      </c>
      <c r="APK12" s="12">
        <f>INT((API12-1+LaunchMonth-1)/12)+1</f>
        <v/>
      </c>
      <c r="APL12" s="12">
        <f>VLOOKUP(APJ12,SeasonTable,2,FALSE)</f>
        <v/>
      </c>
      <c r="APM12" s="12">
        <f>(1+InflationRate)^INT((API12-1)/12)</f>
        <v/>
      </c>
      <c r="APN12" s="11">
        <f>MonthlyChurn*VLOOKUP(APJ12,ChurnSeasonTable,4,FALSE)</f>
        <v/>
      </c>
      <c r="APO12" s="12">
        <f>MIN(MAX(MktMin7_12,AQI11*MktPct7_12),MAX(0,AQW11-CashBuffer))</f>
        <v/>
      </c>
      <c r="APP12" s="12">
        <f>IF(APO12&gt;0,MAX(1,ROUND(APO12/'Sens - CAC &amp; Marketing'!$A$15*APL12,0)),0)</f>
        <v/>
      </c>
      <c r="APQ12" s="12">
        <f>IF(APP12&gt;0,ROUND(APP12*ReferralMix/(1-ReferralMix),0),0)</f>
        <v/>
      </c>
      <c r="APR12" s="12">
        <f>APP12+APQ12</f>
        <v/>
      </c>
      <c r="APS12" s="12">
        <f>ROUND(APR12*(1-AnnualMix),0)</f>
        <v/>
      </c>
      <c r="APT12" s="12">
        <f>APR12-APS12</f>
        <v/>
      </c>
      <c r="APU12" s="12">
        <f>ROUND(APS12*EssentialMix,0)</f>
        <v/>
      </c>
      <c r="APV12" s="12">
        <f>APS12-APU12</f>
        <v/>
      </c>
      <c r="APW12" s="12">
        <f>ROUND(APT12*EssentialMix,0)</f>
        <v/>
      </c>
      <c r="APX12" s="12">
        <f>APT12-APW12</f>
        <v/>
      </c>
      <c r="APY12" s="12">
        <f>APU12+APU11+APU10+MAX(0,APY11-APU11-APU10)*(1-APN12)</f>
        <v/>
      </c>
      <c r="APZ12" s="12">
        <f>APV12+APV11+APV10+MAX(0,APZ11-APV11-APV10)*(1-APN12)</f>
        <v/>
      </c>
      <c r="AQA12" s="12">
        <f>SUM(APW$5:APW12)</f>
        <v/>
      </c>
      <c r="AQB12" s="12">
        <f>SUM(APX$5:APX12)</f>
        <v/>
      </c>
      <c r="AQC12" s="12">
        <f>APY12+APZ12+AQA12+AQB12</f>
        <v/>
      </c>
      <c r="AQD12" s="9">
        <f>APY12*PriceEssMonthly*APM12+APZ12*PricePremMonthly*APM12+AQA12*PriceEssAnnual*APM12/12+AQB12*PricePremAnnual*APM12/12</f>
        <v/>
      </c>
      <c r="AQE12" s="9">
        <f>AQD12*12</f>
        <v/>
      </c>
      <c r="AQF12" s="12">
        <f>APY12*PriceEssMonthly*APM12+APZ12*PricePremMonthly*APM12</f>
        <v/>
      </c>
      <c r="AQG12" s="12">
        <f>APW12*PriceEssAnnual*APM12+APX12*PricePremAnnual*APM12</f>
        <v/>
      </c>
      <c r="AQH12" s="12">
        <f>0+0</f>
        <v/>
      </c>
      <c r="AQI12" s="9">
        <f>AQF12+AQG12+AQH12</f>
        <v/>
      </c>
      <c r="AQJ12" s="12">
        <f>SUM(AQI$5:AQI12)</f>
        <v/>
      </c>
      <c r="AQK12" s="12">
        <f>OR(AQK11,AQJ12&gt;=VATThreshold)</f>
        <v/>
      </c>
      <c r="AQL12" s="9">
        <f>IF(AQK12,AQI12/(1+VATRate),AQI12)</f>
        <v/>
      </c>
      <c r="AQM12" s="12">
        <f>AQI12-AQL12</f>
        <v/>
      </c>
      <c r="AQN12" s="12">
        <f>IF(AQK12=0,0,IF(APJ12=1,SUMPRODUCT(--(($APK$5:$APK12=$APK12-1)*($APJ$5:$APJ12&gt;=10)*($APJ$5:$APJ12&lt;=12)),$AQM$5:$AQM12),IF(APJ12=4,SUMPRODUCT(--(($APK$5:$APK12=$APK12)*($APJ$5:$APJ12&gt;=1)*($APJ$5:$APJ12&lt;=3)),$AQM$5:$AQM12),IF(APJ12=7,SUMPRODUCT(--(($APK$5:$APK12=$APK12)*($APJ$5:$APJ12&gt;=4)*($APJ$5:$APJ12&lt;=6)),$AQM$5:$AQM12),IF(APJ12=10,SUMPRODUCT(--(($APK$5:$APK12=$APK12)*($APJ$5:$APJ12&gt;=7)*($APJ$5:$APJ12&lt;=9)),$AQM$5:$AQM12),0)))))</f>
        <v/>
      </c>
      <c r="AQO12" s="12">
        <f>AQO11+AQM12-AQN12</f>
        <v/>
      </c>
      <c r="AQP12" s="12">
        <f>IF(ProviderDelay&gt;=1,AQL11*ProviderShare,AQL12*ProviderShare)</f>
        <v/>
      </c>
      <c r="AQQ12" s="12">
        <f>AQI12*PaymentFee</f>
        <v/>
      </c>
      <c r="AQR12" s="12">
        <f>AQC12*OpsAI</f>
        <v/>
      </c>
      <c r="AQS12" s="12">
        <f>MonthlyFixed</f>
        <v/>
      </c>
      <c r="AQT12" s="12">
        <f>APQ12*ReferralReward</f>
        <v/>
      </c>
      <c r="AQU12" s="12">
        <f>APO12</f>
        <v/>
      </c>
      <c r="AQV12" s="9">
        <f>AQL12-AQP12-AQQ12-AQR12-AQS12-AQT12-AQU12</f>
        <v/>
      </c>
      <c r="AQW12" s="9">
        <f>AQW11+AQI12-(AQP12+AQQ12+AQR12+AQS12+AQT12+AQU12+AQN12)</f>
        <v/>
      </c>
      <c r="AQX12" s="12">
        <f>IF(AQC12&gt;0,AQD12/AQC12,0)</f>
        <v/>
      </c>
      <c r="AQY12" s="11">
        <f>IF(AQC11&gt;0,MAX(0,(AQC11+APR12-AQC12)/AQC11),0)</f>
        <v/>
      </c>
      <c r="ARA12" s="12" t="n">
        <v>8</v>
      </c>
      <c r="ARB12" s="12">
        <f>MOD(ARA12-1+LaunchMonth-1,12)+1</f>
        <v/>
      </c>
      <c r="ARC12" s="12">
        <f>INT((ARA12-1+LaunchMonth-1)/12)+1</f>
        <v/>
      </c>
      <c r="ARD12" s="12">
        <f>VLOOKUP(ARB12,WinterPivotSeasonTable,5,FALSE)</f>
        <v/>
      </c>
      <c r="ARE12" s="12">
        <f>(1+InflationRate)^INT((ARA12-1)/12)</f>
        <v/>
      </c>
      <c r="ARF12" s="11">
        <f>MonthlyChurn*VLOOKUP(ARB12,WinterPivotChurnTable,6,FALSE)</f>
        <v/>
      </c>
      <c r="ARG12" s="12">
        <f>MIN(MAX(MktMin7_12,ASA11*MktPct7_12),MAX(0,ASO11-CashBuffer))</f>
        <v/>
      </c>
      <c r="ARH12" s="12">
        <f>IF(ARG12&gt;0,MAX(1,ROUND(ARG12/CAC*ARD12,0)),0)</f>
        <v/>
      </c>
      <c r="ARI12" s="12">
        <f>IF(ARH12&gt;0,ROUND(ARH12*ReferralMix/(1-ReferralMix),0),0)</f>
        <v/>
      </c>
      <c r="ARJ12" s="12">
        <f>ARH12+ARI12</f>
        <v/>
      </c>
      <c r="ARK12" s="12">
        <f>ROUND(ARJ12*(1-AnnualMix),0)</f>
        <v/>
      </c>
      <c r="ARL12" s="12">
        <f>ARJ12-ARK12</f>
        <v/>
      </c>
      <c r="ARM12" s="12">
        <f>ROUND(ARK12*'Sens - Winter Pivot'!$B$6,0)</f>
        <v/>
      </c>
      <c r="ARN12" s="12">
        <f>ARK12-ARM12</f>
        <v/>
      </c>
      <c r="ARO12" s="12">
        <f>ROUND(ARL12*'Sens - Winter Pivot'!$B$6,0)</f>
        <v/>
      </c>
      <c r="ARP12" s="12">
        <f>ARL12-ARO12</f>
        <v/>
      </c>
      <c r="ARQ12" s="12">
        <f>ARM12+ARM11+ARM10+MAX(0,ARQ11-ARM11-ARM10)*(1-ARF12)</f>
        <v/>
      </c>
      <c r="ARR12" s="12">
        <f>ARN12+ARN11+ARN10+MAX(0,ARR11-ARN11-ARN10)*(1-ARF12)</f>
        <v/>
      </c>
      <c r="ARS12" s="12">
        <f>SUM(ARO$5:ARO12)</f>
        <v/>
      </c>
      <c r="ART12" s="12">
        <f>SUM(ARP$5:ARP12)</f>
        <v/>
      </c>
      <c r="ARU12" s="12">
        <f>ARQ12+ARR12+ARS12+ART12</f>
        <v/>
      </c>
      <c r="ARV12" s="9">
        <f>ARQ12*PriceEssMonthly*ARE12+ARR12*(PricePremMonthly+'Sens - Winter Pivot'!$B$7)*ARE12+ARS12*PriceEssAnnual*ARE12/12+ART12*(PricePremAnnual+'Sens - Winter Pivot'!$B$7*12)*ARE12/12</f>
        <v/>
      </c>
      <c r="ARW12" s="9">
        <f>ARV12*12</f>
        <v/>
      </c>
      <c r="ARX12" s="12">
        <f>ARQ12*PriceEssMonthly*ARE12+ARR12*(PricePremMonthly+'Sens - Winter Pivot'!$B$7)*ARE12</f>
        <v/>
      </c>
      <c r="ARY12" s="12">
        <f>ARO12*PriceEssAnnual*ARE12+ARP12*(PricePremAnnual+'Sens - Winter Pivot'!$B$7*12)*ARE12</f>
        <v/>
      </c>
      <c r="ARZ12" s="12">
        <f>0+0</f>
        <v/>
      </c>
      <c r="ASA12" s="9">
        <f>ARX12+ARY12+ARZ12</f>
        <v/>
      </c>
      <c r="ASB12" s="12">
        <f>SUM(ASA$5:ASA12)</f>
        <v/>
      </c>
      <c r="ASC12" s="12">
        <f>OR(ASC11,ASB12&gt;=VATThreshold)</f>
        <v/>
      </c>
      <c r="ASD12" s="9">
        <f>IF(ASC12,ASA12/(1+VATRate),ASA12)</f>
        <v/>
      </c>
      <c r="ASE12" s="12">
        <f>ASA12-ASD12</f>
        <v/>
      </c>
      <c r="ASF12" s="12">
        <f>IF(ASC12=0,0,IF(ARB12=1,SUMPRODUCT(--(($ARC$5:$ARC12=$ARC12-1)*($ARB$5:$ARB12&gt;=10)*($ARB$5:$ARB12&lt;=12)),$ASE$5:$ASE12),IF(ARB12=4,SUMPRODUCT(--(($ARC$5:$ARC12=$ARC12)*($ARB$5:$ARB12&gt;=1)*($ARB$5:$ARB12&lt;=3)),$ASE$5:$ASE12),IF(ARB12=7,SUMPRODUCT(--(($ARC$5:$ARC12=$ARC12)*($ARB$5:$ARB12&gt;=4)*($ARB$5:$ARB12&lt;=6)),$ASE$5:$ASE12),IF(ARB12=10,SUMPRODUCT(--(($ARC$5:$ARC12=$ARC12)*($ARB$5:$ARB12&gt;=7)*($ARB$5:$ARB12&lt;=9)),$ASE$5:$ASE12),0)))))</f>
        <v/>
      </c>
      <c r="ASG12" s="12">
        <f>ASG11+ASE12-ASF12</f>
        <v/>
      </c>
      <c r="ASH12" s="12">
        <f>IF(ProviderDelay&gt;=1,ASD11*ProviderShare,ASD12*ProviderShare)</f>
        <v/>
      </c>
      <c r="ASI12" s="12">
        <f>ASA12*PaymentFee</f>
        <v/>
      </c>
      <c r="ASJ12" s="12">
        <f>ARU12*OpsAI</f>
        <v/>
      </c>
      <c r="ASK12" s="12">
        <f>MonthlyFixed</f>
        <v/>
      </c>
      <c r="ASL12" s="12">
        <f>ARI12*ReferralReward</f>
        <v/>
      </c>
      <c r="ASM12" s="12">
        <f>ARG12</f>
        <v/>
      </c>
      <c r="ASN12" s="9">
        <f>ASD12-ASH12-ASI12-ASJ12-ASK12-ASL12-ASM12</f>
        <v/>
      </c>
      <c r="ASO12" s="9">
        <f>ASO11+ASA12-(ASH12+ASI12+ASJ12+ASK12+ASL12+ASM12+ASF12)</f>
        <v/>
      </c>
      <c r="ASP12" s="12">
        <f>IF(ARU12&gt;0,ARV12/ARU12,0)</f>
        <v/>
      </c>
      <c r="ASQ12" s="11">
        <f>IF(ARU11&gt;0,MAX(0,(ARU11+ARJ12-ARU12)/ARU11),0)</f>
        <v/>
      </c>
    </row>
    <row r="13">
      <c r="A13" s="12" t="n">
        <v>9</v>
      </c>
      <c r="B13" s="12">
        <f>MOD(A13-1+LaunchMonth-1,12)+1</f>
        <v/>
      </c>
      <c r="C13" s="12">
        <f>INT((A13-1+LaunchMonth-1)/12)+1</f>
        <v/>
      </c>
      <c r="D13" s="12">
        <f>VLOOKUP(B13,SeasonTable,2,FALSE)</f>
        <v/>
      </c>
      <c r="E13" s="12">
        <f>(1+InflationRate)^INT((A13-1)/12)</f>
        <v/>
      </c>
      <c r="F13" s="11">
        <f>'Sens - Scenarios'!$B$5*VLOOKUP(B13,ChurnSeasonTable,4,FALSE)</f>
        <v/>
      </c>
      <c r="G13" s="12">
        <f>MIN(MAX(MktMin7_12,AA12*MktPct7_12),MAX(0,AO12-CashBuffer))</f>
        <v/>
      </c>
      <c r="H13" s="12">
        <f>IF(G13&gt;0,MAX(1,ROUND(G13/'Sens - Scenarios'!$B$8*D13,0)),0)</f>
        <v/>
      </c>
      <c r="I13" s="12">
        <f>IF(H13&gt;0,ROUND(H13*ReferralMix/(1-ReferralMix),0),0)</f>
        <v/>
      </c>
      <c r="J13" s="12">
        <f>H13+I13</f>
        <v/>
      </c>
      <c r="K13" s="12">
        <f>ROUND(J13*(1-'Sens - Scenarios'!$B$7),0)</f>
        <v/>
      </c>
      <c r="L13" s="12">
        <f>J13-K13</f>
        <v/>
      </c>
      <c r="M13" s="12">
        <f>ROUND(K13*EssentialMix,0)</f>
        <v/>
      </c>
      <c r="N13" s="12">
        <f>K13-M13</f>
        <v/>
      </c>
      <c r="O13" s="12">
        <f>ROUND(L13*EssentialMix,0)</f>
        <v/>
      </c>
      <c r="P13" s="12">
        <f>L13-O13</f>
        <v/>
      </c>
      <c r="Q13" s="12">
        <f>M13+M12+M11+MAX(0,Q12-M12-M11)*(1-F13)</f>
        <v/>
      </c>
      <c r="R13" s="12">
        <f>N13+N12+N11+MAX(0,R12-N12-N11)*(1-F13)</f>
        <v/>
      </c>
      <c r="S13" s="12">
        <f>SUM(O$5:O13)</f>
        <v/>
      </c>
      <c r="T13" s="12">
        <f>SUM(P$5:P13)</f>
        <v/>
      </c>
      <c r="U13" s="12">
        <f>Q13+R13+S13+T13</f>
        <v/>
      </c>
      <c r="V13" s="9">
        <f>Q13*PriceEssMonthly*E13+R13*PricePremMonthly*E13+S13*PriceEssAnnual*E13/12+T13*PricePremAnnual*E13/12</f>
        <v/>
      </c>
      <c r="W13" s="9">
        <f>V13*12</f>
        <v/>
      </c>
      <c r="X13" s="12">
        <f>Q13*PriceEssMonthly*E13+R13*PricePremMonthly*E13</f>
        <v/>
      </c>
      <c r="Y13" s="12">
        <f>O13*PriceEssAnnual*E13+P13*PricePremAnnual*E13</f>
        <v/>
      </c>
      <c r="Z13" s="12">
        <f>0+0</f>
        <v/>
      </c>
      <c r="AA13" s="9">
        <f>X13+Y13+Z13</f>
        <v/>
      </c>
      <c r="AB13" s="12">
        <f>SUM(AA$5:AA13)</f>
        <v/>
      </c>
      <c r="AC13" s="12">
        <f>OR(AC12,AB13&gt;=VATThreshold)</f>
        <v/>
      </c>
      <c r="AD13" s="9">
        <f>IF(AC13,AA13/(1+VATRate),AA13)</f>
        <v/>
      </c>
      <c r="AE13" s="12">
        <f>AA13-AD13</f>
        <v/>
      </c>
      <c r="AF13" s="12">
        <f>IF(AC13=0,0,IF(B13=1,SUMPRODUCT(--(($C$5:$C13=$C13-1)*($B$5:$B13&gt;=10)*($B$5:$B13&lt;=12)),$AE$5:$AE13),IF(B13=4,SUMPRODUCT(--(($C$5:$C13=$C13)*($B$5:$B13&gt;=1)*($B$5:$B13&lt;=3)),$AE$5:$AE13),IF(B13=7,SUMPRODUCT(--(($C$5:$C13=$C13)*($B$5:$B13&gt;=4)*($B$5:$B13&lt;=6)),$AE$5:$AE13),IF(B13=10,SUMPRODUCT(--(($C$5:$C13=$C13)*($B$5:$B13&gt;=7)*($B$5:$B13&lt;=9)),$AE$5:$AE13),0)))))</f>
        <v/>
      </c>
      <c r="AG13" s="12">
        <f>AG12+AE13-AF13</f>
        <v/>
      </c>
      <c r="AH13" s="12">
        <f>IF(ProviderDelay&gt;=1,AD12*ProviderShare,AD13*ProviderShare)</f>
        <v/>
      </c>
      <c r="AI13" s="12">
        <f>AA13*PaymentFee</f>
        <v/>
      </c>
      <c r="AJ13" s="12">
        <f>U13*OpsAI</f>
        <v/>
      </c>
      <c r="AK13" s="12">
        <f>MonthlyFixed</f>
        <v/>
      </c>
      <c r="AL13" s="12">
        <f>I13*ReferralReward</f>
        <v/>
      </c>
      <c r="AM13" s="12">
        <f>G13</f>
        <v/>
      </c>
      <c r="AN13" s="9">
        <f>AD13-AH13-AI13-AJ13-AK13-AL13-AM13</f>
        <v/>
      </c>
      <c r="AO13" s="9">
        <f>AO12+AA13-(AH13+AI13+AJ13+AK13+AL13+AM13+AF13)</f>
        <v/>
      </c>
      <c r="AP13" s="12">
        <f>IF(U13&gt;0,V13/U13,0)</f>
        <v/>
      </c>
      <c r="AQ13" s="11">
        <f>IF(U12&gt;0,MAX(0,(U12+J13-U13)/U12),0)</f>
        <v/>
      </c>
      <c r="AS13" s="12" t="n">
        <v>9</v>
      </c>
      <c r="AT13" s="12">
        <f>MOD(AS13-1+LaunchMonth-1,12)+1</f>
        <v/>
      </c>
      <c r="AU13" s="12">
        <f>INT((AS13-1+LaunchMonth-1)/12)+1</f>
        <v/>
      </c>
      <c r="AV13" s="12">
        <f>VLOOKUP(AT13,SeasonTable,2,FALSE)</f>
        <v/>
      </c>
      <c r="AW13" s="12">
        <f>(1+InflationRate)^INT((AS13-1)/12)</f>
        <v/>
      </c>
      <c r="AX13" s="11">
        <f>MonthlyChurn*VLOOKUP(AT13,ChurnSeasonTable,4,FALSE)</f>
        <v/>
      </c>
      <c r="AY13" s="12">
        <f>MIN(MAX(MktMin7_12,BS12*MktPct7_12),MAX(0,CG12-CashBuffer))</f>
        <v/>
      </c>
      <c r="AZ13" s="12">
        <f>IF(AY13&gt;0,MAX(1,ROUND(AY13/CAC*AV13,0)),0)</f>
        <v/>
      </c>
      <c r="BA13" s="12">
        <f>IF(AZ13&gt;0,ROUND(AZ13*ReferralMix/(1-ReferralMix),0),0)</f>
        <v/>
      </c>
      <c r="BB13" s="12">
        <f>AZ13+BA13</f>
        <v/>
      </c>
      <c r="BC13" s="12">
        <f>ROUND(BB13*(1-AnnualMix),0)</f>
        <v/>
      </c>
      <c r="BD13" s="12">
        <f>BB13-BC13</f>
        <v/>
      </c>
      <c r="BE13" s="12">
        <f>ROUND(BC13*EssentialMix,0)</f>
        <v/>
      </c>
      <c r="BF13" s="12">
        <f>BC13-BE13</f>
        <v/>
      </c>
      <c r="BG13" s="12">
        <f>ROUND(BD13*EssentialMix,0)</f>
        <v/>
      </c>
      <c r="BH13" s="12">
        <f>BD13-BG13</f>
        <v/>
      </c>
      <c r="BI13" s="12">
        <f>BE13+BE12+BE11+MAX(0,BI12-BE12-BE11)*(1-AX13)</f>
        <v/>
      </c>
      <c r="BJ13" s="12">
        <f>BF13+BF12+BF11+MAX(0,BJ12-BF12-BF11)*(1-AX13)</f>
        <v/>
      </c>
      <c r="BK13" s="12">
        <f>SUM(BG$5:BG13)</f>
        <v/>
      </c>
      <c r="BL13" s="12">
        <f>SUM(BH$5:BH13)</f>
        <v/>
      </c>
      <c r="BM13" s="12">
        <f>BI13+BJ13+BK13+BL13</f>
        <v/>
      </c>
      <c r="BN13" s="9">
        <f>BI13*PriceEssMonthly*AW13+BJ13*PricePremMonthly*AW13+BK13*PriceEssAnnual*AW13/12+BL13*PricePremAnnual*AW13/12</f>
        <v/>
      </c>
      <c r="BO13" s="9">
        <f>BN13*12</f>
        <v/>
      </c>
      <c r="BP13" s="12">
        <f>BI13*PriceEssMonthly*AW13+BJ13*PricePremMonthly*AW13</f>
        <v/>
      </c>
      <c r="BQ13" s="12">
        <f>BG13*PriceEssAnnual*AW13+BH13*PricePremAnnual*AW13</f>
        <v/>
      </c>
      <c r="BR13" s="12">
        <f>0+0</f>
        <v/>
      </c>
      <c r="BS13" s="9">
        <f>BP13+BQ13+BR13</f>
        <v/>
      </c>
      <c r="BT13" s="12">
        <f>SUM(BS$5:BS13)</f>
        <v/>
      </c>
      <c r="BU13" s="12">
        <f>OR(BU12,BT13&gt;=VATThreshold)</f>
        <v/>
      </c>
      <c r="BV13" s="9">
        <f>IF(BU13,BS13/(1+VATRate),BS13)</f>
        <v/>
      </c>
      <c r="BW13" s="12">
        <f>BS13-BV13</f>
        <v/>
      </c>
      <c r="BX13" s="12">
        <f>IF(BU13=0,0,IF(AT13=1,SUMPRODUCT(--(($AU$5:$AU13=$AU13-1)*($AT$5:$AT13&gt;=10)*($AT$5:$AT13&lt;=12)),$BW$5:$BW13),IF(AT13=4,SUMPRODUCT(--(($AU$5:$AU13=$AU13)*($AT$5:$AT13&gt;=1)*($AT$5:$AT13&lt;=3)),$BW$5:$BW13),IF(AT13=7,SUMPRODUCT(--(($AU$5:$AU13=$AU13)*($AT$5:$AT13&gt;=4)*($AT$5:$AT13&lt;=6)),$BW$5:$BW13),IF(AT13=10,SUMPRODUCT(--(($AU$5:$AU13=$AU13)*($AT$5:$AT13&gt;=7)*($AT$5:$AT13&lt;=9)),$BW$5:$BW13),0)))))</f>
        <v/>
      </c>
      <c r="BY13" s="12">
        <f>BY12+BW13-BX13</f>
        <v/>
      </c>
      <c r="BZ13" s="12">
        <f>IF(ProviderDelay&gt;=1,BV12*ProviderShare,BV13*ProviderShare)</f>
        <v/>
      </c>
      <c r="CA13" s="12">
        <f>BS13*PaymentFee</f>
        <v/>
      </c>
      <c r="CB13" s="12">
        <f>BM13*OpsAI</f>
        <v/>
      </c>
      <c r="CC13" s="12">
        <f>MonthlyFixed</f>
        <v/>
      </c>
      <c r="CD13" s="12">
        <f>BA13*ReferralReward</f>
        <v/>
      </c>
      <c r="CE13" s="12">
        <f>AY13</f>
        <v/>
      </c>
      <c r="CF13" s="9">
        <f>BV13-BZ13-CA13-CB13-CC13-CD13-CE13</f>
        <v/>
      </c>
      <c r="CG13" s="9">
        <f>CG12+BS13-(BZ13+CA13+CB13+CC13+CD13+CE13+BX13)</f>
        <v/>
      </c>
      <c r="CH13" s="12">
        <f>IF(BM13&gt;0,BN13/BM13,0)</f>
        <v/>
      </c>
      <c r="CI13" s="11">
        <f>IF(BM12&gt;0,MAX(0,(BM12+BB13-BM13)/BM12),0)</f>
        <v/>
      </c>
      <c r="CK13" s="12" t="n">
        <v>9</v>
      </c>
      <c r="CL13" s="12">
        <f>MOD(CK13-1+LaunchMonth-1,12)+1</f>
        <v/>
      </c>
      <c r="CM13" s="12">
        <f>INT((CK13-1+LaunchMonth-1)/12)+1</f>
        <v/>
      </c>
      <c r="CN13" s="12">
        <f>VLOOKUP(CL13,SeasonTable,2,FALSE)</f>
        <v/>
      </c>
      <c r="CO13" s="12">
        <f>(1+InflationRate)^INT((CK13-1)/12)</f>
        <v/>
      </c>
      <c r="CP13" s="11">
        <f>'Sens - Scenarios'!$D$5*VLOOKUP(CL13,ChurnSeasonTable,4,FALSE)</f>
        <v/>
      </c>
      <c r="CQ13" s="12">
        <f>MIN(MAX(MktMin7_12,DK12*MktPct7_12),MAX(0,DY12-CashBuffer))</f>
        <v/>
      </c>
      <c r="CR13" s="12">
        <f>IF(CQ13&gt;0,MAX(1,ROUND(CQ13/'Sens - Scenarios'!$D$8*CN13,0)),0)</f>
        <v/>
      </c>
      <c r="CS13" s="12">
        <f>IF(CR13&gt;0,ROUND(CR13*ReferralMix/(1-ReferralMix),0),0)</f>
        <v/>
      </c>
      <c r="CT13" s="12">
        <f>CR13+CS13</f>
        <v/>
      </c>
      <c r="CU13" s="12">
        <f>ROUND(CT13*(1-'Sens - Scenarios'!$D$7),0)</f>
        <v/>
      </c>
      <c r="CV13" s="12">
        <f>CT13-CU13</f>
        <v/>
      </c>
      <c r="CW13" s="12">
        <f>ROUND(CU13*EssentialMix,0)</f>
        <v/>
      </c>
      <c r="CX13" s="12">
        <f>CU13-CW13</f>
        <v/>
      </c>
      <c r="CY13" s="12">
        <f>ROUND(CV13*EssentialMix,0)</f>
        <v/>
      </c>
      <c r="CZ13" s="12">
        <f>CV13-CY13</f>
        <v/>
      </c>
      <c r="DA13" s="12">
        <f>CW13+CW12+CW11+MAX(0,DA12-CW12-CW11)*(1-CP13)</f>
        <v/>
      </c>
      <c r="DB13" s="12">
        <f>CX13+CX12+CX11+MAX(0,DB12-CX12-CX11)*(1-CP13)</f>
        <v/>
      </c>
      <c r="DC13" s="12">
        <f>SUM(CY$5:CY13)</f>
        <v/>
      </c>
      <c r="DD13" s="12">
        <f>SUM(CZ$5:CZ13)</f>
        <v/>
      </c>
      <c r="DE13" s="12">
        <f>DA13+DB13+DC13+DD13</f>
        <v/>
      </c>
      <c r="DF13" s="9">
        <f>DA13*PriceEssMonthly*CO13+DB13*PricePremMonthly*CO13+DC13*PriceEssAnnual*CO13/12+DD13*PricePremAnnual*CO13/12</f>
        <v/>
      </c>
      <c r="DG13" s="9">
        <f>DF13*12</f>
        <v/>
      </c>
      <c r="DH13" s="12">
        <f>DA13*PriceEssMonthly*CO13+DB13*PricePremMonthly*CO13</f>
        <v/>
      </c>
      <c r="DI13" s="12">
        <f>CY13*PriceEssAnnual*CO13+CZ13*PricePremAnnual*CO13</f>
        <v/>
      </c>
      <c r="DJ13" s="12">
        <f>0+0</f>
        <v/>
      </c>
      <c r="DK13" s="9">
        <f>DH13+DI13+DJ13</f>
        <v/>
      </c>
      <c r="DL13" s="12">
        <f>SUM(DK$5:DK13)</f>
        <v/>
      </c>
      <c r="DM13" s="12">
        <f>OR(DM12,DL13&gt;=VATThreshold)</f>
        <v/>
      </c>
      <c r="DN13" s="9">
        <f>IF(DM13,DK13/(1+VATRate),DK13)</f>
        <v/>
      </c>
      <c r="DO13" s="12">
        <f>DK13-DN13</f>
        <v/>
      </c>
      <c r="DP13" s="12">
        <f>IF(DM13=0,0,IF(CL13=1,SUMPRODUCT(--(($CM$5:$CM13=$CM13-1)*($CL$5:$CL13&gt;=10)*($CL$5:$CL13&lt;=12)),$DO$5:$DO13),IF(CL13=4,SUMPRODUCT(--(($CM$5:$CM13=$CM13)*($CL$5:$CL13&gt;=1)*($CL$5:$CL13&lt;=3)),$DO$5:$DO13),IF(CL13=7,SUMPRODUCT(--(($CM$5:$CM13=$CM13)*($CL$5:$CL13&gt;=4)*($CL$5:$CL13&lt;=6)),$DO$5:$DO13),IF(CL13=10,SUMPRODUCT(--(($CM$5:$CM13=$CM13)*($CL$5:$CL13&gt;=7)*($CL$5:$CL13&lt;=9)),$DO$5:$DO13),0)))))</f>
        <v/>
      </c>
      <c r="DQ13" s="12">
        <f>DQ12+DO13-DP13</f>
        <v/>
      </c>
      <c r="DR13" s="12">
        <f>IF(ProviderDelay&gt;=1,DN12*ProviderShare,DN13*ProviderShare)</f>
        <v/>
      </c>
      <c r="DS13" s="12">
        <f>DK13*PaymentFee</f>
        <v/>
      </c>
      <c r="DT13" s="12">
        <f>DE13*OpsAI</f>
        <v/>
      </c>
      <c r="DU13" s="12">
        <f>MonthlyFixed</f>
        <v/>
      </c>
      <c r="DV13" s="12">
        <f>CS13*ReferralReward</f>
        <v/>
      </c>
      <c r="DW13" s="12">
        <f>CQ13</f>
        <v/>
      </c>
      <c r="DX13" s="9">
        <f>DN13-DR13-DS13-DT13-DU13-DV13-DW13</f>
        <v/>
      </c>
      <c r="DY13" s="9">
        <f>DY12+DK13-(DR13+DS13+DT13+DU13+DV13+DW13+DP13)</f>
        <v/>
      </c>
      <c r="DZ13" s="12">
        <f>IF(DE13&gt;0,DF13/DE13,0)</f>
        <v/>
      </c>
      <c r="EA13" s="11">
        <f>IF(DE12&gt;0,MAX(0,(DE12+CT13-DE13)/DE12),0)</f>
        <v/>
      </c>
      <c r="EC13" s="12" t="n">
        <v>9</v>
      </c>
      <c r="ED13" s="12">
        <f>MOD(EC13-1+LaunchMonth-1,12)+1</f>
        <v/>
      </c>
      <c r="EE13" s="12">
        <f>INT((EC13-1+LaunchMonth-1)/12)+1</f>
        <v/>
      </c>
      <c r="EF13" s="12">
        <f>VLOOKUP(ED13,SeasonTable,2,FALSE)</f>
        <v/>
      </c>
      <c r="EG13" s="12">
        <f>(1+InflationRate)^INT((EC13-1)/12)</f>
        <v/>
      </c>
      <c r="EH13" s="11">
        <f>'Sens - Churn'!$A$13*VLOOKUP(ED13,ChurnSeasonTable,4,FALSE)</f>
        <v/>
      </c>
      <c r="EI13" s="12">
        <f>MIN(MAX(MktMin7_12,FC12*MktPct7_12),MAX(0,FQ12-CashBuffer))</f>
        <v/>
      </c>
      <c r="EJ13" s="12">
        <f>IF(EI13&gt;0,MAX(1,ROUND(EI13/CAC*EF13,0)),0)</f>
        <v/>
      </c>
      <c r="EK13" s="12">
        <f>IF(EJ13&gt;0,ROUND(EJ13*ReferralMix/(1-ReferralMix),0),0)</f>
        <v/>
      </c>
      <c r="EL13" s="12">
        <f>EJ13+EK13</f>
        <v/>
      </c>
      <c r="EM13" s="12">
        <f>ROUND(EL13*(1-AnnualMix),0)</f>
        <v/>
      </c>
      <c r="EN13" s="12">
        <f>EL13-EM13</f>
        <v/>
      </c>
      <c r="EO13" s="12">
        <f>ROUND(EM13*EssentialMix,0)</f>
        <v/>
      </c>
      <c r="EP13" s="12">
        <f>EM13-EO13</f>
        <v/>
      </c>
      <c r="EQ13" s="12">
        <f>ROUND(EN13*EssentialMix,0)</f>
        <v/>
      </c>
      <c r="ER13" s="12">
        <f>EN13-EQ13</f>
        <v/>
      </c>
      <c r="ES13" s="12">
        <f>EO13+EO12+EO11+MAX(0,ES12-EO12-EO11)*(1-EH13)</f>
        <v/>
      </c>
      <c r="ET13" s="12">
        <f>EP13+EP12+EP11+MAX(0,ET12-EP12-EP11)*(1-EH13)</f>
        <v/>
      </c>
      <c r="EU13" s="12">
        <f>SUM(EQ$5:EQ13)</f>
        <v/>
      </c>
      <c r="EV13" s="12">
        <f>SUM(ER$5:ER13)</f>
        <v/>
      </c>
      <c r="EW13" s="12">
        <f>ES13+ET13+EU13+EV13</f>
        <v/>
      </c>
      <c r="EX13" s="9">
        <f>ES13*PriceEssMonthly*EG13+ET13*PricePremMonthly*EG13+EU13*PriceEssAnnual*EG13/12+EV13*PricePremAnnual*EG13/12</f>
        <v/>
      </c>
      <c r="EY13" s="9">
        <f>EX13*12</f>
        <v/>
      </c>
      <c r="EZ13" s="12">
        <f>ES13*PriceEssMonthly*EG13+ET13*PricePremMonthly*EG13</f>
        <v/>
      </c>
      <c r="FA13" s="12">
        <f>EQ13*PriceEssAnnual*EG13+ER13*PricePremAnnual*EG13</f>
        <v/>
      </c>
      <c r="FB13" s="12">
        <f>0+0</f>
        <v/>
      </c>
      <c r="FC13" s="9">
        <f>EZ13+FA13+FB13</f>
        <v/>
      </c>
      <c r="FD13" s="12">
        <f>SUM(FC$5:FC13)</f>
        <v/>
      </c>
      <c r="FE13" s="12">
        <f>OR(FE12,FD13&gt;=VATThreshold)</f>
        <v/>
      </c>
      <c r="FF13" s="9">
        <f>IF(FE13,FC13/(1+VATRate),FC13)</f>
        <v/>
      </c>
      <c r="FG13" s="12">
        <f>FC13-FF13</f>
        <v/>
      </c>
      <c r="FH13" s="12">
        <f>IF(FE13=0,0,IF(ED13=1,SUMPRODUCT(--(($EE$5:$EE13=$EE13-1)*($ED$5:$ED13&gt;=10)*($ED$5:$ED13&lt;=12)),$FG$5:$FG13),IF(ED13=4,SUMPRODUCT(--(($EE$5:$EE13=$EE13)*($ED$5:$ED13&gt;=1)*($ED$5:$ED13&lt;=3)),$FG$5:$FG13),IF(ED13=7,SUMPRODUCT(--(($EE$5:$EE13=$EE13)*($ED$5:$ED13&gt;=4)*($ED$5:$ED13&lt;=6)),$FG$5:$FG13),IF(ED13=10,SUMPRODUCT(--(($EE$5:$EE13=$EE13)*($ED$5:$ED13&gt;=7)*($ED$5:$ED13&lt;=9)),$FG$5:$FG13),0)))))</f>
        <v/>
      </c>
      <c r="FI13" s="12">
        <f>FI12+FG13-FH13</f>
        <v/>
      </c>
      <c r="FJ13" s="12">
        <f>IF(ProviderDelay&gt;=1,FF12*ProviderShare,FF13*ProviderShare)</f>
        <v/>
      </c>
      <c r="FK13" s="12">
        <f>FC13*PaymentFee</f>
        <v/>
      </c>
      <c r="FL13" s="12">
        <f>EW13*OpsAI</f>
        <v/>
      </c>
      <c r="FM13" s="12">
        <f>MonthlyFixed</f>
        <v/>
      </c>
      <c r="FN13" s="12">
        <f>EK13*ReferralReward</f>
        <v/>
      </c>
      <c r="FO13" s="12">
        <f>EI13</f>
        <v/>
      </c>
      <c r="FP13" s="9">
        <f>FF13-FJ13-FK13-FL13-FM13-FN13-FO13</f>
        <v/>
      </c>
      <c r="FQ13" s="9">
        <f>FQ12+FC13-(FJ13+FK13+FL13+FM13+FN13+FO13+FH13)</f>
        <v/>
      </c>
      <c r="FR13" s="12">
        <f>IF(EW13&gt;0,EX13/EW13,0)</f>
        <v/>
      </c>
      <c r="FS13" s="11">
        <f>IF(EW12&gt;0,MAX(0,(EW12+EL13-EW13)/EW12),0)</f>
        <v/>
      </c>
      <c r="FU13" s="12" t="n">
        <v>9</v>
      </c>
      <c r="FV13" s="12">
        <f>MOD(FU13-1+LaunchMonth-1,12)+1</f>
        <v/>
      </c>
      <c r="FW13" s="12">
        <f>INT((FU13-1+LaunchMonth-1)/12)+1</f>
        <v/>
      </c>
      <c r="FX13" s="12">
        <f>VLOOKUP(FV13,SeasonTable,2,FALSE)</f>
        <v/>
      </c>
      <c r="FY13" s="12">
        <f>(1+InflationRate)^INT((FU13-1)/12)</f>
        <v/>
      </c>
      <c r="FZ13" s="11">
        <f>'Sens - Churn'!$A$14*VLOOKUP(FV13,ChurnSeasonTable,4,FALSE)</f>
        <v/>
      </c>
      <c r="GA13" s="12">
        <f>MIN(MAX(MktMin7_12,GU12*MktPct7_12),MAX(0,HI12-CashBuffer))</f>
        <v/>
      </c>
      <c r="GB13" s="12">
        <f>IF(GA13&gt;0,MAX(1,ROUND(GA13/CAC*FX13,0)),0)</f>
        <v/>
      </c>
      <c r="GC13" s="12">
        <f>IF(GB13&gt;0,ROUND(GB13*ReferralMix/(1-ReferralMix),0),0)</f>
        <v/>
      </c>
      <c r="GD13" s="12">
        <f>GB13+GC13</f>
        <v/>
      </c>
      <c r="GE13" s="12">
        <f>ROUND(GD13*(1-AnnualMix),0)</f>
        <v/>
      </c>
      <c r="GF13" s="12">
        <f>GD13-GE13</f>
        <v/>
      </c>
      <c r="GG13" s="12">
        <f>ROUND(GE13*EssentialMix,0)</f>
        <v/>
      </c>
      <c r="GH13" s="12">
        <f>GE13-GG13</f>
        <v/>
      </c>
      <c r="GI13" s="12">
        <f>ROUND(GF13*EssentialMix,0)</f>
        <v/>
      </c>
      <c r="GJ13" s="12">
        <f>GF13-GI13</f>
        <v/>
      </c>
      <c r="GK13" s="12">
        <f>GG13+GG12+GG11+MAX(0,GK12-GG12-GG11)*(1-FZ13)</f>
        <v/>
      </c>
      <c r="GL13" s="12">
        <f>GH13+GH12+GH11+MAX(0,GL12-GH12-GH11)*(1-FZ13)</f>
        <v/>
      </c>
      <c r="GM13" s="12">
        <f>SUM(GI$5:GI13)</f>
        <v/>
      </c>
      <c r="GN13" s="12">
        <f>SUM(GJ$5:GJ13)</f>
        <v/>
      </c>
      <c r="GO13" s="12">
        <f>GK13+GL13+GM13+GN13</f>
        <v/>
      </c>
      <c r="GP13" s="9">
        <f>GK13*PriceEssMonthly*FY13+GL13*PricePremMonthly*FY13+GM13*PriceEssAnnual*FY13/12+GN13*PricePremAnnual*FY13/12</f>
        <v/>
      </c>
      <c r="GQ13" s="9">
        <f>GP13*12</f>
        <v/>
      </c>
      <c r="GR13" s="12">
        <f>GK13*PriceEssMonthly*FY13+GL13*PricePremMonthly*FY13</f>
        <v/>
      </c>
      <c r="GS13" s="12">
        <f>GI13*PriceEssAnnual*FY13+GJ13*PricePremAnnual*FY13</f>
        <v/>
      </c>
      <c r="GT13" s="12">
        <f>0+0</f>
        <v/>
      </c>
      <c r="GU13" s="9">
        <f>GR13+GS13+GT13</f>
        <v/>
      </c>
      <c r="GV13" s="12">
        <f>SUM(GU$5:GU13)</f>
        <v/>
      </c>
      <c r="GW13" s="12">
        <f>OR(GW12,GV13&gt;=VATThreshold)</f>
        <v/>
      </c>
      <c r="GX13" s="9">
        <f>IF(GW13,GU13/(1+VATRate),GU13)</f>
        <v/>
      </c>
      <c r="GY13" s="12">
        <f>GU13-GX13</f>
        <v/>
      </c>
      <c r="GZ13" s="12">
        <f>IF(GW13=0,0,IF(FV13=1,SUMPRODUCT(--(($FW$5:$FW13=$FW13-1)*($FV$5:$FV13&gt;=10)*($FV$5:$FV13&lt;=12)),$GY$5:$GY13),IF(FV13=4,SUMPRODUCT(--(($FW$5:$FW13=$FW13)*($FV$5:$FV13&gt;=1)*($FV$5:$FV13&lt;=3)),$GY$5:$GY13),IF(FV13=7,SUMPRODUCT(--(($FW$5:$FW13=$FW13)*($FV$5:$FV13&gt;=4)*($FV$5:$FV13&lt;=6)),$GY$5:$GY13),IF(FV13=10,SUMPRODUCT(--(($FW$5:$FW13=$FW13)*($FV$5:$FV13&gt;=7)*($FV$5:$FV13&lt;=9)),$GY$5:$GY13),0)))))</f>
        <v/>
      </c>
      <c r="HA13" s="12">
        <f>HA12+GY13-GZ13</f>
        <v/>
      </c>
      <c r="HB13" s="12">
        <f>IF(ProviderDelay&gt;=1,GX12*ProviderShare,GX13*ProviderShare)</f>
        <v/>
      </c>
      <c r="HC13" s="12">
        <f>GU13*PaymentFee</f>
        <v/>
      </c>
      <c r="HD13" s="12">
        <f>GO13*OpsAI</f>
        <v/>
      </c>
      <c r="HE13" s="12">
        <f>MonthlyFixed</f>
        <v/>
      </c>
      <c r="HF13" s="12">
        <f>GC13*ReferralReward</f>
        <v/>
      </c>
      <c r="HG13" s="12">
        <f>GA13</f>
        <v/>
      </c>
      <c r="HH13" s="9">
        <f>GX13-HB13-HC13-HD13-HE13-HF13-HG13</f>
        <v/>
      </c>
      <c r="HI13" s="9">
        <f>HI12+GU13-(HB13+HC13+HD13+HE13+HF13+HG13+GZ13)</f>
        <v/>
      </c>
      <c r="HJ13" s="12">
        <f>IF(GO13&gt;0,GP13/GO13,0)</f>
        <v/>
      </c>
      <c r="HK13" s="11">
        <f>IF(GO12&gt;0,MAX(0,(GO12+GD13-GO13)/GO12),0)</f>
        <v/>
      </c>
      <c r="HM13" s="12" t="n">
        <v>9</v>
      </c>
      <c r="HN13" s="12">
        <f>MOD(HM13-1+LaunchMonth-1,12)+1</f>
        <v/>
      </c>
      <c r="HO13" s="12">
        <f>INT((HM13-1+LaunchMonth-1)/12)+1</f>
        <v/>
      </c>
      <c r="HP13" s="12">
        <f>VLOOKUP(HN13,SeasonTable,2,FALSE)</f>
        <v/>
      </c>
      <c r="HQ13" s="12">
        <f>(1+InflationRate)^INT((HM13-1)/12)</f>
        <v/>
      </c>
      <c r="HR13" s="11">
        <f>'Sens - Churn'!$A$15*VLOOKUP(HN13,ChurnSeasonTable,4,FALSE)</f>
        <v/>
      </c>
      <c r="HS13" s="12">
        <f>MIN(MAX(MktMin7_12,IM12*MktPct7_12),MAX(0,JA12-CashBuffer))</f>
        <v/>
      </c>
      <c r="HT13" s="12">
        <f>IF(HS13&gt;0,MAX(1,ROUND(HS13/CAC*HP13,0)),0)</f>
        <v/>
      </c>
      <c r="HU13" s="12">
        <f>IF(HT13&gt;0,ROUND(HT13*ReferralMix/(1-ReferralMix),0),0)</f>
        <v/>
      </c>
      <c r="HV13" s="12">
        <f>HT13+HU13</f>
        <v/>
      </c>
      <c r="HW13" s="12">
        <f>ROUND(HV13*(1-AnnualMix),0)</f>
        <v/>
      </c>
      <c r="HX13" s="12">
        <f>HV13-HW13</f>
        <v/>
      </c>
      <c r="HY13" s="12">
        <f>ROUND(HW13*EssentialMix,0)</f>
        <v/>
      </c>
      <c r="HZ13" s="12">
        <f>HW13-HY13</f>
        <v/>
      </c>
      <c r="IA13" s="12">
        <f>ROUND(HX13*EssentialMix,0)</f>
        <v/>
      </c>
      <c r="IB13" s="12">
        <f>HX13-IA13</f>
        <v/>
      </c>
      <c r="IC13" s="12">
        <f>HY13+HY12+HY11+MAX(0,IC12-HY12-HY11)*(1-HR13)</f>
        <v/>
      </c>
      <c r="ID13" s="12">
        <f>HZ13+HZ12+HZ11+MAX(0,ID12-HZ12-HZ11)*(1-HR13)</f>
        <v/>
      </c>
      <c r="IE13" s="12">
        <f>SUM(IA$5:IA13)</f>
        <v/>
      </c>
      <c r="IF13" s="12">
        <f>SUM(IB$5:IB13)</f>
        <v/>
      </c>
      <c r="IG13" s="12">
        <f>IC13+ID13+IE13+IF13</f>
        <v/>
      </c>
      <c r="IH13" s="9">
        <f>IC13*PriceEssMonthly*HQ13+ID13*PricePremMonthly*HQ13+IE13*PriceEssAnnual*HQ13/12+IF13*PricePremAnnual*HQ13/12</f>
        <v/>
      </c>
      <c r="II13" s="9">
        <f>IH13*12</f>
        <v/>
      </c>
      <c r="IJ13" s="12">
        <f>IC13*PriceEssMonthly*HQ13+ID13*PricePremMonthly*HQ13</f>
        <v/>
      </c>
      <c r="IK13" s="12">
        <f>IA13*PriceEssAnnual*HQ13+IB13*PricePremAnnual*HQ13</f>
        <v/>
      </c>
      <c r="IL13" s="12">
        <f>0+0</f>
        <v/>
      </c>
      <c r="IM13" s="9">
        <f>IJ13+IK13+IL13</f>
        <v/>
      </c>
      <c r="IN13" s="12">
        <f>SUM(IM$5:IM13)</f>
        <v/>
      </c>
      <c r="IO13" s="12">
        <f>OR(IO12,IN13&gt;=VATThreshold)</f>
        <v/>
      </c>
      <c r="IP13" s="9">
        <f>IF(IO13,IM13/(1+VATRate),IM13)</f>
        <v/>
      </c>
      <c r="IQ13" s="12">
        <f>IM13-IP13</f>
        <v/>
      </c>
      <c r="IR13" s="12">
        <f>IF(IO13=0,0,IF(HN13=1,SUMPRODUCT(--(($HO$5:$HO13=$HO13-1)*($HN$5:$HN13&gt;=10)*($HN$5:$HN13&lt;=12)),$IQ$5:$IQ13),IF(HN13=4,SUMPRODUCT(--(($HO$5:$HO13=$HO13)*($HN$5:$HN13&gt;=1)*($HN$5:$HN13&lt;=3)),$IQ$5:$IQ13),IF(HN13=7,SUMPRODUCT(--(($HO$5:$HO13=$HO13)*($HN$5:$HN13&gt;=4)*($HN$5:$HN13&lt;=6)),$IQ$5:$IQ13),IF(HN13=10,SUMPRODUCT(--(($HO$5:$HO13=$HO13)*($HN$5:$HN13&gt;=7)*($HN$5:$HN13&lt;=9)),$IQ$5:$IQ13),0)))))</f>
        <v/>
      </c>
      <c r="IS13" s="12">
        <f>IS12+IQ13-IR13</f>
        <v/>
      </c>
      <c r="IT13" s="12">
        <f>IF(ProviderDelay&gt;=1,IP12*ProviderShare,IP13*ProviderShare)</f>
        <v/>
      </c>
      <c r="IU13" s="12">
        <f>IM13*PaymentFee</f>
        <v/>
      </c>
      <c r="IV13" s="12">
        <f>IG13*OpsAI</f>
        <v/>
      </c>
      <c r="IW13" s="12">
        <f>MonthlyFixed</f>
        <v/>
      </c>
      <c r="IX13" s="12">
        <f>HU13*ReferralReward</f>
        <v/>
      </c>
      <c r="IY13" s="12">
        <f>HS13</f>
        <v/>
      </c>
      <c r="IZ13" s="9">
        <f>IP13-IT13-IU13-IV13-IW13-IX13-IY13</f>
        <v/>
      </c>
      <c r="JA13" s="9">
        <f>JA12+IM13-(IT13+IU13+IV13+IW13+IX13+IY13+IR13)</f>
        <v/>
      </c>
      <c r="JB13" s="12">
        <f>IF(IG13&gt;0,IH13/IG13,0)</f>
        <v/>
      </c>
      <c r="JC13" s="11">
        <f>IF(IG12&gt;0,MAX(0,(IG12+HV13-IG13)/IG12),0)</f>
        <v/>
      </c>
      <c r="JE13" s="12" t="n">
        <v>9</v>
      </c>
      <c r="JF13" s="12">
        <f>MOD(JE13-1+LaunchMonth-1,12)+1</f>
        <v/>
      </c>
      <c r="JG13" s="12">
        <f>INT((JE13-1+LaunchMonth-1)/12)+1</f>
        <v/>
      </c>
      <c r="JH13" s="12">
        <f>VLOOKUP(JF13,SeasonTable,2,FALSE)</f>
        <v/>
      </c>
      <c r="JI13" s="12">
        <f>(1+InflationRate)^INT((JE13-1)/12)</f>
        <v/>
      </c>
      <c r="JJ13" s="11">
        <f>'Sens - Churn'!$A$16*VLOOKUP(JF13,ChurnSeasonTable,4,FALSE)</f>
        <v/>
      </c>
      <c r="JK13" s="12">
        <f>MIN(MAX(MktMin7_12,KE12*MktPct7_12),MAX(0,KS12-CashBuffer))</f>
        <v/>
      </c>
      <c r="JL13" s="12">
        <f>IF(JK13&gt;0,MAX(1,ROUND(JK13/CAC*JH13,0)),0)</f>
        <v/>
      </c>
      <c r="JM13" s="12">
        <f>IF(JL13&gt;0,ROUND(JL13*ReferralMix/(1-ReferralMix),0),0)</f>
        <v/>
      </c>
      <c r="JN13" s="12">
        <f>JL13+JM13</f>
        <v/>
      </c>
      <c r="JO13" s="12">
        <f>ROUND(JN13*(1-AnnualMix),0)</f>
        <v/>
      </c>
      <c r="JP13" s="12">
        <f>JN13-JO13</f>
        <v/>
      </c>
      <c r="JQ13" s="12">
        <f>ROUND(JO13*EssentialMix,0)</f>
        <v/>
      </c>
      <c r="JR13" s="12">
        <f>JO13-JQ13</f>
        <v/>
      </c>
      <c r="JS13" s="12">
        <f>ROUND(JP13*EssentialMix,0)</f>
        <v/>
      </c>
      <c r="JT13" s="12">
        <f>JP13-JS13</f>
        <v/>
      </c>
      <c r="JU13" s="12">
        <f>JQ13+JQ12+JQ11+MAX(0,JU12-JQ12-JQ11)*(1-JJ13)</f>
        <v/>
      </c>
      <c r="JV13" s="12">
        <f>JR13+JR12+JR11+MAX(0,JV12-JR12-JR11)*(1-JJ13)</f>
        <v/>
      </c>
      <c r="JW13" s="12">
        <f>SUM(JS$5:JS13)</f>
        <v/>
      </c>
      <c r="JX13" s="12">
        <f>SUM(JT$5:JT13)</f>
        <v/>
      </c>
      <c r="JY13" s="12">
        <f>JU13+JV13+JW13+JX13</f>
        <v/>
      </c>
      <c r="JZ13" s="9">
        <f>JU13*PriceEssMonthly*JI13+JV13*PricePremMonthly*JI13+JW13*PriceEssAnnual*JI13/12+JX13*PricePremAnnual*JI13/12</f>
        <v/>
      </c>
      <c r="KA13" s="9">
        <f>JZ13*12</f>
        <v/>
      </c>
      <c r="KB13" s="12">
        <f>JU13*PriceEssMonthly*JI13+JV13*PricePremMonthly*JI13</f>
        <v/>
      </c>
      <c r="KC13" s="12">
        <f>JS13*PriceEssAnnual*JI13+JT13*PricePremAnnual*JI13</f>
        <v/>
      </c>
      <c r="KD13" s="12">
        <f>0+0</f>
        <v/>
      </c>
      <c r="KE13" s="9">
        <f>KB13+KC13+KD13</f>
        <v/>
      </c>
      <c r="KF13" s="12">
        <f>SUM(KE$5:KE13)</f>
        <v/>
      </c>
      <c r="KG13" s="12">
        <f>OR(KG12,KF13&gt;=VATThreshold)</f>
        <v/>
      </c>
      <c r="KH13" s="9">
        <f>IF(KG13,KE13/(1+VATRate),KE13)</f>
        <v/>
      </c>
      <c r="KI13" s="12">
        <f>KE13-KH13</f>
        <v/>
      </c>
      <c r="KJ13" s="12">
        <f>IF(KG13=0,0,IF(JF13=1,SUMPRODUCT(--(($JG$5:$JG13=$JG13-1)*($JF$5:$JF13&gt;=10)*($JF$5:$JF13&lt;=12)),$KI$5:$KI13),IF(JF13=4,SUMPRODUCT(--(($JG$5:$JG13=$JG13)*($JF$5:$JF13&gt;=1)*($JF$5:$JF13&lt;=3)),$KI$5:$KI13),IF(JF13=7,SUMPRODUCT(--(($JG$5:$JG13=$JG13)*($JF$5:$JF13&gt;=4)*($JF$5:$JF13&lt;=6)),$KI$5:$KI13),IF(JF13=10,SUMPRODUCT(--(($JG$5:$JG13=$JG13)*($JF$5:$JF13&gt;=7)*($JF$5:$JF13&lt;=9)),$KI$5:$KI13),0)))))</f>
        <v/>
      </c>
      <c r="KK13" s="12">
        <f>KK12+KI13-KJ13</f>
        <v/>
      </c>
      <c r="KL13" s="12">
        <f>IF(ProviderDelay&gt;=1,KH12*ProviderShare,KH13*ProviderShare)</f>
        <v/>
      </c>
      <c r="KM13" s="12">
        <f>KE13*PaymentFee</f>
        <v/>
      </c>
      <c r="KN13" s="12">
        <f>JY13*OpsAI</f>
        <v/>
      </c>
      <c r="KO13" s="12">
        <f>MonthlyFixed</f>
        <v/>
      </c>
      <c r="KP13" s="12">
        <f>JM13*ReferralReward</f>
        <v/>
      </c>
      <c r="KQ13" s="12">
        <f>JK13</f>
        <v/>
      </c>
      <c r="KR13" s="9">
        <f>KH13-KL13-KM13-KN13-KO13-KP13-KQ13</f>
        <v/>
      </c>
      <c r="KS13" s="9">
        <f>KS12+KE13-(KL13+KM13+KN13+KO13+KP13+KQ13+KJ13)</f>
        <v/>
      </c>
      <c r="KT13" s="12">
        <f>IF(JY13&gt;0,JZ13/JY13,0)</f>
        <v/>
      </c>
      <c r="KU13" s="11">
        <f>IF(JY12&gt;0,MAX(0,(JY12+JN13-JY13)/JY12),0)</f>
        <v/>
      </c>
      <c r="KW13" s="12" t="n">
        <v>9</v>
      </c>
      <c r="KX13" s="12">
        <f>MOD(KW13-1+LaunchMonth-1,12)+1</f>
        <v/>
      </c>
      <c r="KY13" s="12">
        <f>INT((KW13-1+LaunchMonth-1)/12)+1</f>
        <v/>
      </c>
      <c r="KZ13" s="12">
        <f>VLOOKUP(KX13,SeasonTable,2,FALSE)</f>
        <v/>
      </c>
      <c r="LA13" s="12">
        <f>(1+InflationRate)^INT((KW13-1)/12)</f>
        <v/>
      </c>
      <c r="LB13" s="11">
        <f>'Sens - Churn'!$A$17*VLOOKUP(KX13,ChurnSeasonTable,4,FALSE)</f>
        <v/>
      </c>
      <c r="LC13" s="12">
        <f>MIN(MAX(MktMin7_12,LW12*MktPct7_12),MAX(0,MK12-CashBuffer))</f>
        <v/>
      </c>
      <c r="LD13" s="12">
        <f>IF(LC13&gt;0,MAX(1,ROUND(LC13/CAC*KZ13,0)),0)</f>
        <v/>
      </c>
      <c r="LE13" s="12">
        <f>IF(LD13&gt;0,ROUND(LD13*ReferralMix/(1-ReferralMix),0),0)</f>
        <v/>
      </c>
      <c r="LF13" s="12">
        <f>LD13+LE13</f>
        <v/>
      </c>
      <c r="LG13" s="12">
        <f>ROUND(LF13*(1-AnnualMix),0)</f>
        <v/>
      </c>
      <c r="LH13" s="12">
        <f>LF13-LG13</f>
        <v/>
      </c>
      <c r="LI13" s="12">
        <f>ROUND(LG13*EssentialMix,0)</f>
        <v/>
      </c>
      <c r="LJ13" s="12">
        <f>LG13-LI13</f>
        <v/>
      </c>
      <c r="LK13" s="12">
        <f>ROUND(LH13*EssentialMix,0)</f>
        <v/>
      </c>
      <c r="LL13" s="12">
        <f>LH13-LK13</f>
        <v/>
      </c>
      <c r="LM13" s="12">
        <f>LI13+LI12+LI11+MAX(0,LM12-LI12-LI11)*(1-LB13)</f>
        <v/>
      </c>
      <c r="LN13" s="12">
        <f>LJ13+LJ12+LJ11+MAX(0,LN12-LJ12-LJ11)*(1-LB13)</f>
        <v/>
      </c>
      <c r="LO13" s="12">
        <f>SUM(LK$5:LK13)</f>
        <v/>
      </c>
      <c r="LP13" s="12">
        <f>SUM(LL$5:LL13)</f>
        <v/>
      </c>
      <c r="LQ13" s="12">
        <f>LM13+LN13+LO13+LP13</f>
        <v/>
      </c>
      <c r="LR13" s="9">
        <f>LM13*PriceEssMonthly*LA13+LN13*PricePremMonthly*LA13+LO13*PriceEssAnnual*LA13/12+LP13*PricePremAnnual*LA13/12</f>
        <v/>
      </c>
      <c r="LS13" s="9">
        <f>LR13*12</f>
        <v/>
      </c>
      <c r="LT13" s="12">
        <f>LM13*PriceEssMonthly*LA13+LN13*PricePremMonthly*LA13</f>
        <v/>
      </c>
      <c r="LU13" s="12">
        <f>LK13*PriceEssAnnual*LA13+LL13*PricePremAnnual*LA13</f>
        <v/>
      </c>
      <c r="LV13" s="12">
        <f>0+0</f>
        <v/>
      </c>
      <c r="LW13" s="9">
        <f>LT13+LU13+LV13</f>
        <v/>
      </c>
      <c r="LX13" s="12">
        <f>SUM(LW$5:LW13)</f>
        <v/>
      </c>
      <c r="LY13" s="12">
        <f>OR(LY12,LX13&gt;=VATThreshold)</f>
        <v/>
      </c>
      <c r="LZ13" s="9">
        <f>IF(LY13,LW13/(1+VATRate),LW13)</f>
        <v/>
      </c>
      <c r="MA13" s="12">
        <f>LW13-LZ13</f>
        <v/>
      </c>
      <c r="MB13" s="12">
        <f>IF(LY13=0,0,IF(KX13=1,SUMPRODUCT(--(($KY$5:$KY13=$KY13-1)*($KX$5:$KX13&gt;=10)*($KX$5:$KX13&lt;=12)),$MA$5:$MA13),IF(KX13=4,SUMPRODUCT(--(($KY$5:$KY13=$KY13)*($KX$5:$KX13&gt;=1)*($KX$5:$KX13&lt;=3)),$MA$5:$MA13),IF(KX13=7,SUMPRODUCT(--(($KY$5:$KY13=$KY13)*($KX$5:$KX13&gt;=4)*($KX$5:$KX13&lt;=6)),$MA$5:$MA13),IF(KX13=10,SUMPRODUCT(--(($KY$5:$KY13=$KY13)*($KX$5:$KX13&gt;=7)*($KX$5:$KX13&lt;=9)),$MA$5:$MA13),0)))))</f>
        <v/>
      </c>
      <c r="MC13" s="12">
        <f>MC12+MA13-MB13</f>
        <v/>
      </c>
      <c r="MD13" s="12">
        <f>IF(ProviderDelay&gt;=1,LZ12*ProviderShare,LZ13*ProviderShare)</f>
        <v/>
      </c>
      <c r="ME13" s="12">
        <f>LW13*PaymentFee</f>
        <v/>
      </c>
      <c r="MF13" s="12">
        <f>LQ13*OpsAI</f>
        <v/>
      </c>
      <c r="MG13" s="12">
        <f>MonthlyFixed</f>
        <v/>
      </c>
      <c r="MH13" s="12">
        <f>LE13*ReferralReward</f>
        <v/>
      </c>
      <c r="MI13" s="12">
        <f>LC13</f>
        <v/>
      </c>
      <c r="MJ13" s="9">
        <f>LZ13-MD13-ME13-MF13-MG13-MH13-MI13</f>
        <v/>
      </c>
      <c r="MK13" s="9">
        <f>MK12+LW13-(MD13+ME13+MF13+MG13+MH13+MI13+MB13)</f>
        <v/>
      </c>
      <c r="ML13" s="12">
        <f>IF(LQ13&gt;0,LR13/LQ13,0)</f>
        <v/>
      </c>
      <c r="MM13" s="11">
        <f>IF(LQ12&gt;0,MAX(0,(LQ12+LF13-LQ13)/LQ12),0)</f>
        <v/>
      </c>
      <c r="MO13" s="12" t="n">
        <v>9</v>
      </c>
      <c r="MP13" s="12">
        <f>MOD(MO13-1+LaunchMonth-1,12)+1</f>
        <v/>
      </c>
      <c r="MQ13" s="12">
        <f>INT((MO13-1+LaunchMonth-1)/12)+1</f>
        <v/>
      </c>
      <c r="MR13" s="12">
        <f>VLOOKUP(MP13,SeasonTable,2,FALSE)</f>
        <v/>
      </c>
      <c r="MS13" s="12">
        <f>(1+InflationRate)^INT((MO13-1)/12)</f>
        <v/>
      </c>
      <c r="MT13" s="11">
        <f>'Sens - Churn'!$A$18*VLOOKUP(MP13,ChurnSeasonTable,4,FALSE)</f>
        <v/>
      </c>
      <c r="MU13" s="12">
        <f>MIN(MAX(MktMin7_12,NO12*MktPct7_12),MAX(0,OC12-CashBuffer))</f>
        <v/>
      </c>
      <c r="MV13" s="12">
        <f>IF(MU13&gt;0,MAX(1,ROUND(MU13/CAC*MR13,0)),0)</f>
        <v/>
      </c>
      <c r="MW13" s="12">
        <f>IF(MV13&gt;0,ROUND(MV13*ReferralMix/(1-ReferralMix),0),0)</f>
        <v/>
      </c>
      <c r="MX13" s="12">
        <f>MV13+MW13</f>
        <v/>
      </c>
      <c r="MY13" s="12">
        <f>ROUND(MX13*(1-AnnualMix),0)</f>
        <v/>
      </c>
      <c r="MZ13" s="12">
        <f>MX13-MY13</f>
        <v/>
      </c>
      <c r="NA13" s="12">
        <f>ROUND(MY13*EssentialMix,0)</f>
        <v/>
      </c>
      <c r="NB13" s="12">
        <f>MY13-NA13</f>
        <v/>
      </c>
      <c r="NC13" s="12">
        <f>ROUND(MZ13*EssentialMix,0)</f>
        <v/>
      </c>
      <c r="ND13" s="12">
        <f>MZ13-NC13</f>
        <v/>
      </c>
      <c r="NE13" s="12">
        <f>NA13+NA12+NA11+MAX(0,NE12-NA12-NA11)*(1-MT13)</f>
        <v/>
      </c>
      <c r="NF13" s="12">
        <f>NB13+NB12+NB11+MAX(0,NF12-NB12-NB11)*(1-MT13)</f>
        <v/>
      </c>
      <c r="NG13" s="12">
        <f>SUM(NC$5:NC13)</f>
        <v/>
      </c>
      <c r="NH13" s="12">
        <f>SUM(ND$5:ND13)</f>
        <v/>
      </c>
      <c r="NI13" s="12">
        <f>NE13+NF13+NG13+NH13</f>
        <v/>
      </c>
      <c r="NJ13" s="9">
        <f>NE13*PriceEssMonthly*MS13+NF13*PricePremMonthly*MS13+NG13*PriceEssAnnual*MS13/12+NH13*PricePremAnnual*MS13/12</f>
        <v/>
      </c>
      <c r="NK13" s="9">
        <f>NJ13*12</f>
        <v/>
      </c>
      <c r="NL13" s="12">
        <f>NE13*PriceEssMonthly*MS13+NF13*PricePremMonthly*MS13</f>
        <v/>
      </c>
      <c r="NM13" s="12">
        <f>NC13*PriceEssAnnual*MS13+ND13*PricePremAnnual*MS13</f>
        <v/>
      </c>
      <c r="NN13" s="12">
        <f>0+0</f>
        <v/>
      </c>
      <c r="NO13" s="9">
        <f>NL13+NM13+NN13</f>
        <v/>
      </c>
      <c r="NP13" s="12">
        <f>SUM(NO$5:NO13)</f>
        <v/>
      </c>
      <c r="NQ13" s="12">
        <f>OR(NQ12,NP13&gt;=VATThreshold)</f>
        <v/>
      </c>
      <c r="NR13" s="9">
        <f>IF(NQ13,NO13/(1+VATRate),NO13)</f>
        <v/>
      </c>
      <c r="NS13" s="12">
        <f>NO13-NR13</f>
        <v/>
      </c>
      <c r="NT13" s="12">
        <f>IF(NQ13=0,0,IF(MP13=1,SUMPRODUCT(--(($MQ$5:$MQ13=$MQ13-1)*($MP$5:$MP13&gt;=10)*($MP$5:$MP13&lt;=12)),$NS$5:$NS13),IF(MP13=4,SUMPRODUCT(--(($MQ$5:$MQ13=$MQ13)*($MP$5:$MP13&gt;=1)*($MP$5:$MP13&lt;=3)),$NS$5:$NS13),IF(MP13=7,SUMPRODUCT(--(($MQ$5:$MQ13=$MQ13)*($MP$5:$MP13&gt;=4)*($MP$5:$MP13&lt;=6)),$NS$5:$NS13),IF(MP13=10,SUMPRODUCT(--(($MQ$5:$MQ13=$MQ13)*($MP$5:$MP13&gt;=7)*($MP$5:$MP13&lt;=9)),$NS$5:$NS13),0)))))</f>
        <v/>
      </c>
      <c r="NU13" s="12">
        <f>NU12+NS13-NT13</f>
        <v/>
      </c>
      <c r="NV13" s="12">
        <f>IF(ProviderDelay&gt;=1,NR12*ProviderShare,NR13*ProviderShare)</f>
        <v/>
      </c>
      <c r="NW13" s="12">
        <f>NO13*PaymentFee</f>
        <v/>
      </c>
      <c r="NX13" s="12">
        <f>NI13*OpsAI</f>
        <v/>
      </c>
      <c r="NY13" s="12">
        <f>MonthlyFixed</f>
        <v/>
      </c>
      <c r="NZ13" s="12">
        <f>MW13*ReferralReward</f>
        <v/>
      </c>
      <c r="OA13" s="12">
        <f>MU13</f>
        <v/>
      </c>
      <c r="OB13" s="9">
        <f>NR13-NV13-NW13-NX13-NY13-NZ13-OA13</f>
        <v/>
      </c>
      <c r="OC13" s="9">
        <f>OC12+NO13-(NV13+NW13+NX13+NY13+NZ13+OA13+NT13)</f>
        <v/>
      </c>
      <c r="OD13" s="12">
        <f>IF(NI13&gt;0,NJ13/NI13,0)</f>
        <v/>
      </c>
      <c r="OE13" s="11">
        <f>IF(NI12&gt;0,MAX(0,(NI12+MX13-NI13)/NI12),0)</f>
        <v/>
      </c>
      <c r="OG13" s="12" t="n">
        <v>9</v>
      </c>
      <c r="OH13" s="12">
        <f>MOD(OG13-1+LaunchMonth-1,12)+1</f>
        <v/>
      </c>
      <c r="OI13" s="12">
        <f>INT((OG13-1+LaunchMonth-1)/12)+1</f>
        <v/>
      </c>
      <c r="OJ13" s="12">
        <f>VLOOKUP(OH13,SeasonTable,2,FALSE)</f>
        <v/>
      </c>
      <c r="OK13" s="12">
        <f>(1+InflationRate)^INT((OG13-1)/12)</f>
        <v/>
      </c>
      <c r="OL13" s="11">
        <f>'Sens - Churn'!$A$19*VLOOKUP(OH13,ChurnSeasonTable,4,FALSE)</f>
        <v/>
      </c>
      <c r="OM13" s="12">
        <f>MIN(MAX(MktMin7_12,PG12*MktPct7_12),MAX(0,PU12-CashBuffer))</f>
        <v/>
      </c>
      <c r="ON13" s="12">
        <f>IF(OM13&gt;0,MAX(1,ROUND(OM13/CAC*OJ13,0)),0)</f>
        <v/>
      </c>
      <c r="OO13" s="12">
        <f>IF(ON13&gt;0,ROUND(ON13*ReferralMix/(1-ReferralMix),0),0)</f>
        <v/>
      </c>
      <c r="OP13" s="12">
        <f>ON13+OO13</f>
        <v/>
      </c>
      <c r="OQ13" s="12">
        <f>ROUND(OP13*(1-AnnualMix),0)</f>
        <v/>
      </c>
      <c r="OR13" s="12">
        <f>OP13-OQ13</f>
        <v/>
      </c>
      <c r="OS13" s="12">
        <f>ROUND(OQ13*EssentialMix,0)</f>
        <v/>
      </c>
      <c r="OT13" s="12">
        <f>OQ13-OS13</f>
        <v/>
      </c>
      <c r="OU13" s="12">
        <f>ROUND(OR13*EssentialMix,0)</f>
        <v/>
      </c>
      <c r="OV13" s="12">
        <f>OR13-OU13</f>
        <v/>
      </c>
      <c r="OW13" s="12">
        <f>OS13+OS12+OS11+MAX(0,OW12-OS12-OS11)*(1-OL13)</f>
        <v/>
      </c>
      <c r="OX13" s="12">
        <f>OT13+OT12+OT11+MAX(0,OX12-OT12-OT11)*(1-OL13)</f>
        <v/>
      </c>
      <c r="OY13" s="12">
        <f>SUM(OU$5:OU13)</f>
        <v/>
      </c>
      <c r="OZ13" s="12">
        <f>SUM(OV$5:OV13)</f>
        <v/>
      </c>
      <c r="PA13" s="12">
        <f>OW13+OX13+OY13+OZ13</f>
        <v/>
      </c>
      <c r="PB13" s="9">
        <f>OW13*PriceEssMonthly*OK13+OX13*PricePremMonthly*OK13+OY13*PriceEssAnnual*OK13/12+OZ13*PricePremAnnual*OK13/12</f>
        <v/>
      </c>
      <c r="PC13" s="9">
        <f>PB13*12</f>
        <v/>
      </c>
      <c r="PD13" s="12">
        <f>OW13*PriceEssMonthly*OK13+OX13*PricePremMonthly*OK13</f>
        <v/>
      </c>
      <c r="PE13" s="12">
        <f>OU13*PriceEssAnnual*OK13+OV13*PricePremAnnual*OK13</f>
        <v/>
      </c>
      <c r="PF13" s="12">
        <f>0+0</f>
        <v/>
      </c>
      <c r="PG13" s="9">
        <f>PD13+PE13+PF13</f>
        <v/>
      </c>
      <c r="PH13" s="12">
        <f>SUM(PG$5:PG13)</f>
        <v/>
      </c>
      <c r="PI13" s="12">
        <f>OR(PI12,PH13&gt;=VATThreshold)</f>
        <v/>
      </c>
      <c r="PJ13" s="9">
        <f>IF(PI13,PG13/(1+VATRate),PG13)</f>
        <v/>
      </c>
      <c r="PK13" s="12">
        <f>PG13-PJ13</f>
        <v/>
      </c>
      <c r="PL13" s="12">
        <f>IF(PI13=0,0,IF(OH13=1,SUMPRODUCT(--(($OI$5:$OI13=$OI13-1)*($OH$5:$OH13&gt;=10)*($OH$5:$OH13&lt;=12)),$PK$5:$PK13),IF(OH13=4,SUMPRODUCT(--(($OI$5:$OI13=$OI13)*($OH$5:$OH13&gt;=1)*($OH$5:$OH13&lt;=3)),$PK$5:$PK13),IF(OH13=7,SUMPRODUCT(--(($OI$5:$OI13=$OI13)*($OH$5:$OH13&gt;=4)*($OH$5:$OH13&lt;=6)),$PK$5:$PK13),IF(OH13=10,SUMPRODUCT(--(($OI$5:$OI13=$OI13)*($OH$5:$OH13&gt;=7)*($OH$5:$OH13&lt;=9)),$PK$5:$PK13),0)))))</f>
        <v/>
      </c>
      <c r="PM13" s="12">
        <f>PM12+PK13-PL13</f>
        <v/>
      </c>
      <c r="PN13" s="12">
        <f>IF(ProviderDelay&gt;=1,PJ12*ProviderShare,PJ13*ProviderShare)</f>
        <v/>
      </c>
      <c r="PO13" s="12">
        <f>PG13*PaymentFee</f>
        <v/>
      </c>
      <c r="PP13" s="12">
        <f>PA13*OpsAI</f>
        <v/>
      </c>
      <c r="PQ13" s="12">
        <f>MonthlyFixed</f>
        <v/>
      </c>
      <c r="PR13" s="12">
        <f>OO13*ReferralReward</f>
        <v/>
      </c>
      <c r="PS13" s="12">
        <f>OM13</f>
        <v/>
      </c>
      <c r="PT13" s="9">
        <f>PJ13-PN13-PO13-PP13-PQ13-PR13-PS13</f>
        <v/>
      </c>
      <c r="PU13" s="9">
        <f>PU12+PG13-(PN13+PO13+PP13+PQ13+PR13+PS13+PL13)</f>
        <v/>
      </c>
      <c r="PV13" s="12">
        <f>IF(PA13&gt;0,PB13/PA13,0)</f>
        <v/>
      </c>
      <c r="PW13" s="11">
        <f>IF(PA12&gt;0,MAX(0,(PA12+OP13-PA13)/PA12),0)</f>
        <v/>
      </c>
      <c r="PY13" s="12" t="n">
        <v>9</v>
      </c>
      <c r="PZ13" s="12">
        <f>MOD(PY13-1+LaunchMonth-1,12)+1</f>
        <v/>
      </c>
      <c r="QA13" s="12">
        <f>INT((PY13-1+LaunchMonth-1)/12)+1</f>
        <v/>
      </c>
      <c r="QB13" s="12">
        <f>VLOOKUP(PZ13,SeasonTable,2,FALSE)</f>
        <v/>
      </c>
      <c r="QC13" s="12">
        <f>(1+InflationRate)^INT((PY13-1)/12)</f>
        <v/>
      </c>
      <c r="QD13" s="11">
        <f>'Sens - Churn'!$A$20*VLOOKUP(PZ13,ChurnSeasonTable,4,FALSE)</f>
        <v/>
      </c>
      <c r="QE13" s="12">
        <f>MIN(MAX(MktMin7_12,QY12*MktPct7_12),MAX(0,RM12-CashBuffer))</f>
        <v/>
      </c>
      <c r="QF13" s="12">
        <f>IF(QE13&gt;0,MAX(1,ROUND(QE13/CAC*QB13,0)),0)</f>
        <v/>
      </c>
      <c r="QG13" s="12">
        <f>IF(QF13&gt;0,ROUND(QF13*ReferralMix/(1-ReferralMix),0),0)</f>
        <v/>
      </c>
      <c r="QH13" s="12">
        <f>QF13+QG13</f>
        <v/>
      </c>
      <c r="QI13" s="12">
        <f>ROUND(QH13*(1-AnnualMix),0)</f>
        <v/>
      </c>
      <c r="QJ13" s="12">
        <f>QH13-QI13</f>
        <v/>
      </c>
      <c r="QK13" s="12">
        <f>ROUND(QI13*EssentialMix,0)</f>
        <v/>
      </c>
      <c r="QL13" s="12">
        <f>QI13-QK13</f>
        <v/>
      </c>
      <c r="QM13" s="12">
        <f>ROUND(QJ13*EssentialMix,0)</f>
        <v/>
      </c>
      <c r="QN13" s="12">
        <f>QJ13-QM13</f>
        <v/>
      </c>
      <c r="QO13" s="12">
        <f>QK13+QK12+QK11+MAX(0,QO12-QK12-QK11)*(1-QD13)</f>
        <v/>
      </c>
      <c r="QP13" s="12">
        <f>QL13+QL12+QL11+MAX(0,QP12-QL12-QL11)*(1-QD13)</f>
        <v/>
      </c>
      <c r="QQ13" s="12">
        <f>SUM(QM$5:QM13)</f>
        <v/>
      </c>
      <c r="QR13" s="12">
        <f>SUM(QN$5:QN13)</f>
        <v/>
      </c>
      <c r="QS13" s="12">
        <f>QO13+QP13+QQ13+QR13</f>
        <v/>
      </c>
      <c r="QT13" s="9">
        <f>QO13*PriceEssMonthly*QC13+QP13*PricePremMonthly*QC13+QQ13*PriceEssAnnual*QC13/12+QR13*PricePremAnnual*QC13/12</f>
        <v/>
      </c>
      <c r="QU13" s="9">
        <f>QT13*12</f>
        <v/>
      </c>
      <c r="QV13" s="12">
        <f>QO13*PriceEssMonthly*QC13+QP13*PricePremMonthly*QC13</f>
        <v/>
      </c>
      <c r="QW13" s="12">
        <f>QM13*PriceEssAnnual*QC13+QN13*PricePremAnnual*QC13</f>
        <v/>
      </c>
      <c r="QX13" s="12">
        <f>0+0</f>
        <v/>
      </c>
      <c r="QY13" s="9">
        <f>QV13+QW13+QX13</f>
        <v/>
      </c>
      <c r="QZ13" s="12">
        <f>SUM(QY$5:QY13)</f>
        <v/>
      </c>
      <c r="RA13" s="12">
        <f>OR(RA12,QZ13&gt;=VATThreshold)</f>
        <v/>
      </c>
      <c r="RB13" s="9">
        <f>IF(RA13,QY13/(1+VATRate),QY13)</f>
        <v/>
      </c>
      <c r="RC13" s="12">
        <f>QY13-RB13</f>
        <v/>
      </c>
      <c r="RD13" s="12">
        <f>IF(RA13=0,0,IF(PZ13=1,SUMPRODUCT(--(($QA$5:$QA13=$QA13-1)*($PZ$5:$PZ13&gt;=10)*($PZ$5:$PZ13&lt;=12)),$RC$5:$RC13),IF(PZ13=4,SUMPRODUCT(--(($QA$5:$QA13=$QA13)*($PZ$5:$PZ13&gt;=1)*($PZ$5:$PZ13&lt;=3)),$RC$5:$RC13),IF(PZ13=7,SUMPRODUCT(--(($QA$5:$QA13=$QA13)*($PZ$5:$PZ13&gt;=4)*($PZ$5:$PZ13&lt;=6)),$RC$5:$RC13),IF(PZ13=10,SUMPRODUCT(--(($QA$5:$QA13=$QA13)*($PZ$5:$PZ13&gt;=7)*($PZ$5:$PZ13&lt;=9)),$RC$5:$RC13),0)))))</f>
        <v/>
      </c>
      <c r="RE13" s="12">
        <f>RE12+RC13-RD13</f>
        <v/>
      </c>
      <c r="RF13" s="12">
        <f>IF(ProviderDelay&gt;=1,RB12*ProviderShare,RB13*ProviderShare)</f>
        <v/>
      </c>
      <c r="RG13" s="12">
        <f>QY13*PaymentFee</f>
        <v/>
      </c>
      <c r="RH13" s="12">
        <f>QS13*OpsAI</f>
        <v/>
      </c>
      <c r="RI13" s="12">
        <f>MonthlyFixed</f>
        <v/>
      </c>
      <c r="RJ13" s="12">
        <f>QG13*ReferralReward</f>
        <v/>
      </c>
      <c r="RK13" s="12">
        <f>QE13</f>
        <v/>
      </c>
      <c r="RL13" s="9">
        <f>RB13-RF13-RG13-RH13-RI13-RJ13-RK13</f>
        <v/>
      </c>
      <c r="RM13" s="9">
        <f>RM12+QY13-(RF13+RG13+RH13+RI13+RJ13+RK13+RD13)</f>
        <v/>
      </c>
      <c r="RN13" s="12">
        <f>IF(QS13&gt;0,QT13/QS13,0)</f>
        <v/>
      </c>
      <c r="RO13" s="11">
        <f>IF(QS12&gt;0,MAX(0,(QS12+QH13-QS13)/QS12),0)</f>
        <v/>
      </c>
      <c r="RQ13" s="12" t="n">
        <v>9</v>
      </c>
      <c r="RR13" s="12">
        <f>MOD(RQ13-1+LaunchMonth-1,12)+1</f>
        <v/>
      </c>
      <c r="RS13" s="12">
        <f>INT((RQ13-1+LaunchMonth-1)/12)+1</f>
        <v/>
      </c>
      <c r="RT13" s="12">
        <f>VLOOKUP(RR13,SeasonTable,2,FALSE)</f>
        <v/>
      </c>
      <c r="RU13" s="12">
        <f>(1+InflationRate)^INT((RQ13-1)/12)</f>
        <v/>
      </c>
      <c r="RV13" s="11">
        <f>'Sens - Churn'!$A$21*VLOOKUP(RR13,ChurnSeasonTable,4,FALSE)</f>
        <v/>
      </c>
      <c r="RW13" s="12">
        <f>MIN(MAX(MktMin7_12,SQ12*MktPct7_12),MAX(0,TE12-CashBuffer))</f>
        <v/>
      </c>
      <c r="RX13" s="12">
        <f>IF(RW13&gt;0,MAX(1,ROUND(RW13/CAC*RT13,0)),0)</f>
        <v/>
      </c>
      <c r="RY13" s="12">
        <f>IF(RX13&gt;0,ROUND(RX13*ReferralMix/(1-ReferralMix),0),0)</f>
        <v/>
      </c>
      <c r="RZ13" s="12">
        <f>RX13+RY13</f>
        <v/>
      </c>
      <c r="SA13" s="12">
        <f>ROUND(RZ13*(1-AnnualMix),0)</f>
        <v/>
      </c>
      <c r="SB13" s="12">
        <f>RZ13-SA13</f>
        <v/>
      </c>
      <c r="SC13" s="12">
        <f>ROUND(SA13*EssentialMix,0)</f>
        <v/>
      </c>
      <c r="SD13" s="12">
        <f>SA13-SC13</f>
        <v/>
      </c>
      <c r="SE13" s="12">
        <f>ROUND(SB13*EssentialMix,0)</f>
        <v/>
      </c>
      <c r="SF13" s="12">
        <f>SB13-SE13</f>
        <v/>
      </c>
      <c r="SG13" s="12">
        <f>SC13+SC12+SC11+MAX(0,SG12-SC12-SC11)*(1-RV13)</f>
        <v/>
      </c>
      <c r="SH13" s="12">
        <f>SD13+SD12+SD11+MAX(0,SH12-SD12-SD11)*(1-RV13)</f>
        <v/>
      </c>
      <c r="SI13" s="12">
        <f>SUM(SE$5:SE13)</f>
        <v/>
      </c>
      <c r="SJ13" s="12">
        <f>SUM(SF$5:SF13)</f>
        <v/>
      </c>
      <c r="SK13" s="12">
        <f>SG13+SH13+SI13+SJ13</f>
        <v/>
      </c>
      <c r="SL13" s="9">
        <f>SG13*PriceEssMonthly*RU13+SH13*PricePremMonthly*RU13+SI13*PriceEssAnnual*RU13/12+SJ13*PricePremAnnual*RU13/12</f>
        <v/>
      </c>
      <c r="SM13" s="9">
        <f>SL13*12</f>
        <v/>
      </c>
      <c r="SN13" s="12">
        <f>SG13*PriceEssMonthly*RU13+SH13*PricePremMonthly*RU13</f>
        <v/>
      </c>
      <c r="SO13" s="12">
        <f>SE13*PriceEssAnnual*RU13+SF13*PricePremAnnual*RU13</f>
        <v/>
      </c>
      <c r="SP13" s="12">
        <f>0+0</f>
        <v/>
      </c>
      <c r="SQ13" s="9">
        <f>SN13+SO13+SP13</f>
        <v/>
      </c>
      <c r="SR13" s="12">
        <f>SUM(SQ$5:SQ13)</f>
        <v/>
      </c>
      <c r="SS13" s="12">
        <f>OR(SS12,SR13&gt;=VATThreshold)</f>
        <v/>
      </c>
      <c r="ST13" s="9">
        <f>IF(SS13,SQ13/(1+VATRate),SQ13)</f>
        <v/>
      </c>
      <c r="SU13" s="12">
        <f>SQ13-ST13</f>
        <v/>
      </c>
      <c r="SV13" s="12">
        <f>IF(SS13=0,0,IF(RR13=1,SUMPRODUCT(--(($RS$5:$RS13=$RS13-1)*($RR$5:$RR13&gt;=10)*($RR$5:$RR13&lt;=12)),$SU$5:$SU13),IF(RR13=4,SUMPRODUCT(--(($RS$5:$RS13=$RS13)*($RR$5:$RR13&gt;=1)*($RR$5:$RR13&lt;=3)),$SU$5:$SU13),IF(RR13=7,SUMPRODUCT(--(($RS$5:$RS13=$RS13)*($RR$5:$RR13&gt;=4)*($RR$5:$RR13&lt;=6)),$SU$5:$SU13),IF(RR13=10,SUMPRODUCT(--(($RS$5:$RS13=$RS13)*($RR$5:$RR13&gt;=7)*($RR$5:$RR13&lt;=9)),$SU$5:$SU13),0)))))</f>
        <v/>
      </c>
      <c r="SW13" s="12">
        <f>SW12+SU13-SV13</f>
        <v/>
      </c>
      <c r="SX13" s="12">
        <f>IF(ProviderDelay&gt;=1,ST12*ProviderShare,ST13*ProviderShare)</f>
        <v/>
      </c>
      <c r="SY13" s="12">
        <f>SQ13*PaymentFee</f>
        <v/>
      </c>
      <c r="SZ13" s="12">
        <f>SK13*OpsAI</f>
        <v/>
      </c>
      <c r="TA13" s="12">
        <f>MonthlyFixed</f>
        <v/>
      </c>
      <c r="TB13" s="12">
        <f>RY13*ReferralReward</f>
        <v/>
      </c>
      <c r="TC13" s="12">
        <f>RW13</f>
        <v/>
      </c>
      <c r="TD13" s="9">
        <f>ST13-SX13-SY13-SZ13-TA13-TB13-TC13</f>
        <v/>
      </c>
      <c r="TE13" s="9">
        <f>TE12+SQ13-(SX13+SY13+SZ13+TA13+TB13+TC13+SV13)</f>
        <v/>
      </c>
      <c r="TF13" s="12">
        <f>IF(SK13&gt;0,SL13/SK13,0)</f>
        <v/>
      </c>
      <c r="TG13" s="11">
        <f>IF(SK12&gt;0,MAX(0,(SK12+RZ13-SK13)/SK12),0)</f>
        <v/>
      </c>
      <c r="TI13" s="12" t="n">
        <v>9</v>
      </c>
      <c r="TJ13" s="12">
        <f>MOD(TI13-1+LaunchMonth-1,12)+1</f>
        <v/>
      </c>
      <c r="TK13" s="12">
        <f>INT((TI13-1+LaunchMonth-1)/12)+1</f>
        <v/>
      </c>
      <c r="TL13" s="12">
        <f>VLOOKUP(TJ13,SeasonTable,2,FALSE)</f>
        <v/>
      </c>
      <c r="TM13" s="12">
        <f>(1+InflationRate)^INT((TI13-1)/12)</f>
        <v/>
      </c>
      <c r="TN13" s="11">
        <f>MonthlyChurn*VLOOKUP(TJ13,ChurnSeasonTable,4,FALSE)</f>
        <v/>
      </c>
      <c r="TO13" s="12">
        <f>MIN(MAX(MktMin7_12,UI12*MktPct7_12),MAX(0,UW12-CashBuffer))</f>
        <v/>
      </c>
      <c r="TP13" s="12">
        <f>IF(TO13&gt;0,MAX(1,ROUND(TO13/CAC*TL13,0)),0)</f>
        <v/>
      </c>
      <c r="TQ13" s="12">
        <f>IF(TP13&gt;0,ROUND(TP13*ReferralMix/(1-ReferralMix),0),0)</f>
        <v/>
      </c>
      <c r="TR13" s="12">
        <f>TP13+TQ13</f>
        <v/>
      </c>
      <c r="TS13" s="12">
        <f>ROUND(TR13*(1-'Sens - Annual Mix'!$A$9),0)</f>
        <v/>
      </c>
      <c r="TT13" s="12">
        <f>TR13-TS13</f>
        <v/>
      </c>
      <c r="TU13" s="12">
        <f>ROUND(TS13*EssentialMix,0)</f>
        <v/>
      </c>
      <c r="TV13" s="12">
        <f>TS13-TU13</f>
        <v/>
      </c>
      <c r="TW13" s="12">
        <f>ROUND(TT13*EssentialMix,0)</f>
        <v/>
      </c>
      <c r="TX13" s="12">
        <f>TT13-TW13</f>
        <v/>
      </c>
      <c r="TY13" s="12">
        <f>TU13+TU12+TU11+MAX(0,TY12-TU12-TU11)*(1-TN13)</f>
        <v/>
      </c>
      <c r="TZ13" s="12">
        <f>TV13+TV12+TV11+MAX(0,TZ12-TV12-TV11)*(1-TN13)</f>
        <v/>
      </c>
      <c r="UA13" s="12">
        <f>SUM(TW$5:TW13)</f>
        <v/>
      </c>
      <c r="UB13" s="12">
        <f>SUM(TX$5:TX13)</f>
        <v/>
      </c>
      <c r="UC13" s="12">
        <f>TY13+TZ13+UA13+UB13</f>
        <v/>
      </c>
      <c r="UD13" s="9">
        <f>TY13*PriceEssMonthly*TM13+TZ13*PricePremMonthly*TM13+UA13*PriceEssAnnual*TM13/12+UB13*PricePremAnnual*TM13/12</f>
        <v/>
      </c>
      <c r="UE13" s="9">
        <f>UD13*12</f>
        <v/>
      </c>
      <c r="UF13" s="12">
        <f>TY13*PriceEssMonthly*TM13+TZ13*PricePremMonthly*TM13</f>
        <v/>
      </c>
      <c r="UG13" s="12">
        <f>TW13*PriceEssAnnual*TM13+TX13*PricePremAnnual*TM13</f>
        <v/>
      </c>
      <c r="UH13" s="12">
        <f>0+0</f>
        <v/>
      </c>
      <c r="UI13" s="9">
        <f>UF13+UG13+UH13</f>
        <v/>
      </c>
      <c r="UJ13" s="12">
        <f>SUM(UI$5:UI13)</f>
        <v/>
      </c>
      <c r="UK13" s="12">
        <f>OR(UK12,UJ13&gt;=VATThreshold)</f>
        <v/>
      </c>
      <c r="UL13" s="9">
        <f>IF(UK13,UI13/(1+VATRate),UI13)</f>
        <v/>
      </c>
      <c r="UM13" s="12">
        <f>UI13-UL13</f>
        <v/>
      </c>
      <c r="UN13" s="12">
        <f>IF(UK13=0,0,IF(TJ13=1,SUMPRODUCT(--(($TK$5:$TK13=$TK13-1)*($TJ$5:$TJ13&gt;=10)*($TJ$5:$TJ13&lt;=12)),$UM$5:$UM13),IF(TJ13=4,SUMPRODUCT(--(($TK$5:$TK13=$TK13)*($TJ$5:$TJ13&gt;=1)*($TJ$5:$TJ13&lt;=3)),$UM$5:$UM13),IF(TJ13=7,SUMPRODUCT(--(($TK$5:$TK13=$TK13)*($TJ$5:$TJ13&gt;=4)*($TJ$5:$TJ13&lt;=6)),$UM$5:$UM13),IF(TJ13=10,SUMPRODUCT(--(($TK$5:$TK13=$TK13)*($TJ$5:$TJ13&gt;=7)*($TJ$5:$TJ13&lt;=9)),$UM$5:$UM13),0)))))</f>
        <v/>
      </c>
      <c r="UO13" s="12">
        <f>UO12+UM13-UN13</f>
        <v/>
      </c>
      <c r="UP13" s="12">
        <f>IF(ProviderDelay&gt;=1,UL12*ProviderShare,UL13*ProviderShare)</f>
        <v/>
      </c>
      <c r="UQ13" s="12">
        <f>UI13*PaymentFee</f>
        <v/>
      </c>
      <c r="UR13" s="12">
        <f>UC13*OpsAI</f>
        <v/>
      </c>
      <c r="US13" s="12">
        <f>MonthlyFixed</f>
        <v/>
      </c>
      <c r="UT13" s="12">
        <f>TQ13*ReferralReward</f>
        <v/>
      </c>
      <c r="UU13" s="12">
        <f>TO13</f>
        <v/>
      </c>
      <c r="UV13" s="9">
        <f>UL13-UP13-UQ13-UR13-US13-UT13-UU13</f>
        <v/>
      </c>
      <c r="UW13" s="9">
        <f>UW12+UI13-(UP13+UQ13+UR13+US13+UT13+UU13+UN13)</f>
        <v/>
      </c>
      <c r="UX13" s="12">
        <f>IF(UC13&gt;0,UD13/UC13,0)</f>
        <v/>
      </c>
      <c r="UY13" s="11">
        <f>IF(UC12&gt;0,MAX(0,(UC12+TR13-UC13)/UC12),0)</f>
        <v/>
      </c>
      <c r="VA13" s="12" t="n">
        <v>9</v>
      </c>
      <c r="VB13" s="12">
        <f>MOD(VA13-1+LaunchMonth-1,12)+1</f>
        <v/>
      </c>
      <c r="VC13" s="12">
        <f>INT((VA13-1+LaunchMonth-1)/12)+1</f>
        <v/>
      </c>
      <c r="VD13" s="12">
        <f>VLOOKUP(VB13,SeasonTable,2,FALSE)</f>
        <v/>
      </c>
      <c r="VE13" s="12">
        <f>(1+InflationRate)^INT((VA13-1)/12)</f>
        <v/>
      </c>
      <c r="VF13" s="11">
        <f>MonthlyChurn*VLOOKUP(VB13,ChurnSeasonTable,4,FALSE)</f>
        <v/>
      </c>
      <c r="VG13" s="12">
        <f>MIN(MAX(MktMin7_12,WA12*MktPct7_12),MAX(0,WO12-CashBuffer))</f>
        <v/>
      </c>
      <c r="VH13" s="12">
        <f>IF(VG13&gt;0,MAX(1,ROUND(VG13/CAC*VD13,0)),0)</f>
        <v/>
      </c>
      <c r="VI13" s="12">
        <f>IF(VH13&gt;0,ROUND(VH13*ReferralMix/(1-ReferralMix),0),0)</f>
        <v/>
      </c>
      <c r="VJ13" s="12">
        <f>VH13+VI13</f>
        <v/>
      </c>
      <c r="VK13" s="12">
        <f>ROUND(VJ13*(1-'Sens - Annual Mix'!$A$10),0)</f>
        <v/>
      </c>
      <c r="VL13" s="12">
        <f>VJ13-VK13</f>
        <v/>
      </c>
      <c r="VM13" s="12">
        <f>ROUND(VK13*EssentialMix,0)</f>
        <v/>
      </c>
      <c r="VN13" s="12">
        <f>VK13-VM13</f>
        <v/>
      </c>
      <c r="VO13" s="12">
        <f>ROUND(VL13*EssentialMix,0)</f>
        <v/>
      </c>
      <c r="VP13" s="12">
        <f>VL13-VO13</f>
        <v/>
      </c>
      <c r="VQ13" s="12">
        <f>VM13+VM12+VM11+MAX(0,VQ12-VM12-VM11)*(1-VF13)</f>
        <v/>
      </c>
      <c r="VR13" s="12">
        <f>VN13+VN12+VN11+MAX(0,VR12-VN12-VN11)*(1-VF13)</f>
        <v/>
      </c>
      <c r="VS13" s="12">
        <f>SUM(VO$5:VO13)</f>
        <v/>
      </c>
      <c r="VT13" s="12">
        <f>SUM(VP$5:VP13)</f>
        <v/>
      </c>
      <c r="VU13" s="12">
        <f>VQ13+VR13+VS13+VT13</f>
        <v/>
      </c>
      <c r="VV13" s="9">
        <f>VQ13*PriceEssMonthly*VE13+VR13*PricePremMonthly*VE13+VS13*PriceEssAnnual*VE13/12+VT13*PricePremAnnual*VE13/12</f>
        <v/>
      </c>
      <c r="VW13" s="9">
        <f>VV13*12</f>
        <v/>
      </c>
      <c r="VX13" s="12">
        <f>VQ13*PriceEssMonthly*VE13+VR13*PricePremMonthly*VE13</f>
        <v/>
      </c>
      <c r="VY13" s="12">
        <f>VO13*PriceEssAnnual*VE13+VP13*PricePremAnnual*VE13</f>
        <v/>
      </c>
      <c r="VZ13" s="12">
        <f>0+0</f>
        <v/>
      </c>
      <c r="WA13" s="9">
        <f>VX13+VY13+VZ13</f>
        <v/>
      </c>
      <c r="WB13" s="12">
        <f>SUM(WA$5:WA13)</f>
        <v/>
      </c>
      <c r="WC13" s="12">
        <f>OR(WC12,WB13&gt;=VATThreshold)</f>
        <v/>
      </c>
      <c r="WD13" s="9">
        <f>IF(WC13,WA13/(1+VATRate),WA13)</f>
        <v/>
      </c>
      <c r="WE13" s="12">
        <f>WA13-WD13</f>
        <v/>
      </c>
      <c r="WF13" s="12">
        <f>IF(WC13=0,0,IF(VB13=1,SUMPRODUCT(--(($VC$5:$VC13=$VC13-1)*($VB$5:$VB13&gt;=10)*($VB$5:$VB13&lt;=12)),$WE$5:$WE13),IF(VB13=4,SUMPRODUCT(--(($VC$5:$VC13=$VC13)*($VB$5:$VB13&gt;=1)*($VB$5:$VB13&lt;=3)),$WE$5:$WE13),IF(VB13=7,SUMPRODUCT(--(($VC$5:$VC13=$VC13)*($VB$5:$VB13&gt;=4)*($VB$5:$VB13&lt;=6)),$WE$5:$WE13),IF(VB13=10,SUMPRODUCT(--(($VC$5:$VC13=$VC13)*($VB$5:$VB13&gt;=7)*($VB$5:$VB13&lt;=9)),$WE$5:$WE13),0)))))</f>
        <v/>
      </c>
      <c r="WG13" s="12">
        <f>WG12+WE13-WF13</f>
        <v/>
      </c>
      <c r="WH13" s="12">
        <f>IF(ProviderDelay&gt;=1,WD12*ProviderShare,WD13*ProviderShare)</f>
        <v/>
      </c>
      <c r="WI13" s="12">
        <f>WA13*PaymentFee</f>
        <v/>
      </c>
      <c r="WJ13" s="12">
        <f>VU13*OpsAI</f>
        <v/>
      </c>
      <c r="WK13" s="12">
        <f>MonthlyFixed</f>
        <v/>
      </c>
      <c r="WL13" s="12">
        <f>VI13*ReferralReward</f>
        <v/>
      </c>
      <c r="WM13" s="12">
        <f>VG13</f>
        <v/>
      </c>
      <c r="WN13" s="9">
        <f>WD13-WH13-WI13-WJ13-WK13-WL13-WM13</f>
        <v/>
      </c>
      <c r="WO13" s="9">
        <f>WO12+WA13-(WH13+WI13+WJ13+WK13+WL13+WM13+WF13)</f>
        <v/>
      </c>
      <c r="WP13" s="12">
        <f>IF(VU13&gt;0,VV13/VU13,0)</f>
        <v/>
      </c>
      <c r="WQ13" s="11">
        <f>IF(VU12&gt;0,MAX(0,(VU12+VJ13-VU13)/VU12),0)</f>
        <v/>
      </c>
      <c r="WS13" s="12" t="n">
        <v>9</v>
      </c>
      <c r="WT13" s="12">
        <f>MOD(WS13-1+LaunchMonth-1,12)+1</f>
        <v/>
      </c>
      <c r="WU13" s="12">
        <f>INT((WS13-1+LaunchMonth-1)/12)+1</f>
        <v/>
      </c>
      <c r="WV13" s="12">
        <f>VLOOKUP(WT13,SeasonTable,2,FALSE)</f>
        <v/>
      </c>
      <c r="WW13" s="12">
        <f>(1+InflationRate)^INT((WS13-1)/12)</f>
        <v/>
      </c>
      <c r="WX13" s="11">
        <f>MonthlyChurn*VLOOKUP(WT13,ChurnSeasonTable,4,FALSE)</f>
        <v/>
      </c>
      <c r="WY13" s="12">
        <f>MIN(MAX(MktMin7_12,XS12*MktPct7_12),MAX(0,YG12-CashBuffer))</f>
        <v/>
      </c>
      <c r="WZ13" s="12">
        <f>IF(WY13&gt;0,MAX(1,ROUND(WY13/CAC*WV13,0)),0)</f>
        <v/>
      </c>
      <c r="XA13" s="12">
        <f>IF(WZ13&gt;0,ROUND(WZ13*ReferralMix/(1-ReferralMix),0),0)</f>
        <v/>
      </c>
      <c r="XB13" s="12">
        <f>WZ13+XA13</f>
        <v/>
      </c>
      <c r="XC13" s="12">
        <f>ROUND(XB13*(1-'Sens - Annual Mix'!$A$11),0)</f>
        <v/>
      </c>
      <c r="XD13" s="12">
        <f>XB13-XC13</f>
        <v/>
      </c>
      <c r="XE13" s="12">
        <f>ROUND(XC13*EssentialMix,0)</f>
        <v/>
      </c>
      <c r="XF13" s="12">
        <f>XC13-XE13</f>
        <v/>
      </c>
      <c r="XG13" s="12">
        <f>ROUND(XD13*EssentialMix,0)</f>
        <v/>
      </c>
      <c r="XH13" s="12">
        <f>XD13-XG13</f>
        <v/>
      </c>
      <c r="XI13" s="12">
        <f>XE13+XE12+XE11+MAX(0,XI12-XE12-XE11)*(1-WX13)</f>
        <v/>
      </c>
      <c r="XJ13" s="12">
        <f>XF13+XF12+XF11+MAX(0,XJ12-XF12-XF11)*(1-WX13)</f>
        <v/>
      </c>
      <c r="XK13" s="12">
        <f>SUM(XG$5:XG13)</f>
        <v/>
      </c>
      <c r="XL13" s="12">
        <f>SUM(XH$5:XH13)</f>
        <v/>
      </c>
      <c r="XM13" s="12">
        <f>XI13+XJ13+XK13+XL13</f>
        <v/>
      </c>
      <c r="XN13" s="9">
        <f>XI13*PriceEssMonthly*WW13+XJ13*PricePremMonthly*WW13+XK13*PriceEssAnnual*WW13/12+XL13*PricePremAnnual*WW13/12</f>
        <v/>
      </c>
      <c r="XO13" s="9">
        <f>XN13*12</f>
        <v/>
      </c>
      <c r="XP13" s="12">
        <f>XI13*PriceEssMonthly*WW13+XJ13*PricePremMonthly*WW13</f>
        <v/>
      </c>
      <c r="XQ13" s="12">
        <f>XG13*PriceEssAnnual*WW13+XH13*PricePremAnnual*WW13</f>
        <v/>
      </c>
      <c r="XR13" s="12">
        <f>0+0</f>
        <v/>
      </c>
      <c r="XS13" s="9">
        <f>XP13+XQ13+XR13</f>
        <v/>
      </c>
      <c r="XT13" s="12">
        <f>SUM(XS$5:XS13)</f>
        <v/>
      </c>
      <c r="XU13" s="12">
        <f>OR(XU12,XT13&gt;=VATThreshold)</f>
        <v/>
      </c>
      <c r="XV13" s="9">
        <f>IF(XU13,XS13/(1+VATRate),XS13)</f>
        <v/>
      </c>
      <c r="XW13" s="12">
        <f>XS13-XV13</f>
        <v/>
      </c>
      <c r="XX13" s="12">
        <f>IF(XU13=0,0,IF(WT13=1,SUMPRODUCT(--(($WU$5:$WU13=$WU13-1)*($WT$5:$WT13&gt;=10)*($WT$5:$WT13&lt;=12)),$XW$5:$XW13),IF(WT13=4,SUMPRODUCT(--(($WU$5:$WU13=$WU13)*($WT$5:$WT13&gt;=1)*($WT$5:$WT13&lt;=3)),$XW$5:$XW13),IF(WT13=7,SUMPRODUCT(--(($WU$5:$WU13=$WU13)*($WT$5:$WT13&gt;=4)*($WT$5:$WT13&lt;=6)),$XW$5:$XW13),IF(WT13=10,SUMPRODUCT(--(($WU$5:$WU13=$WU13)*($WT$5:$WT13&gt;=7)*($WT$5:$WT13&lt;=9)),$XW$5:$XW13),0)))))</f>
        <v/>
      </c>
      <c r="XY13" s="12">
        <f>XY12+XW13-XX13</f>
        <v/>
      </c>
      <c r="XZ13" s="12">
        <f>IF(ProviderDelay&gt;=1,XV12*ProviderShare,XV13*ProviderShare)</f>
        <v/>
      </c>
      <c r="YA13" s="12">
        <f>XS13*PaymentFee</f>
        <v/>
      </c>
      <c r="YB13" s="12">
        <f>XM13*OpsAI</f>
        <v/>
      </c>
      <c r="YC13" s="12">
        <f>MonthlyFixed</f>
        <v/>
      </c>
      <c r="YD13" s="12">
        <f>XA13*ReferralReward</f>
        <v/>
      </c>
      <c r="YE13" s="12">
        <f>WY13</f>
        <v/>
      </c>
      <c r="YF13" s="9">
        <f>XV13-XZ13-YA13-YB13-YC13-YD13-YE13</f>
        <v/>
      </c>
      <c r="YG13" s="9">
        <f>YG12+XS13-(XZ13+YA13+YB13+YC13+YD13+YE13+XX13)</f>
        <v/>
      </c>
      <c r="YH13" s="12">
        <f>IF(XM13&gt;0,XN13/XM13,0)</f>
        <v/>
      </c>
      <c r="YI13" s="11">
        <f>IF(XM12&gt;0,MAX(0,(XM12+XB13-XM13)/XM12),0)</f>
        <v/>
      </c>
      <c r="YK13" s="12" t="n">
        <v>9</v>
      </c>
      <c r="YL13" s="12">
        <f>MOD(YK13-1+LaunchMonth-1,12)+1</f>
        <v/>
      </c>
      <c r="YM13" s="12">
        <f>INT((YK13-1+LaunchMonth-1)/12)+1</f>
        <v/>
      </c>
      <c r="YN13" s="12">
        <f>VLOOKUP(YL13,SeasonTable,2,FALSE)</f>
        <v/>
      </c>
      <c r="YO13" s="12">
        <f>(1+InflationRate)^INT((YK13-1)/12)</f>
        <v/>
      </c>
      <c r="YP13" s="11">
        <f>MonthlyChurn*VLOOKUP(YL13,ChurnSeasonTable,4,FALSE)</f>
        <v/>
      </c>
      <c r="YQ13" s="12">
        <f>MIN(MAX(MktMin7_12,ZK12*MktPct7_12),MAX(0,ZY12-CashBuffer))</f>
        <v/>
      </c>
      <c r="YR13" s="12">
        <f>IF(YQ13&gt;0,MAX(1,ROUND(YQ13/CAC*YN13,0)),0)</f>
        <v/>
      </c>
      <c r="YS13" s="12">
        <f>IF(YR13&gt;0,ROUND(YR13*ReferralMix/(1-ReferralMix),0),0)</f>
        <v/>
      </c>
      <c r="YT13" s="12">
        <f>YR13+YS13</f>
        <v/>
      </c>
      <c r="YU13" s="12">
        <f>ROUND(YT13*(1-'Sens - Annual Mix'!$A$12),0)</f>
        <v/>
      </c>
      <c r="YV13" s="12">
        <f>YT13-YU13</f>
        <v/>
      </c>
      <c r="YW13" s="12">
        <f>ROUND(YU13*EssentialMix,0)</f>
        <v/>
      </c>
      <c r="YX13" s="12">
        <f>YU13-YW13</f>
        <v/>
      </c>
      <c r="YY13" s="12">
        <f>ROUND(YV13*EssentialMix,0)</f>
        <v/>
      </c>
      <c r="YZ13" s="12">
        <f>YV13-YY13</f>
        <v/>
      </c>
      <c r="ZA13" s="12">
        <f>YW13+YW12+YW11+MAX(0,ZA12-YW12-YW11)*(1-YP13)</f>
        <v/>
      </c>
      <c r="ZB13" s="12">
        <f>YX13+YX12+YX11+MAX(0,ZB12-YX12-YX11)*(1-YP13)</f>
        <v/>
      </c>
      <c r="ZC13" s="12">
        <f>SUM(YY$5:YY13)</f>
        <v/>
      </c>
      <c r="ZD13" s="12">
        <f>SUM(YZ$5:YZ13)</f>
        <v/>
      </c>
      <c r="ZE13" s="12">
        <f>ZA13+ZB13+ZC13+ZD13</f>
        <v/>
      </c>
      <c r="ZF13" s="9">
        <f>ZA13*PriceEssMonthly*YO13+ZB13*PricePremMonthly*YO13+ZC13*PriceEssAnnual*YO13/12+ZD13*PricePremAnnual*YO13/12</f>
        <v/>
      </c>
      <c r="ZG13" s="9">
        <f>ZF13*12</f>
        <v/>
      </c>
      <c r="ZH13" s="12">
        <f>ZA13*PriceEssMonthly*YO13+ZB13*PricePremMonthly*YO13</f>
        <v/>
      </c>
      <c r="ZI13" s="12">
        <f>YY13*PriceEssAnnual*YO13+YZ13*PricePremAnnual*YO13</f>
        <v/>
      </c>
      <c r="ZJ13" s="12">
        <f>0+0</f>
        <v/>
      </c>
      <c r="ZK13" s="9">
        <f>ZH13+ZI13+ZJ13</f>
        <v/>
      </c>
      <c r="ZL13" s="12">
        <f>SUM(ZK$5:ZK13)</f>
        <v/>
      </c>
      <c r="ZM13" s="12">
        <f>OR(ZM12,ZL13&gt;=VATThreshold)</f>
        <v/>
      </c>
      <c r="ZN13" s="9">
        <f>IF(ZM13,ZK13/(1+VATRate),ZK13)</f>
        <v/>
      </c>
      <c r="ZO13" s="12">
        <f>ZK13-ZN13</f>
        <v/>
      </c>
      <c r="ZP13" s="12">
        <f>IF(ZM13=0,0,IF(YL13=1,SUMPRODUCT(--(($YM$5:$YM13=$YM13-1)*($YL$5:$YL13&gt;=10)*($YL$5:$YL13&lt;=12)),$ZO$5:$ZO13),IF(YL13=4,SUMPRODUCT(--(($YM$5:$YM13=$YM13)*($YL$5:$YL13&gt;=1)*($YL$5:$YL13&lt;=3)),$ZO$5:$ZO13),IF(YL13=7,SUMPRODUCT(--(($YM$5:$YM13=$YM13)*($YL$5:$YL13&gt;=4)*($YL$5:$YL13&lt;=6)),$ZO$5:$ZO13),IF(YL13=10,SUMPRODUCT(--(($YM$5:$YM13=$YM13)*($YL$5:$YL13&gt;=7)*($YL$5:$YL13&lt;=9)),$ZO$5:$ZO13),0)))))</f>
        <v/>
      </c>
      <c r="ZQ13" s="12">
        <f>ZQ12+ZO13-ZP13</f>
        <v/>
      </c>
      <c r="ZR13" s="12">
        <f>IF(ProviderDelay&gt;=1,ZN12*ProviderShare,ZN13*ProviderShare)</f>
        <v/>
      </c>
      <c r="ZS13" s="12">
        <f>ZK13*PaymentFee</f>
        <v/>
      </c>
      <c r="ZT13" s="12">
        <f>ZE13*OpsAI</f>
        <v/>
      </c>
      <c r="ZU13" s="12">
        <f>MonthlyFixed</f>
        <v/>
      </c>
      <c r="ZV13" s="12">
        <f>YS13*ReferralReward</f>
        <v/>
      </c>
      <c r="ZW13" s="12">
        <f>YQ13</f>
        <v/>
      </c>
      <c r="ZX13" s="9">
        <f>ZN13-ZR13-ZS13-ZT13-ZU13-ZV13-ZW13</f>
        <v/>
      </c>
      <c r="ZY13" s="9">
        <f>ZY12+ZK13-(ZR13+ZS13+ZT13+ZU13+ZV13+ZW13+ZP13)</f>
        <v/>
      </c>
      <c r="ZZ13" s="12">
        <f>IF(ZE13&gt;0,ZF13/ZE13,0)</f>
        <v/>
      </c>
      <c r="AAA13" s="11">
        <f>IF(ZE12&gt;0,MAX(0,(ZE12+YT13-ZE13)/ZE12),0)</f>
        <v/>
      </c>
      <c r="AAC13" s="12" t="n">
        <v>9</v>
      </c>
      <c r="AAD13" s="12">
        <f>MOD(AAC13-1+LaunchMonth-1,12)+1</f>
        <v/>
      </c>
      <c r="AAE13" s="12">
        <f>INT((AAC13-1+LaunchMonth-1)/12)+1</f>
        <v/>
      </c>
      <c r="AAF13" s="12">
        <f>VLOOKUP(AAD13,SeasonTable,2,FALSE)</f>
        <v/>
      </c>
      <c r="AAG13" s="12">
        <f>(1+InflationRate)^INT((AAC13-1)/12)</f>
        <v/>
      </c>
      <c r="AAH13" s="11">
        <f>MonthlyChurn*VLOOKUP(AAD13,ChurnSeasonTable,4,FALSE)</f>
        <v/>
      </c>
      <c r="AAI13" s="12">
        <f>MIN(MAX(MktMin7_12,ABC12*MktPct7_12),MAX(0,ABQ12-CashBuffer))</f>
        <v/>
      </c>
      <c r="AAJ13" s="12">
        <f>IF(AAI13&gt;0,MAX(1,ROUND(AAI13/CAC*AAF13,0)),0)</f>
        <v/>
      </c>
      <c r="AAK13" s="12">
        <f>IF(AAJ13&gt;0,ROUND(AAJ13*ReferralMix/(1-ReferralMix),0),0)</f>
        <v/>
      </c>
      <c r="AAL13" s="12">
        <f>AAJ13+AAK13</f>
        <v/>
      </c>
      <c r="AAM13" s="12">
        <f>ROUND(AAL13*(1-'Sens - Annual Mix'!$A$13),0)</f>
        <v/>
      </c>
      <c r="AAN13" s="12">
        <f>AAL13-AAM13</f>
        <v/>
      </c>
      <c r="AAO13" s="12">
        <f>ROUND(AAM13*EssentialMix,0)</f>
        <v/>
      </c>
      <c r="AAP13" s="12">
        <f>AAM13-AAO13</f>
        <v/>
      </c>
      <c r="AAQ13" s="12">
        <f>ROUND(AAN13*EssentialMix,0)</f>
        <v/>
      </c>
      <c r="AAR13" s="12">
        <f>AAN13-AAQ13</f>
        <v/>
      </c>
      <c r="AAS13" s="12">
        <f>AAO13+AAO12+AAO11+MAX(0,AAS12-AAO12-AAO11)*(1-AAH13)</f>
        <v/>
      </c>
      <c r="AAT13" s="12">
        <f>AAP13+AAP12+AAP11+MAX(0,AAT12-AAP12-AAP11)*(1-AAH13)</f>
        <v/>
      </c>
      <c r="AAU13" s="12">
        <f>SUM(AAQ$5:AAQ13)</f>
        <v/>
      </c>
      <c r="AAV13" s="12">
        <f>SUM(AAR$5:AAR13)</f>
        <v/>
      </c>
      <c r="AAW13" s="12">
        <f>AAS13+AAT13+AAU13+AAV13</f>
        <v/>
      </c>
      <c r="AAX13" s="9">
        <f>AAS13*PriceEssMonthly*AAG13+AAT13*PricePremMonthly*AAG13+AAU13*PriceEssAnnual*AAG13/12+AAV13*PricePremAnnual*AAG13/12</f>
        <v/>
      </c>
      <c r="AAY13" s="9">
        <f>AAX13*12</f>
        <v/>
      </c>
      <c r="AAZ13" s="12">
        <f>AAS13*PriceEssMonthly*AAG13+AAT13*PricePremMonthly*AAG13</f>
        <v/>
      </c>
      <c r="ABA13" s="12">
        <f>AAQ13*PriceEssAnnual*AAG13+AAR13*PricePremAnnual*AAG13</f>
        <v/>
      </c>
      <c r="ABB13" s="12">
        <f>0+0</f>
        <v/>
      </c>
      <c r="ABC13" s="9">
        <f>AAZ13+ABA13+ABB13</f>
        <v/>
      </c>
      <c r="ABD13" s="12">
        <f>SUM(ABC$5:ABC13)</f>
        <v/>
      </c>
      <c r="ABE13" s="12">
        <f>OR(ABE12,ABD13&gt;=VATThreshold)</f>
        <v/>
      </c>
      <c r="ABF13" s="9">
        <f>IF(ABE13,ABC13/(1+VATRate),ABC13)</f>
        <v/>
      </c>
      <c r="ABG13" s="12">
        <f>ABC13-ABF13</f>
        <v/>
      </c>
      <c r="ABH13" s="12">
        <f>IF(ABE13=0,0,IF(AAD13=1,SUMPRODUCT(--(($AAE$5:$AAE13=$AAE13-1)*($AAD$5:$AAD13&gt;=10)*($AAD$5:$AAD13&lt;=12)),$ABG$5:$ABG13),IF(AAD13=4,SUMPRODUCT(--(($AAE$5:$AAE13=$AAE13)*($AAD$5:$AAD13&gt;=1)*($AAD$5:$AAD13&lt;=3)),$ABG$5:$ABG13),IF(AAD13=7,SUMPRODUCT(--(($AAE$5:$AAE13=$AAE13)*($AAD$5:$AAD13&gt;=4)*($AAD$5:$AAD13&lt;=6)),$ABG$5:$ABG13),IF(AAD13=10,SUMPRODUCT(--(($AAE$5:$AAE13=$AAE13)*($AAD$5:$AAD13&gt;=7)*($AAD$5:$AAD13&lt;=9)),$ABG$5:$ABG13),0)))))</f>
        <v/>
      </c>
      <c r="ABI13" s="12">
        <f>ABI12+ABG13-ABH13</f>
        <v/>
      </c>
      <c r="ABJ13" s="12">
        <f>IF(ProviderDelay&gt;=1,ABF12*ProviderShare,ABF13*ProviderShare)</f>
        <v/>
      </c>
      <c r="ABK13" s="12">
        <f>ABC13*PaymentFee</f>
        <v/>
      </c>
      <c r="ABL13" s="12">
        <f>AAW13*OpsAI</f>
        <v/>
      </c>
      <c r="ABM13" s="12">
        <f>MonthlyFixed</f>
        <v/>
      </c>
      <c r="ABN13" s="12">
        <f>AAK13*ReferralReward</f>
        <v/>
      </c>
      <c r="ABO13" s="12">
        <f>AAI13</f>
        <v/>
      </c>
      <c r="ABP13" s="9">
        <f>ABF13-ABJ13-ABK13-ABL13-ABM13-ABN13-ABO13</f>
        <v/>
      </c>
      <c r="ABQ13" s="9">
        <f>ABQ12+ABC13-(ABJ13+ABK13+ABL13+ABM13+ABN13+ABO13+ABH13)</f>
        <v/>
      </c>
      <c r="ABR13" s="12">
        <f>IF(AAW13&gt;0,AAX13/AAW13,0)</f>
        <v/>
      </c>
      <c r="ABS13" s="11">
        <f>IF(AAW12&gt;0,MAX(0,(AAW12+AAL13-AAW13)/AAW12),0)</f>
        <v/>
      </c>
      <c r="ABU13" s="12" t="n">
        <v>9</v>
      </c>
      <c r="ABV13" s="12">
        <f>MOD(ABU13-1+LaunchMonth-1,12)+1</f>
        <v/>
      </c>
      <c r="ABW13" s="12">
        <f>INT((ABU13-1+LaunchMonth-1)/12)+1</f>
        <v/>
      </c>
      <c r="ABX13" s="12">
        <f>VLOOKUP(ABV13,SeasonTable,2,FALSE)</f>
        <v/>
      </c>
      <c r="ABY13" s="12">
        <f>(1+InflationRate)^INT((ABU13-1)/12)</f>
        <v/>
      </c>
      <c r="ABZ13" s="11">
        <f>MonthlyChurn*VLOOKUP(ABV13,ChurnSeasonTable,4,FALSE)</f>
        <v/>
      </c>
      <c r="ACA13" s="12">
        <f>MIN(MAX(MktMin7_12,ACU12*MktPct7_12),MAX(0,ADI12-CashBuffer))</f>
        <v/>
      </c>
      <c r="ACB13" s="12">
        <f>IF(ACA13&gt;0,MAX(1,ROUND(ACA13/CAC*ABX13,0)),0)</f>
        <v/>
      </c>
      <c r="ACC13" s="12">
        <f>IF(ACB13&gt;0,ROUND(ACB13*ReferralMix/(1-ReferralMix),0),0)</f>
        <v/>
      </c>
      <c r="ACD13" s="12">
        <f>ACB13+ACC13</f>
        <v/>
      </c>
      <c r="ACE13" s="12">
        <f>ROUND(ACD13*(1-'Sens - Annual Mix'!$A$14),0)</f>
        <v/>
      </c>
      <c r="ACF13" s="12">
        <f>ACD13-ACE13</f>
        <v/>
      </c>
      <c r="ACG13" s="12">
        <f>ROUND(ACE13*EssentialMix,0)</f>
        <v/>
      </c>
      <c r="ACH13" s="12">
        <f>ACE13-ACG13</f>
        <v/>
      </c>
      <c r="ACI13" s="12">
        <f>ROUND(ACF13*EssentialMix,0)</f>
        <v/>
      </c>
      <c r="ACJ13" s="12">
        <f>ACF13-ACI13</f>
        <v/>
      </c>
      <c r="ACK13" s="12">
        <f>ACG13+ACG12+ACG11+MAX(0,ACK12-ACG12-ACG11)*(1-ABZ13)</f>
        <v/>
      </c>
      <c r="ACL13" s="12">
        <f>ACH13+ACH12+ACH11+MAX(0,ACL12-ACH12-ACH11)*(1-ABZ13)</f>
        <v/>
      </c>
      <c r="ACM13" s="12">
        <f>SUM(ACI$5:ACI13)</f>
        <v/>
      </c>
      <c r="ACN13" s="12">
        <f>SUM(ACJ$5:ACJ13)</f>
        <v/>
      </c>
      <c r="ACO13" s="12">
        <f>ACK13+ACL13+ACM13+ACN13</f>
        <v/>
      </c>
      <c r="ACP13" s="9">
        <f>ACK13*PriceEssMonthly*ABY13+ACL13*PricePremMonthly*ABY13+ACM13*PriceEssAnnual*ABY13/12+ACN13*PricePremAnnual*ABY13/12</f>
        <v/>
      </c>
      <c r="ACQ13" s="9">
        <f>ACP13*12</f>
        <v/>
      </c>
      <c r="ACR13" s="12">
        <f>ACK13*PriceEssMonthly*ABY13+ACL13*PricePremMonthly*ABY13</f>
        <v/>
      </c>
      <c r="ACS13" s="12">
        <f>ACI13*PriceEssAnnual*ABY13+ACJ13*PricePremAnnual*ABY13</f>
        <v/>
      </c>
      <c r="ACT13" s="12">
        <f>0+0</f>
        <v/>
      </c>
      <c r="ACU13" s="9">
        <f>ACR13+ACS13+ACT13</f>
        <v/>
      </c>
      <c r="ACV13" s="12">
        <f>SUM(ACU$5:ACU13)</f>
        <v/>
      </c>
      <c r="ACW13" s="12">
        <f>OR(ACW12,ACV13&gt;=VATThreshold)</f>
        <v/>
      </c>
      <c r="ACX13" s="9">
        <f>IF(ACW13,ACU13/(1+VATRate),ACU13)</f>
        <v/>
      </c>
      <c r="ACY13" s="12">
        <f>ACU13-ACX13</f>
        <v/>
      </c>
      <c r="ACZ13" s="12">
        <f>IF(ACW13=0,0,IF(ABV13=1,SUMPRODUCT(--(($ABW$5:$ABW13=$ABW13-1)*($ABV$5:$ABV13&gt;=10)*($ABV$5:$ABV13&lt;=12)),$ACY$5:$ACY13),IF(ABV13=4,SUMPRODUCT(--(($ABW$5:$ABW13=$ABW13)*($ABV$5:$ABV13&gt;=1)*($ABV$5:$ABV13&lt;=3)),$ACY$5:$ACY13),IF(ABV13=7,SUMPRODUCT(--(($ABW$5:$ABW13=$ABW13)*($ABV$5:$ABV13&gt;=4)*($ABV$5:$ABV13&lt;=6)),$ACY$5:$ACY13),IF(ABV13=10,SUMPRODUCT(--(($ABW$5:$ABW13=$ABW13)*($ABV$5:$ABV13&gt;=7)*($ABV$5:$ABV13&lt;=9)),$ACY$5:$ACY13),0)))))</f>
        <v/>
      </c>
      <c r="ADA13" s="12">
        <f>ADA12+ACY13-ACZ13</f>
        <v/>
      </c>
      <c r="ADB13" s="12">
        <f>IF(ProviderDelay&gt;=1,ACX12*ProviderShare,ACX13*ProviderShare)</f>
        <v/>
      </c>
      <c r="ADC13" s="12">
        <f>ACU13*PaymentFee</f>
        <v/>
      </c>
      <c r="ADD13" s="12">
        <f>ACO13*OpsAI</f>
        <v/>
      </c>
      <c r="ADE13" s="12">
        <f>MonthlyFixed</f>
        <v/>
      </c>
      <c r="ADF13" s="12">
        <f>ACC13*ReferralReward</f>
        <v/>
      </c>
      <c r="ADG13" s="12">
        <f>ACA13</f>
        <v/>
      </c>
      <c r="ADH13" s="9">
        <f>ACX13-ADB13-ADC13-ADD13-ADE13-ADF13-ADG13</f>
        <v/>
      </c>
      <c r="ADI13" s="9">
        <f>ADI12+ACU13-(ADB13+ADC13+ADD13+ADE13+ADF13+ADG13+ACZ13)</f>
        <v/>
      </c>
      <c r="ADJ13" s="12">
        <f>IF(ACO13&gt;0,ACP13/ACO13,0)</f>
        <v/>
      </c>
      <c r="ADK13" s="11">
        <f>IF(ACO12&gt;0,MAX(0,(ACO12+ACD13-ACO13)/ACO12),0)</f>
        <v/>
      </c>
      <c r="ADM13" s="12" t="n">
        <v>9</v>
      </c>
      <c r="ADN13" s="12">
        <f>MOD(ADM13-1+LaunchMonth-1,12)+1</f>
        <v/>
      </c>
      <c r="ADO13" s="12">
        <f>INT((ADM13-1+LaunchMonth-1)/12)+1</f>
        <v/>
      </c>
      <c r="ADP13" s="12">
        <f>VLOOKUP(ADN13,SeasonTable,2,FALSE)</f>
        <v/>
      </c>
      <c r="ADQ13" s="12">
        <f>(1+InflationRate)^INT((ADM13-1)/12)</f>
        <v/>
      </c>
      <c r="ADR13" s="11">
        <f>MonthlyChurn*VLOOKUP(ADN13,ChurnSeasonTable,4,FALSE)</f>
        <v/>
      </c>
      <c r="ADS13" s="12">
        <f>MIN(MAX(MktMin7_12,AEM12*MktPct7_12),MAX(0,AFA12-CashBuffer))</f>
        <v/>
      </c>
      <c r="ADT13" s="12">
        <f>IF(ADS13&gt;0,MAX(1,ROUND(ADS13/CAC*ADP13,0)),0)</f>
        <v/>
      </c>
      <c r="ADU13" s="12">
        <f>IF(ADT13&gt;0,ROUND(ADT13*ReferralMix/(1-ReferralMix),0),0)</f>
        <v/>
      </c>
      <c r="ADV13" s="12">
        <f>ADT13+ADU13</f>
        <v/>
      </c>
      <c r="ADW13" s="12">
        <f>ROUND(ADV13*(1-'Sens - Annual Mix'!$A$15),0)</f>
        <v/>
      </c>
      <c r="ADX13" s="12">
        <f>ADV13-ADW13</f>
        <v/>
      </c>
      <c r="ADY13" s="12">
        <f>ROUND(ADW13*EssentialMix,0)</f>
        <v/>
      </c>
      <c r="ADZ13" s="12">
        <f>ADW13-ADY13</f>
        <v/>
      </c>
      <c r="AEA13" s="12">
        <f>ROUND(ADX13*EssentialMix,0)</f>
        <v/>
      </c>
      <c r="AEB13" s="12">
        <f>ADX13-AEA13</f>
        <v/>
      </c>
      <c r="AEC13" s="12">
        <f>ADY13+ADY12+ADY11+MAX(0,AEC12-ADY12-ADY11)*(1-ADR13)</f>
        <v/>
      </c>
      <c r="AED13" s="12">
        <f>ADZ13+ADZ12+ADZ11+MAX(0,AED12-ADZ12-ADZ11)*(1-ADR13)</f>
        <v/>
      </c>
      <c r="AEE13" s="12">
        <f>SUM(AEA$5:AEA13)</f>
        <v/>
      </c>
      <c r="AEF13" s="12">
        <f>SUM(AEB$5:AEB13)</f>
        <v/>
      </c>
      <c r="AEG13" s="12">
        <f>AEC13+AED13+AEE13+AEF13</f>
        <v/>
      </c>
      <c r="AEH13" s="9">
        <f>AEC13*PriceEssMonthly*ADQ13+AED13*PricePremMonthly*ADQ13+AEE13*PriceEssAnnual*ADQ13/12+AEF13*PricePremAnnual*ADQ13/12</f>
        <v/>
      </c>
      <c r="AEI13" s="9">
        <f>AEH13*12</f>
        <v/>
      </c>
      <c r="AEJ13" s="12">
        <f>AEC13*PriceEssMonthly*ADQ13+AED13*PricePremMonthly*ADQ13</f>
        <v/>
      </c>
      <c r="AEK13" s="12">
        <f>AEA13*PriceEssAnnual*ADQ13+AEB13*PricePremAnnual*ADQ13</f>
        <v/>
      </c>
      <c r="AEL13" s="12">
        <f>0+0</f>
        <v/>
      </c>
      <c r="AEM13" s="9">
        <f>AEJ13+AEK13+AEL13</f>
        <v/>
      </c>
      <c r="AEN13" s="12">
        <f>SUM(AEM$5:AEM13)</f>
        <v/>
      </c>
      <c r="AEO13" s="12">
        <f>OR(AEO12,AEN13&gt;=VATThreshold)</f>
        <v/>
      </c>
      <c r="AEP13" s="9">
        <f>IF(AEO13,AEM13/(1+VATRate),AEM13)</f>
        <v/>
      </c>
      <c r="AEQ13" s="12">
        <f>AEM13-AEP13</f>
        <v/>
      </c>
      <c r="AER13" s="12">
        <f>IF(AEO13=0,0,IF(ADN13=1,SUMPRODUCT(--(($ADO$5:$ADO13=$ADO13-1)*($ADN$5:$ADN13&gt;=10)*($ADN$5:$ADN13&lt;=12)),$AEQ$5:$AEQ13),IF(ADN13=4,SUMPRODUCT(--(($ADO$5:$ADO13=$ADO13)*($ADN$5:$ADN13&gt;=1)*($ADN$5:$ADN13&lt;=3)),$AEQ$5:$AEQ13),IF(ADN13=7,SUMPRODUCT(--(($ADO$5:$ADO13=$ADO13)*($ADN$5:$ADN13&gt;=4)*($ADN$5:$ADN13&lt;=6)),$AEQ$5:$AEQ13),IF(ADN13=10,SUMPRODUCT(--(($ADO$5:$ADO13=$ADO13)*($ADN$5:$ADN13&gt;=7)*($ADN$5:$ADN13&lt;=9)),$AEQ$5:$AEQ13),0)))))</f>
        <v/>
      </c>
      <c r="AES13" s="12">
        <f>AES12+AEQ13-AER13</f>
        <v/>
      </c>
      <c r="AET13" s="12">
        <f>IF(ProviderDelay&gt;=1,AEP12*ProviderShare,AEP13*ProviderShare)</f>
        <v/>
      </c>
      <c r="AEU13" s="12">
        <f>AEM13*PaymentFee</f>
        <v/>
      </c>
      <c r="AEV13" s="12">
        <f>AEG13*OpsAI</f>
        <v/>
      </c>
      <c r="AEW13" s="12">
        <f>MonthlyFixed</f>
        <v/>
      </c>
      <c r="AEX13" s="12">
        <f>ADU13*ReferralReward</f>
        <v/>
      </c>
      <c r="AEY13" s="12">
        <f>ADS13</f>
        <v/>
      </c>
      <c r="AEZ13" s="9">
        <f>AEP13-AET13-AEU13-AEV13-AEW13-AEX13-AEY13</f>
        <v/>
      </c>
      <c r="AFA13" s="9">
        <f>AFA12+AEM13-(AET13+AEU13+AEV13+AEW13+AEX13+AEY13+AER13)</f>
        <v/>
      </c>
      <c r="AFB13" s="12">
        <f>IF(AEG13&gt;0,AEH13/AEG13,0)</f>
        <v/>
      </c>
      <c r="AFC13" s="11">
        <f>IF(AEG12&gt;0,MAX(0,(AEG12+ADV13-AEG13)/AEG12),0)</f>
        <v/>
      </c>
      <c r="AFE13" s="12" t="n">
        <v>9</v>
      </c>
      <c r="AFF13" s="12">
        <f>MOD(AFE13-1+LaunchMonth-1,12)+1</f>
        <v/>
      </c>
      <c r="AFG13" s="12">
        <f>INT((AFE13-1+LaunchMonth-1)/12)+1</f>
        <v/>
      </c>
      <c r="AFH13" s="12">
        <f>VLOOKUP(AFF13,SeasonTable,2,FALSE)</f>
        <v/>
      </c>
      <c r="AFI13" s="12">
        <f>(1+InflationRate)^INT((AFE13-1)/12)</f>
        <v/>
      </c>
      <c r="AFJ13" s="11">
        <f>MonthlyChurn*VLOOKUP(AFF13,ChurnSeasonTable,4,FALSE)</f>
        <v/>
      </c>
      <c r="AFK13" s="12">
        <f>MIN(MAX(MktMin7_12,AGE12*MktPct7_12),MAX(0,AGS12-CashBuffer))</f>
        <v/>
      </c>
      <c r="AFL13" s="12">
        <f>IF(AFK13&gt;0,MAX(1,ROUND(AFK13/'Sens - CAC &amp; Marketing'!$A$9*AFH13,0)),0)</f>
        <v/>
      </c>
      <c r="AFM13" s="12">
        <f>IF(AFL13&gt;0,ROUND(AFL13*ReferralMix/(1-ReferralMix),0),0)</f>
        <v/>
      </c>
      <c r="AFN13" s="12">
        <f>AFL13+AFM13</f>
        <v/>
      </c>
      <c r="AFO13" s="12">
        <f>ROUND(AFN13*(1-AnnualMix),0)</f>
        <v/>
      </c>
      <c r="AFP13" s="12">
        <f>AFN13-AFO13</f>
        <v/>
      </c>
      <c r="AFQ13" s="12">
        <f>ROUND(AFO13*EssentialMix,0)</f>
        <v/>
      </c>
      <c r="AFR13" s="12">
        <f>AFO13-AFQ13</f>
        <v/>
      </c>
      <c r="AFS13" s="12">
        <f>ROUND(AFP13*EssentialMix,0)</f>
        <v/>
      </c>
      <c r="AFT13" s="12">
        <f>AFP13-AFS13</f>
        <v/>
      </c>
      <c r="AFU13" s="12">
        <f>AFQ13+AFQ12+AFQ11+MAX(0,AFU12-AFQ12-AFQ11)*(1-AFJ13)</f>
        <v/>
      </c>
      <c r="AFV13" s="12">
        <f>AFR13+AFR12+AFR11+MAX(0,AFV12-AFR12-AFR11)*(1-AFJ13)</f>
        <v/>
      </c>
      <c r="AFW13" s="12">
        <f>SUM(AFS$5:AFS13)</f>
        <v/>
      </c>
      <c r="AFX13" s="12">
        <f>SUM(AFT$5:AFT13)</f>
        <v/>
      </c>
      <c r="AFY13" s="12">
        <f>AFU13+AFV13+AFW13+AFX13</f>
        <v/>
      </c>
      <c r="AFZ13" s="9">
        <f>AFU13*PriceEssMonthly*AFI13+AFV13*PricePremMonthly*AFI13+AFW13*PriceEssAnnual*AFI13/12+AFX13*PricePremAnnual*AFI13/12</f>
        <v/>
      </c>
      <c r="AGA13" s="9">
        <f>AFZ13*12</f>
        <v/>
      </c>
      <c r="AGB13" s="12">
        <f>AFU13*PriceEssMonthly*AFI13+AFV13*PricePremMonthly*AFI13</f>
        <v/>
      </c>
      <c r="AGC13" s="12">
        <f>AFS13*PriceEssAnnual*AFI13+AFT13*PricePremAnnual*AFI13</f>
        <v/>
      </c>
      <c r="AGD13" s="12">
        <f>0+0</f>
        <v/>
      </c>
      <c r="AGE13" s="9">
        <f>AGB13+AGC13+AGD13</f>
        <v/>
      </c>
      <c r="AGF13" s="12">
        <f>SUM(AGE$5:AGE13)</f>
        <v/>
      </c>
      <c r="AGG13" s="12">
        <f>OR(AGG12,AGF13&gt;=VATThreshold)</f>
        <v/>
      </c>
      <c r="AGH13" s="9">
        <f>IF(AGG13,AGE13/(1+VATRate),AGE13)</f>
        <v/>
      </c>
      <c r="AGI13" s="12">
        <f>AGE13-AGH13</f>
        <v/>
      </c>
      <c r="AGJ13" s="12">
        <f>IF(AGG13=0,0,IF(AFF13=1,SUMPRODUCT(--(($AFG$5:$AFG13=$AFG13-1)*($AFF$5:$AFF13&gt;=10)*($AFF$5:$AFF13&lt;=12)),$AGI$5:$AGI13),IF(AFF13=4,SUMPRODUCT(--(($AFG$5:$AFG13=$AFG13)*($AFF$5:$AFF13&gt;=1)*($AFF$5:$AFF13&lt;=3)),$AGI$5:$AGI13),IF(AFF13=7,SUMPRODUCT(--(($AFG$5:$AFG13=$AFG13)*($AFF$5:$AFF13&gt;=4)*($AFF$5:$AFF13&lt;=6)),$AGI$5:$AGI13),IF(AFF13=10,SUMPRODUCT(--(($AFG$5:$AFG13=$AFG13)*($AFF$5:$AFF13&gt;=7)*($AFF$5:$AFF13&lt;=9)),$AGI$5:$AGI13),0)))))</f>
        <v/>
      </c>
      <c r="AGK13" s="12">
        <f>AGK12+AGI13-AGJ13</f>
        <v/>
      </c>
      <c r="AGL13" s="12">
        <f>IF(ProviderDelay&gt;=1,AGH12*ProviderShare,AGH13*ProviderShare)</f>
        <v/>
      </c>
      <c r="AGM13" s="12">
        <f>AGE13*PaymentFee</f>
        <v/>
      </c>
      <c r="AGN13" s="12">
        <f>AFY13*OpsAI</f>
        <v/>
      </c>
      <c r="AGO13" s="12">
        <f>MonthlyFixed</f>
        <v/>
      </c>
      <c r="AGP13" s="12">
        <f>AFM13*ReferralReward</f>
        <v/>
      </c>
      <c r="AGQ13" s="12">
        <f>AFK13</f>
        <v/>
      </c>
      <c r="AGR13" s="9">
        <f>AGH13-AGL13-AGM13-AGN13-AGO13-AGP13-AGQ13</f>
        <v/>
      </c>
      <c r="AGS13" s="9">
        <f>AGS12+AGE13-(AGL13+AGM13+AGN13+AGO13+AGP13+AGQ13+AGJ13)</f>
        <v/>
      </c>
      <c r="AGT13" s="12">
        <f>IF(AFY13&gt;0,AFZ13/AFY13,0)</f>
        <v/>
      </c>
      <c r="AGU13" s="11">
        <f>IF(AFY12&gt;0,MAX(0,(AFY12+AFN13-AFY13)/AFY12),0)</f>
        <v/>
      </c>
      <c r="AGW13" s="12" t="n">
        <v>9</v>
      </c>
      <c r="AGX13" s="12">
        <f>MOD(AGW13-1+LaunchMonth-1,12)+1</f>
        <v/>
      </c>
      <c r="AGY13" s="12">
        <f>INT((AGW13-1+LaunchMonth-1)/12)+1</f>
        <v/>
      </c>
      <c r="AGZ13" s="12">
        <f>VLOOKUP(AGX13,SeasonTable,2,FALSE)</f>
        <v/>
      </c>
      <c r="AHA13" s="12">
        <f>(1+InflationRate)^INT((AGW13-1)/12)</f>
        <v/>
      </c>
      <c r="AHB13" s="11">
        <f>MonthlyChurn*VLOOKUP(AGX13,ChurnSeasonTable,4,FALSE)</f>
        <v/>
      </c>
      <c r="AHC13" s="12">
        <f>MIN(MAX(MktMin7_12,AHW12*MktPct7_12),MAX(0,AIK12-CashBuffer))</f>
        <v/>
      </c>
      <c r="AHD13" s="12">
        <f>IF(AHC13&gt;0,MAX(1,ROUND(AHC13/'Sens - CAC &amp; Marketing'!$A$10*AGZ13,0)),0)</f>
        <v/>
      </c>
      <c r="AHE13" s="12">
        <f>IF(AHD13&gt;0,ROUND(AHD13*ReferralMix/(1-ReferralMix),0),0)</f>
        <v/>
      </c>
      <c r="AHF13" s="12">
        <f>AHD13+AHE13</f>
        <v/>
      </c>
      <c r="AHG13" s="12">
        <f>ROUND(AHF13*(1-AnnualMix),0)</f>
        <v/>
      </c>
      <c r="AHH13" s="12">
        <f>AHF13-AHG13</f>
        <v/>
      </c>
      <c r="AHI13" s="12">
        <f>ROUND(AHG13*EssentialMix,0)</f>
        <v/>
      </c>
      <c r="AHJ13" s="12">
        <f>AHG13-AHI13</f>
        <v/>
      </c>
      <c r="AHK13" s="12">
        <f>ROUND(AHH13*EssentialMix,0)</f>
        <v/>
      </c>
      <c r="AHL13" s="12">
        <f>AHH13-AHK13</f>
        <v/>
      </c>
      <c r="AHM13" s="12">
        <f>AHI13+AHI12+AHI11+MAX(0,AHM12-AHI12-AHI11)*(1-AHB13)</f>
        <v/>
      </c>
      <c r="AHN13" s="12">
        <f>AHJ13+AHJ12+AHJ11+MAX(0,AHN12-AHJ12-AHJ11)*(1-AHB13)</f>
        <v/>
      </c>
      <c r="AHO13" s="12">
        <f>SUM(AHK$5:AHK13)</f>
        <v/>
      </c>
      <c r="AHP13" s="12">
        <f>SUM(AHL$5:AHL13)</f>
        <v/>
      </c>
      <c r="AHQ13" s="12">
        <f>AHM13+AHN13+AHO13+AHP13</f>
        <v/>
      </c>
      <c r="AHR13" s="9">
        <f>AHM13*PriceEssMonthly*AHA13+AHN13*PricePremMonthly*AHA13+AHO13*PriceEssAnnual*AHA13/12+AHP13*PricePremAnnual*AHA13/12</f>
        <v/>
      </c>
      <c r="AHS13" s="9">
        <f>AHR13*12</f>
        <v/>
      </c>
      <c r="AHT13" s="12">
        <f>AHM13*PriceEssMonthly*AHA13+AHN13*PricePremMonthly*AHA13</f>
        <v/>
      </c>
      <c r="AHU13" s="12">
        <f>AHK13*PriceEssAnnual*AHA13+AHL13*PricePremAnnual*AHA13</f>
        <v/>
      </c>
      <c r="AHV13" s="12">
        <f>0+0</f>
        <v/>
      </c>
      <c r="AHW13" s="9">
        <f>AHT13+AHU13+AHV13</f>
        <v/>
      </c>
      <c r="AHX13" s="12">
        <f>SUM(AHW$5:AHW13)</f>
        <v/>
      </c>
      <c r="AHY13" s="12">
        <f>OR(AHY12,AHX13&gt;=VATThreshold)</f>
        <v/>
      </c>
      <c r="AHZ13" s="9">
        <f>IF(AHY13,AHW13/(1+VATRate),AHW13)</f>
        <v/>
      </c>
      <c r="AIA13" s="12">
        <f>AHW13-AHZ13</f>
        <v/>
      </c>
      <c r="AIB13" s="12">
        <f>IF(AHY13=0,0,IF(AGX13=1,SUMPRODUCT(--(($AGY$5:$AGY13=$AGY13-1)*($AGX$5:$AGX13&gt;=10)*($AGX$5:$AGX13&lt;=12)),$AIA$5:$AIA13),IF(AGX13=4,SUMPRODUCT(--(($AGY$5:$AGY13=$AGY13)*($AGX$5:$AGX13&gt;=1)*($AGX$5:$AGX13&lt;=3)),$AIA$5:$AIA13),IF(AGX13=7,SUMPRODUCT(--(($AGY$5:$AGY13=$AGY13)*($AGX$5:$AGX13&gt;=4)*($AGX$5:$AGX13&lt;=6)),$AIA$5:$AIA13),IF(AGX13=10,SUMPRODUCT(--(($AGY$5:$AGY13=$AGY13)*($AGX$5:$AGX13&gt;=7)*($AGX$5:$AGX13&lt;=9)),$AIA$5:$AIA13),0)))))</f>
        <v/>
      </c>
      <c r="AIC13" s="12">
        <f>AIC12+AIA13-AIB13</f>
        <v/>
      </c>
      <c r="AID13" s="12">
        <f>IF(ProviderDelay&gt;=1,AHZ12*ProviderShare,AHZ13*ProviderShare)</f>
        <v/>
      </c>
      <c r="AIE13" s="12">
        <f>AHW13*PaymentFee</f>
        <v/>
      </c>
      <c r="AIF13" s="12">
        <f>AHQ13*OpsAI</f>
        <v/>
      </c>
      <c r="AIG13" s="12">
        <f>MonthlyFixed</f>
        <v/>
      </c>
      <c r="AIH13" s="12">
        <f>AHE13*ReferralReward</f>
        <v/>
      </c>
      <c r="AII13" s="12">
        <f>AHC13</f>
        <v/>
      </c>
      <c r="AIJ13" s="9">
        <f>AHZ13-AID13-AIE13-AIF13-AIG13-AIH13-AII13</f>
        <v/>
      </c>
      <c r="AIK13" s="9">
        <f>AIK12+AHW13-(AID13+AIE13+AIF13+AIG13+AIH13+AII13+AIB13)</f>
        <v/>
      </c>
      <c r="AIL13" s="12">
        <f>IF(AHQ13&gt;0,AHR13/AHQ13,0)</f>
        <v/>
      </c>
      <c r="AIM13" s="11">
        <f>IF(AHQ12&gt;0,MAX(0,(AHQ12+AHF13-AHQ13)/AHQ12),0)</f>
        <v/>
      </c>
      <c r="AIO13" s="12" t="n">
        <v>9</v>
      </c>
      <c r="AIP13" s="12">
        <f>MOD(AIO13-1+LaunchMonth-1,12)+1</f>
        <v/>
      </c>
      <c r="AIQ13" s="12">
        <f>INT((AIO13-1+LaunchMonth-1)/12)+1</f>
        <v/>
      </c>
      <c r="AIR13" s="12">
        <f>VLOOKUP(AIP13,SeasonTable,2,FALSE)</f>
        <v/>
      </c>
      <c r="AIS13" s="12">
        <f>(1+InflationRate)^INT((AIO13-1)/12)</f>
        <v/>
      </c>
      <c r="AIT13" s="11">
        <f>MonthlyChurn*VLOOKUP(AIP13,ChurnSeasonTable,4,FALSE)</f>
        <v/>
      </c>
      <c r="AIU13" s="12">
        <f>MIN(MAX(MktMin7_12,AJO12*MktPct7_12),MAX(0,AKC12-CashBuffer))</f>
        <v/>
      </c>
      <c r="AIV13" s="12">
        <f>IF(AIU13&gt;0,MAX(1,ROUND(AIU13/'Sens - CAC &amp; Marketing'!$A$11*AIR13,0)),0)</f>
        <v/>
      </c>
      <c r="AIW13" s="12">
        <f>IF(AIV13&gt;0,ROUND(AIV13*ReferralMix/(1-ReferralMix),0),0)</f>
        <v/>
      </c>
      <c r="AIX13" s="12">
        <f>AIV13+AIW13</f>
        <v/>
      </c>
      <c r="AIY13" s="12">
        <f>ROUND(AIX13*(1-AnnualMix),0)</f>
        <v/>
      </c>
      <c r="AIZ13" s="12">
        <f>AIX13-AIY13</f>
        <v/>
      </c>
      <c r="AJA13" s="12">
        <f>ROUND(AIY13*EssentialMix,0)</f>
        <v/>
      </c>
      <c r="AJB13" s="12">
        <f>AIY13-AJA13</f>
        <v/>
      </c>
      <c r="AJC13" s="12">
        <f>ROUND(AIZ13*EssentialMix,0)</f>
        <v/>
      </c>
      <c r="AJD13" s="12">
        <f>AIZ13-AJC13</f>
        <v/>
      </c>
      <c r="AJE13" s="12">
        <f>AJA13+AJA12+AJA11+MAX(0,AJE12-AJA12-AJA11)*(1-AIT13)</f>
        <v/>
      </c>
      <c r="AJF13" s="12">
        <f>AJB13+AJB12+AJB11+MAX(0,AJF12-AJB12-AJB11)*(1-AIT13)</f>
        <v/>
      </c>
      <c r="AJG13" s="12">
        <f>SUM(AJC$5:AJC13)</f>
        <v/>
      </c>
      <c r="AJH13" s="12">
        <f>SUM(AJD$5:AJD13)</f>
        <v/>
      </c>
      <c r="AJI13" s="12">
        <f>AJE13+AJF13+AJG13+AJH13</f>
        <v/>
      </c>
      <c r="AJJ13" s="9">
        <f>AJE13*PriceEssMonthly*AIS13+AJF13*PricePremMonthly*AIS13+AJG13*PriceEssAnnual*AIS13/12+AJH13*PricePremAnnual*AIS13/12</f>
        <v/>
      </c>
      <c r="AJK13" s="9">
        <f>AJJ13*12</f>
        <v/>
      </c>
      <c r="AJL13" s="12">
        <f>AJE13*PriceEssMonthly*AIS13+AJF13*PricePremMonthly*AIS13</f>
        <v/>
      </c>
      <c r="AJM13" s="12">
        <f>AJC13*PriceEssAnnual*AIS13+AJD13*PricePremAnnual*AIS13</f>
        <v/>
      </c>
      <c r="AJN13" s="12">
        <f>0+0</f>
        <v/>
      </c>
      <c r="AJO13" s="9">
        <f>AJL13+AJM13+AJN13</f>
        <v/>
      </c>
      <c r="AJP13" s="12">
        <f>SUM(AJO$5:AJO13)</f>
        <v/>
      </c>
      <c r="AJQ13" s="12">
        <f>OR(AJQ12,AJP13&gt;=VATThreshold)</f>
        <v/>
      </c>
      <c r="AJR13" s="9">
        <f>IF(AJQ13,AJO13/(1+VATRate),AJO13)</f>
        <v/>
      </c>
      <c r="AJS13" s="12">
        <f>AJO13-AJR13</f>
        <v/>
      </c>
      <c r="AJT13" s="12">
        <f>IF(AJQ13=0,0,IF(AIP13=1,SUMPRODUCT(--(($AIQ$5:$AIQ13=$AIQ13-1)*($AIP$5:$AIP13&gt;=10)*($AIP$5:$AIP13&lt;=12)),$AJS$5:$AJS13),IF(AIP13=4,SUMPRODUCT(--(($AIQ$5:$AIQ13=$AIQ13)*($AIP$5:$AIP13&gt;=1)*($AIP$5:$AIP13&lt;=3)),$AJS$5:$AJS13),IF(AIP13=7,SUMPRODUCT(--(($AIQ$5:$AIQ13=$AIQ13)*($AIP$5:$AIP13&gt;=4)*($AIP$5:$AIP13&lt;=6)),$AJS$5:$AJS13),IF(AIP13=10,SUMPRODUCT(--(($AIQ$5:$AIQ13=$AIQ13)*($AIP$5:$AIP13&gt;=7)*($AIP$5:$AIP13&lt;=9)),$AJS$5:$AJS13),0)))))</f>
        <v/>
      </c>
      <c r="AJU13" s="12">
        <f>AJU12+AJS13-AJT13</f>
        <v/>
      </c>
      <c r="AJV13" s="12">
        <f>IF(ProviderDelay&gt;=1,AJR12*ProviderShare,AJR13*ProviderShare)</f>
        <v/>
      </c>
      <c r="AJW13" s="12">
        <f>AJO13*PaymentFee</f>
        <v/>
      </c>
      <c r="AJX13" s="12">
        <f>AJI13*OpsAI</f>
        <v/>
      </c>
      <c r="AJY13" s="12">
        <f>MonthlyFixed</f>
        <v/>
      </c>
      <c r="AJZ13" s="12">
        <f>AIW13*ReferralReward</f>
        <v/>
      </c>
      <c r="AKA13" s="12">
        <f>AIU13</f>
        <v/>
      </c>
      <c r="AKB13" s="9">
        <f>AJR13-AJV13-AJW13-AJX13-AJY13-AJZ13-AKA13</f>
        <v/>
      </c>
      <c r="AKC13" s="9">
        <f>AKC12+AJO13-(AJV13+AJW13+AJX13+AJY13+AJZ13+AKA13+AJT13)</f>
        <v/>
      </c>
      <c r="AKD13" s="12">
        <f>IF(AJI13&gt;0,AJJ13/AJI13,0)</f>
        <v/>
      </c>
      <c r="AKE13" s="11">
        <f>IF(AJI12&gt;0,MAX(0,(AJI12+AIX13-AJI13)/AJI12),0)</f>
        <v/>
      </c>
      <c r="AKG13" s="12" t="n">
        <v>9</v>
      </c>
      <c r="AKH13" s="12">
        <f>MOD(AKG13-1+LaunchMonth-1,12)+1</f>
        <v/>
      </c>
      <c r="AKI13" s="12">
        <f>INT((AKG13-1+LaunchMonth-1)/12)+1</f>
        <v/>
      </c>
      <c r="AKJ13" s="12">
        <f>VLOOKUP(AKH13,SeasonTable,2,FALSE)</f>
        <v/>
      </c>
      <c r="AKK13" s="12">
        <f>(1+InflationRate)^INT((AKG13-1)/12)</f>
        <v/>
      </c>
      <c r="AKL13" s="11">
        <f>MonthlyChurn*VLOOKUP(AKH13,ChurnSeasonTable,4,FALSE)</f>
        <v/>
      </c>
      <c r="AKM13" s="12">
        <f>MIN(MAX(MktMin7_12,ALG12*MktPct7_12),MAX(0,ALU12-CashBuffer))</f>
        <v/>
      </c>
      <c r="AKN13" s="12">
        <f>IF(AKM13&gt;0,MAX(1,ROUND(AKM13/'Sens - CAC &amp; Marketing'!$A$12*AKJ13,0)),0)</f>
        <v/>
      </c>
      <c r="AKO13" s="12">
        <f>IF(AKN13&gt;0,ROUND(AKN13*ReferralMix/(1-ReferralMix),0),0)</f>
        <v/>
      </c>
      <c r="AKP13" s="12">
        <f>AKN13+AKO13</f>
        <v/>
      </c>
      <c r="AKQ13" s="12">
        <f>ROUND(AKP13*(1-AnnualMix),0)</f>
        <v/>
      </c>
      <c r="AKR13" s="12">
        <f>AKP13-AKQ13</f>
        <v/>
      </c>
      <c r="AKS13" s="12">
        <f>ROUND(AKQ13*EssentialMix,0)</f>
        <v/>
      </c>
      <c r="AKT13" s="12">
        <f>AKQ13-AKS13</f>
        <v/>
      </c>
      <c r="AKU13" s="12">
        <f>ROUND(AKR13*EssentialMix,0)</f>
        <v/>
      </c>
      <c r="AKV13" s="12">
        <f>AKR13-AKU13</f>
        <v/>
      </c>
      <c r="AKW13" s="12">
        <f>AKS13+AKS12+AKS11+MAX(0,AKW12-AKS12-AKS11)*(1-AKL13)</f>
        <v/>
      </c>
      <c r="AKX13" s="12">
        <f>AKT13+AKT12+AKT11+MAX(0,AKX12-AKT12-AKT11)*(1-AKL13)</f>
        <v/>
      </c>
      <c r="AKY13" s="12">
        <f>SUM(AKU$5:AKU13)</f>
        <v/>
      </c>
      <c r="AKZ13" s="12">
        <f>SUM(AKV$5:AKV13)</f>
        <v/>
      </c>
      <c r="ALA13" s="12">
        <f>AKW13+AKX13+AKY13+AKZ13</f>
        <v/>
      </c>
      <c r="ALB13" s="9">
        <f>AKW13*PriceEssMonthly*AKK13+AKX13*PricePremMonthly*AKK13+AKY13*PriceEssAnnual*AKK13/12+AKZ13*PricePremAnnual*AKK13/12</f>
        <v/>
      </c>
      <c r="ALC13" s="9">
        <f>ALB13*12</f>
        <v/>
      </c>
      <c r="ALD13" s="12">
        <f>AKW13*PriceEssMonthly*AKK13+AKX13*PricePremMonthly*AKK13</f>
        <v/>
      </c>
      <c r="ALE13" s="12">
        <f>AKU13*PriceEssAnnual*AKK13+AKV13*PricePremAnnual*AKK13</f>
        <v/>
      </c>
      <c r="ALF13" s="12">
        <f>0+0</f>
        <v/>
      </c>
      <c r="ALG13" s="9">
        <f>ALD13+ALE13+ALF13</f>
        <v/>
      </c>
      <c r="ALH13" s="12">
        <f>SUM(ALG$5:ALG13)</f>
        <v/>
      </c>
      <c r="ALI13" s="12">
        <f>OR(ALI12,ALH13&gt;=VATThreshold)</f>
        <v/>
      </c>
      <c r="ALJ13" s="9">
        <f>IF(ALI13,ALG13/(1+VATRate),ALG13)</f>
        <v/>
      </c>
      <c r="ALK13" s="12">
        <f>ALG13-ALJ13</f>
        <v/>
      </c>
      <c r="ALL13" s="12">
        <f>IF(ALI13=0,0,IF(AKH13=1,SUMPRODUCT(--(($AKI$5:$AKI13=$AKI13-1)*($AKH$5:$AKH13&gt;=10)*($AKH$5:$AKH13&lt;=12)),$ALK$5:$ALK13),IF(AKH13=4,SUMPRODUCT(--(($AKI$5:$AKI13=$AKI13)*($AKH$5:$AKH13&gt;=1)*($AKH$5:$AKH13&lt;=3)),$ALK$5:$ALK13),IF(AKH13=7,SUMPRODUCT(--(($AKI$5:$AKI13=$AKI13)*($AKH$5:$AKH13&gt;=4)*($AKH$5:$AKH13&lt;=6)),$ALK$5:$ALK13),IF(AKH13=10,SUMPRODUCT(--(($AKI$5:$AKI13=$AKI13)*($AKH$5:$AKH13&gt;=7)*($AKH$5:$AKH13&lt;=9)),$ALK$5:$ALK13),0)))))</f>
        <v/>
      </c>
      <c r="ALM13" s="12">
        <f>ALM12+ALK13-ALL13</f>
        <v/>
      </c>
      <c r="ALN13" s="12">
        <f>IF(ProviderDelay&gt;=1,ALJ12*ProviderShare,ALJ13*ProviderShare)</f>
        <v/>
      </c>
      <c r="ALO13" s="12">
        <f>ALG13*PaymentFee</f>
        <v/>
      </c>
      <c r="ALP13" s="12">
        <f>ALA13*OpsAI</f>
        <v/>
      </c>
      <c r="ALQ13" s="12">
        <f>MonthlyFixed</f>
        <v/>
      </c>
      <c r="ALR13" s="12">
        <f>AKO13*ReferralReward</f>
        <v/>
      </c>
      <c r="ALS13" s="12">
        <f>AKM13</f>
        <v/>
      </c>
      <c r="ALT13" s="9">
        <f>ALJ13-ALN13-ALO13-ALP13-ALQ13-ALR13-ALS13</f>
        <v/>
      </c>
      <c r="ALU13" s="9">
        <f>ALU12+ALG13-(ALN13+ALO13+ALP13+ALQ13+ALR13+ALS13+ALL13)</f>
        <v/>
      </c>
      <c r="ALV13" s="12">
        <f>IF(ALA13&gt;0,ALB13/ALA13,0)</f>
        <v/>
      </c>
      <c r="ALW13" s="11">
        <f>IF(ALA12&gt;0,MAX(0,(ALA12+AKP13-ALA13)/ALA12),0)</f>
        <v/>
      </c>
      <c r="ALY13" s="12" t="n">
        <v>9</v>
      </c>
      <c r="ALZ13" s="12">
        <f>MOD(ALY13-1+LaunchMonth-1,12)+1</f>
        <v/>
      </c>
      <c r="AMA13" s="12">
        <f>INT((ALY13-1+LaunchMonth-1)/12)+1</f>
        <v/>
      </c>
      <c r="AMB13" s="12">
        <f>VLOOKUP(ALZ13,SeasonTable,2,FALSE)</f>
        <v/>
      </c>
      <c r="AMC13" s="12">
        <f>(1+InflationRate)^INT((ALY13-1)/12)</f>
        <v/>
      </c>
      <c r="AMD13" s="11">
        <f>MonthlyChurn*VLOOKUP(ALZ13,ChurnSeasonTable,4,FALSE)</f>
        <v/>
      </c>
      <c r="AME13" s="12">
        <f>MIN(MAX(MktMin7_12,AMY12*MktPct7_12),MAX(0,ANM12-CashBuffer))</f>
        <v/>
      </c>
      <c r="AMF13" s="12">
        <f>IF(AME13&gt;0,MAX(1,ROUND(AME13/'Sens - CAC &amp; Marketing'!$A$13*AMB13,0)),0)</f>
        <v/>
      </c>
      <c r="AMG13" s="12">
        <f>IF(AMF13&gt;0,ROUND(AMF13*ReferralMix/(1-ReferralMix),0),0)</f>
        <v/>
      </c>
      <c r="AMH13" s="12">
        <f>AMF13+AMG13</f>
        <v/>
      </c>
      <c r="AMI13" s="12">
        <f>ROUND(AMH13*(1-AnnualMix),0)</f>
        <v/>
      </c>
      <c r="AMJ13" s="12">
        <f>AMH13-AMI13</f>
        <v/>
      </c>
      <c r="AMK13" s="12">
        <f>ROUND(AMI13*EssentialMix,0)</f>
        <v/>
      </c>
      <c r="AML13" s="12">
        <f>AMI13-AMK13</f>
        <v/>
      </c>
      <c r="AMM13" s="12">
        <f>ROUND(AMJ13*EssentialMix,0)</f>
        <v/>
      </c>
      <c r="AMN13" s="12">
        <f>AMJ13-AMM13</f>
        <v/>
      </c>
      <c r="AMO13" s="12">
        <f>AMK13+AMK12+AMK11+MAX(0,AMO12-AMK12-AMK11)*(1-AMD13)</f>
        <v/>
      </c>
      <c r="AMP13" s="12">
        <f>AML13+AML12+AML11+MAX(0,AMP12-AML12-AML11)*(1-AMD13)</f>
        <v/>
      </c>
      <c r="AMQ13" s="12">
        <f>SUM(AMM$5:AMM13)</f>
        <v/>
      </c>
      <c r="AMR13" s="12">
        <f>SUM(AMN$5:AMN13)</f>
        <v/>
      </c>
      <c r="AMS13" s="12">
        <f>AMO13+AMP13+AMQ13+AMR13</f>
        <v/>
      </c>
      <c r="AMT13" s="9">
        <f>AMO13*PriceEssMonthly*AMC13+AMP13*PricePremMonthly*AMC13+AMQ13*PriceEssAnnual*AMC13/12+AMR13*PricePremAnnual*AMC13/12</f>
        <v/>
      </c>
      <c r="AMU13" s="9">
        <f>AMT13*12</f>
        <v/>
      </c>
      <c r="AMV13" s="12">
        <f>AMO13*PriceEssMonthly*AMC13+AMP13*PricePremMonthly*AMC13</f>
        <v/>
      </c>
      <c r="AMW13" s="12">
        <f>AMM13*PriceEssAnnual*AMC13+AMN13*PricePremAnnual*AMC13</f>
        <v/>
      </c>
      <c r="AMX13" s="12">
        <f>0+0</f>
        <v/>
      </c>
      <c r="AMY13" s="9">
        <f>AMV13+AMW13+AMX13</f>
        <v/>
      </c>
      <c r="AMZ13" s="12">
        <f>SUM(AMY$5:AMY13)</f>
        <v/>
      </c>
      <c r="ANA13" s="12">
        <f>OR(ANA12,AMZ13&gt;=VATThreshold)</f>
        <v/>
      </c>
      <c r="ANB13" s="9">
        <f>IF(ANA13,AMY13/(1+VATRate),AMY13)</f>
        <v/>
      </c>
      <c r="ANC13" s="12">
        <f>AMY13-ANB13</f>
        <v/>
      </c>
      <c r="AND13" s="12">
        <f>IF(ANA13=0,0,IF(ALZ13=1,SUMPRODUCT(--(($AMA$5:$AMA13=$AMA13-1)*($ALZ$5:$ALZ13&gt;=10)*($ALZ$5:$ALZ13&lt;=12)),$ANC$5:$ANC13),IF(ALZ13=4,SUMPRODUCT(--(($AMA$5:$AMA13=$AMA13)*($ALZ$5:$ALZ13&gt;=1)*($ALZ$5:$ALZ13&lt;=3)),$ANC$5:$ANC13),IF(ALZ13=7,SUMPRODUCT(--(($AMA$5:$AMA13=$AMA13)*($ALZ$5:$ALZ13&gt;=4)*($ALZ$5:$ALZ13&lt;=6)),$ANC$5:$ANC13),IF(ALZ13=10,SUMPRODUCT(--(($AMA$5:$AMA13=$AMA13)*($ALZ$5:$ALZ13&gt;=7)*($ALZ$5:$ALZ13&lt;=9)),$ANC$5:$ANC13),0)))))</f>
        <v/>
      </c>
      <c r="ANE13" s="12">
        <f>ANE12+ANC13-AND13</f>
        <v/>
      </c>
      <c r="ANF13" s="12">
        <f>IF(ProviderDelay&gt;=1,ANB12*ProviderShare,ANB13*ProviderShare)</f>
        <v/>
      </c>
      <c r="ANG13" s="12">
        <f>AMY13*PaymentFee</f>
        <v/>
      </c>
      <c r="ANH13" s="12">
        <f>AMS13*OpsAI</f>
        <v/>
      </c>
      <c r="ANI13" s="12">
        <f>MonthlyFixed</f>
        <v/>
      </c>
      <c r="ANJ13" s="12">
        <f>AMG13*ReferralReward</f>
        <v/>
      </c>
      <c r="ANK13" s="12">
        <f>AME13</f>
        <v/>
      </c>
      <c r="ANL13" s="9">
        <f>ANB13-ANF13-ANG13-ANH13-ANI13-ANJ13-ANK13</f>
        <v/>
      </c>
      <c r="ANM13" s="9">
        <f>ANM12+AMY13-(ANF13+ANG13+ANH13+ANI13+ANJ13+ANK13+AND13)</f>
        <v/>
      </c>
      <c r="ANN13" s="12">
        <f>IF(AMS13&gt;0,AMT13/AMS13,0)</f>
        <v/>
      </c>
      <c r="ANO13" s="11">
        <f>IF(AMS12&gt;0,MAX(0,(AMS12+AMH13-AMS13)/AMS12),0)</f>
        <v/>
      </c>
      <c r="ANQ13" s="12" t="n">
        <v>9</v>
      </c>
      <c r="ANR13" s="12">
        <f>MOD(ANQ13-1+LaunchMonth-1,12)+1</f>
        <v/>
      </c>
      <c r="ANS13" s="12">
        <f>INT((ANQ13-1+LaunchMonth-1)/12)+1</f>
        <v/>
      </c>
      <c r="ANT13" s="12">
        <f>VLOOKUP(ANR13,SeasonTable,2,FALSE)</f>
        <v/>
      </c>
      <c r="ANU13" s="12">
        <f>(1+InflationRate)^INT((ANQ13-1)/12)</f>
        <v/>
      </c>
      <c r="ANV13" s="11">
        <f>MonthlyChurn*VLOOKUP(ANR13,ChurnSeasonTable,4,FALSE)</f>
        <v/>
      </c>
      <c r="ANW13" s="12">
        <f>MIN(MAX(MktMin7_12,AOQ12*MktPct7_12),MAX(0,APE12-CashBuffer))</f>
        <v/>
      </c>
      <c r="ANX13" s="12">
        <f>IF(ANW13&gt;0,MAX(1,ROUND(ANW13/'Sens - CAC &amp; Marketing'!$A$14*ANT13,0)),0)</f>
        <v/>
      </c>
      <c r="ANY13" s="12">
        <f>IF(ANX13&gt;0,ROUND(ANX13*ReferralMix/(1-ReferralMix),0),0)</f>
        <v/>
      </c>
      <c r="ANZ13" s="12">
        <f>ANX13+ANY13</f>
        <v/>
      </c>
      <c r="AOA13" s="12">
        <f>ROUND(ANZ13*(1-AnnualMix),0)</f>
        <v/>
      </c>
      <c r="AOB13" s="12">
        <f>ANZ13-AOA13</f>
        <v/>
      </c>
      <c r="AOC13" s="12">
        <f>ROUND(AOA13*EssentialMix,0)</f>
        <v/>
      </c>
      <c r="AOD13" s="12">
        <f>AOA13-AOC13</f>
        <v/>
      </c>
      <c r="AOE13" s="12">
        <f>ROUND(AOB13*EssentialMix,0)</f>
        <v/>
      </c>
      <c r="AOF13" s="12">
        <f>AOB13-AOE13</f>
        <v/>
      </c>
      <c r="AOG13" s="12">
        <f>AOC13+AOC12+AOC11+MAX(0,AOG12-AOC12-AOC11)*(1-ANV13)</f>
        <v/>
      </c>
      <c r="AOH13" s="12">
        <f>AOD13+AOD12+AOD11+MAX(0,AOH12-AOD12-AOD11)*(1-ANV13)</f>
        <v/>
      </c>
      <c r="AOI13" s="12">
        <f>SUM(AOE$5:AOE13)</f>
        <v/>
      </c>
      <c r="AOJ13" s="12">
        <f>SUM(AOF$5:AOF13)</f>
        <v/>
      </c>
      <c r="AOK13" s="12">
        <f>AOG13+AOH13+AOI13+AOJ13</f>
        <v/>
      </c>
      <c r="AOL13" s="9">
        <f>AOG13*PriceEssMonthly*ANU13+AOH13*PricePremMonthly*ANU13+AOI13*PriceEssAnnual*ANU13/12+AOJ13*PricePremAnnual*ANU13/12</f>
        <v/>
      </c>
      <c r="AOM13" s="9">
        <f>AOL13*12</f>
        <v/>
      </c>
      <c r="AON13" s="12">
        <f>AOG13*PriceEssMonthly*ANU13+AOH13*PricePremMonthly*ANU13</f>
        <v/>
      </c>
      <c r="AOO13" s="12">
        <f>AOE13*PriceEssAnnual*ANU13+AOF13*PricePremAnnual*ANU13</f>
        <v/>
      </c>
      <c r="AOP13" s="12">
        <f>0+0</f>
        <v/>
      </c>
      <c r="AOQ13" s="9">
        <f>AON13+AOO13+AOP13</f>
        <v/>
      </c>
      <c r="AOR13" s="12">
        <f>SUM(AOQ$5:AOQ13)</f>
        <v/>
      </c>
      <c r="AOS13" s="12">
        <f>OR(AOS12,AOR13&gt;=VATThreshold)</f>
        <v/>
      </c>
      <c r="AOT13" s="9">
        <f>IF(AOS13,AOQ13/(1+VATRate),AOQ13)</f>
        <v/>
      </c>
      <c r="AOU13" s="12">
        <f>AOQ13-AOT13</f>
        <v/>
      </c>
      <c r="AOV13" s="12">
        <f>IF(AOS13=0,0,IF(ANR13=1,SUMPRODUCT(--(($ANS$5:$ANS13=$ANS13-1)*($ANR$5:$ANR13&gt;=10)*($ANR$5:$ANR13&lt;=12)),$AOU$5:$AOU13),IF(ANR13=4,SUMPRODUCT(--(($ANS$5:$ANS13=$ANS13)*($ANR$5:$ANR13&gt;=1)*($ANR$5:$ANR13&lt;=3)),$AOU$5:$AOU13),IF(ANR13=7,SUMPRODUCT(--(($ANS$5:$ANS13=$ANS13)*($ANR$5:$ANR13&gt;=4)*($ANR$5:$ANR13&lt;=6)),$AOU$5:$AOU13),IF(ANR13=10,SUMPRODUCT(--(($ANS$5:$ANS13=$ANS13)*($ANR$5:$ANR13&gt;=7)*($ANR$5:$ANR13&lt;=9)),$AOU$5:$AOU13),0)))))</f>
        <v/>
      </c>
      <c r="AOW13" s="12">
        <f>AOW12+AOU13-AOV13</f>
        <v/>
      </c>
      <c r="AOX13" s="12">
        <f>IF(ProviderDelay&gt;=1,AOT12*ProviderShare,AOT13*ProviderShare)</f>
        <v/>
      </c>
      <c r="AOY13" s="12">
        <f>AOQ13*PaymentFee</f>
        <v/>
      </c>
      <c r="AOZ13" s="12">
        <f>AOK13*OpsAI</f>
        <v/>
      </c>
      <c r="APA13" s="12">
        <f>MonthlyFixed</f>
        <v/>
      </c>
      <c r="APB13" s="12">
        <f>ANY13*ReferralReward</f>
        <v/>
      </c>
      <c r="APC13" s="12">
        <f>ANW13</f>
        <v/>
      </c>
      <c r="APD13" s="9">
        <f>AOT13-AOX13-AOY13-AOZ13-APA13-APB13-APC13</f>
        <v/>
      </c>
      <c r="APE13" s="9">
        <f>APE12+AOQ13-(AOX13+AOY13+AOZ13+APA13+APB13+APC13+AOV13)</f>
        <v/>
      </c>
      <c r="APF13" s="12">
        <f>IF(AOK13&gt;0,AOL13/AOK13,0)</f>
        <v/>
      </c>
      <c r="APG13" s="11">
        <f>IF(AOK12&gt;0,MAX(0,(AOK12+ANZ13-AOK13)/AOK12),0)</f>
        <v/>
      </c>
      <c r="API13" s="12" t="n">
        <v>9</v>
      </c>
      <c r="APJ13" s="12">
        <f>MOD(API13-1+LaunchMonth-1,12)+1</f>
        <v/>
      </c>
      <c r="APK13" s="12">
        <f>INT((API13-1+LaunchMonth-1)/12)+1</f>
        <v/>
      </c>
      <c r="APL13" s="12">
        <f>VLOOKUP(APJ13,SeasonTable,2,FALSE)</f>
        <v/>
      </c>
      <c r="APM13" s="12">
        <f>(1+InflationRate)^INT((API13-1)/12)</f>
        <v/>
      </c>
      <c r="APN13" s="11">
        <f>MonthlyChurn*VLOOKUP(APJ13,ChurnSeasonTable,4,FALSE)</f>
        <v/>
      </c>
      <c r="APO13" s="12">
        <f>MIN(MAX(MktMin7_12,AQI12*MktPct7_12),MAX(0,AQW12-CashBuffer))</f>
        <v/>
      </c>
      <c r="APP13" s="12">
        <f>IF(APO13&gt;0,MAX(1,ROUND(APO13/'Sens - CAC &amp; Marketing'!$A$15*APL13,0)),0)</f>
        <v/>
      </c>
      <c r="APQ13" s="12">
        <f>IF(APP13&gt;0,ROUND(APP13*ReferralMix/(1-ReferralMix),0),0)</f>
        <v/>
      </c>
      <c r="APR13" s="12">
        <f>APP13+APQ13</f>
        <v/>
      </c>
      <c r="APS13" s="12">
        <f>ROUND(APR13*(1-AnnualMix),0)</f>
        <v/>
      </c>
      <c r="APT13" s="12">
        <f>APR13-APS13</f>
        <v/>
      </c>
      <c r="APU13" s="12">
        <f>ROUND(APS13*EssentialMix,0)</f>
        <v/>
      </c>
      <c r="APV13" s="12">
        <f>APS13-APU13</f>
        <v/>
      </c>
      <c r="APW13" s="12">
        <f>ROUND(APT13*EssentialMix,0)</f>
        <v/>
      </c>
      <c r="APX13" s="12">
        <f>APT13-APW13</f>
        <v/>
      </c>
      <c r="APY13" s="12">
        <f>APU13+APU12+APU11+MAX(0,APY12-APU12-APU11)*(1-APN13)</f>
        <v/>
      </c>
      <c r="APZ13" s="12">
        <f>APV13+APV12+APV11+MAX(0,APZ12-APV12-APV11)*(1-APN13)</f>
        <v/>
      </c>
      <c r="AQA13" s="12">
        <f>SUM(APW$5:APW13)</f>
        <v/>
      </c>
      <c r="AQB13" s="12">
        <f>SUM(APX$5:APX13)</f>
        <v/>
      </c>
      <c r="AQC13" s="12">
        <f>APY13+APZ13+AQA13+AQB13</f>
        <v/>
      </c>
      <c r="AQD13" s="9">
        <f>APY13*PriceEssMonthly*APM13+APZ13*PricePremMonthly*APM13+AQA13*PriceEssAnnual*APM13/12+AQB13*PricePremAnnual*APM13/12</f>
        <v/>
      </c>
      <c r="AQE13" s="9">
        <f>AQD13*12</f>
        <v/>
      </c>
      <c r="AQF13" s="12">
        <f>APY13*PriceEssMonthly*APM13+APZ13*PricePremMonthly*APM13</f>
        <v/>
      </c>
      <c r="AQG13" s="12">
        <f>APW13*PriceEssAnnual*APM13+APX13*PricePremAnnual*APM13</f>
        <v/>
      </c>
      <c r="AQH13" s="12">
        <f>0+0</f>
        <v/>
      </c>
      <c r="AQI13" s="9">
        <f>AQF13+AQG13+AQH13</f>
        <v/>
      </c>
      <c r="AQJ13" s="12">
        <f>SUM(AQI$5:AQI13)</f>
        <v/>
      </c>
      <c r="AQK13" s="12">
        <f>OR(AQK12,AQJ13&gt;=VATThreshold)</f>
        <v/>
      </c>
      <c r="AQL13" s="9">
        <f>IF(AQK13,AQI13/(1+VATRate),AQI13)</f>
        <v/>
      </c>
      <c r="AQM13" s="12">
        <f>AQI13-AQL13</f>
        <v/>
      </c>
      <c r="AQN13" s="12">
        <f>IF(AQK13=0,0,IF(APJ13=1,SUMPRODUCT(--(($APK$5:$APK13=$APK13-1)*($APJ$5:$APJ13&gt;=10)*($APJ$5:$APJ13&lt;=12)),$AQM$5:$AQM13),IF(APJ13=4,SUMPRODUCT(--(($APK$5:$APK13=$APK13)*($APJ$5:$APJ13&gt;=1)*($APJ$5:$APJ13&lt;=3)),$AQM$5:$AQM13),IF(APJ13=7,SUMPRODUCT(--(($APK$5:$APK13=$APK13)*($APJ$5:$APJ13&gt;=4)*($APJ$5:$APJ13&lt;=6)),$AQM$5:$AQM13),IF(APJ13=10,SUMPRODUCT(--(($APK$5:$APK13=$APK13)*($APJ$5:$APJ13&gt;=7)*($APJ$5:$APJ13&lt;=9)),$AQM$5:$AQM13),0)))))</f>
        <v/>
      </c>
      <c r="AQO13" s="12">
        <f>AQO12+AQM13-AQN13</f>
        <v/>
      </c>
      <c r="AQP13" s="12">
        <f>IF(ProviderDelay&gt;=1,AQL12*ProviderShare,AQL13*ProviderShare)</f>
        <v/>
      </c>
      <c r="AQQ13" s="12">
        <f>AQI13*PaymentFee</f>
        <v/>
      </c>
      <c r="AQR13" s="12">
        <f>AQC13*OpsAI</f>
        <v/>
      </c>
      <c r="AQS13" s="12">
        <f>MonthlyFixed</f>
        <v/>
      </c>
      <c r="AQT13" s="12">
        <f>APQ13*ReferralReward</f>
        <v/>
      </c>
      <c r="AQU13" s="12">
        <f>APO13</f>
        <v/>
      </c>
      <c r="AQV13" s="9">
        <f>AQL13-AQP13-AQQ13-AQR13-AQS13-AQT13-AQU13</f>
        <v/>
      </c>
      <c r="AQW13" s="9">
        <f>AQW12+AQI13-(AQP13+AQQ13+AQR13+AQS13+AQT13+AQU13+AQN13)</f>
        <v/>
      </c>
      <c r="AQX13" s="12">
        <f>IF(AQC13&gt;0,AQD13/AQC13,0)</f>
        <v/>
      </c>
      <c r="AQY13" s="11">
        <f>IF(AQC12&gt;0,MAX(0,(AQC12+APR13-AQC13)/AQC12),0)</f>
        <v/>
      </c>
      <c r="ARA13" s="12" t="n">
        <v>9</v>
      </c>
      <c r="ARB13" s="12">
        <f>MOD(ARA13-1+LaunchMonth-1,12)+1</f>
        <v/>
      </c>
      <c r="ARC13" s="12">
        <f>INT((ARA13-1+LaunchMonth-1)/12)+1</f>
        <v/>
      </c>
      <c r="ARD13" s="12">
        <f>VLOOKUP(ARB13,WinterPivotSeasonTable,5,FALSE)</f>
        <v/>
      </c>
      <c r="ARE13" s="12">
        <f>(1+InflationRate)^INT((ARA13-1)/12)</f>
        <v/>
      </c>
      <c r="ARF13" s="11">
        <f>MonthlyChurn*VLOOKUP(ARB13,WinterPivotChurnTable,6,FALSE)</f>
        <v/>
      </c>
      <c r="ARG13" s="12">
        <f>MIN(MAX(MktMin7_12,ASA12*MktPct7_12),MAX(0,ASO12-CashBuffer))</f>
        <v/>
      </c>
      <c r="ARH13" s="12">
        <f>IF(ARG13&gt;0,MAX(1,ROUND(ARG13/CAC*ARD13,0)),0)</f>
        <v/>
      </c>
      <c r="ARI13" s="12">
        <f>IF(ARH13&gt;0,ROUND(ARH13*ReferralMix/(1-ReferralMix),0),0)</f>
        <v/>
      </c>
      <c r="ARJ13" s="12">
        <f>ARH13+ARI13</f>
        <v/>
      </c>
      <c r="ARK13" s="12">
        <f>ROUND(ARJ13*(1-AnnualMix),0)</f>
        <v/>
      </c>
      <c r="ARL13" s="12">
        <f>ARJ13-ARK13</f>
        <v/>
      </c>
      <c r="ARM13" s="12">
        <f>ROUND(ARK13*'Sens - Winter Pivot'!$B$6,0)</f>
        <v/>
      </c>
      <c r="ARN13" s="12">
        <f>ARK13-ARM13</f>
        <v/>
      </c>
      <c r="ARO13" s="12">
        <f>ROUND(ARL13*'Sens - Winter Pivot'!$B$6,0)</f>
        <v/>
      </c>
      <c r="ARP13" s="12">
        <f>ARL13-ARO13</f>
        <v/>
      </c>
      <c r="ARQ13" s="12">
        <f>ARM13+ARM12+ARM11+MAX(0,ARQ12-ARM12-ARM11)*(1-ARF13)</f>
        <v/>
      </c>
      <c r="ARR13" s="12">
        <f>ARN13+ARN12+ARN11+MAX(0,ARR12-ARN12-ARN11)*(1-ARF13)</f>
        <v/>
      </c>
      <c r="ARS13" s="12">
        <f>SUM(ARO$5:ARO13)</f>
        <v/>
      </c>
      <c r="ART13" s="12">
        <f>SUM(ARP$5:ARP13)</f>
        <v/>
      </c>
      <c r="ARU13" s="12">
        <f>ARQ13+ARR13+ARS13+ART13</f>
        <v/>
      </c>
      <c r="ARV13" s="9">
        <f>ARQ13*PriceEssMonthly*ARE13+ARR13*(PricePremMonthly+'Sens - Winter Pivot'!$B$7)*ARE13+ARS13*PriceEssAnnual*ARE13/12+ART13*(PricePremAnnual+'Sens - Winter Pivot'!$B$7*12)*ARE13/12</f>
        <v/>
      </c>
      <c r="ARW13" s="9">
        <f>ARV13*12</f>
        <v/>
      </c>
      <c r="ARX13" s="12">
        <f>ARQ13*PriceEssMonthly*ARE13+ARR13*(PricePremMonthly+'Sens - Winter Pivot'!$B$7)*ARE13</f>
        <v/>
      </c>
      <c r="ARY13" s="12">
        <f>ARO13*PriceEssAnnual*ARE13+ARP13*(PricePremAnnual+'Sens - Winter Pivot'!$B$7*12)*ARE13</f>
        <v/>
      </c>
      <c r="ARZ13" s="12">
        <f>0+0</f>
        <v/>
      </c>
      <c r="ASA13" s="9">
        <f>ARX13+ARY13+ARZ13</f>
        <v/>
      </c>
      <c r="ASB13" s="12">
        <f>SUM(ASA$5:ASA13)</f>
        <v/>
      </c>
      <c r="ASC13" s="12">
        <f>OR(ASC12,ASB13&gt;=VATThreshold)</f>
        <v/>
      </c>
      <c r="ASD13" s="9">
        <f>IF(ASC13,ASA13/(1+VATRate),ASA13)</f>
        <v/>
      </c>
      <c r="ASE13" s="12">
        <f>ASA13-ASD13</f>
        <v/>
      </c>
      <c r="ASF13" s="12">
        <f>IF(ASC13=0,0,IF(ARB13=1,SUMPRODUCT(--(($ARC$5:$ARC13=$ARC13-1)*($ARB$5:$ARB13&gt;=10)*($ARB$5:$ARB13&lt;=12)),$ASE$5:$ASE13),IF(ARB13=4,SUMPRODUCT(--(($ARC$5:$ARC13=$ARC13)*($ARB$5:$ARB13&gt;=1)*($ARB$5:$ARB13&lt;=3)),$ASE$5:$ASE13),IF(ARB13=7,SUMPRODUCT(--(($ARC$5:$ARC13=$ARC13)*($ARB$5:$ARB13&gt;=4)*($ARB$5:$ARB13&lt;=6)),$ASE$5:$ASE13),IF(ARB13=10,SUMPRODUCT(--(($ARC$5:$ARC13=$ARC13)*($ARB$5:$ARB13&gt;=7)*($ARB$5:$ARB13&lt;=9)),$ASE$5:$ASE13),0)))))</f>
        <v/>
      </c>
      <c r="ASG13" s="12">
        <f>ASG12+ASE13-ASF13</f>
        <v/>
      </c>
      <c r="ASH13" s="12">
        <f>IF(ProviderDelay&gt;=1,ASD12*ProviderShare,ASD13*ProviderShare)</f>
        <v/>
      </c>
      <c r="ASI13" s="12">
        <f>ASA13*PaymentFee</f>
        <v/>
      </c>
      <c r="ASJ13" s="12">
        <f>ARU13*OpsAI</f>
        <v/>
      </c>
      <c r="ASK13" s="12">
        <f>MonthlyFixed</f>
        <v/>
      </c>
      <c r="ASL13" s="12">
        <f>ARI13*ReferralReward</f>
        <v/>
      </c>
      <c r="ASM13" s="12">
        <f>ARG13</f>
        <v/>
      </c>
      <c r="ASN13" s="9">
        <f>ASD13-ASH13-ASI13-ASJ13-ASK13-ASL13-ASM13</f>
        <v/>
      </c>
      <c r="ASO13" s="9">
        <f>ASO12+ASA13-(ASH13+ASI13+ASJ13+ASK13+ASL13+ASM13+ASF13)</f>
        <v/>
      </c>
      <c r="ASP13" s="12">
        <f>IF(ARU13&gt;0,ARV13/ARU13,0)</f>
        <v/>
      </c>
      <c r="ASQ13" s="11">
        <f>IF(ARU12&gt;0,MAX(0,(ARU12+ARJ13-ARU13)/ARU12),0)</f>
        <v/>
      </c>
    </row>
    <row r="14">
      <c r="A14" s="12" t="n">
        <v>10</v>
      </c>
      <c r="B14" s="12">
        <f>MOD(A14-1+LaunchMonth-1,12)+1</f>
        <v/>
      </c>
      <c r="C14" s="12">
        <f>INT((A14-1+LaunchMonth-1)/12)+1</f>
        <v/>
      </c>
      <c r="D14" s="12">
        <f>VLOOKUP(B14,SeasonTable,2,FALSE)</f>
        <v/>
      </c>
      <c r="E14" s="12">
        <f>(1+InflationRate)^INT((A14-1)/12)</f>
        <v/>
      </c>
      <c r="F14" s="11">
        <f>'Sens - Scenarios'!$B$5*VLOOKUP(B14,ChurnSeasonTable,4,FALSE)</f>
        <v/>
      </c>
      <c r="G14" s="12">
        <f>MIN(MAX(MktMin7_12,AA13*MktPct7_12),MAX(0,AO13-CashBuffer))</f>
        <v/>
      </c>
      <c r="H14" s="12">
        <f>IF(G14&gt;0,MAX(1,ROUND(G14/'Sens - Scenarios'!$B$8*D14,0)),0)</f>
        <v/>
      </c>
      <c r="I14" s="12">
        <f>IF(H14&gt;0,ROUND(H14*ReferralMix/(1-ReferralMix),0),0)</f>
        <v/>
      </c>
      <c r="J14" s="12">
        <f>H14+I14</f>
        <v/>
      </c>
      <c r="K14" s="12">
        <f>ROUND(J14*(1-'Sens - Scenarios'!$B$7),0)</f>
        <v/>
      </c>
      <c r="L14" s="12">
        <f>J14-K14</f>
        <v/>
      </c>
      <c r="M14" s="12">
        <f>ROUND(K14*EssentialMix,0)</f>
        <v/>
      </c>
      <c r="N14" s="12">
        <f>K14-M14</f>
        <v/>
      </c>
      <c r="O14" s="12">
        <f>ROUND(L14*EssentialMix,0)</f>
        <v/>
      </c>
      <c r="P14" s="12">
        <f>L14-O14</f>
        <v/>
      </c>
      <c r="Q14" s="12">
        <f>M14+M13+M12+MAX(0,Q13-M13-M12)*(1-F14)</f>
        <v/>
      </c>
      <c r="R14" s="12">
        <f>N14+N13+N12+MAX(0,R13-N13-N12)*(1-F14)</f>
        <v/>
      </c>
      <c r="S14" s="12">
        <f>SUM(O$5:O14)</f>
        <v/>
      </c>
      <c r="T14" s="12">
        <f>SUM(P$5:P14)</f>
        <v/>
      </c>
      <c r="U14" s="12">
        <f>Q14+R14+S14+T14</f>
        <v/>
      </c>
      <c r="V14" s="9">
        <f>Q14*PriceEssMonthly*E14+R14*PricePremMonthly*E14+S14*PriceEssAnnual*E14/12+T14*PricePremAnnual*E14/12</f>
        <v/>
      </c>
      <c r="W14" s="9">
        <f>V14*12</f>
        <v/>
      </c>
      <c r="X14" s="12">
        <f>Q14*PriceEssMonthly*E14+R14*PricePremMonthly*E14</f>
        <v/>
      </c>
      <c r="Y14" s="12">
        <f>O14*PriceEssAnnual*E14+P14*PricePremAnnual*E14</f>
        <v/>
      </c>
      <c r="Z14" s="12">
        <f>0+0</f>
        <v/>
      </c>
      <c r="AA14" s="9">
        <f>X14+Y14+Z14</f>
        <v/>
      </c>
      <c r="AB14" s="12">
        <f>SUM(AA$5:AA14)</f>
        <v/>
      </c>
      <c r="AC14" s="12">
        <f>OR(AC13,AB14&gt;=VATThreshold)</f>
        <v/>
      </c>
      <c r="AD14" s="9">
        <f>IF(AC14,AA14/(1+VATRate),AA14)</f>
        <v/>
      </c>
      <c r="AE14" s="12">
        <f>AA14-AD14</f>
        <v/>
      </c>
      <c r="AF14" s="12">
        <f>IF(AC14=0,0,IF(B14=1,SUMPRODUCT(--(($C$5:$C14=$C14-1)*($B$5:$B14&gt;=10)*($B$5:$B14&lt;=12)),$AE$5:$AE14),IF(B14=4,SUMPRODUCT(--(($C$5:$C14=$C14)*($B$5:$B14&gt;=1)*($B$5:$B14&lt;=3)),$AE$5:$AE14),IF(B14=7,SUMPRODUCT(--(($C$5:$C14=$C14)*($B$5:$B14&gt;=4)*($B$5:$B14&lt;=6)),$AE$5:$AE14),IF(B14=10,SUMPRODUCT(--(($C$5:$C14=$C14)*($B$5:$B14&gt;=7)*($B$5:$B14&lt;=9)),$AE$5:$AE14),0)))))</f>
        <v/>
      </c>
      <c r="AG14" s="12">
        <f>AG13+AE14-AF14</f>
        <v/>
      </c>
      <c r="AH14" s="12">
        <f>IF(ProviderDelay&gt;=1,AD13*ProviderShare,AD14*ProviderShare)</f>
        <v/>
      </c>
      <c r="AI14" s="12">
        <f>AA14*PaymentFee</f>
        <v/>
      </c>
      <c r="AJ14" s="12">
        <f>U14*OpsAI</f>
        <v/>
      </c>
      <c r="AK14" s="12">
        <f>MonthlyFixed</f>
        <v/>
      </c>
      <c r="AL14" s="12">
        <f>I14*ReferralReward</f>
        <v/>
      </c>
      <c r="AM14" s="12">
        <f>G14</f>
        <v/>
      </c>
      <c r="AN14" s="9">
        <f>AD14-AH14-AI14-AJ14-AK14-AL14-AM14</f>
        <v/>
      </c>
      <c r="AO14" s="9">
        <f>AO13+AA14-(AH14+AI14+AJ14+AK14+AL14+AM14+AF14)</f>
        <v/>
      </c>
      <c r="AP14" s="12">
        <f>IF(U14&gt;0,V14/U14,0)</f>
        <v/>
      </c>
      <c r="AQ14" s="11">
        <f>IF(U13&gt;0,MAX(0,(U13+J14-U14)/U13),0)</f>
        <v/>
      </c>
      <c r="AS14" s="12" t="n">
        <v>10</v>
      </c>
      <c r="AT14" s="12">
        <f>MOD(AS14-1+LaunchMonth-1,12)+1</f>
        <v/>
      </c>
      <c r="AU14" s="12">
        <f>INT((AS14-1+LaunchMonth-1)/12)+1</f>
        <v/>
      </c>
      <c r="AV14" s="12">
        <f>VLOOKUP(AT14,SeasonTable,2,FALSE)</f>
        <v/>
      </c>
      <c r="AW14" s="12">
        <f>(1+InflationRate)^INT((AS14-1)/12)</f>
        <v/>
      </c>
      <c r="AX14" s="11">
        <f>MonthlyChurn*VLOOKUP(AT14,ChurnSeasonTable,4,FALSE)</f>
        <v/>
      </c>
      <c r="AY14" s="12">
        <f>MIN(MAX(MktMin7_12,BS13*MktPct7_12),MAX(0,CG13-CashBuffer))</f>
        <v/>
      </c>
      <c r="AZ14" s="12">
        <f>IF(AY14&gt;0,MAX(1,ROUND(AY14/CAC*AV14,0)),0)</f>
        <v/>
      </c>
      <c r="BA14" s="12">
        <f>IF(AZ14&gt;0,ROUND(AZ14*ReferralMix/(1-ReferralMix),0),0)</f>
        <v/>
      </c>
      <c r="BB14" s="12">
        <f>AZ14+BA14</f>
        <v/>
      </c>
      <c r="BC14" s="12">
        <f>ROUND(BB14*(1-AnnualMix),0)</f>
        <v/>
      </c>
      <c r="BD14" s="12">
        <f>BB14-BC14</f>
        <v/>
      </c>
      <c r="BE14" s="12">
        <f>ROUND(BC14*EssentialMix,0)</f>
        <v/>
      </c>
      <c r="BF14" s="12">
        <f>BC14-BE14</f>
        <v/>
      </c>
      <c r="BG14" s="12">
        <f>ROUND(BD14*EssentialMix,0)</f>
        <v/>
      </c>
      <c r="BH14" s="12">
        <f>BD14-BG14</f>
        <v/>
      </c>
      <c r="BI14" s="12">
        <f>BE14+BE13+BE12+MAX(0,BI13-BE13-BE12)*(1-AX14)</f>
        <v/>
      </c>
      <c r="BJ14" s="12">
        <f>BF14+BF13+BF12+MAX(0,BJ13-BF13-BF12)*(1-AX14)</f>
        <v/>
      </c>
      <c r="BK14" s="12">
        <f>SUM(BG$5:BG14)</f>
        <v/>
      </c>
      <c r="BL14" s="12">
        <f>SUM(BH$5:BH14)</f>
        <v/>
      </c>
      <c r="BM14" s="12">
        <f>BI14+BJ14+BK14+BL14</f>
        <v/>
      </c>
      <c r="BN14" s="9">
        <f>BI14*PriceEssMonthly*AW14+BJ14*PricePremMonthly*AW14+BK14*PriceEssAnnual*AW14/12+BL14*PricePremAnnual*AW14/12</f>
        <v/>
      </c>
      <c r="BO14" s="9">
        <f>BN14*12</f>
        <v/>
      </c>
      <c r="BP14" s="12">
        <f>BI14*PriceEssMonthly*AW14+BJ14*PricePremMonthly*AW14</f>
        <v/>
      </c>
      <c r="BQ14" s="12">
        <f>BG14*PriceEssAnnual*AW14+BH14*PricePremAnnual*AW14</f>
        <v/>
      </c>
      <c r="BR14" s="12">
        <f>0+0</f>
        <v/>
      </c>
      <c r="BS14" s="9">
        <f>BP14+BQ14+BR14</f>
        <v/>
      </c>
      <c r="BT14" s="12">
        <f>SUM(BS$5:BS14)</f>
        <v/>
      </c>
      <c r="BU14" s="12">
        <f>OR(BU13,BT14&gt;=VATThreshold)</f>
        <v/>
      </c>
      <c r="BV14" s="9">
        <f>IF(BU14,BS14/(1+VATRate),BS14)</f>
        <v/>
      </c>
      <c r="BW14" s="12">
        <f>BS14-BV14</f>
        <v/>
      </c>
      <c r="BX14" s="12">
        <f>IF(BU14=0,0,IF(AT14=1,SUMPRODUCT(--(($AU$5:$AU14=$AU14-1)*($AT$5:$AT14&gt;=10)*($AT$5:$AT14&lt;=12)),$BW$5:$BW14),IF(AT14=4,SUMPRODUCT(--(($AU$5:$AU14=$AU14)*($AT$5:$AT14&gt;=1)*($AT$5:$AT14&lt;=3)),$BW$5:$BW14),IF(AT14=7,SUMPRODUCT(--(($AU$5:$AU14=$AU14)*($AT$5:$AT14&gt;=4)*($AT$5:$AT14&lt;=6)),$BW$5:$BW14),IF(AT14=10,SUMPRODUCT(--(($AU$5:$AU14=$AU14)*($AT$5:$AT14&gt;=7)*($AT$5:$AT14&lt;=9)),$BW$5:$BW14),0)))))</f>
        <v/>
      </c>
      <c r="BY14" s="12">
        <f>BY13+BW14-BX14</f>
        <v/>
      </c>
      <c r="BZ14" s="12">
        <f>IF(ProviderDelay&gt;=1,BV13*ProviderShare,BV14*ProviderShare)</f>
        <v/>
      </c>
      <c r="CA14" s="12">
        <f>BS14*PaymentFee</f>
        <v/>
      </c>
      <c r="CB14" s="12">
        <f>BM14*OpsAI</f>
        <v/>
      </c>
      <c r="CC14" s="12">
        <f>MonthlyFixed</f>
        <v/>
      </c>
      <c r="CD14" s="12">
        <f>BA14*ReferralReward</f>
        <v/>
      </c>
      <c r="CE14" s="12">
        <f>AY14</f>
        <v/>
      </c>
      <c r="CF14" s="9">
        <f>BV14-BZ14-CA14-CB14-CC14-CD14-CE14</f>
        <v/>
      </c>
      <c r="CG14" s="9">
        <f>CG13+BS14-(BZ14+CA14+CB14+CC14+CD14+CE14+BX14)</f>
        <v/>
      </c>
      <c r="CH14" s="12">
        <f>IF(BM14&gt;0,BN14/BM14,0)</f>
        <v/>
      </c>
      <c r="CI14" s="11">
        <f>IF(BM13&gt;0,MAX(0,(BM13+BB14-BM14)/BM13),0)</f>
        <v/>
      </c>
      <c r="CK14" s="12" t="n">
        <v>10</v>
      </c>
      <c r="CL14" s="12">
        <f>MOD(CK14-1+LaunchMonth-1,12)+1</f>
        <v/>
      </c>
      <c r="CM14" s="12">
        <f>INT((CK14-1+LaunchMonth-1)/12)+1</f>
        <v/>
      </c>
      <c r="CN14" s="12">
        <f>VLOOKUP(CL14,SeasonTable,2,FALSE)</f>
        <v/>
      </c>
      <c r="CO14" s="12">
        <f>(1+InflationRate)^INT((CK14-1)/12)</f>
        <v/>
      </c>
      <c r="CP14" s="11">
        <f>'Sens - Scenarios'!$D$5*VLOOKUP(CL14,ChurnSeasonTable,4,FALSE)</f>
        <v/>
      </c>
      <c r="CQ14" s="12">
        <f>MIN(MAX(MktMin7_12,DK13*MktPct7_12),MAX(0,DY13-CashBuffer))</f>
        <v/>
      </c>
      <c r="CR14" s="12">
        <f>IF(CQ14&gt;0,MAX(1,ROUND(CQ14/'Sens - Scenarios'!$D$8*CN14,0)),0)</f>
        <v/>
      </c>
      <c r="CS14" s="12">
        <f>IF(CR14&gt;0,ROUND(CR14*ReferralMix/(1-ReferralMix),0),0)</f>
        <v/>
      </c>
      <c r="CT14" s="12">
        <f>CR14+CS14</f>
        <v/>
      </c>
      <c r="CU14" s="12">
        <f>ROUND(CT14*(1-'Sens - Scenarios'!$D$7),0)</f>
        <v/>
      </c>
      <c r="CV14" s="12">
        <f>CT14-CU14</f>
        <v/>
      </c>
      <c r="CW14" s="12">
        <f>ROUND(CU14*EssentialMix,0)</f>
        <v/>
      </c>
      <c r="CX14" s="12">
        <f>CU14-CW14</f>
        <v/>
      </c>
      <c r="CY14" s="12">
        <f>ROUND(CV14*EssentialMix,0)</f>
        <v/>
      </c>
      <c r="CZ14" s="12">
        <f>CV14-CY14</f>
        <v/>
      </c>
      <c r="DA14" s="12">
        <f>CW14+CW13+CW12+MAX(0,DA13-CW13-CW12)*(1-CP14)</f>
        <v/>
      </c>
      <c r="DB14" s="12">
        <f>CX14+CX13+CX12+MAX(0,DB13-CX13-CX12)*(1-CP14)</f>
        <v/>
      </c>
      <c r="DC14" s="12">
        <f>SUM(CY$5:CY14)</f>
        <v/>
      </c>
      <c r="DD14" s="12">
        <f>SUM(CZ$5:CZ14)</f>
        <v/>
      </c>
      <c r="DE14" s="12">
        <f>DA14+DB14+DC14+DD14</f>
        <v/>
      </c>
      <c r="DF14" s="9">
        <f>DA14*PriceEssMonthly*CO14+DB14*PricePremMonthly*CO14+DC14*PriceEssAnnual*CO14/12+DD14*PricePremAnnual*CO14/12</f>
        <v/>
      </c>
      <c r="DG14" s="9">
        <f>DF14*12</f>
        <v/>
      </c>
      <c r="DH14" s="12">
        <f>DA14*PriceEssMonthly*CO14+DB14*PricePremMonthly*CO14</f>
        <v/>
      </c>
      <c r="DI14" s="12">
        <f>CY14*PriceEssAnnual*CO14+CZ14*PricePremAnnual*CO14</f>
        <v/>
      </c>
      <c r="DJ14" s="12">
        <f>0+0</f>
        <v/>
      </c>
      <c r="DK14" s="9">
        <f>DH14+DI14+DJ14</f>
        <v/>
      </c>
      <c r="DL14" s="12">
        <f>SUM(DK$5:DK14)</f>
        <v/>
      </c>
      <c r="DM14" s="12">
        <f>OR(DM13,DL14&gt;=VATThreshold)</f>
        <v/>
      </c>
      <c r="DN14" s="9">
        <f>IF(DM14,DK14/(1+VATRate),DK14)</f>
        <v/>
      </c>
      <c r="DO14" s="12">
        <f>DK14-DN14</f>
        <v/>
      </c>
      <c r="DP14" s="12">
        <f>IF(DM14=0,0,IF(CL14=1,SUMPRODUCT(--(($CM$5:$CM14=$CM14-1)*($CL$5:$CL14&gt;=10)*($CL$5:$CL14&lt;=12)),$DO$5:$DO14),IF(CL14=4,SUMPRODUCT(--(($CM$5:$CM14=$CM14)*($CL$5:$CL14&gt;=1)*($CL$5:$CL14&lt;=3)),$DO$5:$DO14),IF(CL14=7,SUMPRODUCT(--(($CM$5:$CM14=$CM14)*($CL$5:$CL14&gt;=4)*($CL$5:$CL14&lt;=6)),$DO$5:$DO14),IF(CL14=10,SUMPRODUCT(--(($CM$5:$CM14=$CM14)*($CL$5:$CL14&gt;=7)*($CL$5:$CL14&lt;=9)),$DO$5:$DO14),0)))))</f>
        <v/>
      </c>
      <c r="DQ14" s="12">
        <f>DQ13+DO14-DP14</f>
        <v/>
      </c>
      <c r="DR14" s="12">
        <f>IF(ProviderDelay&gt;=1,DN13*ProviderShare,DN14*ProviderShare)</f>
        <v/>
      </c>
      <c r="DS14" s="12">
        <f>DK14*PaymentFee</f>
        <v/>
      </c>
      <c r="DT14" s="12">
        <f>DE14*OpsAI</f>
        <v/>
      </c>
      <c r="DU14" s="12">
        <f>MonthlyFixed</f>
        <v/>
      </c>
      <c r="DV14" s="12">
        <f>CS14*ReferralReward</f>
        <v/>
      </c>
      <c r="DW14" s="12">
        <f>CQ14</f>
        <v/>
      </c>
      <c r="DX14" s="9">
        <f>DN14-DR14-DS14-DT14-DU14-DV14-DW14</f>
        <v/>
      </c>
      <c r="DY14" s="9">
        <f>DY13+DK14-(DR14+DS14+DT14+DU14+DV14+DW14+DP14)</f>
        <v/>
      </c>
      <c r="DZ14" s="12">
        <f>IF(DE14&gt;0,DF14/DE14,0)</f>
        <v/>
      </c>
      <c r="EA14" s="11">
        <f>IF(DE13&gt;0,MAX(0,(DE13+CT14-DE14)/DE13),0)</f>
        <v/>
      </c>
      <c r="EC14" s="12" t="n">
        <v>10</v>
      </c>
      <c r="ED14" s="12">
        <f>MOD(EC14-1+LaunchMonth-1,12)+1</f>
        <v/>
      </c>
      <c r="EE14" s="12">
        <f>INT((EC14-1+LaunchMonth-1)/12)+1</f>
        <v/>
      </c>
      <c r="EF14" s="12">
        <f>VLOOKUP(ED14,SeasonTable,2,FALSE)</f>
        <v/>
      </c>
      <c r="EG14" s="12">
        <f>(1+InflationRate)^INT((EC14-1)/12)</f>
        <v/>
      </c>
      <c r="EH14" s="11">
        <f>'Sens - Churn'!$A$13*VLOOKUP(ED14,ChurnSeasonTable,4,FALSE)</f>
        <v/>
      </c>
      <c r="EI14" s="12">
        <f>MIN(MAX(MktMin7_12,FC13*MktPct7_12),MAX(0,FQ13-CashBuffer))</f>
        <v/>
      </c>
      <c r="EJ14" s="12">
        <f>IF(EI14&gt;0,MAX(1,ROUND(EI14/CAC*EF14,0)),0)</f>
        <v/>
      </c>
      <c r="EK14" s="12">
        <f>IF(EJ14&gt;0,ROUND(EJ14*ReferralMix/(1-ReferralMix),0),0)</f>
        <v/>
      </c>
      <c r="EL14" s="12">
        <f>EJ14+EK14</f>
        <v/>
      </c>
      <c r="EM14" s="12">
        <f>ROUND(EL14*(1-AnnualMix),0)</f>
        <v/>
      </c>
      <c r="EN14" s="12">
        <f>EL14-EM14</f>
        <v/>
      </c>
      <c r="EO14" s="12">
        <f>ROUND(EM14*EssentialMix,0)</f>
        <v/>
      </c>
      <c r="EP14" s="12">
        <f>EM14-EO14</f>
        <v/>
      </c>
      <c r="EQ14" s="12">
        <f>ROUND(EN14*EssentialMix,0)</f>
        <v/>
      </c>
      <c r="ER14" s="12">
        <f>EN14-EQ14</f>
        <v/>
      </c>
      <c r="ES14" s="12">
        <f>EO14+EO13+EO12+MAX(0,ES13-EO13-EO12)*(1-EH14)</f>
        <v/>
      </c>
      <c r="ET14" s="12">
        <f>EP14+EP13+EP12+MAX(0,ET13-EP13-EP12)*(1-EH14)</f>
        <v/>
      </c>
      <c r="EU14" s="12">
        <f>SUM(EQ$5:EQ14)</f>
        <v/>
      </c>
      <c r="EV14" s="12">
        <f>SUM(ER$5:ER14)</f>
        <v/>
      </c>
      <c r="EW14" s="12">
        <f>ES14+ET14+EU14+EV14</f>
        <v/>
      </c>
      <c r="EX14" s="9">
        <f>ES14*PriceEssMonthly*EG14+ET14*PricePremMonthly*EG14+EU14*PriceEssAnnual*EG14/12+EV14*PricePremAnnual*EG14/12</f>
        <v/>
      </c>
      <c r="EY14" s="9">
        <f>EX14*12</f>
        <v/>
      </c>
      <c r="EZ14" s="12">
        <f>ES14*PriceEssMonthly*EG14+ET14*PricePremMonthly*EG14</f>
        <v/>
      </c>
      <c r="FA14" s="12">
        <f>EQ14*PriceEssAnnual*EG14+ER14*PricePremAnnual*EG14</f>
        <v/>
      </c>
      <c r="FB14" s="12">
        <f>0+0</f>
        <v/>
      </c>
      <c r="FC14" s="9">
        <f>EZ14+FA14+FB14</f>
        <v/>
      </c>
      <c r="FD14" s="12">
        <f>SUM(FC$5:FC14)</f>
        <v/>
      </c>
      <c r="FE14" s="12">
        <f>OR(FE13,FD14&gt;=VATThreshold)</f>
        <v/>
      </c>
      <c r="FF14" s="9">
        <f>IF(FE14,FC14/(1+VATRate),FC14)</f>
        <v/>
      </c>
      <c r="FG14" s="12">
        <f>FC14-FF14</f>
        <v/>
      </c>
      <c r="FH14" s="12">
        <f>IF(FE14=0,0,IF(ED14=1,SUMPRODUCT(--(($EE$5:$EE14=$EE14-1)*($ED$5:$ED14&gt;=10)*($ED$5:$ED14&lt;=12)),$FG$5:$FG14),IF(ED14=4,SUMPRODUCT(--(($EE$5:$EE14=$EE14)*($ED$5:$ED14&gt;=1)*($ED$5:$ED14&lt;=3)),$FG$5:$FG14),IF(ED14=7,SUMPRODUCT(--(($EE$5:$EE14=$EE14)*($ED$5:$ED14&gt;=4)*($ED$5:$ED14&lt;=6)),$FG$5:$FG14),IF(ED14=10,SUMPRODUCT(--(($EE$5:$EE14=$EE14)*($ED$5:$ED14&gt;=7)*($ED$5:$ED14&lt;=9)),$FG$5:$FG14),0)))))</f>
        <v/>
      </c>
      <c r="FI14" s="12">
        <f>FI13+FG14-FH14</f>
        <v/>
      </c>
      <c r="FJ14" s="12">
        <f>IF(ProviderDelay&gt;=1,FF13*ProviderShare,FF14*ProviderShare)</f>
        <v/>
      </c>
      <c r="FK14" s="12">
        <f>FC14*PaymentFee</f>
        <v/>
      </c>
      <c r="FL14" s="12">
        <f>EW14*OpsAI</f>
        <v/>
      </c>
      <c r="FM14" s="12">
        <f>MonthlyFixed</f>
        <v/>
      </c>
      <c r="FN14" s="12">
        <f>EK14*ReferralReward</f>
        <v/>
      </c>
      <c r="FO14" s="12">
        <f>EI14</f>
        <v/>
      </c>
      <c r="FP14" s="9">
        <f>FF14-FJ14-FK14-FL14-FM14-FN14-FO14</f>
        <v/>
      </c>
      <c r="FQ14" s="9">
        <f>FQ13+FC14-(FJ14+FK14+FL14+FM14+FN14+FO14+FH14)</f>
        <v/>
      </c>
      <c r="FR14" s="12">
        <f>IF(EW14&gt;0,EX14/EW14,0)</f>
        <v/>
      </c>
      <c r="FS14" s="11">
        <f>IF(EW13&gt;0,MAX(0,(EW13+EL14-EW14)/EW13),0)</f>
        <v/>
      </c>
      <c r="FU14" s="12" t="n">
        <v>10</v>
      </c>
      <c r="FV14" s="12">
        <f>MOD(FU14-1+LaunchMonth-1,12)+1</f>
        <v/>
      </c>
      <c r="FW14" s="12">
        <f>INT((FU14-1+LaunchMonth-1)/12)+1</f>
        <v/>
      </c>
      <c r="FX14" s="12">
        <f>VLOOKUP(FV14,SeasonTable,2,FALSE)</f>
        <v/>
      </c>
      <c r="FY14" s="12">
        <f>(1+InflationRate)^INT((FU14-1)/12)</f>
        <v/>
      </c>
      <c r="FZ14" s="11">
        <f>'Sens - Churn'!$A$14*VLOOKUP(FV14,ChurnSeasonTable,4,FALSE)</f>
        <v/>
      </c>
      <c r="GA14" s="12">
        <f>MIN(MAX(MktMin7_12,GU13*MktPct7_12),MAX(0,HI13-CashBuffer))</f>
        <v/>
      </c>
      <c r="GB14" s="12">
        <f>IF(GA14&gt;0,MAX(1,ROUND(GA14/CAC*FX14,0)),0)</f>
        <v/>
      </c>
      <c r="GC14" s="12">
        <f>IF(GB14&gt;0,ROUND(GB14*ReferralMix/(1-ReferralMix),0),0)</f>
        <v/>
      </c>
      <c r="GD14" s="12">
        <f>GB14+GC14</f>
        <v/>
      </c>
      <c r="GE14" s="12">
        <f>ROUND(GD14*(1-AnnualMix),0)</f>
        <v/>
      </c>
      <c r="GF14" s="12">
        <f>GD14-GE14</f>
        <v/>
      </c>
      <c r="GG14" s="12">
        <f>ROUND(GE14*EssentialMix,0)</f>
        <v/>
      </c>
      <c r="GH14" s="12">
        <f>GE14-GG14</f>
        <v/>
      </c>
      <c r="GI14" s="12">
        <f>ROUND(GF14*EssentialMix,0)</f>
        <v/>
      </c>
      <c r="GJ14" s="12">
        <f>GF14-GI14</f>
        <v/>
      </c>
      <c r="GK14" s="12">
        <f>GG14+GG13+GG12+MAX(0,GK13-GG13-GG12)*(1-FZ14)</f>
        <v/>
      </c>
      <c r="GL14" s="12">
        <f>GH14+GH13+GH12+MAX(0,GL13-GH13-GH12)*(1-FZ14)</f>
        <v/>
      </c>
      <c r="GM14" s="12">
        <f>SUM(GI$5:GI14)</f>
        <v/>
      </c>
      <c r="GN14" s="12">
        <f>SUM(GJ$5:GJ14)</f>
        <v/>
      </c>
      <c r="GO14" s="12">
        <f>GK14+GL14+GM14+GN14</f>
        <v/>
      </c>
      <c r="GP14" s="9">
        <f>GK14*PriceEssMonthly*FY14+GL14*PricePremMonthly*FY14+GM14*PriceEssAnnual*FY14/12+GN14*PricePremAnnual*FY14/12</f>
        <v/>
      </c>
      <c r="GQ14" s="9">
        <f>GP14*12</f>
        <v/>
      </c>
      <c r="GR14" s="12">
        <f>GK14*PriceEssMonthly*FY14+GL14*PricePremMonthly*FY14</f>
        <v/>
      </c>
      <c r="GS14" s="12">
        <f>GI14*PriceEssAnnual*FY14+GJ14*PricePremAnnual*FY14</f>
        <v/>
      </c>
      <c r="GT14" s="12">
        <f>0+0</f>
        <v/>
      </c>
      <c r="GU14" s="9">
        <f>GR14+GS14+GT14</f>
        <v/>
      </c>
      <c r="GV14" s="12">
        <f>SUM(GU$5:GU14)</f>
        <v/>
      </c>
      <c r="GW14" s="12">
        <f>OR(GW13,GV14&gt;=VATThreshold)</f>
        <v/>
      </c>
      <c r="GX14" s="9">
        <f>IF(GW14,GU14/(1+VATRate),GU14)</f>
        <v/>
      </c>
      <c r="GY14" s="12">
        <f>GU14-GX14</f>
        <v/>
      </c>
      <c r="GZ14" s="12">
        <f>IF(GW14=0,0,IF(FV14=1,SUMPRODUCT(--(($FW$5:$FW14=$FW14-1)*($FV$5:$FV14&gt;=10)*($FV$5:$FV14&lt;=12)),$GY$5:$GY14),IF(FV14=4,SUMPRODUCT(--(($FW$5:$FW14=$FW14)*($FV$5:$FV14&gt;=1)*($FV$5:$FV14&lt;=3)),$GY$5:$GY14),IF(FV14=7,SUMPRODUCT(--(($FW$5:$FW14=$FW14)*($FV$5:$FV14&gt;=4)*($FV$5:$FV14&lt;=6)),$GY$5:$GY14),IF(FV14=10,SUMPRODUCT(--(($FW$5:$FW14=$FW14)*($FV$5:$FV14&gt;=7)*($FV$5:$FV14&lt;=9)),$GY$5:$GY14),0)))))</f>
        <v/>
      </c>
      <c r="HA14" s="12">
        <f>HA13+GY14-GZ14</f>
        <v/>
      </c>
      <c r="HB14" s="12">
        <f>IF(ProviderDelay&gt;=1,GX13*ProviderShare,GX14*ProviderShare)</f>
        <v/>
      </c>
      <c r="HC14" s="12">
        <f>GU14*PaymentFee</f>
        <v/>
      </c>
      <c r="HD14" s="12">
        <f>GO14*OpsAI</f>
        <v/>
      </c>
      <c r="HE14" s="12">
        <f>MonthlyFixed</f>
        <v/>
      </c>
      <c r="HF14" s="12">
        <f>GC14*ReferralReward</f>
        <v/>
      </c>
      <c r="HG14" s="12">
        <f>GA14</f>
        <v/>
      </c>
      <c r="HH14" s="9">
        <f>GX14-HB14-HC14-HD14-HE14-HF14-HG14</f>
        <v/>
      </c>
      <c r="HI14" s="9">
        <f>HI13+GU14-(HB14+HC14+HD14+HE14+HF14+HG14+GZ14)</f>
        <v/>
      </c>
      <c r="HJ14" s="12">
        <f>IF(GO14&gt;0,GP14/GO14,0)</f>
        <v/>
      </c>
      <c r="HK14" s="11">
        <f>IF(GO13&gt;0,MAX(0,(GO13+GD14-GO14)/GO13),0)</f>
        <v/>
      </c>
      <c r="HM14" s="12" t="n">
        <v>10</v>
      </c>
      <c r="HN14" s="12">
        <f>MOD(HM14-1+LaunchMonth-1,12)+1</f>
        <v/>
      </c>
      <c r="HO14" s="12">
        <f>INT((HM14-1+LaunchMonth-1)/12)+1</f>
        <v/>
      </c>
      <c r="HP14" s="12">
        <f>VLOOKUP(HN14,SeasonTable,2,FALSE)</f>
        <v/>
      </c>
      <c r="HQ14" s="12">
        <f>(1+InflationRate)^INT((HM14-1)/12)</f>
        <v/>
      </c>
      <c r="HR14" s="11">
        <f>'Sens - Churn'!$A$15*VLOOKUP(HN14,ChurnSeasonTable,4,FALSE)</f>
        <v/>
      </c>
      <c r="HS14" s="12">
        <f>MIN(MAX(MktMin7_12,IM13*MktPct7_12),MAX(0,JA13-CashBuffer))</f>
        <v/>
      </c>
      <c r="HT14" s="12">
        <f>IF(HS14&gt;0,MAX(1,ROUND(HS14/CAC*HP14,0)),0)</f>
        <v/>
      </c>
      <c r="HU14" s="12">
        <f>IF(HT14&gt;0,ROUND(HT14*ReferralMix/(1-ReferralMix),0),0)</f>
        <v/>
      </c>
      <c r="HV14" s="12">
        <f>HT14+HU14</f>
        <v/>
      </c>
      <c r="HW14" s="12">
        <f>ROUND(HV14*(1-AnnualMix),0)</f>
        <v/>
      </c>
      <c r="HX14" s="12">
        <f>HV14-HW14</f>
        <v/>
      </c>
      <c r="HY14" s="12">
        <f>ROUND(HW14*EssentialMix,0)</f>
        <v/>
      </c>
      <c r="HZ14" s="12">
        <f>HW14-HY14</f>
        <v/>
      </c>
      <c r="IA14" s="12">
        <f>ROUND(HX14*EssentialMix,0)</f>
        <v/>
      </c>
      <c r="IB14" s="12">
        <f>HX14-IA14</f>
        <v/>
      </c>
      <c r="IC14" s="12">
        <f>HY14+HY13+HY12+MAX(0,IC13-HY13-HY12)*(1-HR14)</f>
        <v/>
      </c>
      <c r="ID14" s="12">
        <f>HZ14+HZ13+HZ12+MAX(0,ID13-HZ13-HZ12)*(1-HR14)</f>
        <v/>
      </c>
      <c r="IE14" s="12">
        <f>SUM(IA$5:IA14)</f>
        <v/>
      </c>
      <c r="IF14" s="12">
        <f>SUM(IB$5:IB14)</f>
        <v/>
      </c>
      <c r="IG14" s="12">
        <f>IC14+ID14+IE14+IF14</f>
        <v/>
      </c>
      <c r="IH14" s="9">
        <f>IC14*PriceEssMonthly*HQ14+ID14*PricePremMonthly*HQ14+IE14*PriceEssAnnual*HQ14/12+IF14*PricePremAnnual*HQ14/12</f>
        <v/>
      </c>
      <c r="II14" s="9">
        <f>IH14*12</f>
        <v/>
      </c>
      <c r="IJ14" s="12">
        <f>IC14*PriceEssMonthly*HQ14+ID14*PricePremMonthly*HQ14</f>
        <v/>
      </c>
      <c r="IK14" s="12">
        <f>IA14*PriceEssAnnual*HQ14+IB14*PricePremAnnual*HQ14</f>
        <v/>
      </c>
      <c r="IL14" s="12">
        <f>0+0</f>
        <v/>
      </c>
      <c r="IM14" s="9">
        <f>IJ14+IK14+IL14</f>
        <v/>
      </c>
      <c r="IN14" s="12">
        <f>SUM(IM$5:IM14)</f>
        <v/>
      </c>
      <c r="IO14" s="12">
        <f>OR(IO13,IN14&gt;=VATThreshold)</f>
        <v/>
      </c>
      <c r="IP14" s="9">
        <f>IF(IO14,IM14/(1+VATRate),IM14)</f>
        <v/>
      </c>
      <c r="IQ14" s="12">
        <f>IM14-IP14</f>
        <v/>
      </c>
      <c r="IR14" s="12">
        <f>IF(IO14=0,0,IF(HN14=1,SUMPRODUCT(--(($HO$5:$HO14=$HO14-1)*($HN$5:$HN14&gt;=10)*($HN$5:$HN14&lt;=12)),$IQ$5:$IQ14),IF(HN14=4,SUMPRODUCT(--(($HO$5:$HO14=$HO14)*($HN$5:$HN14&gt;=1)*($HN$5:$HN14&lt;=3)),$IQ$5:$IQ14),IF(HN14=7,SUMPRODUCT(--(($HO$5:$HO14=$HO14)*($HN$5:$HN14&gt;=4)*($HN$5:$HN14&lt;=6)),$IQ$5:$IQ14),IF(HN14=10,SUMPRODUCT(--(($HO$5:$HO14=$HO14)*($HN$5:$HN14&gt;=7)*($HN$5:$HN14&lt;=9)),$IQ$5:$IQ14),0)))))</f>
        <v/>
      </c>
      <c r="IS14" s="12">
        <f>IS13+IQ14-IR14</f>
        <v/>
      </c>
      <c r="IT14" s="12">
        <f>IF(ProviderDelay&gt;=1,IP13*ProviderShare,IP14*ProviderShare)</f>
        <v/>
      </c>
      <c r="IU14" s="12">
        <f>IM14*PaymentFee</f>
        <v/>
      </c>
      <c r="IV14" s="12">
        <f>IG14*OpsAI</f>
        <v/>
      </c>
      <c r="IW14" s="12">
        <f>MonthlyFixed</f>
        <v/>
      </c>
      <c r="IX14" s="12">
        <f>HU14*ReferralReward</f>
        <v/>
      </c>
      <c r="IY14" s="12">
        <f>HS14</f>
        <v/>
      </c>
      <c r="IZ14" s="9">
        <f>IP14-IT14-IU14-IV14-IW14-IX14-IY14</f>
        <v/>
      </c>
      <c r="JA14" s="9">
        <f>JA13+IM14-(IT14+IU14+IV14+IW14+IX14+IY14+IR14)</f>
        <v/>
      </c>
      <c r="JB14" s="12">
        <f>IF(IG14&gt;0,IH14/IG14,0)</f>
        <v/>
      </c>
      <c r="JC14" s="11">
        <f>IF(IG13&gt;0,MAX(0,(IG13+HV14-IG14)/IG13),0)</f>
        <v/>
      </c>
      <c r="JE14" s="12" t="n">
        <v>10</v>
      </c>
      <c r="JF14" s="12">
        <f>MOD(JE14-1+LaunchMonth-1,12)+1</f>
        <v/>
      </c>
      <c r="JG14" s="12">
        <f>INT((JE14-1+LaunchMonth-1)/12)+1</f>
        <v/>
      </c>
      <c r="JH14" s="12">
        <f>VLOOKUP(JF14,SeasonTable,2,FALSE)</f>
        <v/>
      </c>
      <c r="JI14" s="12">
        <f>(1+InflationRate)^INT((JE14-1)/12)</f>
        <v/>
      </c>
      <c r="JJ14" s="11">
        <f>'Sens - Churn'!$A$16*VLOOKUP(JF14,ChurnSeasonTable,4,FALSE)</f>
        <v/>
      </c>
      <c r="JK14" s="12">
        <f>MIN(MAX(MktMin7_12,KE13*MktPct7_12),MAX(0,KS13-CashBuffer))</f>
        <v/>
      </c>
      <c r="JL14" s="12">
        <f>IF(JK14&gt;0,MAX(1,ROUND(JK14/CAC*JH14,0)),0)</f>
        <v/>
      </c>
      <c r="JM14" s="12">
        <f>IF(JL14&gt;0,ROUND(JL14*ReferralMix/(1-ReferralMix),0),0)</f>
        <v/>
      </c>
      <c r="JN14" s="12">
        <f>JL14+JM14</f>
        <v/>
      </c>
      <c r="JO14" s="12">
        <f>ROUND(JN14*(1-AnnualMix),0)</f>
        <v/>
      </c>
      <c r="JP14" s="12">
        <f>JN14-JO14</f>
        <v/>
      </c>
      <c r="JQ14" s="12">
        <f>ROUND(JO14*EssentialMix,0)</f>
        <v/>
      </c>
      <c r="JR14" s="12">
        <f>JO14-JQ14</f>
        <v/>
      </c>
      <c r="JS14" s="12">
        <f>ROUND(JP14*EssentialMix,0)</f>
        <v/>
      </c>
      <c r="JT14" s="12">
        <f>JP14-JS14</f>
        <v/>
      </c>
      <c r="JU14" s="12">
        <f>JQ14+JQ13+JQ12+MAX(0,JU13-JQ13-JQ12)*(1-JJ14)</f>
        <v/>
      </c>
      <c r="JV14" s="12">
        <f>JR14+JR13+JR12+MAX(0,JV13-JR13-JR12)*(1-JJ14)</f>
        <v/>
      </c>
      <c r="JW14" s="12">
        <f>SUM(JS$5:JS14)</f>
        <v/>
      </c>
      <c r="JX14" s="12">
        <f>SUM(JT$5:JT14)</f>
        <v/>
      </c>
      <c r="JY14" s="12">
        <f>JU14+JV14+JW14+JX14</f>
        <v/>
      </c>
      <c r="JZ14" s="9">
        <f>JU14*PriceEssMonthly*JI14+JV14*PricePremMonthly*JI14+JW14*PriceEssAnnual*JI14/12+JX14*PricePremAnnual*JI14/12</f>
        <v/>
      </c>
      <c r="KA14" s="9">
        <f>JZ14*12</f>
        <v/>
      </c>
      <c r="KB14" s="12">
        <f>JU14*PriceEssMonthly*JI14+JV14*PricePremMonthly*JI14</f>
        <v/>
      </c>
      <c r="KC14" s="12">
        <f>JS14*PriceEssAnnual*JI14+JT14*PricePremAnnual*JI14</f>
        <v/>
      </c>
      <c r="KD14" s="12">
        <f>0+0</f>
        <v/>
      </c>
      <c r="KE14" s="9">
        <f>KB14+KC14+KD14</f>
        <v/>
      </c>
      <c r="KF14" s="12">
        <f>SUM(KE$5:KE14)</f>
        <v/>
      </c>
      <c r="KG14" s="12">
        <f>OR(KG13,KF14&gt;=VATThreshold)</f>
        <v/>
      </c>
      <c r="KH14" s="9">
        <f>IF(KG14,KE14/(1+VATRate),KE14)</f>
        <v/>
      </c>
      <c r="KI14" s="12">
        <f>KE14-KH14</f>
        <v/>
      </c>
      <c r="KJ14" s="12">
        <f>IF(KG14=0,0,IF(JF14=1,SUMPRODUCT(--(($JG$5:$JG14=$JG14-1)*($JF$5:$JF14&gt;=10)*($JF$5:$JF14&lt;=12)),$KI$5:$KI14),IF(JF14=4,SUMPRODUCT(--(($JG$5:$JG14=$JG14)*($JF$5:$JF14&gt;=1)*($JF$5:$JF14&lt;=3)),$KI$5:$KI14),IF(JF14=7,SUMPRODUCT(--(($JG$5:$JG14=$JG14)*($JF$5:$JF14&gt;=4)*($JF$5:$JF14&lt;=6)),$KI$5:$KI14),IF(JF14=10,SUMPRODUCT(--(($JG$5:$JG14=$JG14)*($JF$5:$JF14&gt;=7)*($JF$5:$JF14&lt;=9)),$KI$5:$KI14),0)))))</f>
        <v/>
      </c>
      <c r="KK14" s="12">
        <f>KK13+KI14-KJ14</f>
        <v/>
      </c>
      <c r="KL14" s="12">
        <f>IF(ProviderDelay&gt;=1,KH13*ProviderShare,KH14*ProviderShare)</f>
        <v/>
      </c>
      <c r="KM14" s="12">
        <f>KE14*PaymentFee</f>
        <v/>
      </c>
      <c r="KN14" s="12">
        <f>JY14*OpsAI</f>
        <v/>
      </c>
      <c r="KO14" s="12">
        <f>MonthlyFixed</f>
        <v/>
      </c>
      <c r="KP14" s="12">
        <f>JM14*ReferralReward</f>
        <v/>
      </c>
      <c r="KQ14" s="12">
        <f>JK14</f>
        <v/>
      </c>
      <c r="KR14" s="9">
        <f>KH14-KL14-KM14-KN14-KO14-KP14-KQ14</f>
        <v/>
      </c>
      <c r="KS14" s="9">
        <f>KS13+KE14-(KL14+KM14+KN14+KO14+KP14+KQ14+KJ14)</f>
        <v/>
      </c>
      <c r="KT14" s="12">
        <f>IF(JY14&gt;0,JZ14/JY14,0)</f>
        <v/>
      </c>
      <c r="KU14" s="11">
        <f>IF(JY13&gt;0,MAX(0,(JY13+JN14-JY14)/JY13),0)</f>
        <v/>
      </c>
      <c r="KW14" s="12" t="n">
        <v>10</v>
      </c>
      <c r="KX14" s="12">
        <f>MOD(KW14-1+LaunchMonth-1,12)+1</f>
        <v/>
      </c>
      <c r="KY14" s="12">
        <f>INT((KW14-1+LaunchMonth-1)/12)+1</f>
        <v/>
      </c>
      <c r="KZ14" s="12">
        <f>VLOOKUP(KX14,SeasonTable,2,FALSE)</f>
        <v/>
      </c>
      <c r="LA14" s="12">
        <f>(1+InflationRate)^INT((KW14-1)/12)</f>
        <v/>
      </c>
      <c r="LB14" s="11">
        <f>'Sens - Churn'!$A$17*VLOOKUP(KX14,ChurnSeasonTable,4,FALSE)</f>
        <v/>
      </c>
      <c r="LC14" s="12">
        <f>MIN(MAX(MktMin7_12,LW13*MktPct7_12),MAX(0,MK13-CashBuffer))</f>
        <v/>
      </c>
      <c r="LD14" s="12">
        <f>IF(LC14&gt;0,MAX(1,ROUND(LC14/CAC*KZ14,0)),0)</f>
        <v/>
      </c>
      <c r="LE14" s="12">
        <f>IF(LD14&gt;0,ROUND(LD14*ReferralMix/(1-ReferralMix),0),0)</f>
        <v/>
      </c>
      <c r="LF14" s="12">
        <f>LD14+LE14</f>
        <v/>
      </c>
      <c r="LG14" s="12">
        <f>ROUND(LF14*(1-AnnualMix),0)</f>
        <v/>
      </c>
      <c r="LH14" s="12">
        <f>LF14-LG14</f>
        <v/>
      </c>
      <c r="LI14" s="12">
        <f>ROUND(LG14*EssentialMix,0)</f>
        <v/>
      </c>
      <c r="LJ14" s="12">
        <f>LG14-LI14</f>
        <v/>
      </c>
      <c r="LK14" s="12">
        <f>ROUND(LH14*EssentialMix,0)</f>
        <v/>
      </c>
      <c r="LL14" s="12">
        <f>LH14-LK14</f>
        <v/>
      </c>
      <c r="LM14" s="12">
        <f>LI14+LI13+LI12+MAX(0,LM13-LI13-LI12)*(1-LB14)</f>
        <v/>
      </c>
      <c r="LN14" s="12">
        <f>LJ14+LJ13+LJ12+MAX(0,LN13-LJ13-LJ12)*(1-LB14)</f>
        <v/>
      </c>
      <c r="LO14" s="12">
        <f>SUM(LK$5:LK14)</f>
        <v/>
      </c>
      <c r="LP14" s="12">
        <f>SUM(LL$5:LL14)</f>
        <v/>
      </c>
      <c r="LQ14" s="12">
        <f>LM14+LN14+LO14+LP14</f>
        <v/>
      </c>
      <c r="LR14" s="9">
        <f>LM14*PriceEssMonthly*LA14+LN14*PricePremMonthly*LA14+LO14*PriceEssAnnual*LA14/12+LP14*PricePremAnnual*LA14/12</f>
        <v/>
      </c>
      <c r="LS14" s="9">
        <f>LR14*12</f>
        <v/>
      </c>
      <c r="LT14" s="12">
        <f>LM14*PriceEssMonthly*LA14+LN14*PricePremMonthly*LA14</f>
        <v/>
      </c>
      <c r="LU14" s="12">
        <f>LK14*PriceEssAnnual*LA14+LL14*PricePremAnnual*LA14</f>
        <v/>
      </c>
      <c r="LV14" s="12">
        <f>0+0</f>
        <v/>
      </c>
      <c r="LW14" s="9">
        <f>LT14+LU14+LV14</f>
        <v/>
      </c>
      <c r="LX14" s="12">
        <f>SUM(LW$5:LW14)</f>
        <v/>
      </c>
      <c r="LY14" s="12">
        <f>OR(LY13,LX14&gt;=VATThreshold)</f>
        <v/>
      </c>
      <c r="LZ14" s="9">
        <f>IF(LY14,LW14/(1+VATRate),LW14)</f>
        <v/>
      </c>
      <c r="MA14" s="12">
        <f>LW14-LZ14</f>
        <v/>
      </c>
      <c r="MB14" s="12">
        <f>IF(LY14=0,0,IF(KX14=1,SUMPRODUCT(--(($KY$5:$KY14=$KY14-1)*($KX$5:$KX14&gt;=10)*($KX$5:$KX14&lt;=12)),$MA$5:$MA14),IF(KX14=4,SUMPRODUCT(--(($KY$5:$KY14=$KY14)*($KX$5:$KX14&gt;=1)*($KX$5:$KX14&lt;=3)),$MA$5:$MA14),IF(KX14=7,SUMPRODUCT(--(($KY$5:$KY14=$KY14)*($KX$5:$KX14&gt;=4)*($KX$5:$KX14&lt;=6)),$MA$5:$MA14),IF(KX14=10,SUMPRODUCT(--(($KY$5:$KY14=$KY14)*($KX$5:$KX14&gt;=7)*($KX$5:$KX14&lt;=9)),$MA$5:$MA14),0)))))</f>
        <v/>
      </c>
      <c r="MC14" s="12">
        <f>MC13+MA14-MB14</f>
        <v/>
      </c>
      <c r="MD14" s="12">
        <f>IF(ProviderDelay&gt;=1,LZ13*ProviderShare,LZ14*ProviderShare)</f>
        <v/>
      </c>
      <c r="ME14" s="12">
        <f>LW14*PaymentFee</f>
        <v/>
      </c>
      <c r="MF14" s="12">
        <f>LQ14*OpsAI</f>
        <v/>
      </c>
      <c r="MG14" s="12">
        <f>MonthlyFixed</f>
        <v/>
      </c>
      <c r="MH14" s="12">
        <f>LE14*ReferralReward</f>
        <v/>
      </c>
      <c r="MI14" s="12">
        <f>LC14</f>
        <v/>
      </c>
      <c r="MJ14" s="9">
        <f>LZ14-MD14-ME14-MF14-MG14-MH14-MI14</f>
        <v/>
      </c>
      <c r="MK14" s="9">
        <f>MK13+LW14-(MD14+ME14+MF14+MG14+MH14+MI14+MB14)</f>
        <v/>
      </c>
      <c r="ML14" s="12">
        <f>IF(LQ14&gt;0,LR14/LQ14,0)</f>
        <v/>
      </c>
      <c r="MM14" s="11">
        <f>IF(LQ13&gt;0,MAX(0,(LQ13+LF14-LQ14)/LQ13),0)</f>
        <v/>
      </c>
      <c r="MO14" s="12" t="n">
        <v>10</v>
      </c>
      <c r="MP14" s="12">
        <f>MOD(MO14-1+LaunchMonth-1,12)+1</f>
        <v/>
      </c>
      <c r="MQ14" s="12">
        <f>INT((MO14-1+LaunchMonth-1)/12)+1</f>
        <v/>
      </c>
      <c r="MR14" s="12">
        <f>VLOOKUP(MP14,SeasonTable,2,FALSE)</f>
        <v/>
      </c>
      <c r="MS14" s="12">
        <f>(1+InflationRate)^INT((MO14-1)/12)</f>
        <v/>
      </c>
      <c r="MT14" s="11">
        <f>'Sens - Churn'!$A$18*VLOOKUP(MP14,ChurnSeasonTable,4,FALSE)</f>
        <v/>
      </c>
      <c r="MU14" s="12">
        <f>MIN(MAX(MktMin7_12,NO13*MktPct7_12),MAX(0,OC13-CashBuffer))</f>
        <v/>
      </c>
      <c r="MV14" s="12">
        <f>IF(MU14&gt;0,MAX(1,ROUND(MU14/CAC*MR14,0)),0)</f>
        <v/>
      </c>
      <c r="MW14" s="12">
        <f>IF(MV14&gt;0,ROUND(MV14*ReferralMix/(1-ReferralMix),0),0)</f>
        <v/>
      </c>
      <c r="MX14" s="12">
        <f>MV14+MW14</f>
        <v/>
      </c>
      <c r="MY14" s="12">
        <f>ROUND(MX14*(1-AnnualMix),0)</f>
        <v/>
      </c>
      <c r="MZ14" s="12">
        <f>MX14-MY14</f>
        <v/>
      </c>
      <c r="NA14" s="12">
        <f>ROUND(MY14*EssentialMix,0)</f>
        <v/>
      </c>
      <c r="NB14" s="12">
        <f>MY14-NA14</f>
        <v/>
      </c>
      <c r="NC14" s="12">
        <f>ROUND(MZ14*EssentialMix,0)</f>
        <v/>
      </c>
      <c r="ND14" s="12">
        <f>MZ14-NC14</f>
        <v/>
      </c>
      <c r="NE14" s="12">
        <f>NA14+NA13+NA12+MAX(0,NE13-NA13-NA12)*(1-MT14)</f>
        <v/>
      </c>
      <c r="NF14" s="12">
        <f>NB14+NB13+NB12+MAX(0,NF13-NB13-NB12)*(1-MT14)</f>
        <v/>
      </c>
      <c r="NG14" s="12">
        <f>SUM(NC$5:NC14)</f>
        <v/>
      </c>
      <c r="NH14" s="12">
        <f>SUM(ND$5:ND14)</f>
        <v/>
      </c>
      <c r="NI14" s="12">
        <f>NE14+NF14+NG14+NH14</f>
        <v/>
      </c>
      <c r="NJ14" s="9">
        <f>NE14*PriceEssMonthly*MS14+NF14*PricePremMonthly*MS14+NG14*PriceEssAnnual*MS14/12+NH14*PricePremAnnual*MS14/12</f>
        <v/>
      </c>
      <c r="NK14" s="9">
        <f>NJ14*12</f>
        <v/>
      </c>
      <c r="NL14" s="12">
        <f>NE14*PriceEssMonthly*MS14+NF14*PricePremMonthly*MS14</f>
        <v/>
      </c>
      <c r="NM14" s="12">
        <f>NC14*PriceEssAnnual*MS14+ND14*PricePremAnnual*MS14</f>
        <v/>
      </c>
      <c r="NN14" s="12">
        <f>0+0</f>
        <v/>
      </c>
      <c r="NO14" s="9">
        <f>NL14+NM14+NN14</f>
        <v/>
      </c>
      <c r="NP14" s="12">
        <f>SUM(NO$5:NO14)</f>
        <v/>
      </c>
      <c r="NQ14" s="12">
        <f>OR(NQ13,NP14&gt;=VATThreshold)</f>
        <v/>
      </c>
      <c r="NR14" s="9">
        <f>IF(NQ14,NO14/(1+VATRate),NO14)</f>
        <v/>
      </c>
      <c r="NS14" s="12">
        <f>NO14-NR14</f>
        <v/>
      </c>
      <c r="NT14" s="12">
        <f>IF(NQ14=0,0,IF(MP14=1,SUMPRODUCT(--(($MQ$5:$MQ14=$MQ14-1)*($MP$5:$MP14&gt;=10)*($MP$5:$MP14&lt;=12)),$NS$5:$NS14),IF(MP14=4,SUMPRODUCT(--(($MQ$5:$MQ14=$MQ14)*($MP$5:$MP14&gt;=1)*($MP$5:$MP14&lt;=3)),$NS$5:$NS14),IF(MP14=7,SUMPRODUCT(--(($MQ$5:$MQ14=$MQ14)*($MP$5:$MP14&gt;=4)*($MP$5:$MP14&lt;=6)),$NS$5:$NS14),IF(MP14=10,SUMPRODUCT(--(($MQ$5:$MQ14=$MQ14)*($MP$5:$MP14&gt;=7)*($MP$5:$MP14&lt;=9)),$NS$5:$NS14),0)))))</f>
        <v/>
      </c>
      <c r="NU14" s="12">
        <f>NU13+NS14-NT14</f>
        <v/>
      </c>
      <c r="NV14" s="12">
        <f>IF(ProviderDelay&gt;=1,NR13*ProviderShare,NR14*ProviderShare)</f>
        <v/>
      </c>
      <c r="NW14" s="12">
        <f>NO14*PaymentFee</f>
        <v/>
      </c>
      <c r="NX14" s="12">
        <f>NI14*OpsAI</f>
        <v/>
      </c>
      <c r="NY14" s="12">
        <f>MonthlyFixed</f>
        <v/>
      </c>
      <c r="NZ14" s="12">
        <f>MW14*ReferralReward</f>
        <v/>
      </c>
      <c r="OA14" s="12">
        <f>MU14</f>
        <v/>
      </c>
      <c r="OB14" s="9">
        <f>NR14-NV14-NW14-NX14-NY14-NZ14-OA14</f>
        <v/>
      </c>
      <c r="OC14" s="9">
        <f>OC13+NO14-(NV14+NW14+NX14+NY14+NZ14+OA14+NT14)</f>
        <v/>
      </c>
      <c r="OD14" s="12">
        <f>IF(NI14&gt;0,NJ14/NI14,0)</f>
        <v/>
      </c>
      <c r="OE14" s="11">
        <f>IF(NI13&gt;0,MAX(0,(NI13+MX14-NI14)/NI13),0)</f>
        <v/>
      </c>
      <c r="OG14" s="12" t="n">
        <v>10</v>
      </c>
      <c r="OH14" s="12">
        <f>MOD(OG14-1+LaunchMonth-1,12)+1</f>
        <v/>
      </c>
      <c r="OI14" s="12">
        <f>INT((OG14-1+LaunchMonth-1)/12)+1</f>
        <v/>
      </c>
      <c r="OJ14" s="12">
        <f>VLOOKUP(OH14,SeasonTable,2,FALSE)</f>
        <v/>
      </c>
      <c r="OK14" s="12">
        <f>(1+InflationRate)^INT((OG14-1)/12)</f>
        <v/>
      </c>
      <c r="OL14" s="11">
        <f>'Sens - Churn'!$A$19*VLOOKUP(OH14,ChurnSeasonTable,4,FALSE)</f>
        <v/>
      </c>
      <c r="OM14" s="12">
        <f>MIN(MAX(MktMin7_12,PG13*MktPct7_12),MAX(0,PU13-CashBuffer))</f>
        <v/>
      </c>
      <c r="ON14" s="12">
        <f>IF(OM14&gt;0,MAX(1,ROUND(OM14/CAC*OJ14,0)),0)</f>
        <v/>
      </c>
      <c r="OO14" s="12">
        <f>IF(ON14&gt;0,ROUND(ON14*ReferralMix/(1-ReferralMix),0),0)</f>
        <v/>
      </c>
      <c r="OP14" s="12">
        <f>ON14+OO14</f>
        <v/>
      </c>
      <c r="OQ14" s="12">
        <f>ROUND(OP14*(1-AnnualMix),0)</f>
        <v/>
      </c>
      <c r="OR14" s="12">
        <f>OP14-OQ14</f>
        <v/>
      </c>
      <c r="OS14" s="12">
        <f>ROUND(OQ14*EssentialMix,0)</f>
        <v/>
      </c>
      <c r="OT14" s="12">
        <f>OQ14-OS14</f>
        <v/>
      </c>
      <c r="OU14" s="12">
        <f>ROUND(OR14*EssentialMix,0)</f>
        <v/>
      </c>
      <c r="OV14" s="12">
        <f>OR14-OU14</f>
        <v/>
      </c>
      <c r="OW14" s="12">
        <f>OS14+OS13+OS12+MAX(0,OW13-OS13-OS12)*(1-OL14)</f>
        <v/>
      </c>
      <c r="OX14" s="12">
        <f>OT14+OT13+OT12+MAX(0,OX13-OT13-OT12)*(1-OL14)</f>
        <v/>
      </c>
      <c r="OY14" s="12">
        <f>SUM(OU$5:OU14)</f>
        <v/>
      </c>
      <c r="OZ14" s="12">
        <f>SUM(OV$5:OV14)</f>
        <v/>
      </c>
      <c r="PA14" s="12">
        <f>OW14+OX14+OY14+OZ14</f>
        <v/>
      </c>
      <c r="PB14" s="9">
        <f>OW14*PriceEssMonthly*OK14+OX14*PricePremMonthly*OK14+OY14*PriceEssAnnual*OK14/12+OZ14*PricePremAnnual*OK14/12</f>
        <v/>
      </c>
      <c r="PC14" s="9">
        <f>PB14*12</f>
        <v/>
      </c>
      <c r="PD14" s="12">
        <f>OW14*PriceEssMonthly*OK14+OX14*PricePremMonthly*OK14</f>
        <v/>
      </c>
      <c r="PE14" s="12">
        <f>OU14*PriceEssAnnual*OK14+OV14*PricePremAnnual*OK14</f>
        <v/>
      </c>
      <c r="PF14" s="12">
        <f>0+0</f>
        <v/>
      </c>
      <c r="PG14" s="9">
        <f>PD14+PE14+PF14</f>
        <v/>
      </c>
      <c r="PH14" s="12">
        <f>SUM(PG$5:PG14)</f>
        <v/>
      </c>
      <c r="PI14" s="12">
        <f>OR(PI13,PH14&gt;=VATThreshold)</f>
        <v/>
      </c>
      <c r="PJ14" s="9">
        <f>IF(PI14,PG14/(1+VATRate),PG14)</f>
        <v/>
      </c>
      <c r="PK14" s="12">
        <f>PG14-PJ14</f>
        <v/>
      </c>
      <c r="PL14" s="12">
        <f>IF(PI14=0,0,IF(OH14=1,SUMPRODUCT(--(($OI$5:$OI14=$OI14-1)*($OH$5:$OH14&gt;=10)*($OH$5:$OH14&lt;=12)),$PK$5:$PK14),IF(OH14=4,SUMPRODUCT(--(($OI$5:$OI14=$OI14)*($OH$5:$OH14&gt;=1)*($OH$5:$OH14&lt;=3)),$PK$5:$PK14),IF(OH14=7,SUMPRODUCT(--(($OI$5:$OI14=$OI14)*($OH$5:$OH14&gt;=4)*($OH$5:$OH14&lt;=6)),$PK$5:$PK14),IF(OH14=10,SUMPRODUCT(--(($OI$5:$OI14=$OI14)*($OH$5:$OH14&gt;=7)*($OH$5:$OH14&lt;=9)),$PK$5:$PK14),0)))))</f>
        <v/>
      </c>
      <c r="PM14" s="12">
        <f>PM13+PK14-PL14</f>
        <v/>
      </c>
      <c r="PN14" s="12">
        <f>IF(ProviderDelay&gt;=1,PJ13*ProviderShare,PJ14*ProviderShare)</f>
        <v/>
      </c>
      <c r="PO14" s="12">
        <f>PG14*PaymentFee</f>
        <v/>
      </c>
      <c r="PP14" s="12">
        <f>PA14*OpsAI</f>
        <v/>
      </c>
      <c r="PQ14" s="12">
        <f>MonthlyFixed</f>
        <v/>
      </c>
      <c r="PR14" s="12">
        <f>OO14*ReferralReward</f>
        <v/>
      </c>
      <c r="PS14" s="12">
        <f>OM14</f>
        <v/>
      </c>
      <c r="PT14" s="9">
        <f>PJ14-PN14-PO14-PP14-PQ14-PR14-PS14</f>
        <v/>
      </c>
      <c r="PU14" s="9">
        <f>PU13+PG14-(PN14+PO14+PP14+PQ14+PR14+PS14+PL14)</f>
        <v/>
      </c>
      <c r="PV14" s="12">
        <f>IF(PA14&gt;0,PB14/PA14,0)</f>
        <v/>
      </c>
      <c r="PW14" s="11">
        <f>IF(PA13&gt;0,MAX(0,(PA13+OP14-PA14)/PA13),0)</f>
        <v/>
      </c>
      <c r="PY14" s="12" t="n">
        <v>10</v>
      </c>
      <c r="PZ14" s="12">
        <f>MOD(PY14-1+LaunchMonth-1,12)+1</f>
        <v/>
      </c>
      <c r="QA14" s="12">
        <f>INT((PY14-1+LaunchMonth-1)/12)+1</f>
        <v/>
      </c>
      <c r="QB14" s="12">
        <f>VLOOKUP(PZ14,SeasonTable,2,FALSE)</f>
        <v/>
      </c>
      <c r="QC14" s="12">
        <f>(1+InflationRate)^INT((PY14-1)/12)</f>
        <v/>
      </c>
      <c r="QD14" s="11">
        <f>'Sens - Churn'!$A$20*VLOOKUP(PZ14,ChurnSeasonTable,4,FALSE)</f>
        <v/>
      </c>
      <c r="QE14" s="12">
        <f>MIN(MAX(MktMin7_12,QY13*MktPct7_12),MAX(0,RM13-CashBuffer))</f>
        <v/>
      </c>
      <c r="QF14" s="12">
        <f>IF(QE14&gt;0,MAX(1,ROUND(QE14/CAC*QB14,0)),0)</f>
        <v/>
      </c>
      <c r="QG14" s="12">
        <f>IF(QF14&gt;0,ROUND(QF14*ReferralMix/(1-ReferralMix),0),0)</f>
        <v/>
      </c>
      <c r="QH14" s="12">
        <f>QF14+QG14</f>
        <v/>
      </c>
      <c r="QI14" s="12">
        <f>ROUND(QH14*(1-AnnualMix),0)</f>
        <v/>
      </c>
      <c r="QJ14" s="12">
        <f>QH14-QI14</f>
        <v/>
      </c>
      <c r="QK14" s="12">
        <f>ROUND(QI14*EssentialMix,0)</f>
        <v/>
      </c>
      <c r="QL14" s="12">
        <f>QI14-QK14</f>
        <v/>
      </c>
      <c r="QM14" s="12">
        <f>ROUND(QJ14*EssentialMix,0)</f>
        <v/>
      </c>
      <c r="QN14" s="12">
        <f>QJ14-QM14</f>
        <v/>
      </c>
      <c r="QO14" s="12">
        <f>QK14+QK13+QK12+MAX(0,QO13-QK13-QK12)*(1-QD14)</f>
        <v/>
      </c>
      <c r="QP14" s="12">
        <f>QL14+QL13+QL12+MAX(0,QP13-QL13-QL12)*(1-QD14)</f>
        <v/>
      </c>
      <c r="QQ14" s="12">
        <f>SUM(QM$5:QM14)</f>
        <v/>
      </c>
      <c r="QR14" s="12">
        <f>SUM(QN$5:QN14)</f>
        <v/>
      </c>
      <c r="QS14" s="12">
        <f>QO14+QP14+QQ14+QR14</f>
        <v/>
      </c>
      <c r="QT14" s="9">
        <f>QO14*PriceEssMonthly*QC14+QP14*PricePremMonthly*QC14+QQ14*PriceEssAnnual*QC14/12+QR14*PricePremAnnual*QC14/12</f>
        <v/>
      </c>
      <c r="QU14" s="9">
        <f>QT14*12</f>
        <v/>
      </c>
      <c r="QV14" s="12">
        <f>QO14*PriceEssMonthly*QC14+QP14*PricePremMonthly*QC14</f>
        <v/>
      </c>
      <c r="QW14" s="12">
        <f>QM14*PriceEssAnnual*QC14+QN14*PricePremAnnual*QC14</f>
        <v/>
      </c>
      <c r="QX14" s="12">
        <f>0+0</f>
        <v/>
      </c>
      <c r="QY14" s="9">
        <f>QV14+QW14+QX14</f>
        <v/>
      </c>
      <c r="QZ14" s="12">
        <f>SUM(QY$5:QY14)</f>
        <v/>
      </c>
      <c r="RA14" s="12">
        <f>OR(RA13,QZ14&gt;=VATThreshold)</f>
        <v/>
      </c>
      <c r="RB14" s="9">
        <f>IF(RA14,QY14/(1+VATRate),QY14)</f>
        <v/>
      </c>
      <c r="RC14" s="12">
        <f>QY14-RB14</f>
        <v/>
      </c>
      <c r="RD14" s="12">
        <f>IF(RA14=0,0,IF(PZ14=1,SUMPRODUCT(--(($QA$5:$QA14=$QA14-1)*($PZ$5:$PZ14&gt;=10)*($PZ$5:$PZ14&lt;=12)),$RC$5:$RC14),IF(PZ14=4,SUMPRODUCT(--(($QA$5:$QA14=$QA14)*($PZ$5:$PZ14&gt;=1)*($PZ$5:$PZ14&lt;=3)),$RC$5:$RC14),IF(PZ14=7,SUMPRODUCT(--(($QA$5:$QA14=$QA14)*($PZ$5:$PZ14&gt;=4)*($PZ$5:$PZ14&lt;=6)),$RC$5:$RC14),IF(PZ14=10,SUMPRODUCT(--(($QA$5:$QA14=$QA14)*($PZ$5:$PZ14&gt;=7)*($PZ$5:$PZ14&lt;=9)),$RC$5:$RC14),0)))))</f>
        <v/>
      </c>
      <c r="RE14" s="12">
        <f>RE13+RC14-RD14</f>
        <v/>
      </c>
      <c r="RF14" s="12">
        <f>IF(ProviderDelay&gt;=1,RB13*ProviderShare,RB14*ProviderShare)</f>
        <v/>
      </c>
      <c r="RG14" s="12">
        <f>QY14*PaymentFee</f>
        <v/>
      </c>
      <c r="RH14" s="12">
        <f>QS14*OpsAI</f>
        <v/>
      </c>
      <c r="RI14" s="12">
        <f>MonthlyFixed</f>
        <v/>
      </c>
      <c r="RJ14" s="12">
        <f>QG14*ReferralReward</f>
        <v/>
      </c>
      <c r="RK14" s="12">
        <f>QE14</f>
        <v/>
      </c>
      <c r="RL14" s="9">
        <f>RB14-RF14-RG14-RH14-RI14-RJ14-RK14</f>
        <v/>
      </c>
      <c r="RM14" s="9">
        <f>RM13+QY14-(RF14+RG14+RH14+RI14+RJ14+RK14+RD14)</f>
        <v/>
      </c>
      <c r="RN14" s="12">
        <f>IF(QS14&gt;0,QT14/QS14,0)</f>
        <v/>
      </c>
      <c r="RO14" s="11">
        <f>IF(QS13&gt;0,MAX(0,(QS13+QH14-QS14)/QS13),0)</f>
        <v/>
      </c>
      <c r="RQ14" s="12" t="n">
        <v>10</v>
      </c>
      <c r="RR14" s="12">
        <f>MOD(RQ14-1+LaunchMonth-1,12)+1</f>
        <v/>
      </c>
      <c r="RS14" s="12">
        <f>INT((RQ14-1+LaunchMonth-1)/12)+1</f>
        <v/>
      </c>
      <c r="RT14" s="12">
        <f>VLOOKUP(RR14,SeasonTable,2,FALSE)</f>
        <v/>
      </c>
      <c r="RU14" s="12">
        <f>(1+InflationRate)^INT((RQ14-1)/12)</f>
        <v/>
      </c>
      <c r="RV14" s="11">
        <f>'Sens - Churn'!$A$21*VLOOKUP(RR14,ChurnSeasonTable,4,FALSE)</f>
        <v/>
      </c>
      <c r="RW14" s="12">
        <f>MIN(MAX(MktMin7_12,SQ13*MktPct7_12),MAX(0,TE13-CashBuffer))</f>
        <v/>
      </c>
      <c r="RX14" s="12">
        <f>IF(RW14&gt;0,MAX(1,ROUND(RW14/CAC*RT14,0)),0)</f>
        <v/>
      </c>
      <c r="RY14" s="12">
        <f>IF(RX14&gt;0,ROUND(RX14*ReferralMix/(1-ReferralMix),0),0)</f>
        <v/>
      </c>
      <c r="RZ14" s="12">
        <f>RX14+RY14</f>
        <v/>
      </c>
      <c r="SA14" s="12">
        <f>ROUND(RZ14*(1-AnnualMix),0)</f>
        <v/>
      </c>
      <c r="SB14" s="12">
        <f>RZ14-SA14</f>
        <v/>
      </c>
      <c r="SC14" s="12">
        <f>ROUND(SA14*EssentialMix,0)</f>
        <v/>
      </c>
      <c r="SD14" s="12">
        <f>SA14-SC14</f>
        <v/>
      </c>
      <c r="SE14" s="12">
        <f>ROUND(SB14*EssentialMix,0)</f>
        <v/>
      </c>
      <c r="SF14" s="12">
        <f>SB14-SE14</f>
        <v/>
      </c>
      <c r="SG14" s="12">
        <f>SC14+SC13+SC12+MAX(0,SG13-SC13-SC12)*(1-RV14)</f>
        <v/>
      </c>
      <c r="SH14" s="12">
        <f>SD14+SD13+SD12+MAX(0,SH13-SD13-SD12)*(1-RV14)</f>
        <v/>
      </c>
      <c r="SI14" s="12">
        <f>SUM(SE$5:SE14)</f>
        <v/>
      </c>
      <c r="SJ14" s="12">
        <f>SUM(SF$5:SF14)</f>
        <v/>
      </c>
      <c r="SK14" s="12">
        <f>SG14+SH14+SI14+SJ14</f>
        <v/>
      </c>
      <c r="SL14" s="9">
        <f>SG14*PriceEssMonthly*RU14+SH14*PricePremMonthly*RU14+SI14*PriceEssAnnual*RU14/12+SJ14*PricePremAnnual*RU14/12</f>
        <v/>
      </c>
      <c r="SM14" s="9">
        <f>SL14*12</f>
        <v/>
      </c>
      <c r="SN14" s="12">
        <f>SG14*PriceEssMonthly*RU14+SH14*PricePremMonthly*RU14</f>
        <v/>
      </c>
      <c r="SO14" s="12">
        <f>SE14*PriceEssAnnual*RU14+SF14*PricePremAnnual*RU14</f>
        <v/>
      </c>
      <c r="SP14" s="12">
        <f>0+0</f>
        <v/>
      </c>
      <c r="SQ14" s="9">
        <f>SN14+SO14+SP14</f>
        <v/>
      </c>
      <c r="SR14" s="12">
        <f>SUM(SQ$5:SQ14)</f>
        <v/>
      </c>
      <c r="SS14" s="12">
        <f>OR(SS13,SR14&gt;=VATThreshold)</f>
        <v/>
      </c>
      <c r="ST14" s="9">
        <f>IF(SS14,SQ14/(1+VATRate),SQ14)</f>
        <v/>
      </c>
      <c r="SU14" s="12">
        <f>SQ14-ST14</f>
        <v/>
      </c>
      <c r="SV14" s="12">
        <f>IF(SS14=0,0,IF(RR14=1,SUMPRODUCT(--(($RS$5:$RS14=$RS14-1)*($RR$5:$RR14&gt;=10)*($RR$5:$RR14&lt;=12)),$SU$5:$SU14),IF(RR14=4,SUMPRODUCT(--(($RS$5:$RS14=$RS14)*($RR$5:$RR14&gt;=1)*($RR$5:$RR14&lt;=3)),$SU$5:$SU14),IF(RR14=7,SUMPRODUCT(--(($RS$5:$RS14=$RS14)*($RR$5:$RR14&gt;=4)*($RR$5:$RR14&lt;=6)),$SU$5:$SU14),IF(RR14=10,SUMPRODUCT(--(($RS$5:$RS14=$RS14)*($RR$5:$RR14&gt;=7)*($RR$5:$RR14&lt;=9)),$SU$5:$SU14),0)))))</f>
        <v/>
      </c>
      <c r="SW14" s="12">
        <f>SW13+SU14-SV14</f>
        <v/>
      </c>
      <c r="SX14" s="12">
        <f>IF(ProviderDelay&gt;=1,ST13*ProviderShare,ST14*ProviderShare)</f>
        <v/>
      </c>
      <c r="SY14" s="12">
        <f>SQ14*PaymentFee</f>
        <v/>
      </c>
      <c r="SZ14" s="12">
        <f>SK14*OpsAI</f>
        <v/>
      </c>
      <c r="TA14" s="12">
        <f>MonthlyFixed</f>
        <v/>
      </c>
      <c r="TB14" s="12">
        <f>RY14*ReferralReward</f>
        <v/>
      </c>
      <c r="TC14" s="12">
        <f>RW14</f>
        <v/>
      </c>
      <c r="TD14" s="9">
        <f>ST14-SX14-SY14-SZ14-TA14-TB14-TC14</f>
        <v/>
      </c>
      <c r="TE14" s="9">
        <f>TE13+SQ14-(SX14+SY14+SZ14+TA14+TB14+TC14+SV14)</f>
        <v/>
      </c>
      <c r="TF14" s="12">
        <f>IF(SK14&gt;0,SL14/SK14,0)</f>
        <v/>
      </c>
      <c r="TG14" s="11">
        <f>IF(SK13&gt;0,MAX(0,(SK13+RZ14-SK14)/SK13),0)</f>
        <v/>
      </c>
      <c r="TI14" s="12" t="n">
        <v>10</v>
      </c>
      <c r="TJ14" s="12">
        <f>MOD(TI14-1+LaunchMonth-1,12)+1</f>
        <v/>
      </c>
      <c r="TK14" s="12">
        <f>INT((TI14-1+LaunchMonth-1)/12)+1</f>
        <v/>
      </c>
      <c r="TL14" s="12">
        <f>VLOOKUP(TJ14,SeasonTable,2,FALSE)</f>
        <v/>
      </c>
      <c r="TM14" s="12">
        <f>(1+InflationRate)^INT((TI14-1)/12)</f>
        <v/>
      </c>
      <c r="TN14" s="11">
        <f>MonthlyChurn*VLOOKUP(TJ14,ChurnSeasonTable,4,FALSE)</f>
        <v/>
      </c>
      <c r="TO14" s="12">
        <f>MIN(MAX(MktMin7_12,UI13*MktPct7_12),MAX(0,UW13-CashBuffer))</f>
        <v/>
      </c>
      <c r="TP14" s="12">
        <f>IF(TO14&gt;0,MAX(1,ROUND(TO14/CAC*TL14,0)),0)</f>
        <v/>
      </c>
      <c r="TQ14" s="12">
        <f>IF(TP14&gt;0,ROUND(TP14*ReferralMix/(1-ReferralMix),0),0)</f>
        <v/>
      </c>
      <c r="TR14" s="12">
        <f>TP14+TQ14</f>
        <v/>
      </c>
      <c r="TS14" s="12">
        <f>ROUND(TR14*(1-'Sens - Annual Mix'!$A$9),0)</f>
        <v/>
      </c>
      <c r="TT14" s="12">
        <f>TR14-TS14</f>
        <v/>
      </c>
      <c r="TU14" s="12">
        <f>ROUND(TS14*EssentialMix,0)</f>
        <v/>
      </c>
      <c r="TV14" s="12">
        <f>TS14-TU14</f>
        <v/>
      </c>
      <c r="TW14" s="12">
        <f>ROUND(TT14*EssentialMix,0)</f>
        <v/>
      </c>
      <c r="TX14" s="12">
        <f>TT14-TW14</f>
        <v/>
      </c>
      <c r="TY14" s="12">
        <f>TU14+TU13+TU12+MAX(0,TY13-TU13-TU12)*(1-TN14)</f>
        <v/>
      </c>
      <c r="TZ14" s="12">
        <f>TV14+TV13+TV12+MAX(0,TZ13-TV13-TV12)*(1-TN14)</f>
        <v/>
      </c>
      <c r="UA14" s="12">
        <f>SUM(TW$5:TW14)</f>
        <v/>
      </c>
      <c r="UB14" s="12">
        <f>SUM(TX$5:TX14)</f>
        <v/>
      </c>
      <c r="UC14" s="12">
        <f>TY14+TZ14+UA14+UB14</f>
        <v/>
      </c>
      <c r="UD14" s="9">
        <f>TY14*PriceEssMonthly*TM14+TZ14*PricePremMonthly*TM14+UA14*PriceEssAnnual*TM14/12+UB14*PricePremAnnual*TM14/12</f>
        <v/>
      </c>
      <c r="UE14" s="9">
        <f>UD14*12</f>
        <v/>
      </c>
      <c r="UF14" s="12">
        <f>TY14*PriceEssMonthly*TM14+TZ14*PricePremMonthly*TM14</f>
        <v/>
      </c>
      <c r="UG14" s="12">
        <f>TW14*PriceEssAnnual*TM14+TX14*PricePremAnnual*TM14</f>
        <v/>
      </c>
      <c r="UH14" s="12">
        <f>0+0</f>
        <v/>
      </c>
      <c r="UI14" s="9">
        <f>UF14+UG14+UH14</f>
        <v/>
      </c>
      <c r="UJ14" s="12">
        <f>SUM(UI$5:UI14)</f>
        <v/>
      </c>
      <c r="UK14" s="12">
        <f>OR(UK13,UJ14&gt;=VATThreshold)</f>
        <v/>
      </c>
      <c r="UL14" s="9">
        <f>IF(UK14,UI14/(1+VATRate),UI14)</f>
        <v/>
      </c>
      <c r="UM14" s="12">
        <f>UI14-UL14</f>
        <v/>
      </c>
      <c r="UN14" s="12">
        <f>IF(UK14=0,0,IF(TJ14=1,SUMPRODUCT(--(($TK$5:$TK14=$TK14-1)*($TJ$5:$TJ14&gt;=10)*($TJ$5:$TJ14&lt;=12)),$UM$5:$UM14),IF(TJ14=4,SUMPRODUCT(--(($TK$5:$TK14=$TK14)*($TJ$5:$TJ14&gt;=1)*($TJ$5:$TJ14&lt;=3)),$UM$5:$UM14),IF(TJ14=7,SUMPRODUCT(--(($TK$5:$TK14=$TK14)*($TJ$5:$TJ14&gt;=4)*($TJ$5:$TJ14&lt;=6)),$UM$5:$UM14),IF(TJ14=10,SUMPRODUCT(--(($TK$5:$TK14=$TK14)*($TJ$5:$TJ14&gt;=7)*($TJ$5:$TJ14&lt;=9)),$UM$5:$UM14),0)))))</f>
        <v/>
      </c>
      <c r="UO14" s="12">
        <f>UO13+UM14-UN14</f>
        <v/>
      </c>
      <c r="UP14" s="12">
        <f>IF(ProviderDelay&gt;=1,UL13*ProviderShare,UL14*ProviderShare)</f>
        <v/>
      </c>
      <c r="UQ14" s="12">
        <f>UI14*PaymentFee</f>
        <v/>
      </c>
      <c r="UR14" s="12">
        <f>UC14*OpsAI</f>
        <v/>
      </c>
      <c r="US14" s="12">
        <f>MonthlyFixed</f>
        <v/>
      </c>
      <c r="UT14" s="12">
        <f>TQ14*ReferralReward</f>
        <v/>
      </c>
      <c r="UU14" s="12">
        <f>TO14</f>
        <v/>
      </c>
      <c r="UV14" s="9">
        <f>UL14-UP14-UQ14-UR14-US14-UT14-UU14</f>
        <v/>
      </c>
      <c r="UW14" s="9">
        <f>UW13+UI14-(UP14+UQ14+UR14+US14+UT14+UU14+UN14)</f>
        <v/>
      </c>
      <c r="UX14" s="12">
        <f>IF(UC14&gt;0,UD14/UC14,0)</f>
        <v/>
      </c>
      <c r="UY14" s="11">
        <f>IF(UC13&gt;0,MAX(0,(UC13+TR14-UC14)/UC13),0)</f>
        <v/>
      </c>
      <c r="VA14" s="12" t="n">
        <v>10</v>
      </c>
      <c r="VB14" s="12">
        <f>MOD(VA14-1+LaunchMonth-1,12)+1</f>
        <v/>
      </c>
      <c r="VC14" s="12">
        <f>INT((VA14-1+LaunchMonth-1)/12)+1</f>
        <v/>
      </c>
      <c r="VD14" s="12">
        <f>VLOOKUP(VB14,SeasonTable,2,FALSE)</f>
        <v/>
      </c>
      <c r="VE14" s="12">
        <f>(1+InflationRate)^INT((VA14-1)/12)</f>
        <v/>
      </c>
      <c r="VF14" s="11">
        <f>MonthlyChurn*VLOOKUP(VB14,ChurnSeasonTable,4,FALSE)</f>
        <v/>
      </c>
      <c r="VG14" s="12">
        <f>MIN(MAX(MktMin7_12,WA13*MktPct7_12),MAX(0,WO13-CashBuffer))</f>
        <v/>
      </c>
      <c r="VH14" s="12">
        <f>IF(VG14&gt;0,MAX(1,ROUND(VG14/CAC*VD14,0)),0)</f>
        <v/>
      </c>
      <c r="VI14" s="12">
        <f>IF(VH14&gt;0,ROUND(VH14*ReferralMix/(1-ReferralMix),0),0)</f>
        <v/>
      </c>
      <c r="VJ14" s="12">
        <f>VH14+VI14</f>
        <v/>
      </c>
      <c r="VK14" s="12">
        <f>ROUND(VJ14*(1-'Sens - Annual Mix'!$A$10),0)</f>
        <v/>
      </c>
      <c r="VL14" s="12">
        <f>VJ14-VK14</f>
        <v/>
      </c>
      <c r="VM14" s="12">
        <f>ROUND(VK14*EssentialMix,0)</f>
        <v/>
      </c>
      <c r="VN14" s="12">
        <f>VK14-VM14</f>
        <v/>
      </c>
      <c r="VO14" s="12">
        <f>ROUND(VL14*EssentialMix,0)</f>
        <v/>
      </c>
      <c r="VP14" s="12">
        <f>VL14-VO14</f>
        <v/>
      </c>
      <c r="VQ14" s="12">
        <f>VM14+VM13+VM12+MAX(0,VQ13-VM13-VM12)*(1-VF14)</f>
        <v/>
      </c>
      <c r="VR14" s="12">
        <f>VN14+VN13+VN12+MAX(0,VR13-VN13-VN12)*(1-VF14)</f>
        <v/>
      </c>
      <c r="VS14" s="12">
        <f>SUM(VO$5:VO14)</f>
        <v/>
      </c>
      <c r="VT14" s="12">
        <f>SUM(VP$5:VP14)</f>
        <v/>
      </c>
      <c r="VU14" s="12">
        <f>VQ14+VR14+VS14+VT14</f>
        <v/>
      </c>
      <c r="VV14" s="9">
        <f>VQ14*PriceEssMonthly*VE14+VR14*PricePremMonthly*VE14+VS14*PriceEssAnnual*VE14/12+VT14*PricePremAnnual*VE14/12</f>
        <v/>
      </c>
      <c r="VW14" s="9">
        <f>VV14*12</f>
        <v/>
      </c>
      <c r="VX14" s="12">
        <f>VQ14*PriceEssMonthly*VE14+VR14*PricePremMonthly*VE14</f>
        <v/>
      </c>
      <c r="VY14" s="12">
        <f>VO14*PriceEssAnnual*VE14+VP14*PricePremAnnual*VE14</f>
        <v/>
      </c>
      <c r="VZ14" s="12">
        <f>0+0</f>
        <v/>
      </c>
      <c r="WA14" s="9">
        <f>VX14+VY14+VZ14</f>
        <v/>
      </c>
      <c r="WB14" s="12">
        <f>SUM(WA$5:WA14)</f>
        <v/>
      </c>
      <c r="WC14" s="12">
        <f>OR(WC13,WB14&gt;=VATThreshold)</f>
        <v/>
      </c>
      <c r="WD14" s="9">
        <f>IF(WC14,WA14/(1+VATRate),WA14)</f>
        <v/>
      </c>
      <c r="WE14" s="12">
        <f>WA14-WD14</f>
        <v/>
      </c>
      <c r="WF14" s="12">
        <f>IF(WC14=0,0,IF(VB14=1,SUMPRODUCT(--(($VC$5:$VC14=$VC14-1)*($VB$5:$VB14&gt;=10)*($VB$5:$VB14&lt;=12)),$WE$5:$WE14),IF(VB14=4,SUMPRODUCT(--(($VC$5:$VC14=$VC14)*($VB$5:$VB14&gt;=1)*($VB$5:$VB14&lt;=3)),$WE$5:$WE14),IF(VB14=7,SUMPRODUCT(--(($VC$5:$VC14=$VC14)*($VB$5:$VB14&gt;=4)*($VB$5:$VB14&lt;=6)),$WE$5:$WE14),IF(VB14=10,SUMPRODUCT(--(($VC$5:$VC14=$VC14)*($VB$5:$VB14&gt;=7)*($VB$5:$VB14&lt;=9)),$WE$5:$WE14),0)))))</f>
        <v/>
      </c>
      <c r="WG14" s="12">
        <f>WG13+WE14-WF14</f>
        <v/>
      </c>
      <c r="WH14" s="12">
        <f>IF(ProviderDelay&gt;=1,WD13*ProviderShare,WD14*ProviderShare)</f>
        <v/>
      </c>
      <c r="WI14" s="12">
        <f>WA14*PaymentFee</f>
        <v/>
      </c>
      <c r="WJ14" s="12">
        <f>VU14*OpsAI</f>
        <v/>
      </c>
      <c r="WK14" s="12">
        <f>MonthlyFixed</f>
        <v/>
      </c>
      <c r="WL14" s="12">
        <f>VI14*ReferralReward</f>
        <v/>
      </c>
      <c r="WM14" s="12">
        <f>VG14</f>
        <v/>
      </c>
      <c r="WN14" s="9">
        <f>WD14-WH14-WI14-WJ14-WK14-WL14-WM14</f>
        <v/>
      </c>
      <c r="WO14" s="9">
        <f>WO13+WA14-(WH14+WI14+WJ14+WK14+WL14+WM14+WF14)</f>
        <v/>
      </c>
      <c r="WP14" s="12">
        <f>IF(VU14&gt;0,VV14/VU14,0)</f>
        <v/>
      </c>
      <c r="WQ14" s="11">
        <f>IF(VU13&gt;0,MAX(0,(VU13+VJ14-VU14)/VU13),0)</f>
        <v/>
      </c>
      <c r="WS14" s="12" t="n">
        <v>10</v>
      </c>
      <c r="WT14" s="12">
        <f>MOD(WS14-1+LaunchMonth-1,12)+1</f>
        <v/>
      </c>
      <c r="WU14" s="12">
        <f>INT((WS14-1+LaunchMonth-1)/12)+1</f>
        <v/>
      </c>
      <c r="WV14" s="12">
        <f>VLOOKUP(WT14,SeasonTable,2,FALSE)</f>
        <v/>
      </c>
      <c r="WW14" s="12">
        <f>(1+InflationRate)^INT((WS14-1)/12)</f>
        <v/>
      </c>
      <c r="WX14" s="11">
        <f>MonthlyChurn*VLOOKUP(WT14,ChurnSeasonTable,4,FALSE)</f>
        <v/>
      </c>
      <c r="WY14" s="12">
        <f>MIN(MAX(MktMin7_12,XS13*MktPct7_12),MAX(0,YG13-CashBuffer))</f>
        <v/>
      </c>
      <c r="WZ14" s="12">
        <f>IF(WY14&gt;0,MAX(1,ROUND(WY14/CAC*WV14,0)),0)</f>
        <v/>
      </c>
      <c r="XA14" s="12">
        <f>IF(WZ14&gt;0,ROUND(WZ14*ReferralMix/(1-ReferralMix),0),0)</f>
        <v/>
      </c>
      <c r="XB14" s="12">
        <f>WZ14+XA14</f>
        <v/>
      </c>
      <c r="XC14" s="12">
        <f>ROUND(XB14*(1-'Sens - Annual Mix'!$A$11),0)</f>
        <v/>
      </c>
      <c r="XD14" s="12">
        <f>XB14-XC14</f>
        <v/>
      </c>
      <c r="XE14" s="12">
        <f>ROUND(XC14*EssentialMix,0)</f>
        <v/>
      </c>
      <c r="XF14" s="12">
        <f>XC14-XE14</f>
        <v/>
      </c>
      <c r="XG14" s="12">
        <f>ROUND(XD14*EssentialMix,0)</f>
        <v/>
      </c>
      <c r="XH14" s="12">
        <f>XD14-XG14</f>
        <v/>
      </c>
      <c r="XI14" s="12">
        <f>XE14+XE13+XE12+MAX(0,XI13-XE13-XE12)*(1-WX14)</f>
        <v/>
      </c>
      <c r="XJ14" s="12">
        <f>XF14+XF13+XF12+MAX(0,XJ13-XF13-XF12)*(1-WX14)</f>
        <v/>
      </c>
      <c r="XK14" s="12">
        <f>SUM(XG$5:XG14)</f>
        <v/>
      </c>
      <c r="XL14" s="12">
        <f>SUM(XH$5:XH14)</f>
        <v/>
      </c>
      <c r="XM14" s="12">
        <f>XI14+XJ14+XK14+XL14</f>
        <v/>
      </c>
      <c r="XN14" s="9">
        <f>XI14*PriceEssMonthly*WW14+XJ14*PricePremMonthly*WW14+XK14*PriceEssAnnual*WW14/12+XL14*PricePremAnnual*WW14/12</f>
        <v/>
      </c>
      <c r="XO14" s="9">
        <f>XN14*12</f>
        <v/>
      </c>
      <c r="XP14" s="12">
        <f>XI14*PriceEssMonthly*WW14+XJ14*PricePremMonthly*WW14</f>
        <v/>
      </c>
      <c r="XQ14" s="12">
        <f>XG14*PriceEssAnnual*WW14+XH14*PricePremAnnual*WW14</f>
        <v/>
      </c>
      <c r="XR14" s="12">
        <f>0+0</f>
        <v/>
      </c>
      <c r="XS14" s="9">
        <f>XP14+XQ14+XR14</f>
        <v/>
      </c>
      <c r="XT14" s="12">
        <f>SUM(XS$5:XS14)</f>
        <v/>
      </c>
      <c r="XU14" s="12">
        <f>OR(XU13,XT14&gt;=VATThreshold)</f>
        <v/>
      </c>
      <c r="XV14" s="9">
        <f>IF(XU14,XS14/(1+VATRate),XS14)</f>
        <v/>
      </c>
      <c r="XW14" s="12">
        <f>XS14-XV14</f>
        <v/>
      </c>
      <c r="XX14" s="12">
        <f>IF(XU14=0,0,IF(WT14=1,SUMPRODUCT(--(($WU$5:$WU14=$WU14-1)*($WT$5:$WT14&gt;=10)*($WT$5:$WT14&lt;=12)),$XW$5:$XW14),IF(WT14=4,SUMPRODUCT(--(($WU$5:$WU14=$WU14)*($WT$5:$WT14&gt;=1)*($WT$5:$WT14&lt;=3)),$XW$5:$XW14),IF(WT14=7,SUMPRODUCT(--(($WU$5:$WU14=$WU14)*($WT$5:$WT14&gt;=4)*($WT$5:$WT14&lt;=6)),$XW$5:$XW14),IF(WT14=10,SUMPRODUCT(--(($WU$5:$WU14=$WU14)*($WT$5:$WT14&gt;=7)*($WT$5:$WT14&lt;=9)),$XW$5:$XW14),0)))))</f>
        <v/>
      </c>
      <c r="XY14" s="12">
        <f>XY13+XW14-XX14</f>
        <v/>
      </c>
      <c r="XZ14" s="12">
        <f>IF(ProviderDelay&gt;=1,XV13*ProviderShare,XV14*ProviderShare)</f>
        <v/>
      </c>
      <c r="YA14" s="12">
        <f>XS14*PaymentFee</f>
        <v/>
      </c>
      <c r="YB14" s="12">
        <f>XM14*OpsAI</f>
        <v/>
      </c>
      <c r="YC14" s="12">
        <f>MonthlyFixed</f>
        <v/>
      </c>
      <c r="YD14" s="12">
        <f>XA14*ReferralReward</f>
        <v/>
      </c>
      <c r="YE14" s="12">
        <f>WY14</f>
        <v/>
      </c>
      <c r="YF14" s="9">
        <f>XV14-XZ14-YA14-YB14-YC14-YD14-YE14</f>
        <v/>
      </c>
      <c r="YG14" s="9">
        <f>YG13+XS14-(XZ14+YA14+YB14+YC14+YD14+YE14+XX14)</f>
        <v/>
      </c>
      <c r="YH14" s="12">
        <f>IF(XM14&gt;0,XN14/XM14,0)</f>
        <v/>
      </c>
      <c r="YI14" s="11">
        <f>IF(XM13&gt;0,MAX(0,(XM13+XB14-XM14)/XM13),0)</f>
        <v/>
      </c>
      <c r="YK14" s="12" t="n">
        <v>10</v>
      </c>
      <c r="YL14" s="12">
        <f>MOD(YK14-1+LaunchMonth-1,12)+1</f>
        <v/>
      </c>
      <c r="YM14" s="12">
        <f>INT((YK14-1+LaunchMonth-1)/12)+1</f>
        <v/>
      </c>
      <c r="YN14" s="12">
        <f>VLOOKUP(YL14,SeasonTable,2,FALSE)</f>
        <v/>
      </c>
      <c r="YO14" s="12">
        <f>(1+InflationRate)^INT((YK14-1)/12)</f>
        <v/>
      </c>
      <c r="YP14" s="11">
        <f>MonthlyChurn*VLOOKUP(YL14,ChurnSeasonTable,4,FALSE)</f>
        <v/>
      </c>
      <c r="YQ14" s="12">
        <f>MIN(MAX(MktMin7_12,ZK13*MktPct7_12),MAX(0,ZY13-CashBuffer))</f>
        <v/>
      </c>
      <c r="YR14" s="12">
        <f>IF(YQ14&gt;0,MAX(1,ROUND(YQ14/CAC*YN14,0)),0)</f>
        <v/>
      </c>
      <c r="YS14" s="12">
        <f>IF(YR14&gt;0,ROUND(YR14*ReferralMix/(1-ReferralMix),0),0)</f>
        <v/>
      </c>
      <c r="YT14" s="12">
        <f>YR14+YS14</f>
        <v/>
      </c>
      <c r="YU14" s="12">
        <f>ROUND(YT14*(1-'Sens - Annual Mix'!$A$12),0)</f>
        <v/>
      </c>
      <c r="YV14" s="12">
        <f>YT14-YU14</f>
        <v/>
      </c>
      <c r="YW14" s="12">
        <f>ROUND(YU14*EssentialMix,0)</f>
        <v/>
      </c>
      <c r="YX14" s="12">
        <f>YU14-YW14</f>
        <v/>
      </c>
      <c r="YY14" s="12">
        <f>ROUND(YV14*EssentialMix,0)</f>
        <v/>
      </c>
      <c r="YZ14" s="12">
        <f>YV14-YY14</f>
        <v/>
      </c>
      <c r="ZA14" s="12">
        <f>YW14+YW13+YW12+MAX(0,ZA13-YW13-YW12)*(1-YP14)</f>
        <v/>
      </c>
      <c r="ZB14" s="12">
        <f>YX14+YX13+YX12+MAX(0,ZB13-YX13-YX12)*(1-YP14)</f>
        <v/>
      </c>
      <c r="ZC14" s="12">
        <f>SUM(YY$5:YY14)</f>
        <v/>
      </c>
      <c r="ZD14" s="12">
        <f>SUM(YZ$5:YZ14)</f>
        <v/>
      </c>
      <c r="ZE14" s="12">
        <f>ZA14+ZB14+ZC14+ZD14</f>
        <v/>
      </c>
      <c r="ZF14" s="9">
        <f>ZA14*PriceEssMonthly*YO14+ZB14*PricePremMonthly*YO14+ZC14*PriceEssAnnual*YO14/12+ZD14*PricePremAnnual*YO14/12</f>
        <v/>
      </c>
      <c r="ZG14" s="9">
        <f>ZF14*12</f>
        <v/>
      </c>
      <c r="ZH14" s="12">
        <f>ZA14*PriceEssMonthly*YO14+ZB14*PricePremMonthly*YO14</f>
        <v/>
      </c>
      <c r="ZI14" s="12">
        <f>YY14*PriceEssAnnual*YO14+YZ14*PricePremAnnual*YO14</f>
        <v/>
      </c>
      <c r="ZJ14" s="12">
        <f>0+0</f>
        <v/>
      </c>
      <c r="ZK14" s="9">
        <f>ZH14+ZI14+ZJ14</f>
        <v/>
      </c>
      <c r="ZL14" s="12">
        <f>SUM(ZK$5:ZK14)</f>
        <v/>
      </c>
      <c r="ZM14" s="12">
        <f>OR(ZM13,ZL14&gt;=VATThreshold)</f>
        <v/>
      </c>
      <c r="ZN14" s="9">
        <f>IF(ZM14,ZK14/(1+VATRate),ZK14)</f>
        <v/>
      </c>
      <c r="ZO14" s="12">
        <f>ZK14-ZN14</f>
        <v/>
      </c>
      <c r="ZP14" s="12">
        <f>IF(ZM14=0,0,IF(YL14=1,SUMPRODUCT(--(($YM$5:$YM14=$YM14-1)*($YL$5:$YL14&gt;=10)*($YL$5:$YL14&lt;=12)),$ZO$5:$ZO14),IF(YL14=4,SUMPRODUCT(--(($YM$5:$YM14=$YM14)*($YL$5:$YL14&gt;=1)*($YL$5:$YL14&lt;=3)),$ZO$5:$ZO14),IF(YL14=7,SUMPRODUCT(--(($YM$5:$YM14=$YM14)*($YL$5:$YL14&gt;=4)*($YL$5:$YL14&lt;=6)),$ZO$5:$ZO14),IF(YL14=10,SUMPRODUCT(--(($YM$5:$YM14=$YM14)*($YL$5:$YL14&gt;=7)*($YL$5:$YL14&lt;=9)),$ZO$5:$ZO14),0)))))</f>
        <v/>
      </c>
      <c r="ZQ14" s="12">
        <f>ZQ13+ZO14-ZP14</f>
        <v/>
      </c>
      <c r="ZR14" s="12">
        <f>IF(ProviderDelay&gt;=1,ZN13*ProviderShare,ZN14*ProviderShare)</f>
        <v/>
      </c>
      <c r="ZS14" s="12">
        <f>ZK14*PaymentFee</f>
        <v/>
      </c>
      <c r="ZT14" s="12">
        <f>ZE14*OpsAI</f>
        <v/>
      </c>
      <c r="ZU14" s="12">
        <f>MonthlyFixed</f>
        <v/>
      </c>
      <c r="ZV14" s="12">
        <f>YS14*ReferralReward</f>
        <v/>
      </c>
      <c r="ZW14" s="12">
        <f>YQ14</f>
        <v/>
      </c>
      <c r="ZX14" s="9">
        <f>ZN14-ZR14-ZS14-ZT14-ZU14-ZV14-ZW14</f>
        <v/>
      </c>
      <c r="ZY14" s="9">
        <f>ZY13+ZK14-(ZR14+ZS14+ZT14+ZU14+ZV14+ZW14+ZP14)</f>
        <v/>
      </c>
      <c r="ZZ14" s="12">
        <f>IF(ZE14&gt;0,ZF14/ZE14,0)</f>
        <v/>
      </c>
      <c r="AAA14" s="11">
        <f>IF(ZE13&gt;0,MAX(0,(ZE13+YT14-ZE14)/ZE13),0)</f>
        <v/>
      </c>
      <c r="AAC14" s="12" t="n">
        <v>10</v>
      </c>
      <c r="AAD14" s="12">
        <f>MOD(AAC14-1+LaunchMonth-1,12)+1</f>
        <v/>
      </c>
      <c r="AAE14" s="12">
        <f>INT((AAC14-1+LaunchMonth-1)/12)+1</f>
        <v/>
      </c>
      <c r="AAF14" s="12">
        <f>VLOOKUP(AAD14,SeasonTable,2,FALSE)</f>
        <v/>
      </c>
      <c r="AAG14" s="12">
        <f>(1+InflationRate)^INT((AAC14-1)/12)</f>
        <v/>
      </c>
      <c r="AAH14" s="11">
        <f>MonthlyChurn*VLOOKUP(AAD14,ChurnSeasonTable,4,FALSE)</f>
        <v/>
      </c>
      <c r="AAI14" s="12">
        <f>MIN(MAX(MktMin7_12,ABC13*MktPct7_12),MAX(0,ABQ13-CashBuffer))</f>
        <v/>
      </c>
      <c r="AAJ14" s="12">
        <f>IF(AAI14&gt;0,MAX(1,ROUND(AAI14/CAC*AAF14,0)),0)</f>
        <v/>
      </c>
      <c r="AAK14" s="12">
        <f>IF(AAJ14&gt;0,ROUND(AAJ14*ReferralMix/(1-ReferralMix),0),0)</f>
        <v/>
      </c>
      <c r="AAL14" s="12">
        <f>AAJ14+AAK14</f>
        <v/>
      </c>
      <c r="AAM14" s="12">
        <f>ROUND(AAL14*(1-'Sens - Annual Mix'!$A$13),0)</f>
        <v/>
      </c>
      <c r="AAN14" s="12">
        <f>AAL14-AAM14</f>
        <v/>
      </c>
      <c r="AAO14" s="12">
        <f>ROUND(AAM14*EssentialMix,0)</f>
        <v/>
      </c>
      <c r="AAP14" s="12">
        <f>AAM14-AAO14</f>
        <v/>
      </c>
      <c r="AAQ14" s="12">
        <f>ROUND(AAN14*EssentialMix,0)</f>
        <v/>
      </c>
      <c r="AAR14" s="12">
        <f>AAN14-AAQ14</f>
        <v/>
      </c>
      <c r="AAS14" s="12">
        <f>AAO14+AAO13+AAO12+MAX(0,AAS13-AAO13-AAO12)*(1-AAH14)</f>
        <v/>
      </c>
      <c r="AAT14" s="12">
        <f>AAP14+AAP13+AAP12+MAX(0,AAT13-AAP13-AAP12)*(1-AAH14)</f>
        <v/>
      </c>
      <c r="AAU14" s="12">
        <f>SUM(AAQ$5:AAQ14)</f>
        <v/>
      </c>
      <c r="AAV14" s="12">
        <f>SUM(AAR$5:AAR14)</f>
        <v/>
      </c>
      <c r="AAW14" s="12">
        <f>AAS14+AAT14+AAU14+AAV14</f>
        <v/>
      </c>
      <c r="AAX14" s="9">
        <f>AAS14*PriceEssMonthly*AAG14+AAT14*PricePremMonthly*AAG14+AAU14*PriceEssAnnual*AAG14/12+AAV14*PricePremAnnual*AAG14/12</f>
        <v/>
      </c>
      <c r="AAY14" s="9">
        <f>AAX14*12</f>
        <v/>
      </c>
      <c r="AAZ14" s="12">
        <f>AAS14*PriceEssMonthly*AAG14+AAT14*PricePremMonthly*AAG14</f>
        <v/>
      </c>
      <c r="ABA14" s="12">
        <f>AAQ14*PriceEssAnnual*AAG14+AAR14*PricePremAnnual*AAG14</f>
        <v/>
      </c>
      <c r="ABB14" s="12">
        <f>0+0</f>
        <v/>
      </c>
      <c r="ABC14" s="9">
        <f>AAZ14+ABA14+ABB14</f>
        <v/>
      </c>
      <c r="ABD14" s="12">
        <f>SUM(ABC$5:ABC14)</f>
        <v/>
      </c>
      <c r="ABE14" s="12">
        <f>OR(ABE13,ABD14&gt;=VATThreshold)</f>
        <v/>
      </c>
      <c r="ABF14" s="9">
        <f>IF(ABE14,ABC14/(1+VATRate),ABC14)</f>
        <v/>
      </c>
      <c r="ABG14" s="12">
        <f>ABC14-ABF14</f>
        <v/>
      </c>
      <c r="ABH14" s="12">
        <f>IF(ABE14=0,0,IF(AAD14=1,SUMPRODUCT(--(($AAE$5:$AAE14=$AAE14-1)*($AAD$5:$AAD14&gt;=10)*($AAD$5:$AAD14&lt;=12)),$ABG$5:$ABG14),IF(AAD14=4,SUMPRODUCT(--(($AAE$5:$AAE14=$AAE14)*($AAD$5:$AAD14&gt;=1)*($AAD$5:$AAD14&lt;=3)),$ABG$5:$ABG14),IF(AAD14=7,SUMPRODUCT(--(($AAE$5:$AAE14=$AAE14)*($AAD$5:$AAD14&gt;=4)*($AAD$5:$AAD14&lt;=6)),$ABG$5:$ABG14),IF(AAD14=10,SUMPRODUCT(--(($AAE$5:$AAE14=$AAE14)*($AAD$5:$AAD14&gt;=7)*($AAD$5:$AAD14&lt;=9)),$ABG$5:$ABG14),0)))))</f>
        <v/>
      </c>
      <c r="ABI14" s="12">
        <f>ABI13+ABG14-ABH14</f>
        <v/>
      </c>
      <c r="ABJ14" s="12">
        <f>IF(ProviderDelay&gt;=1,ABF13*ProviderShare,ABF14*ProviderShare)</f>
        <v/>
      </c>
      <c r="ABK14" s="12">
        <f>ABC14*PaymentFee</f>
        <v/>
      </c>
      <c r="ABL14" s="12">
        <f>AAW14*OpsAI</f>
        <v/>
      </c>
      <c r="ABM14" s="12">
        <f>MonthlyFixed</f>
        <v/>
      </c>
      <c r="ABN14" s="12">
        <f>AAK14*ReferralReward</f>
        <v/>
      </c>
      <c r="ABO14" s="12">
        <f>AAI14</f>
        <v/>
      </c>
      <c r="ABP14" s="9">
        <f>ABF14-ABJ14-ABK14-ABL14-ABM14-ABN14-ABO14</f>
        <v/>
      </c>
      <c r="ABQ14" s="9">
        <f>ABQ13+ABC14-(ABJ14+ABK14+ABL14+ABM14+ABN14+ABO14+ABH14)</f>
        <v/>
      </c>
      <c r="ABR14" s="12">
        <f>IF(AAW14&gt;0,AAX14/AAW14,0)</f>
        <v/>
      </c>
      <c r="ABS14" s="11">
        <f>IF(AAW13&gt;0,MAX(0,(AAW13+AAL14-AAW14)/AAW13),0)</f>
        <v/>
      </c>
      <c r="ABU14" s="12" t="n">
        <v>10</v>
      </c>
      <c r="ABV14" s="12">
        <f>MOD(ABU14-1+LaunchMonth-1,12)+1</f>
        <v/>
      </c>
      <c r="ABW14" s="12">
        <f>INT((ABU14-1+LaunchMonth-1)/12)+1</f>
        <v/>
      </c>
      <c r="ABX14" s="12">
        <f>VLOOKUP(ABV14,SeasonTable,2,FALSE)</f>
        <v/>
      </c>
      <c r="ABY14" s="12">
        <f>(1+InflationRate)^INT((ABU14-1)/12)</f>
        <v/>
      </c>
      <c r="ABZ14" s="11">
        <f>MonthlyChurn*VLOOKUP(ABV14,ChurnSeasonTable,4,FALSE)</f>
        <v/>
      </c>
      <c r="ACA14" s="12">
        <f>MIN(MAX(MktMin7_12,ACU13*MktPct7_12),MAX(0,ADI13-CashBuffer))</f>
        <v/>
      </c>
      <c r="ACB14" s="12">
        <f>IF(ACA14&gt;0,MAX(1,ROUND(ACA14/CAC*ABX14,0)),0)</f>
        <v/>
      </c>
      <c r="ACC14" s="12">
        <f>IF(ACB14&gt;0,ROUND(ACB14*ReferralMix/(1-ReferralMix),0),0)</f>
        <v/>
      </c>
      <c r="ACD14" s="12">
        <f>ACB14+ACC14</f>
        <v/>
      </c>
      <c r="ACE14" s="12">
        <f>ROUND(ACD14*(1-'Sens - Annual Mix'!$A$14),0)</f>
        <v/>
      </c>
      <c r="ACF14" s="12">
        <f>ACD14-ACE14</f>
        <v/>
      </c>
      <c r="ACG14" s="12">
        <f>ROUND(ACE14*EssentialMix,0)</f>
        <v/>
      </c>
      <c r="ACH14" s="12">
        <f>ACE14-ACG14</f>
        <v/>
      </c>
      <c r="ACI14" s="12">
        <f>ROUND(ACF14*EssentialMix,0)</f>
        <v/>
      </c>
      <c r="ACJ14" s="12">
        <f>ACF14-ACI14</f>
        <v/>
      </c>
      <c r="ACK14" s="12">
        <f>ACG14+ACG13+ACG12+MAX(0,ACK13-ACG13-ACG12)*(1-ABZ14)</f>
        <v/>
      </c>
      <c r="ACL14" s="12">
        <f>ACH14+ACH13+ACH12+MAX(0,ACL13-ACH13-ACH12)*(1-ABZ14)</f>
        <v/>
      </c>
      <c r="ACM14" s="12">
        <f>SUM(ACI$5:ACI14)</f>
        <v/>
      </c>
      <c r="ACN14" s="12">
        <f>SUM(ACJ$5:ACJ14)</f>
        <v/>
      </c>
      <c r="ACO14" s="12">
        <f>ACK14+ACL14+ACM14+ACN14</f>
        <v/>
      </c>
      <c r="ACP14" s="9">
        <f>ACK14*PriceEssMonthly*ABY14+ACL14*PricePremMonthly*ABY14+ACM14*PriceEssAnnual*ABY14/12+ACN14*PricePremAnnual*ABY14/12</f>
        <v/>
      </c>
      <c r="ACQ14" s="9">
        <f>ACP14*12</f>
        <v/>
      </c>
      <c r="ACR14" s="12">
        <f>ACK14*PriceEssMonthly*ABY14+ACL14*PricePremMonthly*ABY14</f>
        <v/>
      </c>
      <c r="ACS14" s="12">
        <f>ACI14*PriceEssAnnual*ABY14+ACJ14*PricePremAnnual*ABY14</f>
        <v/>
      </c>
      <c r="ACT14" s="12">
        <f>0+0</f>
        <v/>
      </c>
      <c r="ACU14" s="9">
        <f>ACR14+ACS14+ACT14</f>
        <v/>
      </c>
      <c r="ACV14" s="12">
        <f>SUM(ACU$5:ACU14)</f>
        <v/>
      </c>
      <c r="ACW14" s="12">
        <f>OR(ACW13,ACV14&gt;=VATThreshold)</f>
        <v/>
      </c>
      <c r="ACX14" s="9">
        <f>IF(ACW14,ACU14/(1+VATRate),ACU14)</f>
        <v/>
      </c>
      <c r="ACY14" s="12">
        <f>ACU14-ACX14</f>
        <v/>
      </c>
      <c r="ACZ14" s="12">
        <f>IF(ACW14=0,0,IF(ABV14=1,SUMPRODUCT(--(($ABW$5:$ABW14=$ABW14-1)*($ABV$5:$ABV14&gt;=10)*($ABV$5:$ABV14&lt;=12)),$ACY$5:$ACY14),IF(ABV14=4,SUMPRODUCT(--(($ABW$5:$ABW14=$ABW14)*($ABV$5:$ABV14&gt;=1)*($ABV$5:$ABV14&lt;=3)),$ACY$5:$ACY14),IF(ABV14=7,SUMPRODUCT(--(($ABW$5:$ABW14=$ABW14)*($ABV$5:$ABV14&gt;=4)*($ABV$5:$ABV14&lt;=6)),$ACY$5:$ACY14),IF(ABV14=10,SUMPRODUCT(--(($ABW$5:$ABW14=$ABW14)*($ABV$5:$ABV14&gt;=7)*($ABV$5:$ABV14&lt;=9)),$ACY$5:$ACY14),0)))))</f>
        <v/>
      </c>
      <c r="ADA14" s="12">
        <f>ADA13+ACY14-ACZ14</f>
        <v/>
      </c>
      <c r="ADB14" s="12">
        <f>IF(ProviderDelay&gt;=1,ACX13*ProviderShare,ACX14*ProviderShare)</f>
        <v/>
      </c>
      <c r="ADC14" s="12">
        <f>ACU14*PaymentFee</f>
        <v/>
      </c>
      <c r="ADD14" s="12">
        <f>ACO14*OpsAI</f>
        <v/>
      </c>
      <c r="ADE14" s="12">
        <f>MonthlyFixed</f>
        <v/>
      </c>
      <c r="ADF14" s="12">
        <f>ACC14*ReferralReward</f>
        <v/>
      </c>
      <c r="ADG14" s="12">
        <f>ACA14</f>
        <v/>
      </c>
      <c r="ADH14" s="9">
        <f>ACX14-ADB14-ADC14-ADD14-ADE14-ADF14-ADG14</f>
        <v/>
      </c>
      <c r="ADI14" s="9">
        <f>ADI13+ACU14-(ADB14+ADC14+ADD14+ADE14+ADF14+ADG14+ACZ14)</f>
        <v/>
      </c>
      <c r="ADJ14" s="12">
        <f>IF(ACO14&gt;0,ACP14/ACO14,0)</f>
        <v/>
      </c>
      <c r="ADK14" s="11">
        <f>IF(ACO13&gt;0,MAX(0,(ACO13+ACD14-ACO14)/ACO13),0)</f>
        <v/>
      </c>
      <c r="ADM14" s="12" t="n">
        <v>10</v>
      </c>
      <c r="ADN14" s="12">
        <f>MOD(ADM14-1+LaunchMonth-1,12)+1</f>
        <v/>
      </c>
      <c r="ADO14" s="12">
        <f>INT((ADM14-1+LaunchMonth-1)/12)+1</f>
        <v/>
      </c>
      <c r="ADP14" s="12">
        <f>VLOOKUP(ADN14,SeasonTable,2,FALSE)</f>
        <v/>
      </c>
      <c r="ADQ14" s="12">
        <f>(1+InflationRate)^INT((ADM14-1)/12)</f>
        <v/>
      </c>
      <c r="ADR14" s="11">
        <f>MonthlyChurn*VLOOKUP(ADN14,ChurnSeasonTable,4,FALSE)</f>
        <v/>
      </c>
      <c r="ADS14" s="12">
        <f>MIN(MAX(MktMin7_12,AEM13*MktPct7_12),MAX(0,AFA13-CashBuffer))</f>
        <v/>
      </c>
      <c r="ADT14" s="12">
        <f>IF(ADS14&gt;0,MAX(1,ROUND(ADS14/CAC*ADP14,0)),0)</f>
        <v/>
      </c>
      <c r="ADU14" s="12">
        <f>IF(ADT14&gt;0,ROUND(ADT14*ReferralMix/(1-ReferralMix),0),0)</f>
        <v/>
      </c>
      <c r="ADV14" s="12">
        <f>ADT14+ADU14</f>
        <v/>
      </c>
      <c r="ADW14" s="12">
        <f>ROUND(ADV14*(1-'Sens - Annual Mix'!$A$15),0)</f>
        <v/>
      </c>
      <c r="ADX14" s="12">
        <f>ADV14-ADW14</f>
        <v/>
      </c>
      <c r="ADY14" s="12">
        <f>ROUND(ADW14*EssentialMix,0)</f>
        <v/>
      </c>
      <c r="ADZ14" s="12">
        <f>ADW14-ADY14</f>
        <v/>
      </c>
      <c r="AEA14" s="12">
        <f>ROUND(ADX14*EssentialMix,0)</f>
        <v/>
      </c>
      <c r="AEB14" s="12">
        <f>ADX14-AEA14</f>
        <v/>
      </c>
      <c r="AEC14" s="12">
        <f>ADY14+ADY13+ADY12+MAX(0,AEC13-ADY13-ADY12)*(1-ADR14)</f>
        <v/>
      </c>
      <c r="AED14" s="12">
        <f>ADZ14+ADZ13+ADZ12+MAX(0,AED13-ADZ13-ADZ12)*(1-ADR14)</f>
        <v/>
      </c>
      <c r="AEE14" s="12">
        <f>SUM(AEA$5:AEA14)</f>
        <v/>
      </c>
      <c r="AEF14" s="12">
        <f>SUM(AEB$5:AEB14)</f>
        <v/>
      </c>
      <c r="AEG14" s="12">
        <f>AEC14+AED14+AEE14+AEF14</f>
        <v/>
      </c>
      <c r="AEH14" s="9">
        <f>AEC14*PriceEssMonthly*ADQ14+AED14*PricePremMonthly*ADQ14+AEE14*PriceEssAnnual*ADQ14/12+AEF14*PricePremAnnual*ADQ14/12</f>
        <v/>
      </c>
      <c r="AEI14" s="9">
        <f>AEH14*12</f>
        <v/>
      </c>
      <c r="AEJ14" s="12">
        <f>AEC14*PriceEssMonthly*ADQ14+AED14*PricePremMonthly*ADQ14</f>
        <v/>
      </c>
      <c r="AEK14" s="12">
        <f>AEA14*PriceEssAnnual*ADQ14+AEB14*PricePremAnnual*ADQ14</f>
        <v/>
      </c>
      <c r="AEL14" s="12">
        <f>0+0</f>
        <v/>
      </c>
      <c r="AEM14" s="9">
        <f>AEJ14+AEK14+AEL14</f>
        <v/>
      </c>
      <c r="AEN14" s="12">
        <f>SUM(AEM$5:AEM14)</f>
        <v/>
      </c>
      <c r="AEO14" s="12">
        <f>OR(AEO13,AEN14&gt;=VATThreshold)</f>
        <v/>
      </c>
      <c r="AEP14" s="9">
        <f>IF(AEO14,AEM14/(1+VATRate),AEM14)</f>
        <v/>
      </c>
      <c r="AEQ14" s="12">
        <f>AEM14-AEP14</f>
        <v/>
      </c>
      <c r="AER14" s="12">
        <f>IF(AEO14=0,0,IF(ADN14=1,SUMPRODUCT(--(($ADO$5:$ADO14=$ADO14-1)*($ADN$5:$ADN14&gt;=10)*($ADN$5:$ADN14&lt;=12)),$AEQ$5:$AEQ14),IF(ADN14=4,SUMPRODUCT(--(($ADO$5:$ADO14=$ADO14)*($ADN$5:$ADN14&gt;=1)*($ADN$5:$ADN14&lt;=3)),$AEQ$5:$AEQ14),IF(ADN14=7,SUMPRODUCT(--(($ADO$5:$ADO14=$ADO14)*($ADN$5:$ADN14&gt;=4)*($ADN$5:$ADN14&lt;=6)),$AEQ$5:$AEQ14),IF(ADN14=10,SUMPRODUCT(--(($ADO$5:$ADO14=$ADO14)*($ADN$5:$ADN14&gt;=7)*($ADN$5:$ADN14&lt;=9)),$AEQ$5:$AEQ14),0)))))</f>
        <v/>
      </c>
      <c r="AES14" s="12">
        <f>AES13+AEQ14-AER14</f>
        <v/>
      </c>
      <c r="AET14" s="12">
        <f>IF(ProviderDelay&gt;=1,AEP13*ProviderShare,AEP14*ProviderShare)</f>
        <v/>
      </c>
      <c r="AEU14" s="12">
        <f>AEM14*PaymentFee</f>
        <v/>
      </c>
      <c r="AEV14" s="12">
        <f>AEG14*OpsAI</f>
        <v/>
      </c>
      <c r="AEW14" s="12">
        <f>MonthlyFixed</f>
        <v/>
      </c>
      <c r="AEX14" s="12">
        <f>ADU14*ReferralReward</f>
        <v/>
      </c>
      <c r="AEY14" s="12">
        <f>ADS14</f>
        <v/>
      </c>
      <c r="AEZ14" s="9">
        <f>AEP14-AET14-AEU14-AEV14-AEW14-AEX14-AEY14</f>
        <v/>
      </c>
      <c r="AFA14" s="9">
        <f>AFA13+AEM14-(AET14+AEU14+AEV14+AEW14+AEX14+AEY14+AER14)</f>
        <v/>
      </c>
      <c r="AFB14" s="12">
        <f>IF(AEG14&gt;0,AEH14/AEG14,0)</f>
        <v/>
      </c>
      <c r="AFC14" s="11">
        <f>IF(AEG13&gt;0,MAX(0,(AEG13+ADV14-AEG14)/AEG13),0)</f>
        <v/>
      </c>
      <c r="AFE14" s="12" t="n">
        <v>10</v>
      </c>
      <c r="AFF14" s="12">
        <f>MOD(AFE14-1+LaunchMonth-1,12)+1</f>
        <v/>
      </c>
      <c r="AFG14" s="12">
        <f>INT((AFE14-1+LaunchMonth-1)/12)+1</f>
        <v/>
      </c>
      <c r="AFH14" s="12">
        <f>VLOOKUP(AFF14,SeasonTable,2,FALSE)</f>
        <v/>
      </c>
      <c r="AFI14" s="12">
        <f>(1+InflationRate)^INT((AFE14-1)/12)</f>
        <v/>
      </c>
      <c r="AFJ14" s="11">
        <f>MonthlyChurn*VLOOKUP(AFF14,ChurnSeasonTable,4,FALSE)</f>
        <v/>
      </c>
      <c r="AFK14" s="12">
        <f>MIN(MAX(MktMin7_12,AGE13*MktPct7_12),MAX(0,AGS13-CashBuffer))</f>
        <v/>
      </c>
      <c r="AFL14" s="12">
        <f>IF(AFK14&gt;0,MAX(1,ROUND(AFK14/'Sens - CAC &amp; Marketing'!$A$9*AFH14,0)),0)</f>
        <v/>
      </c>
      <c r="AFM14" s="12">
        <f>IF(AFL14&gt;0,ROUND(AFL14*ReferralMix/(1-ReferralMix),0),0)</f>
        <v/>
      </c>
      <c r="AFN14" s="12">
        <f>AFL14+AFM14</f>
        <v/>
      </c>
      <c r="AFO14" s="12">
        <f>ROUND(AFN14*(1-AnnualMix),0)</f>
        <v/>
      </c>
      <c r="AFP14" s="12">
        <f>AFN14-AFO14</f>
        <v/>
      </c>
      <c r="AFQ14" s="12">
        <f>ROUND(AFO14*EssentialMix,0)</f>
        <v/>
      </c>
      <c r="AFR14" s="12">
        <f>AFO14-AFQ14</f>
        <v/>
      </c>
      <c r="AFS14" s="12">
        <f>ROUND(AFP14*EssentialMix,0)</f>
        <v/>
      </c>
      <c r="AFT14" s="12">
        <f>AFP14-AFS14</f>
        <v/>
      </c>
      <c r="AFU14" s="12">
        <f>AFQ14+AFQ13+AFQ12+MAX(0,AFU13-AFQ13-AFQ12)*(1-AFJ14)</f>
        <v/>
      </c>
      <c r="AFV14" s="12">
        <f>AFR14+AFR13+AFR12+MAX(0,AFV13-AFR13-AFR12)*(1-AFJ14)</f>
        <v/>
      </c>
      <c r="AFW14" s="12">
        <f>SUM(AFS$5:AFS14)</f>
        <v/>
      </c>
      <c r="AFX14" s="12">
        <f>SUM(AFT$5:AFT14)</f>
        <v/>
      </c>
      <c r="AFY14" s="12">
        <f>AFU14+AFV14+AFW14+AFX14</f>
        <v/>
      </c>
      <c r="AFZ14" s="9">
        <f>AFU14*PriceEssMonthly*AFI14+AFV14*PricePremMonthly*AFI14+AFW14*PriceEssAnnual*AFI14/12+AFX14*PricePremAnnual*AFI14/12</f>
        <v/>
      </c>
      <c r="AGA14" s="9">
        <f>AFZ14*12</f>
        <v/>
      </c>
      <c r="AGB14" s="12">
        <f>AFU14*PriceEssMonthly*AFI14+AFV14*PricePremMonthly*AFI14</f>
        <v/>
      </c>
      <c r="AGC14" s="12">
        <f>AFS14*PriceEssAnnual*AFI14+AFT14*PricePremAnnual*AFI14</f>
        <v/>
      </c>
      <c r="AGD14" s="12">
        <f>0+0</f>
        <v/>
      </c>
      <c r="AGE14" s="9">
        <f>AGB14+AGC14+AGD14</f>
        <v/>
      </c>
      <c r="AGF14" s="12">
        <f>SUM(AGE$5:AGE14)</f>
        <v/>
      </c>
      <c r="AGG14" s="12">
        <f>OR(AGG13,AGF14&gt;=VATThreshold)</f>
        <v/>
      </c>
      <c r="AGH14" s="9">
        <f>IF(AGG14,AGE14/(1+VATRate),AGE14)</f>
        <v/>
      </c>
      <c r="AGI14" s="12">
        <f>AGE14-AGH14</f>
        <v/>
      </c>
      <c r="AGJ14" s="12">
        <f>IF(AGG14=0,0,IF(AFF14=1,SUMPRODUCT(--(($AFG$5:$AFG14=$AFG14-1)*($AFF$5:$AFF14&gt;=10)*($AFF$5:$AFF14&lt;=12)),$AGI$5:$AGI14),IF(AFF14=4,SUMPRODUCT(--(($AFG$5:$AFG14=$AFG14)*($AFF$5:$AFF14&gt;=1)*($AFF$5:$AFF14&lt;=3)),$AGI$5:$AGI14),IF(AFF14=7,SUMPRODUCT(--(($AFG$5:$AFG14=$AFG14)*($AFF$5:$AFF14&gt;=4)*($AFF$5:$AFF14&lt;=6)),$AGI$5:$AGI14),IF(AFF14=10,SUMPRODUCT(--(($AFG$5:$AFG14=$AFG14)*($AFF$5:$AFF14&gt;=7)*($AFF$5:$AFF14&lt;=9)),$AGI$5:$AGI14),0)))))</f>
        <v/>
      </c>
      <c r="AGK14" s="12">
        <f>AGK13+AGI14-AGJ14</f>
        <v/>
      </c>
      <c r="AGL14" s="12">
        <f>IF(ProviderDelay&gt;=1,AGH13*ProviderShare,AGH14*ProviderShare)</f>
        <v/>
      </c>
      <c r="AGM14" s="12">
        <f>AGE14*PaymentFee</f>
        <v/>
      </c>
      <c r="AGN14" s="12">
        <f>AFY14*OpsAI</f>
        <v/>
      </c>
      <c r="AGO14" s="12">
        <f>MonthlyFixed</f>
        <v/>
      </c>
      <c r="AGP14" s="12">
        <f>AFM14*ReferralReward</f>
        <v/>
      </c>
      <c r="AGQ14" s="12">
        <f>AFK14</f>
        <v/>
      </c>
      <c r="AGR14" s="9">
        <f>AGH14-AGL14-AGM14-AGN14-AGO14-AGP14-AGQ14</f>
        <v/>
      </c>
      <c r="AGS14" s="9">
        <f>AGS13+AGE14-(AGL14+AGM14+AGN14+AGO14+AGP14+AGQ14+AGJ14)</f>
        <v/>
      </c>
      <c r="AGT14" s="12">
        <f>IF(AFY14&gt;0,AFZ14/AFY14,0)</f>
        <v/>
      </c>
      <c r="AGU14" s="11">
        <f>IF(AFY13&gt;0,MAX(0,(AFY13+AFN14-AFY14)/AFY13),0)</f>
        <v/>
      </c>
      <c r="AGW14" s="12" t="n">
        <v>10</v>
      </c>
      <c r="AGX14" s="12">
        <f>MOD(AGW14-1+LaunchMonth-1,12)+1</f>
        <v/>
      </c>
      <c r="AGY14" s="12">
        <f>INT((AGW14-1+LaunchMonth-1)/12)+1</f>
        <v/>
      </c>
      <c r="AGZ14" s="12">
        <f>VLOOKUP(AGX14,SeasonTable,2,FALSE)</f>
        <v/>
      </c>
      <c r="AHA14" s="12">
        <f>(1+InflationRate)^INT((AGW14-1)/12)</f>
        <v/>
      </c>
      <c r="AHB14" s="11">
        <f>MonthlyChurn*VLOOKUP(AGX14,ChurnSeasonTable,4,FALSE)</f>
        <v/>
      </c>
      <c r="AHC14" s="12">
        <f>MIN(MAX(MktMin7_12,AHW13*MktPct7_12),MAX(0,AIK13-CashBuffer))</f>
        <v/>
      </c>
      <c r="AHD14" s="12">
        <f>IF(AHC14&gt;0,MAX(1,ROUND(AHC14/'Sens - CAC &amp; Marketing'!$A$10*AGZ14,0)),0)</f>
        <v/>
      </c>
      <c r="AHE14" s="12">
        <f>IF(AHD14&gt;0,ROUND(AHD14*ReferralMix/(1-ReferralMix),0),0)</f>
        <v/>
      </c>
      <c r="AHF14" s="12">
        <f>AHD14+AHE14</f>
        <v/>
      </c>
      <c r="AHG14" s="12">
        <f>ROUND(AHF14*(1-AnnualMix),0)</f>
        <v/>
      </c>
      <c r="AHH14" s="12">
        <f>AHF14-AHG14</f>
        <v/>
      </c>
      <c r="AHI14" s="12">
        <f>ROUND(AHG14*EssentialMix,0)</f>
        <v/>
      </c>
      <c r="AHJ14" s="12">
        <f>AHG14-AHI14</f>
        <v/>
      </c>
      <c r="AHK14" s="12">
        <f>ROUND(AHH14*EssentialMix,0)</f>
        <v/>
      </c>
      <c r="AHL14" s="12">
        <f>AHH14-AHK14</f>
        <v/>
      </c>
      <c r="AHM14" s="12">
        <f>AHI14+AHI13+AHI12+MAX(0,AHM13-AHI13-AHI12)*(1-AHB14)</f>
        <v/>
      </c>
      <c r="AHN14" s="12">
        <f>AHJ14+AHJ13+AHJ12+MAX(0,AHN13-AHJ13-AHJ12)*(1-AHB14)</f>
        <v/>
      </c>
      <c r="AHO14" s="12">
        <f>SUM(AHK$5:AHK14)</f>
        <v/>
      </c>
      <c r="AHP14" s="12">
        <f>SUM(AHL$5:AHL14)</f>
        <v/>
      </c>
      <c r="AHQ14" s="12">
        <f>AHM14+AHN14+AHO14+AHP14</f>
        <v/>
      </c>
      <c r="AHR14" s="9">
        <f>AHM14*PriceEssMonthly*AHA14+AHN14*PricePremMonthly*AHA14+AHO14*PriceEssAnnual*AHA14/12+AHP14*PricePremAnnual*AHA14/12</f>
        <v/>
      </c>
      <c r="AHS14" s="9">
        <f>AHR14*12</f>
        <v/>
      </c>
      <c r="AHT14" s="12">
        <f>AHM14*PriceEssMonthly*AHA14+AHN14*PricePremMonthly*AHA14</f>
        <v/>
      </c>
      <c r="AHU14" s="12">
        <f>AHK14*PriceEssAnnual*AHA14+AHL14*PricePremAnnual*AHA14</f>
        <v/>
      </c>
      <c r="AHV14" s="12">
        <f>0+0</f>
        <v/>
      </c>
      <c r="AHW14" s="9">
        <f>AHT14+AHU14+AHV14</f>
        <v/>
      </c>
      <c r="AHX14" s="12">
        <f>SUM(AHW$5:AHW14)</f>
        <v/>
      </c>
      <c r="AHY14" s="12">
        <f>OR(AHY13,AHX14&gt;=VATThreshold)</f>
        <v/>
      </c>
      <c r="AHZ14" s="9">
        <f>IF(AHY14,AHW14/(1+VATRate),AHW14)</f>
        <v/>
      </c>
      <c r="AIA14" s="12">
        <f>AHW14-AHZ14</f>
        <v/>
      </c>
      <c r="AIB14" s="12">
        <f>IF(AHY14=0,0,IF(AGX14=1,SUMPRODUCT(--(($AGY$5:$AGY14=$AGY14-1)*($AGX$5:$AGX14&gt;=10)*($AGX$5:$AGX14&lt;=12)),$AIA$5:$AIA14),IF(AGX14=4,SUMPRODUCT(--(($AGY$5:$AGY14=$AGY14)*($AGX$5:$AGX14&gt;=1)*($AGX$5:$AGX14&lt;=3)),$AIA$5:$AIA14),IF(AGX14=7,SUMPRODUCT(--(($AGY$5:$AGY14=$AGY14)*($AGX$5:$AGX14&gt;=4)*($AGX$5:$AGX14&lt;=6)),$AIA$5:$AIA14),IF(AGX14=10,SUMPRODUCT(--(($AGY$5:$AGY14=$AGY14)*($AGX$5:$AGX14&gt;=7)*($AGX$5:$AGX14&lt;=9)),$AIA$5:$AIA14),0)))))</f>
        <v/>
      </c>
      <c r="AIC14" s="12">
        <f>AIC13+AIA14-AIB14</f>
        <v/>
      </c>
      <c r="AID14" s="12">
        <f>IF(ProviderDelay&gt;=1,AHZ13*ProviderShare,AHZ14*ProviderShare)</f>
        <v/>
      </c>
      <c r="AIE14" s="12">
        <f>AHW14*PaymentFee</f>
        <v/>
      </c>
      <c r="AIF14" s="12">
        <f>AHQ14*OpsAI</f>
        <v/>
      </c>
      <c r="AIG14" s="12">
        <f>MonthlyFixed</f>
        <v/>
      </c>
      <c r="AIH14" s="12">
        <f>AHE14*ReferralReward</f>
        <v/>
      </c>
      <c r="AII14" s="12">
        <f>AHC14</f>
        <v/>
      </c>
      <c r="AIJ14" s="9">
        <f>AHZ14-AID14-AIE14-AIF14-AIG14-AIH14-AII14</f>
        <v/>
      </c>
      <c r="AIK14" s="9">
        <f>AIK13+AHW14-(AID14+AIE14+AIF14+AIG14+AIH14+AII14+AIB14)</f>
        <v/>
      </c>
      <c r="AIL14" s="12">
        <f>IF(AHQ14&gt;0,AHR14/AHQ14,0)</f>
        <v/>
      </c>
      <c r="AIM14" s="11">
        <f>IF(AHQ13&gt;0,MAX(0,(AHQ13+AHF14-AHQ14)/AHQ13),0)</f>
        <v/>
      </c>
      <c r="AIO14" s="12" t="n">
        <v>10</v>
      </c>
      <c r="AIP14" s="12">
        <f>MOD(AIO14-1+LaunchMonth-1,12)+1</f>
        <v/>
      </c>
      <c r="AIQ14" s="12">
        <f>INT((AIO14-1+LaunchMonth-1)/12)+1</f>
        <v/>
      </c>
      <c r="AIR14" s="12">
        <f>VLOOKUP(AIP14,SeasonTable,2,FALSE)</f>
        <v/>
      </c>
      <c r="AIS14" s="12">
        <f>(1+InflationRate)^INT((AIO14-1)/12)</f>
        <v/>
      </c>
      <c r="AIT14" s="11">
        <f>MonthlyChurn*VLOOKUP(AIP14,ChurnSeasonTable,4,FALSE)</f>
        <v/>
      </c>
      <c r="AIU14" s="12">
        <f>MIN(MAX(MktMin7_12,AJO13*MktPct7_12),MAX(0,AKC13-CashBuffer))</f>
        <v/>
      </c>
      <c r="AIV14" s="12">
        <f>IF(AIU14&gt;0,MAX(1,ROUND(AIU14/'Sens - CAC &amp; Marketing'!$A$11*AIR14,0)),0)</f>
        <v/>
      </c>
      <c r="AIW14" s="12">
        <f>IF(AIV14&gt;0,ROUND(AIV14*ReferralMix/(1-ReferralMix),0),0)</f>
        <v/>
      </c>
      <c r="AIX14" s="12">
        <f>AIV14+AIW14</f>
        <v/>
      </c>
      <c r="AIY14" s="12">
        <f>ROUND(AIX14*(1-AnnualMix),0)</f>
        <v/>
      </c>
      <c r="AIZ14" s="12">
        <f>AIX14-AIY14</f>
        <v/>
      </c>
      <c r="AJA14" s="12">
        <f>ROUND(AIY14*EssentialMix,0)</f>
        <v/>
      </c>
      <c r="AJB14" s="12">
        <f>AIY14-AJA14</f>
        <v/>
      </c>
      <c r="AJC14" s="12">
        <f>ROUND(AIZ14*EssentialMix,0)</f>
        <v/>
      </c>
      <c r="AJD14" s="12">
        <f>AIZ14-AJC14</f>
        <v/>
      </c>
      <c r="AJE14" s="12">
        <f>AJA14+AJA13+AJA12+MAX(0,AJE13-AJA13-AJA12)*(1-AIT14)</f>
        <v/>
      </c>
      <c r="AJF14" s="12">
        <f>AJB14+AJB13+AJB12+MAX(0,AJF13-AJB13-AJB12)*(1-AIT14)</f>
        <v/>
      </c>
      <c r="AJG14" s="12">
        <f>SUM(AJC$5:AJC14)</f>
        <v/>
      </c>
      <c r="AJH14" s="12">
        <f>SUM(AJD$5:AJD14)</f>
        <v/>
      </c>
      <c r="AJI14" s="12">
        <f>AJE14+AJF14+AJG14+AJH14</f>
        <v/>
      </c>
      <c r="AJJ14" s="9">
        <f>AJE14*PriceEssMonthly*AIS14+AJF14*PricePremMonthly*AIS14+AJG14*PriceEssAnnual*AIS14/12+AJH14*PricePremAnnual*AIS14/12</f>
        <v/>
      </c>
      <c r="AJK14" s="9">
        <f>AJJ14*12</f>
        <v/>
      </c>
      <c r="AJL14" s="12">
        <f>AJE14*PriceEssMonthly*AIS14+AJF14*PricePremMonthly*AIS14</f>
        <v/>
      </c>
      <c r="AJM14" s="12">
        <f>AJC14*PriceEssAnnual*AIS14+AJD14*PricePremAnnual*AIS14</f>
        <v/>
      </c>
      <c r="AJN14" s="12">
        <f>0+0</f>
        <v/>
      </c>
      <c r="AJO14" s="9">
        <f>AJL14+AJM14+AJN14</f>
        <v/>
      </c>
      <c r="AJP14" s="12">
        <f>SUM(AJO$5:AJO14)</f>
        <v/>
      </c>
      <c r="AJQ14" s="12">
        <f>OR(AJQ13,AJP14&gt;=VATThreshold)</f>
        <v/>
      </c>
      <c r="AJR14" s="9">
        <f>IF(AJQ14,AJO14/(1+VATRate),AJO14)</f>
        <v/>
      </c>
      <c r="AJS14" s="12">
        <f>AJO14-AJR14</f>
        <v/>
      </c>
      <c r="AJT14" s="12">
        <f>IF(AJQ14=0,0,IF(AIP14=1,SUMPRODUCT(--(($AIQ$5:$AIQ14=$AIQ14-1)*($AIP$5:$AIP14&gt;=10)*($AIP$5:$AIP14&lt;=12)),$AJS$5:$AJS14),IF(AIP14=4,SUMPRODUCT(--(($AIQ$5:$AIQ14=$AIQ14)*($AIP$5:$AIP14&gt;=1)*($AIP$5:$AIP14&lt;=3)),$AJS$5:$AJS14),IF(AIP14=7,SUMPRODUCT(--(($AIQ$5:$AIQ14=$AIQ14)*($AIP$5:$AIP14&gt;=4)*($AIP$5:$AIP14&lt;=6)),$AJS$5:$AJS14),IF(AIP14=10,SUMPRODUCT(--(($AIQ$5:$AIQ14=$AIQ14)*($AIP$5:$AIP14&gt;=7)*($AIP$5:$AIP14&lt;=9)),$AJS$5:$AJS14),0)))))</f>
        <v/>
      </c>
      <c r="AJU14" s="12">
        <f>AJU13+AJS14-AJT14</f>
        <v/>
      </c>
      <c r="AJV14" s="12">
        <f>IF(ProviderDelay&gt;=1,AJR13*ProviderShare,AJR14*ProviderShare)</f>
        <v/>
      </c>
      <c r="AJW14" s="12">
        <f>AJO14*PaymentFee</f>
        <v/>
      </c>
      <c r="AJX14" s="12">
        <f>AJI14*OpsAI</f>
        <v/>
      </c>
      <c r="AJY14" s="12">
        <f>MonthlyFixed</f>
        <v/>
      </c>
      <c r="AJZ14" s="12">
        <f>AIW14*ReferralReward</f>
        <v/>
      </c>
      <c r="AKA14" s="12">
        <f>AIU14</f>
        <v/>
      </c>
      <c r="AKB14" s="9">
        <f>AJR14-AJV14-AJW14-AJX14-AJY14-AJZ14-AKA14</f>
        <v/>
      </c>
      <c r="AKC14" s="9">
        <f>AKC13+AJO14-(AJV14+AJW14+AJX14+AJY14+AJZ14+AKA14+AJT14)</f>
        <v/>
      </c>
      <c r="AKD14" s="12">
        <f>IF(AJI14&gt;0,AJJ14/AJI14,0)</f>
        <v/>
      </c>
      <c r="AKE14" s="11">
        <f>IF(AJI13&gt;0,MAX(0,(AJI13+AIX14-AJI14)/AJI13),0)</f>
        <v/>
      </c>
      <c r="AKG14" s="12" t="n">
        <v>10</v>
      </c>
      <c r="AKH14" s="12">
        <f>MOD(AKG14-1+LaunchMonth-1,12)+1</f>
        <v/>
      </c>
      <c r="AKI14" s="12">
        <f>INT((AKG14-1+LaunchMonth-1)/12)+1</f>
        <v/>
      </c>
      <c r="AKJ14" s="12">
        <f>VLOOKUP(AKH14,SeasonTable,2,FALSE)</f>
        <v/>
      </c>
      <c r="AKK14" s="12">
        <f>(1+InflationRate)^INT((AKG14-1)/12)</f>
        <v/>
      </c>
      <c r="AKL14" s="11">
        <f>MonthlyChurn*VLOOKUP(AKH14,ChurnSeasonTable,4,FALSE)</f>
        <v/>
      </c>
      <c r="AKM14" s="12">
        <f>MIN(MAX(MktMin7_12,ALG13*MktPct7_12),MAX(0,ALU13-CashBuffer))</f>
        <v/>
      </c>
      <c r="AKN14" s="12">
        <f>IF(AKM14&gt;0,MAX(1,ROUND(AKM14/'Sens - CAC &amp; Marketing'!$A$12*AKJ14,0)),0)</f>
        <v/>
      </c>
      <c r="AKO14" s="12">
        <f>IF(AKN14&gt;0,ROUND(AKN14*ReferralMix/(1-ReferralMix),0),0)</f>
        <v/>
      </c>
      <c r="AKP14" s="12">
        <f>AKN14+AKO14</f>
        <v/>
      </c>
      <c r="AKQ14" s="12">
        <f>ROUND(AKP14*(1-AnnualMix),0)</f>
        <v/>
      </c>
      <c r="AKR14" s="12">
        <f>AKP14-AKQ14</f>
        <v/>
      </c>
      <c r="AKS14" s="12">
        <f>ROUND(AKQ14*EssentialMix,0)</f>
        <v/>
      </c>
      <c r="AKT14" s="12">
        <f>AKQ14-AKS14</f>
        <v/>
      </c>
      <c r="AKU14" s="12">
        <f>ROUND(AKR14*EssentialMix,0)</f>
        <v/>
      </c>
      <c r="AKV14" s="12">
        <f>AKR14-AKU14</f>
        <v/>
      </c>
      <c r="AKW14" s="12">
        <f>AKS14+AKS13+AKS12+MAX(0,AKW13-AKS13-AKS12)*(1-AKL14)</f>
        <v/>
      </c>
      <c r="AKX14" s="12">
        <f>AKT14+AKT13+AKT12+MAX(0,AKX13-AKT13-AKT12)*(1-AKL14)</f>
        <v/>
      </c>
      <c r="AKY14" s="12">
        <f>SUM(AKU$5:AKU14)</f>
        <v/>
      </c>
      <c r="AKZ14" s="12">
        <f>SUM(AKV$5:AKV14)</f>
        <v/>
      </c>
      <c r="ALA14" s="12">
        <f>AKW14+AKX14+AKY14+AKZ14</f>
        <v/>
      </c>
      <c r="ALB14" s="9">
        <f>AKW14*PriceEssMonthly*AKK14+AKX14*PricePremMonthly*AKK14+AKY14*PriceEssAnnual*AKK14/12+AKZ14*PricePremAnnual*AKK14/12</f>
        <v/>
      </c>
      <c r="ALC14" s="9">
        <f>ALB14*12</f>
        <v/>
      </c>
      <c r="ALD14" s="12">
        <f>AKW14*PriceEssMonthly*AKK14+AKX14*PricePremMonthly*AKK14</f>
        <v/>
      </c>
      <c r="ALE14" s="12">
        <f>AKU14*PriceEssAnnual*AKK14+AKV14*PricePremAnnual*AKK14</f>
        <v/>
      </c>
      <c r="ALF14" s="12">
        <f>0+0</f>
        <v/>
      </c>
      <c r="ALG14" s="9">
        <f>ALD14+ALE14+ALF14</f>
        <v/>
      </c>
      <c r="ALH14" s="12">
        <f>SUM(ALG$5:ALG14)</f>
        <v/>
      </c>
      <c r="ALI14" s="12">
        <f>OR(ALI13,ALH14&gt;=VATThreshold)</f>
        <v/>
      </c>
      <c r="ALJ14" s="9">
        <f>IF(ALI14,ALG14/(1+VATRate),ALG14)</f>
        <v/>
      </c>
      <c r="ALK14" s="12">
        <f>ALG14-ALJ14</f>
        <v/>
      </c>
      <c r="ALL14" s="12">
        <f>IF(ALI14=0,0,IF(AKH14=1,SUMPRODUCT(--(($AKI$5:$AKI14=$AKI14-1)*($AKH$5:$AKH14&gt;=10)*($AKH$5:$AKH14&lt;=12)),$ALK$5:$ALK14),IF(AKH14=4,SUMPRODUCT(--(($AKI$5:$AKI14=$AKI14)*($AKH$5:$AKH14&gt;=1)*($AKH$5:$AKH14&lt;=3)),$ALK$5:$ALK14),IF(AKH14=7,SUMPRODUCT(--(($AKI$5:$AKI14=$AKI14)*($AKH$5:$AKH14&gt;=4)*($AKH$5:$AKH14&lt;=6)),$ALK$5:$ALK14),IF(AKH14=10,SUMPRODUCT(--(($AKI$5:$AKI14=$AKI14)*($AKH$5:$AKH14&gt;=7)*($AKH$5:$AKH14&lt;=9)),$ALK$5:$ALK14),0)))))</f>
        <v/>
      </c>
      <c r="ALM14" s="12">
        <f>ALM13+ALK14-ALL14</f>
        <v/>
      </c>
      <c r="ALN14" s="12">
        <f>IF(ProviderDelay&gt;=1,ALJ13*ProviderShare,ALJ14*ProviderShare)</f>
        <v/>
      </c>
      <c r="ALO14" s="12">
        <f>ALG14*PaymentFee</f>
        <v/>
      </c>
      <c r="ALP14" s="12">
        <f>ALA14*OpsAI</f>
        <v/>
      </c>
      <c r="ALQ14" s="12">
        <f>MonthlyFixed</f>
        <v/>
      </c>
      <c r="ALR14" s="12">
        <f>AKO14*ReferralReward</f>
        <v/>
      </c>
      <c r="ALS14" s="12">
        <f>AKM14</f>
        <v/>
      </c>
      <c r="ALT14" s="9">
        <f>ALJ14-ALN14-ALO14-ALP14-ALQ14-ALR14-ALS14</f>
        <v/>
      </c>
      <c r="ALU14" s="9">
        <f>ALU13+ALG14-(ALN14+ALO14+ALP14+ALQ14+ALR14+ALS14+ALL14)</f>
        <v/>
      </c>
      <c r="ALV14" s="12">
        <f>IF(ALA14&gt;0,ALB14/ALA14,0)</f>
        <v/>
      </c>
      <c r="ALW14" s="11">
        <f>IF(ALA13&gt;0,MAX(0,(ALA13+AKP14-ALA14)/ALA13),0)</f>
        <v/>
      </c>
      <c r="ALY14" s="12" t="n">
        <v>10</v>
      </c>
      <c r="ALZ14" s="12">
        <f>MOD(ALY14-1+LaunchMonth-1,12)+1</f>
        <v/>
      </c>
      <c r="AMA14" s="12">
        <f>INT((ALY14-1+LaunchMonth-1)/12)+1</f>
        <v/>
      </c>
      <c r="AMB14" s="12">
        <f>VLOOKUP(ALZ14,SeasonTable,2,FALSE)</f>
        <v/>
      </c>
      <c r="AMC14" s="12">
        <f>(1+InflationRate)^INT((ALY14-1)/12)</f>
        <v/>
      </c>
      <c r="AMD14" s="11">
        <f>MonthlyChurn*VLOOKUP(ALZ14,ChurnSeasonTable,4,FALSE)</f>
        <v/>
      </c>
      <c r="AME14" s="12">
        <f>MIN(MAX(MktMin7_12,AMY13*MktPct7_12),MAX(0,ANM13-CashBuffer))</f>
        <v/>
      </c>
      <c r="AMF14" s="12">
        <f>IF(AME14&gt;0,MAX(1,ROUND(AME14/'Sens - CAC &amp; Marketing'!$A$13*AMB14,0)),0)</f>
        <v/>
      </c>
      <c r="AMG14" s="12">
        <f>IF(AMF14&gt;0,ROUND(AMF14*ReferralMix/(1-ReferralMix),0),0)</f>
        <v/>
      </c>
      <c r="AMH14" s="12">
        <f>AMF14+AMG14</f>
        <v/>
      </c>
      <c r="AMI14" s="12">
        <f>ROUND(AMH14*(1-AnnualMix),0)</f>
        <v/>
      </c>
      <c r="AMJ14" s="12">
        <f>AMH14-AMI14</f>
        <v/>
      </c>
      <c r="AMK14" s="12">
        <f>ROUND(AMI14*EssentialMix,0)</f>
        <v/>
      </c>
      <c r="AML14" s="12">
        <f>AMI14-AMK14</f>
        <v/>
      </c>
      <c r="AMM14" s="12">
        <f>ROUND(AMJ14*EssentialMix,0)</f>
        <v/>
      </c>
      <c r="AMN14" s="12">
        <f>AMJ14-AMM14</f>
        <v/>
      </c>
      <c r="AMO14" s="12">
        <f>AMK14+AMK13+AMK12+MAX(0,AMO13-AMK13-AMK12)*(1-AMD14)</f>
        <v/>
      </c>
      <c r="AMP14" s="12">
        <f>AML14+AML13+AML12+MAX(0,AMP13-AML13-AML12)*(1-AMD14)</f>
        <v/>
      </c>
      <c r="AMQ14" s="12">
        <f>SUM(AMM$5:AMM14)</f>
        <v/>
      </c>
      <c r="AMR14" s="12">
        <f>SUM(AMN$5:AMN14)</f>
        <v/>
      </c>
      <c r="AMS14" s="12">
        <f>AMO14+AMP14+AMQ14+AMR14</f>
        <v/>
      </c>
      <c r="AMT14" s="9">
        <f>AMO14*PriceEssMonthly*AMC14+AMP14*PricePremMonthly*AMC14+AMQ14*PriceEssAnnual*AMC14/12+AMR14*PricePremAnnual*AMC14/12</f>
        <v/>
      </c>
      <c r="AMU14" s="9">
        <f>AMT14*12</f>
        <v/>
      </c>
      <c r="AMV14" s="12">
        <f>AMO14*PriceEssMonthly*AMC14+AMP14*PricePremMonthly*AMC14</f>
        <v/>
      </c>
      <c r="AMW14" s="12">
        <f>AMM14*PriceEssAnnual*AMC14+AMN14*PricePremAnnual*AMC14</f>
        <v/>
      </c>
      <c r="AMX14" s="12">
        <f>0+0</f>
        <v/>
      </c>
      <c r="AMY14" s="9">
        <f>AMV14+AMW14+AMX14</f>
        <v/>
      </c>
      <c r="AMZ14" s="12">
        <f>SUM(AMY$5:AMY14)</f>
        <v/>
      </c>
      <c r="ANA14" s="12">
        <f>OR(ANA13,AMZ14&gt;=VATThreshold)</f>
        <v/>
      </c>
      <c r="ANB14" s="9">
        <f>IF(ANA14,AMY14/(1+VATRate),AMY14)</f>
        <v/>
      </c>
      <c r="ANC14" s="12">
        <f>AMY14-ANB14</f>
        <v/>
      </c>
      <c r="AND14" s="12">
        <f>IF(ANA14=0,0,IF(ALZ14=1,SUMPRODUCT(--(($AMA$5:$AMA14=$AMA14-1)*($ALZ$5:$ALZ14&gt;=10)*($ALZ$5:$ALZ14&lt;=12)),$ANC$5:$ANC14),IF(ALZ14=4,SUMPRODUCT(--(($AMA$5:$AMA14=$AMA14)*($ALZ$5:$ALZ14&gt;=1)*($ALZ$5:$ALZ14&lt;=3)),$ANC$5:$ANC14),IF(ALZ14=7,SUMPRODUCT(--(($AMA$5:$AMA14=$AMA14)*($ALZ$5:$ALZ14&gt;=4)*($ALZ$5:$ALZ14&lt;=6)),$ANC$5:$ANC14),IF(ALZ14=10,SUMPRODUCT(--(($AMA$5:$AMA14=$AMA14)*($ALZ$5:$ALZ14&gt;=7)*($ALZ$5:$ALZ14&lt;=9)),$ANC$5:$ANC14),0)))))</f>
        <v/>
      </c>
      <c r="ANE14" s="12">
        <f>ANE13+ANC14-AND14</f>
        <v/>
      </c>
      <c r="ANF14" s="12">
        <f>IF(ProviderDelay&gt;=1,ANB13*ProviderShare,ANB14*ProviderShare)</f>
        <v/>
      </c>
      <c r="ANG14" s="12">
        <f>AMY14*PaymentFee</f>
        <v/>
      </c>
      <c r="ANH14" s="12">
        <f>AMS14*OpsAI</f>
        <v/>
      </c>
      <c r="ANI14" s="12">
        <f>MonthlyFixed</f>
        <v/>
      </c>
      <c r="ANJ14" s="12">
        <f>AMG14*ReferralReward</f>
        <v/>
      </c>
      <c r="ANK14" s="12">
        <f>AME14</f>
        <v/>
      </c>
      <c r="ANL14" s="9">
        <f>ANB14-ANF14-ANG14-ANH14-ANI14-ANJ14-ANK14</f>
        <v/>
      </c>
      <c r="ANM14" s="9">
        <f>ANM13+AMY14-(ANF14+ANG14+ANH14+ANI14+ANJ14+ANK14+AND14)</f>
        <v/>
      </c>
      <c r="ANN14" s="12">
        <f>IF(AMS14&gt;0,AMT14/AMS14,0)</f>
        <v/>
      </c>
      <c r="ANO14" s="11">
        <f>IF(AMS13&gt;0,MAX(0,(AMS13+AMH14-AMS14)/AMS13),0)</f>
        <v/>
      </c>
      <c r="ANQ14" s="12" t="n">
        <v>10</v>
      </c>
      <c r="ANR14" s="12">
        <f>MOD(ANQ14-1+LaunchMonth-1,12)+1</f>
        <v/>
      </c>
      <c r="ANS14" s="12">
        <f>INT((ANQ14-1+LaunchMonth-1)/12)+1</f>
        <v/>
      </c>
      <c r="ANT14" s="12">
        <f>VLOOKUP(ANR14,SeasonTable,2,FALSE)</f>
        <v/>
      </c>
      <c r="ANU14" s="12">
        <f>(1+InflationRate)^INT((ANQ14-1)/12)</f>
        <v/>
      </c>
      <c r="ANV14" s="11">
        <f>MonthlyChurn*VLOOKUP(ANR14,ChurnSeasonTable,4,FALSE)</f>
        <v/>
      </c>
      <c r="ANW14" s="12">
        <f>MIN(MAX(MktMin7_12,AOQ13*MktPct7_12),MAX(0,APE13-CashBuffer))</f>
        <v/>
      </c>
      <c r="ANX14" s="12">
        <f>IF(ANW14&gt;0,MAX(1,ROUND(ANW14/'Sens - CAC &amp; Marketing'!$A$14*ANT14,0)),0)</f>
        <v/>
      </c>
      <c r="ANY14" s="12">
        <f>IF(ANX14&gt;0,ROUND(ANX14*ReferralMix/(1-ReferralMix),0),0)</f>
        <v/>
      </c>
      <c r="ANZ14" s="12">
        <f>ANX14+ANY14</f>
        <v/>
      </c>
      <c r="AOA14" s="12">
        <f>ROUND(ANZ14*(1-AnnualMix),0)</f>
        <v/>
      </c>
      <c r="AOB14" s="12">
        <f>ANZ14-AOA14</f>
        <v/>
      </c>
      <c r="AOC14" s="12">
        <f>ROUND(AOA14*EssentialMix,0)</f>
        <v/>
      </c>
      <c r="AOD14" s="12">
        <f>AOA14-AOC14</f>
        <v/>
      </c>
      <c r="AOE14" s="12">
        <f>ROUND(AOB14*EssentialMix,0)</f>
        <v/>
      </c>
      <c r="AOF14" s="12">
        <f>AOB14-AOE14</f>
        <v/>
      </c>
      <c r="AOG14" s="12">
        <f>AOC14+AOC13+AOC12+MAX(0,AOG13-AOC13-AOC12)*(1-ANV14)</f>
        <v/>
      </c>
      <c r="AOH14" s="12">
        <f>AOD14+AOD13+AOD12+MAX(0,AOH13-AOD13-AOD12)*(1-ANV14)</f>
        <v/>
      </c>
      <c r="AOI14" s="12">
        <f>SUM(AOE$5:AOE14)</f>
        <v/>
      </c>
      <c r="AOJ14" s="12">
        <f>SUM(AOF$5:AOF14)</f>
        <v/>
      </c>
      <c r="AOK14" s="12">
        <f>AOG14+AOH14+AOI14+AOJ14</f>
        <v/>
      </c>
      <c r="AOL14" s="9">
        <f>AOG14*PriceEssMonthly*ANU14+AOH14*PricePremMonthly*ANU14+AOI14*PriceEssAnnual*ANU14/12+AOJ14*PricePremAnnual*ANU14/12</f>
        <v/>
      </c>
      <c r="AOM14" s="9">
        <f>AOL14*12</f>
        <v/>
      </c>
      <c r="AON14" s="12">
        <f>AOG14*PriceEssMonthly*ANU14+AOH14*PricePremMonthly*ANU14</f>
        <v/>
      </c>
      <c r="AOO14" s="12">
        <f>AOE14*PriceEssAnnual*ANU14+AOF14*PricePremAnnual*ANU14</f>
        <v/>
      </c>
      <c r="AOP14" s="12">
        <f>0+0</f>
        <v/>
      </c>
      <c r="AOQ14" s="9">
        <f>AON14+AOO14+AOP14</f>
        <v/>
      </c>
      <c r="AOR14" s="12">
        <f>SUM(AOQ$5:AOQ14)</f>
        <v/>
      </c>
      <c r="AOS14" s="12">
        <f>OR(AOS13,AOR14&gt;=VATThreshold)</f>
        <v/>
      </c>
      <c r="AOT14" s="9">
        <f>IF(AOS14,AOQ14/(1+VATRate),AOQ14)</f>
        <v/>
      </c>
      <c r="AOU14" s="12">
        <f>AOQ14-AOT14</f>
        <v/>
      </c>
      <c r="AOV14" s="12">
        <f>IF(AOS14=0,0,IF(ANR14=1,SUMPRODUCT(--(($ANS$5:$ANS14=$ANS14-1)*($ANR$5:$ANR14&gt;=10)*($ANR$5:$ANR14&lt;=12)),$AOU$5:$AOU14),IF(ANR14=4,SUMPRODUCT(--(($ANS$5:$ANS14=$ANS14)*($ANR$5:$ANR14&gt;=1)*($ANR$5:$ANR14&lt;=3)),$AOU$5:$AOU14),IF(ANR14=7,SUMPRODUCT(--(($ANS$5:$ANS14=$ANS14)*($ANR$5:$ANR14&gt;=4)*($ANR$5:$ANR14&lt;=6)),$AOU$5:$AOU14),IF(ANR14=10,SUMPRODUCT(--(($ANS$5:$ANS14=$ANS14)*($ANR$5:$ANR14&gt;=7)*($ANR$5:$ANR14&lt;=9)),$AOU$5:$AOU14),0)))))</f>
        <v/>
      </c>
      <c r="AOW14" s="12">
        <f>AOW13+AOU14-AOV14</f>
        <v/>
      </c>
      <c r="AOX14" s="12">
        <f>IF(ProviderDelay&gt;=1,AOT13*ProviderShare,AOT14*ProviderShare)</f>
        <v/>
      </c>
      <c r="AOY14" s="12">
        <f>AOQ14*PaymentFee</f>
        <v/>
      </c>
      <c r="AOZ14" s="12">
        <f>AOK14*OpsAI</f>
        <v/>
      </c>
      <c r="APA14" s="12">
        <f>MonthlyFixed</f>
        <v/>
      </c>
      <c r="APB14" s="12">
        <f>ANY14*ReferralReward</f>
        <v/>
      </c>
      <c r="APC14" s="12">
        <f>ANW14</f>
        <v/>
      </c>
      <c r="APD14" s="9">
        <f>AOT14-AOX14-AOY14-AOZ14-APA14-APB14-APC14</f>
        <v/>
      </c>
      <c r="APE14" s="9">
        <f>APE13+AOQ14-(AOX14+AOY14+AOZ14+APA14+APB14+APC14+AOV14)</f>
        <v/>
      </c>
      <c r="APF14" s="12">
        <f>IF(AOK14&gt;0,AOL14/AOK14,0)</f>
        <v/>
      </c>
      <c r="APG14" s="11">
        <f>IF(AOK13&gt;0,MAX(0,(AOK13+ANZ14-AOK14)/AOK13),0)</f>
        <v/>
      </c>
      <c r="API14" s="12" t="n">
        <v>10</v>
      </c>
      <c r="APJ14" s="12">
        <f>MOD(API14-1+LaunchMonth-1,12)+1</f>
        <v/>
      </c>
      <c r="APK14" s="12">
        <f>INT((API14-1+LaunchMonth-1)/12)+1</f>
        <v/>
      </c>
      <c r="APL14" s="12">
        <f>VLOOKUP(APJ14,SeasonTable,2,FALSE)</f>
        <v/>
      </c>
      <c r="APM14" s="12">
        <f>(1+InflationRate)^INT((API14-1)/12)</f>
        <v/>
      </c>
      <c r="APN14" s="11">
        <f>MonthlyChurn*VLOOKUP(APJ14,ChurnSeasonTable,4,FALSE)</f>
        <v/>
      </c>
      <c r="APO14" s="12">
        <f>MIN(MAX(MktMin7_12,AQI13*MktPct7_12),MAX(0,AQW13-CashBuffer))</f>
        <v/>
      </c>
      <c r="APP14" s="12">
        <f>IF(APO14&gt;0,MAX(1,ROUND(APO14/'Sens - CAC &amp; Marketing'!$A$15*APL14,0)),0)</f>
        <v/>
      </c>
      <c r="APQ14" s="12">
        <f>IF(APP14&gt;0,ROUND(APP14*ReferralMix/(1-ReferralMix),0),0)</f>
        <v/>
      </c>
      <c r="APR14" s="12">
        <f>APP14+APQ14</f>
        <v/>
      </c>
      <c r="APS14" s="12">
        <f>ROUND(APR14*(1-AnnualMix),0)</f>
        <v/>
      </c>
      <c r="APT14" s="12">
        <f>APR14-APS14</f>
        <v/>
      </c>
      <c r="APU14" s="12">
        <f>ROUND(APS14*EssentialMix,0)</f>
        <v/>
      </c>
      <c r="APV14" s="12">
        <f>APS14-APU14</f>
        <v/>
      </c>
      <c r="APW14" s="12">
        <f>ROUND(APT14*EssentialMix,0)</f>
        <v/>
      </c>
      <c r="APX14" s="12">
        <f>APT14-APW14</f>
        <v/>
      </c>
      <c r="APY14" s="12">
        <f>APU14+APU13+APU12+MAX(0,APY13-APU13-APU12)*(1-APN14)</f>
        <v/>
      </c>
      <c r="APZ14" s="12">
        <f>APV14+APV13+APV12+MAX(0,APZ13-APV13-APV12)*(1-APN14)</f>
        <v/>
      </c>
      <c r="AQA14" s="12">
        <f>SUM(APW$5:APW14)</f>
        <v/>
      </c>
      <c r="AQB14" s="12">
        <f>SUM(APX$5:APX14)</f>
        <v/>
      </c>
      <c r="AQC14" s="12">
        <f>APY14+APZ14+AQA14+AQB14</f>
        <v/>
      </c>
      <c r="AQD14" s="9">
        <f>APY14*PriceEssMonthly*APM14+APZ14*PricePremMonthly*APM14+AQA14*PriceEssAnnual*APM14/12+AQB14*PricePremAnnual*APM14/12</f>
        <v/>
      </c>
      <c r="AQE14" s="9">
        <f>AQD14*12</f>
        <v/>
      </c>
      <c r="AQF14" s="12">
        <f>APY14*PriceEssMonthly*APM14+APZ14*PricePremMonthly*APM14</f>
        <v/>
      </c>
      <c r="AQG14" s="12">
        <f>APW14*PriceEssAnnual*APM14+APX14*PricePremAnnual*APM14</f>
        <v/>
      </c>
      <c r="AQH14" s="12">
        <f>0+0</f>
        <v/>
      </c>
      <c r="AQI14" s="9">
        <f>AQF14+AQG14+AQH14</f>
        <v/>
      </c>
      <c r="AQJ14" s="12">
        <f>SUM(AQI$5:AQI14)</f>
        <v/>
      </c>
      <c r="AQK14" s="12">
        <f>OR(AQK13,AQJ14&gt;=VATThreshold)</f>
        <v/>
      </c>
      <c r="AQL14" s="9">
        <f>IF(AQK14,AQI14/(1+VATRate),AQI14)</f>
        <v/>
      </c>
      <c r="AQM14" s="12">
        <f>AQI14-AQL14</f>
        <v/>
      </c>
      <c r="AQN14" s="12">
        <f>IF(AQK14=0,0,IF(APJ14=1,SUMPRODUCT(--(($APK$5:$APK14=$APK14-1)*($APJ$5:$APJ14&gt;=10)*($APJ$5:$APJ14&lt;=12)),$AQM$5:$AQM14),IF(APJ14=4,SUMPRODUCT(--(($APK$5:$APK14=$APK14)*($APJ$5:$APJ14&gt;=1)*($APJ$5:$APJ14&lt;=3)),$AQM$5:$AQM14),IF(APJ14=7,SUMPRODUCT(--(($APK$5:$APK14=$APK14)*($APJ$5:$APJ14&gt;=4)*($APJ$5:$APJ14&lt;=6)),$AQM$5:$AQM14),IF(APJ14=10,SUMPRODUCT(--(($APK$5:$APK14=$APK14)*($APJ$5:$APJ14&gt;=7)*($APJ$5:$APJ14&lt;=9)),$AQM$5:$AQM14),0)))))</f>
        <v/>
      </c>
      <c r="AQO14" s="12">
        <f>AQO13+AQM14-AQN14</f>
        <v/>
      </c>
      <c r="AQP14" s="12">
        <f>IF(ProviderDelay&gt;=1,AQL13*ProviderShare,AQL14*ProviderShare)</f>
        <v/>
      </c>
      <c r="AQQ14" s="12">
        <f>AQI14*PaymentFee</f>
        <v/>
      </c>
      <c r="AQR14" s="12">
        <f>AQC14*OpsAI</f>
        <v/>
      </c>
      <c r="AQS14" s="12">
        <f>MonthlyFixed</f>
        <v/>
      </c>
      <c r="AQT14" s="12">
        <f>APQ14*ReferralReward</f>
        <v/>
      </c>
      <c r="AQU14" s="12">
        <f>APO14</f>
        <v/>
      </c>
      <c r="AQV14" s="9">
        <f>AQL14-AQP14-AQQ14-AQR14-AQS14-AQT14-AQU14</f>
        <v/>
      </c>
      <c r="AQW14" s="9">
        <f>AQW13+AQI14-(AQP14+AQQ14+AQR14+AQS14+AQT14+AQU14+AQN14)</f>
        <v/>
      </c>
      <c r="AQX14" s="12">
        <f>IF(AQC14&gt;0,AQD14/AQC14,0)</f>
        <v/>
      </c>
      <c r="AQY14" s="11">
        <f>IF(AQC13&gt;0,MAX(0,(AQC13+APR14-AQC14)/AQC13),0)</f>
        <v/>
      </c>
      <c r="ARA14" s="12" t="n">
        <v>10</v>
      </c>
      <c r="ARB14" s="12">
        <f>MOD(ARA14-1+LaunchMonth-1,12)+1</f>
        <v/>
      </c>
      <c r="ARC14" s="12">
        <f>INT((ARA14-1+LaunchMonth-1)/12)+1</f>
        <v/>
      </c>
      <c r="ARD14" s="12">
        <f>VLOOKUP(ARB14,WinterPivotSeasonTable,5,FALSE)</f>
        <v/>
      </c>
      <c r="ARE14" s="12">
        <f>(1+InflationRate)^INT((ARA14-1)/12)</f>
        <v/>
      </c>
      <c r="ARF14" s="11">
        <f>MonthlyChurn*VLOOKUP(ARB14,WinterPivotChurnTable,6,FALSE)</f>
        <v/>
      </c>
      <c r="ARG14" s="12">
        <f>MIN(MAX(MktMin7_12,ASA13*MktPct7_12),MAX(0,ASO13-CashBuffer))</f>
        <v/>
      </c>
      <c r="ARH14" s="12">
        <f>IF(ARG14&gt;0,MAX(1,ROUND(ARG14/CAC*ARD14,0)),0)</f>
        <v/>
      </c>
      <c r="ARI14" s="12">
        <f>IF(ARH14&gt;0,ROUND(ARH14*ReferralMix/(1-ReferralMix),0),0)</f>
        <v/>
      </c>
      <c r="ARJ14" s="12">
        <f>ARH14+ARI14</f>
        <v/>
      </c>
      <c r="ARK14" s="12">
        <f>ROUND(ARJ14*(1-AnnualMix),0)</f>
        <v/>
      </c>
      <c r="ARL14" s="12">
        <f>ARJ14-ARK14</f>
        <v/>
      </c>
      <c r="ARM14" s="12">
        <f>ROUND(ARK14*'Sens - Winter Pivot'!$B$6,0)</f>
        <v/>
      </c>
      <c r="ARN14" s="12">
        <f>ARK14-ARM14</f>
        <v/>
      </c>
      <c r="ARO14" s="12">
        <f>ROUND(ARL14*'Sens - Winter Pivot'!$B$6,0)</f>
        <v/>
      </c>
      <c r="ARP14" s="12">
        <f>ARL14-ARO14</f>
        <v/>
      </c>
      <c r="ARQ14" s="12">
        <f>ARM14+ARM13+ARM12+MAX(0,ARQ13-ARM13-ARM12)*(1-ARF14)</f>
        <v/>
      </c>
      <c r="ARR14" s="12">
        <f>ARN14+ARN13+ARN12+MAX(0,ARR13-ARN13-ARN12)*(1-ARF14)</f>
        <v/>
      </c>
      <c r="ARS14" s="12">
        <f>SUM(ARO$5:ARO14)</f>
        <v/>
      </c>
      <c r="ART14" s="12">
        <f>SUM(ARP$5:ARP14)</f>
        <v/>
      </c>
      <c r="ARU14" s="12">
        <f>ARQ14+ARR14+ARS14+ART14</f>
        <v/>
      </c>
      <c r="ARV14" s="9">
        <f>ARQ14*PriceEssMonthly*ARE14+ARR14*(PricePremMonthly+'Sens - Winter Pivot'!$B$7)*ARE14+ARS14*PriceEssAnnual*ARE14/12+ART14*(PricePremAnnual+'Sens - Winter Pivot'!$B$7*12)*ARE14/12</f>
        <v/>
      </c>
      <c r="ARW14" s="9">
        <f>ARV14*12</f>
        <v/>
      </c>
      <c r="ARX14" s="12">
        <f>ARQ14*PriceEssMonthly*ARE14+ARR14*(PricePremMonthly+'Sens - Winter Pivot'!$B$7)*ARE14</f>
        <v/>
      </c>
      <c r="ARY14" s="12">
        <f>ARO14*PriceEssAnnual*ARE14+ARP14*(PricePremAnnual+'Sens - Winter Pivot'!$B$7*12)*ARE14</f>
        <v/>
      </c>
      <c r="ARZ14" s="12">
        <f>0+0</f>
        <v/>
      </c>
      <c r="ASA14" s="9">
        <f>ARX14+ARY14+ARZ14</f>
        <v/>
      </c>
      <c r="ASB14" s="12">
        <f>SUM(ASA$5:ASA14)</f>
        <v/>
      </c>
      <c r="ASC14" s="12">
        <f>OR(ASC13,ASB14&gt;=VATThreshold)</f>
        <v/>
      </c>
      <c r="ASD14" s="9">
        <f>IF(ASC14,ASA14/(1+VATRate),ASA14)</f>
        <v/>
      </c>
      <c r="ASE14" s="12">
        <f>ASA14-ASD14</f>
        <v/>
      </c>
      <c r="ASF14" s="12">
        <f>IF(ASC14=0,0,IF(ARB14=1,SUMPRODUCT(--(($ARC$5:$ARC14=$ARC14-1)*($ARB$5:$ARB14&gt;=10)*($ARB$5:$ARB14&lt;=12)),$ASE$5:$ASE14),IF(ARB14=4,SUMPRODUCT(--(($ARC$5:$ARC14=$ARC14)*($ARB$5:$ARB14&gt;=1)*($ARB$5:$ARB14&lt;=3)),$ASE$5:$ASE14),IF(ARB14=7,SUMPRODUCT(--(($ARC$5:$ARC14=$ARC14)*($ARB$5:$ARB14&gt;=4)*($ARB$5:$ARB14&lt;=6)),$ASE$5:$ASE14),IF(ARB14=10,SUMPRODUCT(--(($ARC$5:$ARC14=$ARC14)*($ARB$5:$ARB14&gt;=7)*($ARB$5:$ARB14&lt;=9)),$ASE$5:$ASE14),0)))))</f>
        <v/>
      </c>
      <c r="ASG14" s="12">
        <f>ASG13+ASE14-ASF14</f>
        <v/>
      </c>
      <c r="ASH14" s="12">
        <f>IF(ProviderDelay&gt;=1,ASD13*ProviderShare,ASD14*ProviderShare)</f>
        <v/>
      </c>
      <c r="ASI14" s="12">
        <f>ASA14*PaymentFee</f>
        <v/>
      </c>
      <c r="ASJ14" s="12">
        <f>ARU14*OpsAI</f>
        <v/>
      </c>
      <c r="ASK14" s="12">
        <f>MonthlyFixed</f>
        <v/>
      </c>
      <c r="ASL14" s="12">
        <f>ARI14*ReferralReward</f>
        <v/>
      </c>
      <c r="ASM14" s="12">
        <f>ARG14</f>
        <v/>
      </c>
      <c r="ASN14" s="9">
        <f>ASD14-ASH14-ASI14-ASJ14-ASK14-ASL14-ASM14</f>
        <v/>
      </c>
      <c r="ASO14" s="9">
        <f>ASO13+ASA14-(ASH14+ASI14+ASJ14+ASK14+ASL14+ASM14+ASF14)</f>
        <v/>
      </c>
      <c r="ASP14" s="12">
        <f>IF(ARU14&gt;0,ARV14/ARU14,0)</f>
        <v/>
      </c>
      <c r="ASQ14" s="11">
        <f>IF(ARU13&gt;0,MAX(0,(ARU13+ARJ14-ARU14)/ARU13),0)</f>
        <v/>
      </c>
    </row>
    <row r="15">
      <c r="A15" s="12" t="n">
        <v>11</v>
      </c>
      <c r="B15" s="12">
        <f>MOD(A15-1+LaunchMonth-1,12)+1</f>
        <v/>
      </c>
      <c r="C15" s="12">
        <f>INT((A15-1+LaunchMonth-1)/12)+1</f>
        <v/>
      </c>
      <c r="D15" s="12">
        <f>VLOOKUP(B15,SeasonTable,2,FALSE)</f>
        <v/>
      </c>
      <c r="E15" s="12">
        <f>(1+InflationRate)^INT((A15-1)/12)</f>
        <v/>
      </c>
      <c r="F15" s="11">
        <f>'Sens - Scenarios'!$B$5*VLOOKUP(B15,ChurnSeasonTable,4,FALSE)</f>
        <v/>
      </c>
      <c r="G15" s="12">
        <f>MIN(MAX(MktMin7_12,AA14*MktPct7_12),MAX(0,AO14-CashBuffer))</f>
        <v/>
      </c>
      <c r="H15" s="12">
        <f>IF(G15&gt;0,MAX(1,ROUND(G15/'Sens - Scenarios'!$B$8*D15,0)),0)</f>
        <v/>
      </c>
      <c r="I15" s="12">
        <f>IF(H15&gt;0,ROUND(H15*ReferralMix/(1-ReferralMix),0),0)</f>
        <v/>
      </c>
      <c r="J15" s="12">
        <f>H15+I15</f>
        <v/>
      </c>
      <c r="K15" s="12">
        <f>ROUND(J15*(1-'Sens - Scenarios'!$B$7),0)</f>
        <v/>
      </c>
      <c r="L15" s="12">
        <f>J15-K15</f>
        <v/>
      </c>
      <c r="M15" s="12">
        <f>ROUND(K15*EssentialMix,0)</f>
        <v/>
      </c>
      <c r="N15" s="12">
        <f>K15-M15</f>
        <v/>
      </c>
      <c r="O15" s="12">
        <f>ROUND(L15*EssentialMix,0)</f>
        <v/>
      </c>
      <c r="P15" s="12">
        <f>L15-O15</f>
        <v/>
      </c>
      <c r="Q15" s="12">
        <f>M15+M14+M13+MAX(0,Q14-M14-M13)*(1-F15)</f>
        <v/>
      </c>
      <c r="R15" s="12">
        <f>N15+N14+N13+MAX(0,R14-N14-N13)*(1-F15)</f>
        <v/>
      </c>
      <c r="S15" s="12">
        <f>SUM(O$5:O15)</f>
        <v/>
      </c>
      <c r="T15" s="12">
        <f>SUM(P$5:P15)</f>
        <v/>
      </c>
      <c r="U15" s="12">
        <f>Q15+R15+S15+T15</f>
        <v/>
      </c>
      <c r="V15" s="9">
        <f>Q15*PriceEssMonthly*E15+R15*PricePremMonthly*E15+S15*PriceEssAnnual*E15/12+T15*PricePremAnnual*E15/12</f>
        <v/>
      </c>
      <c r="W15" s="9">
        <f>V15*12</f>
        <v/>
      </c>
      <c r="X15" s="12">
        <f>Q15*PriceEssMonthly*E15+R15*PricePremMonthly*E15</f>
        <v/>
      </c>
      <c r="Y15" s="12">
        <f>O15*PriceEssAnnual*E15+P15*PricePremAnnual*E15</f>
        <v/>
      </c>
      <c r="Z15" s="12">
        <f>0+0</f>
        <v/>
      </c>
      <c r="AA15" s="9">
        <f>X15+Y15+Z15</f>
        <v/>
      </c>
      <c r="AB15" s="12">
        <f>SUM(AA$5:AA15)</f>
        <v/>
      </c>
      <c r="AC15" s="12">
        <f>OR(AC14,AB15&gt;=VATThreshold)</f>
        <v/>
      </c>
      <c r="AD15" s="9">
        <f>IF(AC15,AA15/(1+VATRate),AA15)</f>
        <v/>
      </c>
      <c r="AE15" s="12">
        <f>AA15-AD15</f>
        <v/>
      </c>
      <c r="AF15" s="12">
        <f>IF(AC15=0,0,IF(B15=1,SUMPRODUCT(--(($C$5:$C15=$C15-1)*($B$5:$B15&gt;=10)*($B$5:$B15&lt;=12)),$AE$5:$AE15),IF(B15=4,SUMPRODUCT(--(($C$5:$C15=$C15)*($B$5:$B15&gt;=1)*($B$5:$B15&lt;=3)),$AE$5:$AE15),IF(B15=7,SUMPRODUCT(--(($C$5:$C15=$C15)*($B$5:$B15&gt;=4)*($B$5:$B15&lt;=6)),$AE$5:$AE15),IF(B15=10,SUMPRODUCT(--(($C$5:$C15=$C15)*($B$5:$B15&gt;=7)*($B$5:$B15&lt;=9)),$AE$5:$AE15),0)))))</f>
        <v/>
      </c>
      <c r="AG15" s="12">
        <f>AG14+AE15-AF15</f>
        <v/>
      </c>
      <c r="AH15" s="12">
        <f>IF(ProviderDelay&gt;=1,AD14*ProviderShare,AD15*ProviderShare)</f>
        <v/>
      </c>
      <c r="AI15" s="12">
        <f>AA15*PaymentFee</f>
        <v/>
      </c>
      <c r="AJ15" s="12">
        <f>U15*OpsAI</f>
        <v/>
      </c>
      <c r="AK15" s="12">
        <f>MonthlyFixed</f>
        <v/>
      </c>
      <c r="AL15" s="12">
        <f>I15*ReferralReward</f>
        <v/>
      </c>
      <c r="AM15" s="12">
        <f>G15</f>
        <v/>
      </c>
      <c r="AN15" s="9">
        <f>AD15-AH15-AI15-AJ15-AK15-AL15-AM15</f>
        <v/>
      </c>
      <c r="AO15" s="9">
        <f>AO14+AA15-(AH15+AI15+AJ15+AK15+AL15+AM15+AF15)</f>
        <v/>
      </c>
      <c r="AP15" s="12">
        <f>IF(U15&gt;0,V15/U15,0)</f>
        <v/>
      </c>
      <c r="AQ15" s="11">
        <f>IF(U14&gt;0,MAX(0,(U14+J15-U15)/U14),0)</f>
        <v/>
      </c>
      <c r="AS15" s="12" t="n">
        <v>11</v>
      </c>
      <c r="AT15" s="12">
        <f>MOD(AS15-1+LaunchMonth-1,12)+1</f>
        <v/>
      </c>
      <c r="AU15" s="12">
        <f>INT((AS15-1+LaunchMonth-1)/12)+1</f>
        <v/>
      </c>
      <c r="AV15" s="12">
        <f>VLOOKUP(AT15,SeasonTable,2,FALSE)</f>
        <v/>
      </c>
      <c r="AW15" s="12">
        <f>(1+InflationRate)^INT((AS15-1)/12)</f>
        <v/>
      </c>
      <c r="AX15" s="11">
        <f>MonthlyChurn*VLOOKUP(AT15,ChurnSeasonTable,4,FALSE)</f>
        <v/>
      </c>
      <c r="AY15" s="12">
        <f>MIN(MAX(MktMin7_12,BS14*MktPct7_12),MAX(0,CG14-CashBuffer))</f>
        <v/>
      </c>
      <c r="AZ15" s="12">
        <f>IF(AY15&gt;0,MAX(1,ROUND(AY15/CAC*AV15,0)),0)</f>
        <v/>
      </c>
      <c r="BA15" s="12">
        <f>IF(AZ15&gt;0,ROUND(AZ15*ReferralMix/(1-ReferralMix),0),0)</f>
        <v/>
      </c>
      <c r="BB15" s="12">
        <f>AZ15+BA15</f>
        <v/>
      </c>
      <c r="BC15" s="12">
        <f>ROUND(BB15*(1-AnnualMix),0)</f>
        <v/>
      </c>
      <c r="BD15" s="12">
        <f>BB15-BC15</f>
        <v/>
      </c>
      <c r="BE15" s="12">
        <f>ROUND(BC15*EssentialMix,0)</f>
        <v/>
      </c>
      <c r="BF15" s="12">
        <f>BC15-BE15</f>
        <v/>
      </c>
      <c r="BG15" s="12">
        <f>ROUND(BD15*EssentialMix,0)</f>
        <v/>
      </c>
      <c r="BH15" s="12">
        <f>BD15-BG15</f>
        <v/>
      </c>
      <c r="BI15" s="12">
        <f>BE15+BE14+BE13+MAX(0,BI14-BE14-BE13)*(1-AX15)</f>
        <v/>
      </c>
      <c r="BJ15" s="12">
        <f>BF15+BF14+BF13+MAX(0,BJ14-BF14-BF13)*(1-AX15)</f>
        <v/>
      </c>
      <c r="BK15" s="12">
        <f>SUM(BG$5:BG15)</f>
        <v/>
      </c>
      <c r="BL15" s="12">
        <f>SUM(BH$5:BH15)</f>
        <v/>
      </c>
      <c r="BM15" s="12">
        <f>BI15+BJ15+BK15+BL15</f>
        <v/>
      </c>
      <c r="BN15" s="9">
        <f>BI15*PriceEssMonthly*AW15+BJ15*PricePremMonthly*AW15+BK15*PriceEssAnnual*AW15/12+BL15*PricePremAnnual*AW15/12</f>
        <v/>
      </c>
      <c r="BO15" s="9">
        <f>BN15*12</f>
        <v/>
      </c>
      <c r="BP15" s="12">
        <f>BI15*PriceEssMonthly*AW15+BJ15*PricePremMonthly*AW15</f>
        <v/>
      </c>
      <c r="BQ15" s="12">
        <f>BG15*PriceEssAnnual*AW15+BH15*PricePremAnnual*AW15</f>
        <v/>
      </c>
      <c r="BR15" s="12">
        <f>0+0</f>
        <v/>
      </c>
      <c r="BS15" s="9">
        <f>BP15+BQ15+BR15</f>
        <v/>
      </c>
      <c r="BT15" s="12">
        <f>SUM(BS$5:BS15)</f>
        <v/>
      </c>
      <c r="BU15" s="12">
        <f>OR(BU14,BT15&gt;=VATThreshold)</f>
        <v/>
      </c>
      <c r="BV15" s="9">
        <f>IF(BU15,BS15/(1+VATRate),BS15)</f>
        <v/>
      </c>
      <c r="BW15" s="12">
        <f>BS15-BV15</f>
        <v/>
      </c>
      <c r="BX15" s="12">
        <f>IF(BU15=0,0,IF(AT15=1,SUMPRODUCT(--(($AU$5:$AU15=$AU15-1)*($AT$5:$AT15&gt;=10)*($AT$5:$AT15&lt;=12)),$BW$5:$BW15),IF(AT15=4,SUMPRODUCT(--(($AU$5:$AU15=$AU15)*($AT$5:$AT15&gt;=1)*($AT$5:$AT15&lt;=3)),$BW$5:$BW15),IF(AT15=7,SUMPRODUCT(--(($AU$5:$AU15=$AU15)*($AT$5:$AT15&gt;=4)*($AT$5:$AT15&lt;=6)),$BW$5:$BW15),IF(AT15=10,SUMPRODUCT(--(($AU$5:$AU15=$AU15)*($AT$5:$AT15&gt;=7)*($AT$5:$AT15&lt;=9)),$BW$5:$BW15),0)))))</f>
        <v/>
      </c>
      <c r="BY15" s="12">
        <f>BY14+BW15-BX15</f>
        <v/>
      </c>
      <c r="BZ15" s="12">
        <f>IF(ProviderDelay&gt;=1,BV14*ProviderShare,BV15*ProviderShare)</f>
        <v/>
      </c>
      <c r="CA15" s="12">
        <f>BS15*PaymentFee</f>
        <v/>
      </c>
      <c r="CB15" s="12">
        <f>BM15*OpsAI</f>
        <v/>
      </c>
      <c r="CC15" s="12">
        <f>MonthlyFixed</f>
        <v/>
      </c>
      <c r="CD15" s="12">
        <f>BA15*ReferralReward</f>
        <v/>
      </c>
      <c r="CE15" s="12">
        <f>AY15</f>
        <v/>
      </c>
      <c r="CF15" s="9">
        <f>BV15-BZ15-CA15-CB15-CC15-CD15-CE15</f>
        <v/>
      </c>
      <c r="CG15" s="9">
        <f>CG14+BS15-(BZ15+CA15+CB15+CC15+CD15+CE15+BX15)</f>
        <v/>
      </c>
      <c r="CH15" s="12">
        <f>IF(BM15&gt;0,BN15/BM15,0)</f>
        <v/>
      </c>
      <c r="CI15" s="11">
        <f>IF(BM14&gt;0,MAX(0,(BM14+BB15-BM15)/BM14),0)</f>
        <v/>
      </c>
      <c r="CK15" s="12" t="n">
        <v>11</v>
      </c>
      <c r="CL15" s="12">
        <f>MOD(CK15-1+LaunchMonth-1,12)+1</f>
        <v/>
      </c>
      <c r="CM15" s="12">
        <f>INT((CK15-1+LaunchMonth-1)/12)+1</f>
        <v/>
      </c>
      <c r="CN15" s="12">
        <f>VLOOKUP(CL15,SeasonTable,2,FALSE)</f>
        <v/>
      </c>
      <c r="CO15" s="12">
        <f>(1+InflationRate)^INT((CK15-1)/12)</f>
        <v/>
      </c>
      <c r="CP15" s="11">
        <f>'Sens - Scenarios'!$D$5*VLOOKUP(CL15,ChurnSeasonTable,4,FALSE)</f>
        <v/>
      </c>
      <c r="CQ15" s="12">
        <f>MIN(MAX(MktMin7_12,DK14*MktPct7_12),MAX(0,DY14-CashBuffer))</f>
        <v/>
      </c>
      <c r="CR15" s="12">
        <f>IF(CQ15&gt;0,MAX(1,ROUND(CQ15/'Sens - Scenarios'!$D$8*CN15,0)),0)</f>
        <v/>
      </c>
      <c r="CS15" s="12">
        <f>IF(CR15&gt;0,ROUND(CR15*ReferralMix/(1-ReferralMix),0),0)</f>
        <v/>
      </c>
      <c r="CT15" s="12">
        <f>CR15+CS15</f>
        <v/>
      </c>
      <c r="CU15" s="12">
        <f>ROUND(CT15*(1-'Sens - Scenarios'!$D$7),0)</f>
        <v/>
      </c>
      <c r="CV15" s="12">
        <f>CT15-CU15</f>
        <v/>
      </c>
      <c r="CW15" s="12">
        <f>ROUND(CU15*EssentialMix,0)</f>
        <v/>
      </c>
      <c r="CX15" s="12">
        <f>CU15-CW15</f>
        <v/>
      </c>
      <c r="CY15" s="12">
        <f>ROUND(CV15*EssentialMix,0)</f>
        <v/>
      </c>
      <c r="CZ15" s="12">
        <f>CV15-CY15</f>
        <v/>
      </c>
      <c r="DA15" s="12">
        <f>CW15+CW14+CW13+MAX(0,DA14-CW14-CW13)*(1-CP15)</f>
        <v/>
      </c>
      <c r="DB15" s="12">
        <f>CX15+CX14+CX13+MAX(0,DB14-CX14-CX13)*(1-CP15)</f>
        <v/>
      </c>
      <c r="DC15" s="12">
        <f>SUM(CY$5:CY15)</f>
        <v/>
      </c>
      <c r="DD15" s="12">
        <f>SUM(CZ$5:CZ15)</f>
        <v/>
      </c>
      <c r="DE15" s="12">
        <f>DA15+DB15+DC15+DD15</f>
        <v/>
      </c>
      <c r="DF15" s="9">
        <f>DA15*PriceEssMonthly*CO15+DB15*PricePremMonthly*CO15+DC15*PriceEssAnnual*CO15/12+DD15*PricePremAnnual*CO15/12</f>
        <v/>
      </c>
      <c r="DG15" s="9">
        <f>DF15*12</f>
        <v/>
      </c>
      <c r="DH15" s="12">
        <f>DA15*PriceEssMonthly*CO15+DB15*PricePremMonthly*CO15</f>
        <v/>
      </c>
      <c r="DI15" s="12">
        <f>CY15*PriceEssAnnual*CO15+CZ15*PricePremAnnual*CO15</f>
        <v/>
      </c>
      <c r="DJ15" s="12">
        <f>0+0</f>
        <v/>
      </c>
      <c r="DK15" s="9">
        <f>DH15+DI15+DJ15</f>
        <v/>
      </c>
      <c r="DL15" s="12">
        <f>SUM(DK$5:DK15)</f>
        <v/>
      </c>
      <c r="DM15" s="12">
        <f>OR(DM14,DL15&gt;=VATThreshold)</f>
        <v/>
      </c>
      <c r="DN15" s="9">
        <f>IF(DM15,DK15/(1+VATRate),DK15)</f>
        <v/>
      </c>
      <c r="DO15" s="12">
        <f>DK15-DN15</f>
        <v/>
      </c>
      <c r="DP15" s="12">
        <f>IF(DM15=0,0,IF(CL15=1,SUMPRODUCT(--(($CM$5:$CM15=$CM15-1)*($CL$5:$CL15&gt;=10)*($CL$5:$CL15&lt;=12)),$DO$5:$DO15),IF(CL15=4,SUMPRODUCT(--(($CM$5:$CM15=$CM15)*($CL$5:$CL15&gt;=1)*($CL$5:$CL15&lt;=3)),$DO$5:$DO15),IF(CL15=7,SUMPRODUCT(--(($CM$5:$CM15=$CM15)*($CL$5:$CL15&gt;=4)*($CL$5:$CL15&lt;=6)),$DO$5:$DO15),IF(CL15=10,SUMPRODUCT(--(($CM$5:$CM15=$CM15)*($CL$5:$CL15&gt;=7)*($CL$5:$CL15&lt;=9)),$DO$5:$DO15),0)))))</f>
        <v/>
      </c>
      <c r="DQ15" s="12">
        <f>DQ14+DO15-DP15</f>
        <v/>
      </c>
      <c r="DR15" s="12">
        <f>IF(ProviderDelay&gt;=1,DN14*ProviderShare,DN15*ProviderShare)</f>
        <v/>
      </c>
      <c r="DS15" s="12">
        <f>DK15*PaymentFee</f>
        <v/>
      </c>
      <c r="DT15" s="12">
        <f>DE15*OpsAI</f>
        <v/>
      </c>
      <c r="DU15" s="12">
        <f>MonthlyFixed</f>
        <v/>
      </c>
      <c r="DV15" s="12">
        <f>CS15*ReferralReward</f>
        <v/>
      </c>
      <c r="DW15" s="12">
        <f>CQ15</f>
        <v/>
      </c>
      <c r="DX15" s="9">
        <f>DN15-DR15-DS15-DT15-DU15-DV15-DW15</f>
        <v/>
      </c>
      <c r="DY15" s="9">
        <f>DY14+DK15-(DR15+DS15+DT15+DU15+DV15+DW15+DP15)</f>
        <v/>
      </c>
      <c r="DZ15" s="12">
        <f>IF(DE15&gt;0,DF15/DE15,0)</f>
        <v/>
      </c>
      <c r="EA15" s="11">
        <f>IF(DE14&gt;0,MAX(0,(DE14+CT15-DE15)/DE14),0)</f>
        <v/>
      </c>
      <c r="EC15" s="12" t="n">
        <v>11</v>
      </c>
      <c r="ED15" s="12">
        <f>MOD(EC15-1+LaunchMonth-1,12)+1</f>
        <v/>
      </c>
      <c r="EE15" s="12">
        <f>INT((EC15-1+LaunchMonth-1)/12)+1</f>
        <v/>
      </c>
      <c r="EF15" s="12">
        <f>VLOOKUP(ED15,SeasonTable,2,FALSE)</f>
        <v/>
      </c>
      <c r="EG15" s="12">
        <f>(1+InflationRate)^INT((EC15-1)/12)</f>
        <v/>
      </c>
      <c r="EH15" s="11">
        <f>'Sens - Churn'!$A$13*VLOOKUP(ED15,ChurnSeasonTable,4,FALSE)</f>
        <v/>
      </c>
      <c r="EI15" s="12">
        <f>MIN(MAX(MktMin7_12,FC14*MktPct7_12),MAX(0,FQ14-CashBuffer))</f>
        <v/>
      </c>
      <c r="EJ15" s="12">
        <f>IF(EI15&gt;0,MAX(1,ROUND(EI15/CAC*EF15,0)),0)</f>
        <v/>
      </c>
      <c r="EK15" s="12">
        <f>IF(EJ15&gt;0,ROUND(EJ15*ReferralMix/(1-ReferralMix),0),0)</f>
        <v/>
      </c>
      <c r="EL15" s="12">
        <f>EJ15+EK15</f>
        <v/>
      </c>
      <c r="EM15" s="12">
        <f>ROUND(EL15*(1-AnnualMix),0)</f>
        <v/>
      </c>
      <c r="EN15" s="12">
        <f>EL15-EM15</f>
        <v/>
      </c>
      <c r="EO15" s="12">
        <f>ROUND(EM15*EssentialMix,0)</f>
        <v/>
      </c>
      <c r="EP15" s="12">
        <f>EM15-EO15</f>
        <v/>
      </c>
      <c r="EQ15" s="12">
        <f>ROUND(EN15*EssentialMix,0)</f>
        <v/>
      </c>
      <c r="ER15" s="12">
        <f>EN15-EQ15</f>
        <v/>
      </c>
      <c r="ES15" s="12">
        <f>EO15+EO14+EO13+MAX(0,ES14-EO14-EO13)*(1-EH15)</f>
        <v/>
      </c>
      <c r="ET15" s="12">
        <f>EP15+EP14+EP13+MAX(0,ET14-EP14-EP13)*(1-EH15)</f>
        <v/>
      </c>
      <c r="EU15" s="12">
        <f>SUM(EQ$5:EQ15)</f>
        <v/>
      </c>
      <c r="EV15" s="12">
        <f>SUM(ER$5:ER15)</f>
        <v/>
      </c>
      <c r="EW15" s="12">
        <f>ES15+ET15+EU15+EV15</f>
        <v/>
      </c>
      <c r="EX15" s="9">
        <f>ES15*PriceEssMonthly*EG15+ET15*PricePremMonthly*EG15+EU15*PriceEssAnnual*EG15/12+EV15*PricePremAnnual*EG15/12</f>
        <v/>
      </c>
      <c r="EY15" s="9">
        <f>EX15*12</f>
        <v/>
      </c>
      <c r="EZ15" s="12">
        <f>ES15*PriceEssMonthly*EG15+ET15*PricePremMonthly*EG15</f>
        <v/>
      </c>
      <c r="FA15" s="12">
        <f>EQ15*PriceEssAnnual*EG15+ER15*PricePremAnnual*EG15</f>
        <v/>
      </c>
      <c r="FB15" s="12">
        <f>0+0</f>
        <v/>
      </c>
      <c r="FC15" s="9">
        <f>EZ15+FA15+FB15</f>
        <v/>
      </c>
      <c r="FD15" s="12">
        <f>SUM(FC$5:FC15)</f>
        <v/>
      </c>
      <c r="FE15" s="12">
        <f>OR(FE14,FD15&gt;=VATThreshold)</f>
        <v/>
      </c>
      <c r="FF15" s="9">
        <f>IF(FE15,FC15/(1+VATRate),FC15)</f>
        <v/>
      </c>
      <c r="FG15" s="12">
        <f>FC15-FF15</f>
        <v/>
      </c>
      <c r="FH15" s="12">
        <f>IF(FE15=0,0,IF(ED15=1,SUMPRODUCT(--(($EE$5:$EE15=$EE15-1)*($ED$5:$ED15&gt;=10)*($ED$5:$ED15&lt;=12)),$FG$5:$FG15),IF(ED15=4,SUMPRODUCT(--(($EE$5:$EE15=$EE15)*($ED$5:$ED15&gt;=1)*($ED$5:$ED15&lt;=3)),$FG$5:$FG15),IF(ED15=7,SUMPRODUCT(--(($EE$5:$EE15=$EE15)*($ED$5:$ED15&gt;=4)*($ED$5:$ED15&lt;=6)),$FG$5:$FG15),IF(ED15=10,SUMPRODUCT(--(($EE$5:$EE15=$EE15)*($ED$5:$ED15&gt;=7)*($ED$5:$ED15&lt;=9)),$FG$5:$FG15),0)))))</f>
        <v/>
      </c>
      <c r="FI15" s="12">
        <f>FI14+FG15-FH15</f>
        <v/>
      </c>
      <c r="FJ15" s="12">
        <f>IF(ProviderDelay&gt;=1,FF14*ProviderShare,FF15*ProviderShare)</f>
        <v/>
      </c>
      <c r="FK15" s="12">
        <f>FC15*PaymentFee</f>
        <v/>
      </c>
      <c r="FL15" s="12">
        <f>EW15*OpsAI</f>
        <v/>
      </c>
      <c r="FM15" s="12">
        <f>MonthlyFixed</f>
        <v/>
      </c>
      <c r="FN15" s="12">
        <f>EK15*ReferralReward</f>
        <v/>
      </c>
      <c r="FO15" s="12">
        <f>EI15</f>
        <v/>
      </c>
      <c r="FP15" s="9">
        <f>FF15-FJ15-FK15-FL15-FM15-FN15-FO15</f>
        <v/>
      </c>
      <c r="FQ15" s="9">
        <f>FQ14+FC15-(FJ15+FK15+FL15+FM15+FN15+FO15+FH15)</f>
        <v/>
      </c>
      <c r="FR15" s="12">
        <f>IF(EW15&gt;0,EX15/EW15,0)</f>
        <v/>
      </c>
      <c r="FS15" s="11">
        <f>IF(EW14&gt;0,MAX(0,(EW14+EL15-EW15)/EW14),0)</f>
        <v/>
      </c>
      <c r="FU15" s="12" t="n">
        <v>11</v>
      </c>
      <c r="FV15" s="12">
        <f>MOD(FU15-1+LaunchMonth-1,12)+1</f>
        <v/>
      </c>
      <c r="FW15" s="12">
        <f>INT((FU15-1+LaunchMonth-1)/12)+1</f>
        <v/>
      </c>
      <c r="FX15" s="12">
        <f>VLOOKUP(FV15,SeasonTable,2,FALSE)</f>
        <v/>
      </c>
      <c r="FY15" s="12">
        <f>(1+InflationRate)^INT((FU15-1)/12)</f>
        <v/>
      </c>
      <c r="FZ15" s="11">
        <f>'Sens - Churn'!$A$14*VLOOKUP(FV15,ChurnSeasonTable,4,FALSE)</f>
        <v/>
      </c>
      <c r="GA15" s="12">
        <f>MIN(MAX(MktMin7_12,GU14*MktPct7_12),MAX(0,HI14-CashBuffer))</f>
        <v/>
      </c>
      <c r="GB15" s="12">
        <f>IF(GA15&gt;0,MAX(1,ROUND(GA15/CAC*FX15,0)),0)</f>
        <v/>
      </c>
      <c r="GC15" s="12">
        <f>IF(GB15&gt;0,ROUND(GB15*ReferralMix/(1-ReferralMix),0),0)</f>
        <v/>
      </c>
      <c r="GD15" s="12">
        <f>GB15+GC15</f>
        <v/>
      </c>
      <c r="GE15" s="12">
        <f>ROUND(GD15*(1-AnnualMix),0)</f>
        <v/>
      </c>
      <c r="GF15" s="12">
        <f>GD15-GE15</f>
        <v/>
      </c>
      <c r="GG15" s="12">
        <f>ROUND(GE15*EssentialMix,0)</f>
        <v/>
      </c>
      <c r="GH15" s="12">
        <f>GE15-GG15</f>
        <v/>
      </c>
      <c r="GI15" s="12">
        <f>ROUND(GF15*EssentialMix,0)</f>
        <v/>
      </c>
      <c r="GJ15" s="12">
        <f>GF15-GI15</f>
        <v/>
      </c>
      <c r="GK15" s="12">
        <f>GG15+GG14+GG13+MAX(0,GK14-GG14-GG13)*(1-FZ15)</f>
        <v/>
      </c>
      <c r="GL15" s="12">
        <f>GH15+GH14+GH13+MAX(0,GL14-GH14-GH13)*(1-FZ15)</f>
        <v/>
      </c>
      <c r="GM15" s="12">
        <f>SUM(GI$5:GI15)</f>
        <v/>
      </c>
      <c r="GN15" s="12">
        <f>SUM(GJ$5:GJ15)</f>
        <v/>
      </c>
      <c r="GO15" s="12">
        <f>GK15+GL15+GM15+GN15</f>
        <v/>
      </c>
      <c r="GP15" s="9">
        <f>GK15*PriceEssMonthly*FY15+GL15*PricePremMonthly*FY15+GM15*PriceEssAnnual*FY15/12+GN15*PricePremAnnual*FY15/12</f>
        <v/>
      </c>
      <c r="GQ15" s="9">
        <f>GP15*12</f>
        <v/>
      </c>
      <c r="GR15" s="12">
        <f>GK15*PriceEssMonthly*FY15+GL15*PricePremMonthly*FY15</f>
        <v/>
      </c>
      <c r="GS15" s="12">
        <f>GI15*PriceEssAnnual*FY15+GJ15*PricePremAnnual*FY15</f>
        <v/>
      </c>
      <c r="GT15" s="12">
        <f>0+0</f>
        <v/>
      </c>
      <c r="GU15" s="9">
        <f>GR15+GS15+GT15</f>
        <v/>
      </c>
      <c r="GV15" s="12">
        <f>SUM(GU$5:GU15)</f>
        <v/>
      </c>
      <c r="GW15" s="12">
        <f>OR(GW14,GV15&gt;=VATThreshold)</f>
        <v/>
      </c>
      <c r="GX15" s="9">
        <f>IF(GW15,GU15/(1+VATRate),GU15)</f>
        <v/>
      </c>
      <c r="GY15" s="12">
        <f>GU15-GX15</f>
        <v/>
      </c>
      <c r="GZ15" s="12">
        <f>IF(GW15=0,0,IF(FV15=1,SUMPRODUCT(--(($FW$5:$FW15=$FW15-1)*($FV$5:$FV15&gt;=10)*($FV$5:$FV15&lt;=12)),$GY$5:$GY15),IF(FV15=4,SUMPRODUCT(--(($FW$5:$FW15=$FW15)*($FV$5:$FV15&gt;=1)*($FV$5:$FV15&lt;=3)),$GY$5:$GY15),IF(FV15=7,SUMPRODUCT(--(($FW$5:$FW15=$FW15)*($FV$5:$FV15&gt;=4)*($FV$5:$FV15&lt;=6)),$GY$5:$GY15),IF(FV15=10,SUMPRODUCT(--(($FW$5:$FW15=$FW15)*($FV$5:$FV15&gt;=7)*($FV$5:$FV15&lt;=9)),$GY$5:$GY15),0)))))</f>
        <v/>
      </c>
      <c r="HA15" s="12">
        <f>HA14+GY15-GZ15</f>
        <v/>
      </c>
      <c r="HB15" s="12">
        <f>IF(ProviderDelay&gt;=1,GX14*ProviderShare,GX15*ProviderShare)</f>
        <v/>
      </c>
      <c r="HC15" s="12">
        <f>GU15*PaymentFee</f>
        <v/>
      </c>
      <c r="HD15" s="12">
        <f>GO15*OpsAI</f>
        <v/>
      </c>
      <c r="HE15" s="12">
        <f>MonthlyFixed</f>
        <v/>
      </c>
      <c r="HF15" s="12">
        <f>GC15*ReferralReward</f>
        <v/>
      </c>
      <c r="HG15" s="12">
        <f>GA15</f>
        <v/>
      </c>
      <c r="HH15" s="9">
        <f>GX15-HB15-HC15-HD15-HE15-HF15-HG15</f>
        <v/>
      </c>
      <c r="HI15" s="9">
        <f>HI14+GU15-(HB15+HC15+HD15+HE15+HF15+HG15+GZ15)</f>
        <v/>
      </c>
      <c r="HJ15" s="12">
        <f>IF(GO15&gt;0,GP15/GO15,0)</f>
        <v/>
      </c>
      <c r="HK15" s="11">
        <f>IF(GO14&gt;0,MAX(0,(GO14+GD15-GO15)/GO14),0)</f>
        <v/>
      </c>
      <c r="HM15" s="12" t="n">
        <v>11</v>
      </c>
      <c r="HN15" s="12">
        <f>MOD(HM15-1+LaunchMonth-1,12)+1</f>
        <v/>
      </c>
      <c r="HO15" s="12">
        <f>INT((HM15-1+LaunchMonth-1)/12)+1</f>
        <v/>
      </c>
      <c r="HP15" s="12">
        <f>VLOOKUP(HN15,SeasonTable,2,FALSE)</f>
        <v/>
      </c>
      <c r="HQ15" s="12">
        <f>(1+InflationRate)^INT((HM15-1)/12)</f>
        <v/>
      </c>
      <c r="HR15" s="11">
        <f>'Sens - Churn'!$A$15*VLOOKUP(HN15,ChurnSeasonTable,4,FALSE)</f>
        <v/>
      </c>
      <c r="HS15" s="12">
        <f>MIN(MAX(MktMin7_12,IM14*MktPct7_12),MAX(0,JA14-CashBuffer))</f>
        <v/>
      </c>
      <c r="HT15" s="12">
        <f>IF(HS15&gt;0,MAX(1,ROUND(HS15/CAC*HP15,0)),0)</f>
        <v/>
      </c>
      <c r="HU15" s="12">
        <f>IF(HT15&gt;0,ROUND(HT15*ReferralMix/(1-ReferralMix),0),0)</f>
        <v/>
      </c>
      <c r="HV15" s="12">
        <f>HT15+HU15</f>
        <v/>
      </c>
      <c r="HW15" s="12">
        <f>ROUND(HV15*(1-AnnualMix),0)</f>
        <v/>
      </c>
      <c r="HX15" s="12">
        <f>HV15-HW15</f>
        <v/>
      </c>
      <c r="HY15" s="12">
        <f>ROUND(HW15*EssentialMix,0)</f>
        <v/>
      </c>
      <c r="HZ15" s="12">
        <f>HW15-HY15</f>
        <v/>
      </c>
      <c r="IA15" s="12">
        <f>ROUND(HX15*EssentialMix,0)</f>
        <v/>
      </c>
      <c r="IB15" s="12">
        <f>HX15-IA15</f>
        <v/>
      </c>
      <c r="IC15" s="12">
        <f>HY15+HY14+HY13+MAX(0,IC14-HY14-HY13)*(1-HR15)</f>
        <v/>
      </c>
      <c r="ID15" s="12">
        <f>HZ15+HZ14+HZ13+MAX(0,ID14-HZ14-HZ13)*(1-HR15)</f>
        <v/>
      </c>
      <c r="IE15" s="12">
        <f>SUM(IA$5:IA15)</f>
        <v/>
      </c>
      <c r="IF15" s="12">
        <f>SUM(IB$5:IB15)</f>
        <v/>
      </c>
      <c r="IG15" s="12">
        <f>IC15+ID15+IE15+IF15</f>
        <v/>
      </c>
      <c r="IH15" s="9">
        <f>IC15*PriceEssMonthly*HQ15+ID15*PricePremMonthly*HQ15+IE15*PriceEssAnnual*HQ15/12+IF15*PricePremAnnual*HQ15/12</f>
        <v/>
      </c>
      <c r="II15" s="9">
        <f>IH15*12</f>
        <v/>
      </c>
      <c r="IJ15" s="12">
        <f>IC15*PriceEssMonthly*HQ15+ID15*PricePremMonthly*HQ15</f>
        <v/>
      </c>
      <c r="IK15" s="12">
        <f>IA15*PriceEssAnnual*HQ15+IB15*PricePremAnnual*HQ15</f>
        <v/>
      </c>
      <c r="IL15" s="12">
        <f>0+0</f>
        <v/>
      </c>
      <c r="IM15" s="9">
        <f>IJ15+IK15+IL15</f>
        <v/>
      </c>
      <c r="IN15" s="12">
        <f>SUM(IM$5:IM15)</f>
        <v/>
      </c>
      <c r="IO15" s="12">
        <f>OR(IO14,IN15&gt;=VATThreshold)</f>
        <v/>
      </c>
      <c r="IP15" s="9">
        <f>IF(IO15,IM15/(1+VATRate),IM15)</f>
        <v/>
      </c>
      <c r="IQ15" s="12">
        <f>IM15-IP15</f>
        <v/>
      </c>
      <c r="IR15" s="12">
        <f>IF(IO15=0,0,IF(HN15=1,SUMPRODUCT(--(($HO$5:$HO15=$HO15-1)*($HN$5:$HN15&gt;=10)*($HN$5:$HN15&lt;=12)),$IQ$5:$IQ15),IF(HN15=4,SUMPRODUCT(--(($HO$5:$HO15=$HO15)*($HN$5:$HN15&gt;=1)*($HN$5:$HN15&lt;=3)),$IQ$5:$IQ15),IF(HN15=7,SUMPRODUCT(--(($HO$5:$HO15=$HO15)*($HN$5:$HN15&gt;=4)*($HN$5:$HN15&lt;=6)),$IQ$5:$IQ15),IF(HN15=10,SUMPRODUCT(--(($HO$5:$HO15=$HO15)*($HN$5:$HN15&gt;=7)*($HN$5:$HN15&lt;=9)),$IQ$5:$IQ15),0)))))</f>
        <v/>
      </c>
      <c r="IS15" s="12">
        <f>IS14+IQ15-IR15</f>
        <v/>
      </c>
      <c r="IT15" s="12">
        <f>IF(ProviderDelay&gt;=1,IP14*ProviderShare,IP15*ProviderShare)</f>
        <v/>
      </c>
      <c r="IU15" s="12">
        <f>IM15*PaymentFee</f>
        <v/>
      </c>
      <c r="IV15" s="12">
        <f>IG15*OpsAI</f>
        <v/>
      </c>
      <c r="IW15" s="12">
        <f>MonthlyFixed</f>
        <v/>
      </c>
      <c r="IX15" s="12">
        <f>HU15*ReferralReward</f>
        <v/>
      </c>
      <c r="IY15" s="12">
        <f>HS15</f>
        <v/>
      </c>
      <c r="IZ15" s="9">
        <f>IP15-IT15-IU15-IV15-IW15-IX15-IY15</f>
        <v/>
      </c>
      <c r="JA15" s="9">
        <f>JA14+IM15-(IT15+IU15+IV15+IW15+IX15+IY15+IR15)</f>
        <v/>
      </c>
      <c r="JB15" s="12">
        <f>IF(IG15&gt;0,IH15/IG15,0)</f>
        <v/>
      </c>
      <c r="JC15" s="11">
        <f>IF(IG14&gt;0,MAX(0,(IG14+HV15-IG15)/IG14),0)</f>
        <v/>
      </c>
      <c r="JE15" s="12" t="n">
        <v>11</v>
      </c>
      <c r="JF15" s="12">
        <f>MOD(JE15-1+LaunchMonth-1,12)+1</f>
        <v/>
      </c>
      <c r="JG15" s="12">
        <f>INT((JE15-1+LaunchMonth-1)/12)+1</f>
        <v/>
      </c>
      <c r="JH15" s="12">
        <f>VLOOKUP(JF15,SeasonTable,2,FALSE)</f>
        <v/>
      </c>
      <c r="JI15" s="12">
        <f>(1+InflationRate)^INT((JE15-1)/12)</f>
        <v/>
      </c>
      <c r="JJ15" s="11">
        <f>'Sens - Churn'!$A$16*VLOOKUP(JF15,ChurnSeasonTable,4,FALSE)</f>
        <v/>
      </c>
      <c r="JK15" s="12">
        <f>MIN(MAX(MktMin7_12,KE14*MktPct7_12),MAX(0,KS14-CashBuffer))</f>
        <v/>
      </c>
      <c r="JL15" s="12">
        <f>IF(JK15&gt;0,MAX(1,ROUND(JK15/CAC*JH15,0)),0)</f>
        <v/>
      </c>
      <c r="JM15" s="12">
        <f>IF(JL15&gt;0,ROUND(JL15*ReferralMix/(1-ReferralMix),0),0)</f>
        <v/>
      </c>
      <c r="JN15" s="12">
        <f>JL15+JM15</f>
        <v/>
      </c>
      <c r="JO15" s="12">
        <f>ROUND(JN15*(1-AnnualMix),0)</f>
        <v/>
      </c>
      <c r="JP15" s="12">
        <f>JN15-JO15</f>
        <v/>
      </c>
      <c r="JQ15" s="12">
        <f>ROUND(JO15*EssentialMix,0)</f>
        <v/>
      </c>
      <c r="JR15" s="12">
        <f>JO15-JQ15</f>
        <v/>
      </c>
      <c r="JS15" s="12">
        <f>ROUND(JP15*EssentialMix,0)</f>
        <v/>
      </c>
      <c r="JT15" s="12">
        <f>JP15-JS15</f>
        <v/>
      </c>
      <c r="JU15" s="12">
        <f>JQ15+JQ14+JQ13+MAX(0,JU14-JQ14-JQ13)*(1-JJ15)</f>
        <v/>
      </c>
      <c r="JV15" s="12">
        <f>JR15+JR14+JR13+MAX(0,JV14-JR14-JR13)*(1-JJ15)</f>
        <v/>
      </c>
      <c r="JW15" s="12">
        <f>SUM(JS$5:JS15)</f>
        <v/>
      </c>
      <c r="JX15" s="12">
        <f>SUM(JT$5:JT15)</f>
        <v/>
      </c>
      <c r="JY15" s="12">
        <f>JU15+JV15+JW15+JX15</f>
        <v/>
      </c>
      <c r="JZ15" s="9">
        <f>JU15*PriceEssMonthly*JI15+JV15*PricePremMonthly*JI15+JW15*PriceEssAnnual*JI15/12+JX15*PricePremAnnual*JI15/12</f>
        <v/>
      </c>
      <c r="KA15" s="9">
        <f>JZ15*12</f>
        <v/>
      </c>
      <c r="KB15" s="12">
        <f>JU15*PriceEssMonthly*JI15+JV15*PricePremMonthly*JI15</f>
        <v/>
      </c>
      <c r="KC15" s="12">
        <f>JS15*PriceEssAnnual*JI15+JT15*PricePremAnnual*JI15</f>
        <v/>
      </c>
      <c r="KD15" s="12">
        <f>0+0</f>
        <v/>
      </c>
      <c r="KE15" s="9">
        <f>KB15+KC15+KD15</f>
        <v/>
      </c>
      <c r="KF15" s="12">
        <f>SUM(KE$5:KE15)</f>
        <v/>
      </c>
      <c r="KG15" s="12">
        <f>OR(KG14,KF15&gt;=VATThreshold)</f>
        <v/>
      </c>
      <c r="KH15" s="9">
        <f>IF(KG15,KE15/(1+VATRate),KE15)</f>
        <v/>
      </c>
      <c r="KI15" s="12">
        <f>KE15-KH15</f>
        <v/>
      </c>
      <c r="KJ15" s="12">
        <f>IF(KG15=0,0,IF(JF15=1,SUMPRODUCT(--(($JG$5:$JG15=$JG15-1)*($JF$5:$JF15&gt;=10)*($JF$5:$JF15&lt;=12)),$KI$5:$KI15),IF(JF15=4,SUMPRODUCT(--(($JG$5:$JG15=$JG15)*($JF$5:$JF15&gt;=1)*($JF$5:$JF15&lt;=3)),$KI$5:$KI15),IF(JF15=7,SUMPRODUCT(--(($JG$5:$JG15=$JG15)*($JF$5:$JF15&gt;=4)*($JF$5:$JF15&lt;=6)),$KI$5:$KI15),IF(JF15=10,SUMPRODUCT(--(($JG$5:$JG15=$JG15)*($JF$5:$JF15&gt;=7)*($JF$5:$JF15&lt;=9)),$KI$5:$KI15),0)))))</f>
        <v/>
      </c>
      <c r="KK15" s="12">
        <f>KK14+KI15-KJ15</f>
        <v/>
      </c>
      <c r="KL15" s="12">
        <f>IF(ProviderDelay&gt;=1,KH14*ProviderShare,KH15*ProviderShare)</f>
        <v/>
      </c>
      <c r="KM15" s="12">
        <f>KE15*PaymentFee</f>
        <v/>
      </c>
      <c r="KN15" s="12">
        <f>JY15*OpsAI</f>
        <v/>
      </c>
      <c r="KO15" s="12">
        <f>MonthlyFixed</f>
        <v/>
      </c>
      <c r="KP15" s="12">
        <f>JM15*ReferralReward</f>
        <v/>
      </c>
      <c r="KQ15" s="12">
        <f>JK15</f>
        <v/>
      </c>
      <c r="KR15" s="9">
        <f>KH15-KL15-KM15-KN15-KO15-KP15-KQ15</f>
        <v/>
      </c>
      <c r="KS15" s="9">
        <f>KS14+KE15-(KL15+KM15+KN15+KO15+KP15+KQ15+KJ15)</f>
        <v/>
      </c>
      <c r="KT15" s="12">
        <f>IF(JY15&gt;0,JZ15/JY15,0)</f>
        <v/>
      </c>
      <c r="KU15" s="11">
        <f>IF(JY14&gt;0,MAX(0,(JY14+JN15-JY15)/JY14),0)</f>
        <v/>
      </c>
      <c r="KW15" s="12" t="n">
        <v>11</v>
      </c>
      <c r="KX15" s="12">
        <f>MOD(KW15-1+LaunchMonth-1,12)+1</f>
        <v/>
      </c>
      <c r="KY15" s="12">
        <f>INT((KW15-1+LaunchMonth-1)/12)+1</f>
        <v/>
      </c>
      <c r="KZ15" s="12">
        <f>VLOOKUP(KX15,SeasonTable,2,FALSE)</f>
        <v/>
      </c>
      <c r="LA15" s="12">
        <f>(1+InflationRate)^INT((KW15-1)/12)</f>
        <v/>
      </c>
      <c r="LB15" s="11">
        <f>'Sens - Churn'!$A$17*VLOOKUP(KX15,ChurnSeasonTable,4,FALSE)</f>
        <v/>
      </c>
      <c r="LC15" s="12">
        <f>MIN(MAX(MktMin7_12,LW14*MktPct7_12),MAX(0,MK14-CashBuffer))</f>
        <v/>
      </c>
      <c r="LD15" s="12">
        <f>IF(LC15&gt;0,MAX(1,ROUND(LC15/CAC*KZ15,0)),0)</f>
        <v/>
      </c>
      <c r="LE15" s="12">
        <f>IF(LD15&gt;0,ROUND(LD15*ReferralMix/(1-ReferralMix),0),0)</f>
        <v/>
      </c>
      <c r="LF15" s="12">
        <f>LD15+LE15</f>
        <v/>
      </c>
      <c r="LG15" s="12">
        <f>ROUND(LF15*(1-AnnualMix),0)</f>
        <v/>
      </c>
      <c r="LH15" s="12">
        <f>LF15-LG15</f>
        <v/>
      </c>
      <c r="LI15" s="12">
        <f>ROUND(LG15*EssentialMix,0)</f>
        <v/>
      </c>
      <c r="LJ15" s="12">
        <f>LG15-LI15</f>
        <v/>
      </c>
      <c r="LK15" s="12">
        <f>ROUND(LH15*EssentialMix,0)</f>
        <v/>
      </c>
      <c r="LL15" s="12">
        <f>LH15-LK15</f>
        <v/>
      </c>
      <c r="LM15" s="12">
        <f>LI15+LI14+LI13+MAX(0,LM14-LI14-LI13)*(1-LB15)</f>
        <v/>
      </c>
      <c r="LN15" s="12">
        <f>LJ15+LJ14+LJ13+MAX(0,LN14-LJ14-LJ13)*(1-LB15)</f>
        <v/>
      </c>
      <c r="LO15" s="12">
        <f>SUM(LK$5:LK15)</f>
        <v/>
      </c>
      <c r="LP15" s="12">
        <f>SUM(LL$5:LL15)</f>
        <v/>
      </c>
      <c r="LQ15" s="12">
        <f>LM15+LN15+LO15+LP15</f>
        <v/>
      </c>
      <c r="LR15" s="9">
        <f>LM15*PriceEssMonthly*LA15+LN15*PricePremMonthly*LA15+LO15*PriceEssAnnual*LA15/12+LP15*PricePremAnnual*LA15/12</f>
        <v/>
      </c>
      <c r="LS15" s="9">
        <f>LR15*12</f>
        <v/>
      </c>
      <c r="LT15" s="12">
        <f>LM15*PriceEssMonthly*LA15+LN15*PricePremMonthly*LA15</f>
        <v/>
      </c>
      <c r="LU15" s="12">
        <f>LK15*PriceEssAnnual*LA15+LL15*PricePremAnnual*LA15</f>
        <v/>
      </c>
      <c r="LV15" s="12">
        <f>0+0</f>
        <v/>
      </c>
      <c r="LW15" s="9">
        <f>LT15+LU15+LV15</f>
        <v/>
      </c>
      <c r="LX15" s="12">
        <f>SUM(LW$5:LW15)</f>
        <v/>
      </c>
      <c r="LY15" s="12">
        <f>OR(LY14,LX15&gt;=VATThreshold)</f>
        <v/>
      </c>
      <c r="LZ15" s="9">
        <f>IF(LY15,LW15/(1+VATRate),LW15)</f>
        <v/>
      </c>
      <c r="MA15" s="12">
        <f>LW15-LZ15</f>
        <v/>
      </c>
      <c r="MB15" s="12">
        <f>IF(LY15=0,0,IF(KX15=1,SUMPRODUCT(--(($KY$5:$KY15=$KY15-1)*($KX$5:$KX15&gt;=10)*($KX$5:$KX15&lt;=12)),$MA$5:$MA15),IF(KX15=4,SUMPRODUCT(--(($KY$5:$KY15=$KY15)*($KX$5:$KX15&gt;=1)*($KX$5:$KX15&lt;=3)),$MA$5:$MA15),IF(KX15=7,SUMPRODUCT(--(($KY$5:$KY15=$KY15)*($KX$5:$KX15&gt;=4)*($KX$5:$KX15&lt;=6)),$MA$5:$MA15),IF(KX15=10,SUMPRODUCT(--(($KY$5:$KY15=$KY15)*($KX$5:$KX15&gt;=7)*($KX$5:$KX15&lt;=9)),$MA$5:$MA15),0)))))</f>
        <v/>
      </c>
      <c r="MC15" s="12">
        <f>MC14+MA15-MB15</f>
        <v/>
      </c>
      <c r="MD15" s="12">
        <f>IF(ProviderDelay&gt;=1,LZ14*ProviderShare,LZ15*ProviderShare)</f>
        <v/>
      </c>
      <c r="ME15" s="12">
        <f>LW15*PaymentFee</f>
        <v/>
      </c>
      <c r="MF15" s="12">
        <f>LQ15*OpsAI</f>
        <v/>
      </c>
      <c r="MG15" s="12">
        <f>MonthlyFixed</f>
        <v/>
      </c>
      <c r="MH15" s="12">
        <f>LE15*ReferralReward</f>
        <v/>
      </c>
      <c r="MI15" s="12">
        <f>LC15</f>
        <v/>
      </c>
      <c r="MJ15" s="9">
        <f>LZ15-MD15-ME15-MF15-MG15-MH15-MI15</f>
        <v/>
      </c>
      <c r="MK15" s="9">
        <f>MK14+LW15-(MD15+ME15+MF15+MG15+MH15+MI15+MB15)</f>
        <v/>
      </c>
      <c r="ML15" s="12">
        <f>IF(LQ15&gt;0,LR15/LQ15,0)</f>
        <v/>
      </c>
      <c r="MM15" s="11">
        <f>IF(LQ14&gt;0,MAX(0,(LQ14+LF15-LQ15)/LQ14),0)</f>
        <v/>
      </c>
      <c r="MO15" s="12" t="n">
        <v>11</v>
      </c>
      <c r="MP15" s="12">
        <f>MOD(MO15-1+LaunchMonth-1,12)+1</f>
        <v/>
      </c>
      <c r="MQ15" s="12">
        <f>INT((MO15-1+LaunchMonth-1)/12)+1</f>
        <v/>
      </c>
      <c r="MR15" s="12">
        <f>VLOOKUP(MP15,SeasonTable,2,FALSE)</f>
        <v/>
      </c>
      <c r="MS15" s="12">
        <f>(1+InflationRate)^INT((MO15-1)/12)</f>
        <v/>
      </c>
      <c r="MT15" s="11">
        <f>'Sens - Churn'!$A$18*VLOOKUP(MP15,ChurnSeasonTable,4,FALSE)</f>
        <v/>
      </c>
      <c r="MU15" s="12">
        <f>MIN(MAX(MktMin7_12,NO14*MktPct7_12),MAX(0,OC14-CashBuffer))</f>
        <v/>
      </c>
      <c r="MV15" s="12">
        <f>IF(MU15&gt;0,MAX(1,ROUND(MU15/CAC*MR15,0)),0)</f>
        <v/>
      </c>
      <c r="MW15" s="12">
        <f>IF(MV15&gt;0,ROUND(MV15*ReferralMix/(1-ReferralMix),0),0)</f>
        <v/>
      </c>
      <c r="MX15" s="12">
        <f>MV15+MW15</f>
        <v/>
      </c>
      <c r="MY15" s="12">
        <f>ROUND(MX15*(1-AnnualMix),0)</f>
        <v/>
      </c>
      <c r="MZ15" s="12">
        <f>MX15-MY15</f>
        <v/>
      </c>
      <c r="NA15" s="12">
        <f>ROUND(MY15*EssentialMix,0)</f>
        <v/>
      </c>
      <c r="NB15" s="12">
        <f>MY15-NA15</f>
        <v/>
      </c>
      <c r="NC15" s="12">
        <f>ROUND(MZ15*EssentialMix,0)</f>
        <v/>
      </c>
      <c r="ND15" s="12">
        <f>MZ15-NC15</f>
        <v/>
      </c>
      <c r="NE15" s="12">
        <f>NA15+NA14+NA13+MAX(0,NE14-NA14-NA13)*(1-MT15)</f>
        <v/>
      </c>
      <c r="NF15" s="12">
        <f>NB15+NB14+NB13+MAX(0,NF14-NB14-NB13)*(1-MT15)</f>
        <v/>
      </c>
      <c r="NG15" s="12">
        <f>SUM(NC$5:NC15)</f>
        <v/>
      </c>
      <c r="NH15" s="12">
        <f>SUM(ND$5:ND15)</f>
        <v/>
      </c>
      <c r="NI15" s="12">
        <f>NE15+NF15+NG15+NH15</f>
        <v/>
      </c>
      <c r="NJ15" s="9">
        <f>NE15*PriceEssMonthly*MS15+NF15*PricePremMonthly*MS15+NG15*PriceEssAnnual*MS15/12+NH15*PricePremAnnual*MS15/12</f>
        <v/>
      </c>
      <c r="NK15" s="9">
        <f>NJ15*12</f>
        <v/>
      </c>
      <c r="NL15" s="12">
        <f>NE15*PriceEssMonthly*MS15+NF15*PricePremMonthly*MS15</f>
        <v/>
      </c>
      <c r="NM15" s="12">
        <f>NC15*PriceEssAnnual*MS15+ND15*PricePremAnnual*MS15</f>
        <v/>
      </c>
      <c r="NN15" s="12">
        <f>0+0</f>
        <v/>
      </c>
      <c r="NO15" s="9">
        <f>NL15+NM15+NN15</f>
        <v/>
      </c>
      <c r="NP15" s="12">
        <f>SUM(NO$5:NO15)</f>
        <v/>
      </c>
      <c r="NQ15" s="12">
        <f>OR(NQ14,NP15&gt;=VATThreshold)</f>
        <v/>
      </c>
      <c r="NR15" s="9">
        <f>IF(NQ15,NO15/(1+VATRate),NO15)</f>
        <v/>
      </c>
      <c r="NS15" s="12">
        <f>NO15-NR15</f>
        <v/>
      </c>
      <c r="NT15" s="12">
        <f>IF(NQ15=0,0,IF(MP15=1,SUMPRODUCT(--(($MQ$5:$MQ15=$MQ15-1)*($MP$5:$MP15&gt;=10)*($MP$5:$MP15&lt;=12)),$NS$5:$NS15),IF(MP15=4,SUMPRODUCT(--(($MQ$5:$MQ15=$MQ15)*($MP$5:$MP15&gt;=1)*($MP$5:$MP15&lt;=3)),$NS$5:$NS15),IF(MP15=7,SUMPRODUCT(--(($MQ$5:$MQ15=$MQ15)*($MP$5:$MP15&gt;=4)*($MP$5:$MP15&lt;=6)),$NS$5:$NS15),IF(MP15=10,SUMPRODUCT(--(($MQ$5:$MQ15=$MQ15)*($MP$5:$MP15&gt;=7)*($MP$5:$MP15&lt;=9)),$NS$5:$NS15),0)))))</f>
        <v/>
      </c>
      <c r="NU15" s="12">
        <f>NU14+NS15-NT15</f>
        <v/>
      </c>
      <c r="NV15" s="12">
        <f>IF(ProviderDelay&gt;=1,NR14*ProviderShare,NR15*ProviderShare)</f>
        <v/>
      </c>
      <c r="NW15" s="12">
        <f>NO15*PaymentFee</f>
        <v/>
      </c>
      <c r="NX15" s="12">
        <f>NI15*OpsAI</f>
        <v/>
      </c>
      <c r="NY15" s="12">
        <f>MonthlyFixed</f>
        <v/>
      </c>
      <c r="NZ15" s="12">
        <f>MW15*ReferralReward</f>
        <v/>
      </c>
      <c r="OA15" s="12">
        <f>MU15</f>
        <v/>
      </c>
      <c r="OB15" s="9">
        <f>NR15-NV15-NW15-NX15-NY15-NZ15-OA15</f>
        <v/>
      </c>
      <c r="OC15" s="9">
        <f>OC14+NO15-(NV15+NW15+NX15+NY15+NZ15+OA15+NT15)</f>
        <v/>
      </c>
      <c r="OD15" s="12">
        <f>IF(NI15&gt;0,NJ15/NI15,0)</f>
        <v/>
      </c>
      <c r="OE15" s="11">
        <f>IF(NI14&gt;0,MAX(0,(NI14+MX15-NI15)/NI14),0)</f>
        <v/>
      </c>
      <c r="OG15" s="12" t="n">
        <v>11</v>
      </c>
      <c r="OH15" s="12">
        <f>MOD(OG15-1+LaunchMonth-1,12)+1</f>
        <v/>
      </c>
      <c r="OI15" s="12">
        <f>INT((OG15-1+LaunchMonth-1)/12)+1</f>
        <v/>
      </c>
      <c r="OJ15" s="12">
        <f>VLOOKUP(OH15,SeasonTable,2,FALSE)</f>
        <v/>
      </c>
      <c r="OK15" s="12">
        <f>(1+InflationRate)^INT((OG15-1)/12)</f>
        <v/>
      </c>
      <c r="OL15" s="11">
        <f>'Sens - Churn'!$A$19*VLOOKUP(OH15,ChurnSeasonTable,4,FALSE)</f>
        <v/>
      </c>
      <c r="OM15" s="12">
        <f>MIN(MAX(MktMin7_12,PG14*MktPct7_12),MAX(0,PU14-CashBuffer))</f>
        <v/>
      </c>
      <c r="ON15" s="12">
        <f>IF(OM15&gt;0,MAX(1,ROUND(OM15/CAC*OJ15,0)),0)</f>
        <v/>
      </c>
      <c r="OO15" s="12">
        <f>IF(ON15&gt;0,ROUND(ON15*ReferralMix/(1-ReferralMix),0),0)</f>
        <v/>
      </c>
      <c r="OP15" s="12">
        <f>ON15+OO15</f>
        <v/>
      </c>
      <c r="OQ15" s="12">
        <f>ROUND(OP15*(1-AnnualMix),0)</f>
        <v/>
      </c>
      <c r="OR15" s="12">
        <f>OP15-OQ15</f>
        <v/>
      </c>
      <c r="OS15" s="12">
        <f>ROUND(OQ15*EssentialMix,0)</f>
        <v/>
      </c>
      <c r="OT15" s="12">
        <f>OQ15-OS15</f>
        <v/>
      </c>
      <c r="OU15" s="12">
        <f>ROUND(OR15*EssentialMix,0)</f>
        <v/>
      </c>
      <c r="OV15" s="12">
        <f>OR15-OU15</f>
        <v/>
      </c>
      <c r="OW15" s="12">
        <f>OS15+OS14+OS13+MAX(0,OW14-OS14-OS13)*(1-OL15)</f>
        <v/>
      </c>
      <c r="OX15" s="12">
        <f>OT15+OT14+OT13+MAX(0,OX14-OT14-OT13)*(1-OL15)</f>
        <v/>
      </c>
      <c r="OY15" s="12">
        <f>SUM(OU$5:OU15)</f>
        <v/>
      </c>
      <c r="OZ15" s="12">
        <f>SUM(OV$5:OV15)</f>
        <v/>
      </c>
      <c r="PA15" s="12">
        <f>OW15+OX15+OY15+OZ15</f>
        <v/>
      </c>
      <c r="PB15" s="9">
        <f>OW15*PriceEssMonthly*OK15+OX15*PricePremMonthly*OK15+OY15*PriceEssAnnual*OK15/12+OZ15*PricePremAnnual*OK15/12</f>
        <v/>
      </c>
      <c r="PC15" s="9">
        <f>PB15*12</f>
        <v/>
      </c>
      <c r="PD15" s="12">
        <f>OW15*PriceEssMonthly*OK15+OX15*PricePremMonthly*OK15</f>
        <v/>
      </c>
      <c r="PE15" s="12">
        <f>OU15*PriceEssAnnual*OK15+OV15*PricePremAnnual*OK15</f>
        <v/>
      </c>
      <c r="PF15" s="12">
        <f>0+0</f>
        <v/>
      </c>
      <c r="PG15" s="9">
        <f>PD15+PE15+PF15</f>
        <v/>
      </c>
      <c r="PH15" s="12">
        <f>SUM(PG$5:PG15)</f>
        <v/>
      </c>
      <c r="PI15" s="12">
        <f>OR(PI14,PH15&gt;=VATThreshold)</f>
        <v/>
      </c>
      <c r="PJ15" s="9">
        <f>IF(PI15,PG15/(1+VATRate),PG15)</f>
        <v/>
      </c>
      <c r="PK15" s="12">
        <f>PG15-PJ15</f>
        <v/>
      </c>
      <c r="PL15" s="12">
        <f>IF(PI15=0,0,IF(OH15=1,SUMPRODUCT(--(($OI$5:$OI15=$OI15-1)*($OH$5:$OH15&gt;=10)*($OH$5:$OH15&lt;=12)),$PK$5:$PK15),IF(OH15=4,SUMPRODUCT(--(($OI$5:$OI15=$OI15)*($OH$5:$OH15&gt;=1)*($OH$5:$OH15&lt;=3)),$PK$5:$PK15),IF(OH15=7,SUMPRODUCT(--(($OI$5:$OI15=$OI15)*($OH$5:$OH15&gt;=4)*($OH$5:$OH15&lt;=6)),$PK$5:$PK15),IF(OH15=10,SUMPRODUCT(--(($OI$5:$OI15=$OI15)*($OH$5:$OH15&gt;=7)*($OH$5:$OH15&lt;=9)),$PK$5:$PK15),0)))))</f>
        <v/>
      </c>
      <c r="PM15" s="12">
        <f>PM14+PK15-PL15</f>
        <v/>
      </c>
      <c r="PN15" s="12">
        <f>IF(ProviderDelay&gt;=1,PJ14*ProviderShare,PJ15*ProviderShare)</f>
        <v/>
      </c>
      <c r="PO15" s="12">
        <f>PG15*PaymentFee</f>
        <v/>
      </c>
      <c r="PP15" s="12">
        <f>PA15*OpsAI</f>
        <v/>
      </c>
      <c r="PQ15" s="12">
        <f>MonthlyFixed</f>
        <v/>
      </c>
      <c r="PR15" s="12">
        <f>OO15*ReferralReward</f>
        <v/>
      </c>
      <c r="PS15" s="12">
        <f>OM15</f>
        <v/>
      </c>
      <c r="PT15" s="9">
        <f>PJ15-PN15-PO15-PP15-PQ15-PR15-PS15</f>
        <v/>
      </c>
      <c r="PU15" s="9">
        <f>PU14+PG15-(PN15+PO15+PP15+PQ15+PR15+PS15+PL15)</f>
        <v/>
      </c>
      <c r="PV15" s="12">
        <f>IF(PA15&gt;0,PB15/PA15,0)</f>
        <v/>
      </c>
      <c r="PW15" s="11">
        <f>IF(PA14&gt;0,MAX(0,(PA14+OP15-PA15)/PA14),0)</f>
        <v/>
      </c>
      <c r="PY15" s="12" t="n">
        <v>11</v>
      </c>
      <c r="PZ15" s="12">
        <f>MOD(PY15-1+LaunchMonth-1,12)+1</f>
        <v/>
      </c>
      <c r="QA15" s="12">
        <f>INT((PY15-1+LaunchMonth-1)/12)+1</f>
        <v/>
      </c>
      <c r="QB15" s="12">
        <f>VLOOKUP(PZ15,SeasonTable,2,FALSE)</f>
        <v/>
      </c>
      <c r="QC15" s="12">
        <f>(1+InflationRate)^INT((PY15-1)/12)</f>
        <v/>
      </c>
      <c r="QD15" s="11">
        <f>'Sens - Churn'!$A$20*VLOOKUP(PZ15,ChurnSeasonTable,4,FALSE)</f>
        <v/>
      </c>
      <c r="QE15" s="12">
        <f>MIN(MAX(MktMin7_12,QY14*MktPct7_12),MAX(0,RM14-CashBuffer))</f>
        <v/>
      </c>
      <c r="QF15" s="12">
        <f>IF(QE15&gt;0,MAX(1,ROUND(QE15/CAC*QB15,0)),0)</f>
        <v/>
      </c>
      <c r="QG15" s="12">
        <f>IF(QF15&gt;0,ROUND(QF15*ReferralMix/(1-ReferralMix),0),0)</f>
        <v/>
      </c>
      <c r="QH15" s="12">
        <f>QF15+QG15</f>
        <v/>
      </c>
      <c r="QI15" s="12">
        <f>ROUND(QH15*(1-AnnualMix),0)</f>
        <v/>
      </c>
      <c r="QJ15" s="12">
        <f>QH15-QI15</f>
        <v/>
      </c>
      <c r="QK15" s="12">
        <f>ROUND(QI15*EssentialMix,0)</f>
        <v/>
      </c>
      <c r="QL15" s="12">
        <f>QI15-QK15</f>
        <v/>
      </c>
      <c r="QM15" s="12">
        <f>ROUND(QJ15*EssentialMix,0)</f>
        <v/>
      </c>
      <c r="QN15" s="12">
        <f>QJ15-QM15</f>
        <v/>
      </c>
      <c r="QO15" s="12">
        <f>QK15+QK14+QK13+MAX(0,QO14-QK14-QK13)*(1-QD15)</f>
        <v/>
      </c>
      <c r="QP15" s="12">
        <f>QL15+QL14+QL13+MAX(0,QP14-QL14-QL13)*(1-QD15)</f>
        <v/>
      </c>
      <c r="QQ15" s="12">
        <f>SUM(QM$5:QM15)</f>
        <v/>
      </c>
      <c r="QR15" s="12">
        <f>SUM(QN$5:QN15)</f>
        <v/>
      </c>
      <c r="QS15" s="12">
        <f>QO15+QP15+QQ15+QR15</f>
        <v/>
      </c>
      <c r="QT15" s="9">
        <f>QO15*PriceEssMonthly*QC15+QP15*PricePremMonthly*QC15+QQ15*PriceEssAnnual*QC15/12+QR15*PricePremAnnual*QC15/12</f>
        <v/>
      </c>
      <c r="QU15" s="9">
        <f>QT15*12</f>
        <v/>
      </c>
      <c r="QV15" s="12">
        <f>QO15*PriceEssMonthly*QC15+QP15*PricePremMonthly*QC15</f>
        <v/>
      </c>
      <c r="QW15" s="12">
        <f>QM15*PriceEssAnnual*QC15+QN15*PricePremAnnual*QC15</f>
        <v/>
      </c>
      <c r="QX15" s="12">
        <f>0+0</f>
        <v/>
      </c>
      <c r="QY15" s="9">
        <f>QV15+QW15+QX15</f>
        <v/>
      </c>
      <c r="QZ15" s="12">
        <f>SUM(QY$5:QY15)</f>
        <v/>
      </c>
      <c r="RA15" s="12">
        <f>OR(RA14,QZ15&gt;=VATThreshold)</f>
        <v/>
      </c>
      <c r="RB15" s="9">
        <f>IF(RA15,QY15/(1+VATRate),QY15)</f>
        <v/>
      </c>
      <c r="RC15" s="12">
        <f>QY15-RB15</f>
        <v/>
      </c>
      <c r="RD15" s="12">
        <f>IF(RA15=0,0,IF(PZ15=1,SUMPRODUCT(--(($QA$5:$QA15=$QA15-1)*($PZ$5:$PZ15&gt;=10)*($PZ$5:$PZ15&lt;=12)),$RC$5:$RC15),IF(PZ15=4,SUMPRODUCT(--(($QA$5:$QA15=$QA15)*($PZ$5:$PZ15&gt;=1)*($PZ$5:$PZ15&lt;=3)),$RC$5:$RC15),IF(PZ15=7,SUMPRODUCT(--(($QA$5:$QA15=$QA15)*($PZ$5:$PZ15&gt;=4)*($PZ$5:$PZ15&lt;=6)),$RC$5:$RC15),IF(PZ15=10,SUMPRODUCT(--(($QA$5:$QA15=$QA15)*($PZ$5:$PZ15&gt;=7)*($PZ$5:$PZ15&lt;=9)),$RC$5:$RC15),0)))))</f>
        <v/>
      </c>
      <c r="RE15" s="12">
        <f>RE14+RC15-RD15</f>
        <v/>
      </c>
      <c r="RF15" s="12">
        <f>IF(ProviderDelay&gt;=1,RB14*ProviderShare,RB15*ProviderShare)</f>
        <v/>
      </c>
      <c r="RG15" s="12">
        <f>QY15*PaymentFee</f>
        <v/>
      </c>
      <c r="RH15" s="12">
        <f>QS15*OpsAI</f>
        <v/>
      </c>
      <c r="RI15" s="12">
        <f>MonthlyFixed</f>
        <v/>
      </c>
      <c r="RJ15" s="12">
        <f>QG15*ReferralReward</f>
        <v/>
      </c>
      <c r="RK15" s="12">
        <f>QE15</f>
        <v/>
      </c>
      <c r="RL15" s="9">
        <f>RB15-RF15-RG15-RH15-RI15-RJ15-RK15</f>
        <v/>
      </c>
      <c r="RM15" s="9">
        <f>RM14+QY15-(RF15+RG15+RH15+RI15+RJ15+RK15+RD15)</f>
        <v/>
      </c>
      <c r="RN15" s="12">
        <f>IF(QS15&gt;0,QT15/QS15,0)</f>
        <v/>
      </c>
      <c r="RO15" s="11">
        <f>IF(QS14&gt;0,MAX(0,(QS14+QH15-QS15)/QS14),0)</f>
        <v/>
      </c>
      <c r="RQ15" s="12" t="n">
        <v>11</v>
      </c>
      <c r="RR15" s="12">
        <f>MOD(RQ15-1+LaunchMonth-1,12)+1</f>
        <v/>
      </c>
      <c r="RS15" s="12">
        <f>INT((RQ15-1+LaunchMonth-1)/12)+1</f>
        <v/>
      </c>
      <c r="RT15" s="12">
        <f>VLOOKUP(RR15,SeasonTable,2,FALSE)</f>
        <v/>
      </c>
      <c r="RU15" s="12">
        <f>(1+InflationRate)^INT((RQ15-1)/12)</f>
        <v/>
      </c>
      <c r="RV15" s="11">
        <f>'Sens - Churn'!$A$21*VLOOKUP(RR15,ChurnSeasonTable,4,FALSE)</f>
        <v/>
      </c>
      <c r="RW15" s="12">
        <f>MIN(MAX(MktMin7_12,SQ14*MktPct7_12),MAX(0,TE14-CashBuffer))</f>
        <v/>
      </c>
      <c r="RX15" s="12">
        <f>IF(RW15&gt;0,MAX(1,ROUND(RW15/CAC*RT15,0)),0)</f>
        <v/>
      </c>
      <c r="RY15" s="12">
        <f>IF(RX15&gt;0,ROUND(RX15*ReferralMix/(1-ReferralMix),0),0)</f>
        <v/>
      </c>
      <c r="RZ15" s="12">
        <f>RX15+RY15</f>
        <v/>
      </c>
      <c r="SA15" s="12">
        <f>ROUND(RZ15*(1-AnnualMix),0)</f>
        <v/>
      </c>
      <c r="SB15" s="12">
        <f>RZ15-SA15</f>
        <v/>
      </c>
      <c r="SC15" s="12">
        <f>ROUND(SA15*EssentialMix,0)</f>
        <v/>
      </c>
      <c r="SD15" s="12">
        <f>SA15-SC15</f>
        <v/>
      </c>
      <c r="SE15" s="12">
        <f>ROUND(SB15*EssentialMix,0)</f>
        <v/>
      </c>
      <c r="SF15" s="12">
        <f>SB15-SE15</f>
        <v/>
      </c>
      <c r="SG15" s="12">
        <f>SC15+SC14+SC13+MAX(0,SG14-SC14-SC13)*(1-RV15)</f>
        <v/>
      </c>
      <c r="SH15" s="12">
        <f>SD15+SD14+SD13+MAX(0,SH14-SD14-SD13)*(1-RV15)</f>
        <v/>
      </c>
      <c r="SI15" s="12">
        <f>SUM(SE$5:SE15)</f>
        <v/>
      </c>
      <c r="SJ15" s="12">
        <f>SUM(SF$5:SF15)</f>
        <v/>
      </c>
      <c r="SK15" s="12">
        <f>SG15+SH15+SI15+SJ15</f>
        <v/>
      </c>
      <c r="SL15" s="9">
        <f>SG15*PriceEssMonthly*RU15+SH15*PricePremMonthly*RU15+SI15*PriceEssAnnual*RU15/12+SJ15*PricePremAnnual*RU15/12</f>
        <v/>
      </c>
      <c r="SM15" s="9">
        <f>SL15*12</f>
        <v/>
      </c>
      <c r="SN15" s="12">
        <f>SG15*PriceEssMonthly*RU15+SH15*PricePremMonthly*RU15</f>
        <v/>
      </c>
      <c r="SO15" s="12">
        <f>SE15*PriceEssAnnual*RU15+SF15*PricePremAnnual*RU15</f>
        <v/>
      </c>
      <c r="SP15" s="12">
        <f>0+0</f>
        <v/>
      </c>
      <c r="SQ15" s="9">
        <f>SN15+SO15+SP15</f>
        <v/>
      </c>
      <c r="SR15" s="12">
        <f>SUM(SQ$5:SQ15)</f>
        <v/>
      </c>
      <c r="SS15" s="12">
        <f>OR(SS14,SR15&gt;=VATThreshold)</f>
        <v/>
      </c>
      <c r="ST15" s="9">
        <f>IF(SS15,SQ15/(1+VATRate),SQ15)</f>
        <v/>
      </c>
      <c r="SU15" s="12">
        <f>SQ15-ST15</f>
        <v/>
      </c>
      <c r="SV15" s="12">
        <f>IF(SS15=0,0,IF(RR15=1,SUMPRODUCT(--(($RS$5:$RS15=$RS15-1)*($RR$5:$RR15&gt;=10)*($RR$5:$RR15&lt;=12)),$SU$5:$SU15),IF(RR15=4,SUMPRODUCT(--(($RS$5:$RS15=$RS15)*($RR$5:$RR15&gt;=1)*($RR$5:$RR15&lt;=3)),$SU$5:$SU15),IF(RR15=7,SUMPRODUCT(--(($RS$5:$RS15=$RS15)*($RR$5:$RR15&gt;=4)*($RR$5:$RR15&lt;=6)),$SU$5:$SU15),IF(RR15=10,SUMPRODUCT(--(($RS$5:$RS15=$RS15)*($RR$5:$RR15&gt;=7)*($RR$5:$RR15&lt;=9)),$SU$5:$SU15),0)))))</f>
        <v/>
      </c>
      <c r="SW15" s="12">
        <f>SW14+SU15-SV15</f>
        <v/>
      </c>
      <c r="SX15" s="12">
        <f>IF(ProviderDelay&gt;=1,ST14*ProviderShare,ST15*ProviderShare)</f>
        <v/>
      </c>
      <c r="SY15" s="12">
        <f>SQ15*PaymentFee</f>
        <v/>
      </c>
      <c r="SZ15" s="12">
        <f>SK15*OpsAI</f>
        <v/>
      </c>
      <c r="TA15" s="12">
        <f>MonthlyFixed</f>
        <v/>
      </c>
      <c r="TB15" s="12">
        <f>RY15*ReferralReward</f>
        <v/>
      </c>
      <c r="TC15" s="12">
        <f>RW15</f>
        <v/>
      </c>
      <c r="TD15" s="9">
        <f>ST15-SX15-SY15-SZ15-TA15-TB15-TC15</f>
        <v/>
      </c>
      <c r="TE15" s="9">
        <f>TE14+SQ15-(SX15+SY15+SZ15+TA15+TB15+TC15+SV15)</f>
        <v/>
      </c>
      <c r="TF15" s="12">
        <f>IF(SK15&gt;0,SL15/SK15,0)</f>
        <v/>
      </c>
      <c r="TG15" s="11">
        <f>IF(SK14&gt;0,MAX(0,(SK14+RZ15-SK15)/SK14),0)</f>
        <v/>
      </c>
      <c r="TI15" s="12" t="n">
        <v>11</v>
      </c>
      <c r="TJ15" s="12">
        <f>MOD(TI15-1+LaunchMonth-1,12)+1</f>
        <v/>
      </c>
      <c r="TK15" s="12">
        <f>INT((TI15-1+LaunchMonth-1)/12)+1</f>
        <v/>
      </c>
      <c r="TL15" s="12">
        <f>VLOOKUP(TJ15,SeasonTable,2,FALSE)</f>
        <v/>
      </c>
      <c r="TM15" s="12">
        <f>(1+InflationRate)^INT((TI15-1)/12)</f>
        <v/>
      </c>
      <c r="TN15" s="11">
        <f>MonthlyChurn*VLOOKUP(TJ15,ChurnSeasonTable,4,FALSE)</f>
        <v/>
      </c>
      <c r="TO15" s="12">
        <f>MIN(MAX(MktMin7_12,UI14*MktPct7_12),MAX(0,UW14-CashBuffer))</f>
        <v/>
      </c>
      <c r="TP15" s="12">
        <f>IF(TO15&gt;0,MAX(1,ROUND(TO15/CAC*TL15,0)),0)</f>
        <v/>
      </c>
      <c r="TQ15" s="12">
        <f>IF(TP15&gt;0,ROUND(TP15*ReferralMix/(1-ReferralMix),0),0)</f>
        <v/>
      </c>
      <c r="TR15" s="12">
        <f>TP15+TQ15</f>
        <v/>
      </c>
      <c r="TS15" s="12">
        <f>ROUND(TR15*(1-'Sens - Annual Mix'!$A$9),0)</f>
        <v/>
      </c>
      <c r="TT15" s="12">
        <f>TR15-TS15</f>
        <v/>
      </c>
      <c r="TU15" s="12">
        <f>ROUND(TS15*EssentialMix,0)</f>
        <v/>
      </c>
      <c r="TV15" s="12">
        <f>TS15-TU15</f>
        <v/>
      </c>
      <c r="TW15" s="12">
        <f>ROUND(TT15*EssentialMix,0)</f>
        <v/>
      </c>
      <c r="TX15" s="12">
        <f>TT15-TW15</f>
        <v/>
      </c>
      <c r="TY15" s="12">
        <f>TU15+TU14+TU13+MAX(0,TY14-TU14-TU13)*(1-TN15)</f>
        <v/>
      </c>
      <c r="TZ15" s="12">
        <f>TV15+TV14+TV13+MAX(0,TZ14-TV14-TV13)*(1-TN15)</f>
        <v/>
      </c>
      <c r="UA15" s="12">
        <f>SUM(TW$5:TW15)</f>
        <v/>
      </c>
      <c r="UB15" s="12">
        <f>SUM(TX$5:TX15)</f>
        <v/>
      </c>
      <c r="UC15" s="12">
        <f>TY15+TZ15+UA15+UB15</f>
        <v/>
      </c>
      <c r="UD15" s="9">
        <f>TY15*PriceEssMonthly*TM15+TZ15*PricePremMonthly*TM15+UA15*PriceEssAnnual*TM15/12+UB15*PricePremAnnual*TM15/12</f>
        <v/>
      </c>
      <c r="UE15" s="9">
        <f>UD15*12</f>
        <v/>
      </c>
      <c r="UF15" s="12">
        <f>TY15*PriceEssMonthly*TM15+TZ15*PricePremMonthly*TM15</f>
        <v/>
      </c>
      <c r="UG15" s="12">
        <f>TW15*PriceEssAnnual*TM15+TX15*PricePremAnnual*TM15</f>
        <v/>
      </c>
      <c r="UH15" s="12">
        <f>0+0</f>
        <v/>
      </c>
      <c r="UI15" s="9">
        <f>UF15+UG15+UH15</f>
        <v/>
      </c>
      <c r="UJ15" s="12">
        <f>SUM(UI$5:UI15)</f>
        <v/>
      </c>
      <c r="UK15" s="12">
        <f>OR(UK14,UJ15&gt;=VATThreshold)</f>
        <v/>
      </c>
      <c r="UL15" s="9">
        <f>IF(UK15,UI15/(1+VATRate),UI15)</f>
        <v/>
      </c>
      <c r="UM15" s="12">
        <f>UI15-UL15</f>
        <v/>
      </c>
      <c r="UN15" s="12">
        <f>IF(UK15=0,0,IF(TJ15=1,SUMPRODUCT(--(($TK$5:$TK15=$TK15-1)*($TJ$5:$TJ15&gt;=10)*($TJ$5:$TJ15&lt;=12)),$UM$5:$UM15),IF(TJ15=4,SUMPRODUCT(--(($TK$5:$TK15=$TK15)*($TJ$5:$TJ15&gt;=1)*($TJ$5:$TJ15&lt;=3)),$UM$5:$UM15),IF(TJ15=7,SUMPRODUCT(--(($TK$5:$TK15=$TK15)*($TJ$5:$TJ15&gt;=4)*($TJ$5:$TJ15&lt;=6)),$UM$5:$UM15),IF(TJ15=10,SUMPRODUCT(--(($TK$5:$TK15=$TK15)*($TJ$5:$TJ15&gt;=7)*($TJ$5:$TJ15&lt;=9)),$UM$5:$UM15),0)))))</f>
        <v/>
      </c>
      <c r="UO15" s="12">
        <f>UO14+UM15-UN15</f>
        <v/>
      </c>
      <c r="UP15" s="12">
        <f>IF(ProviderDelay&gt;=1,UL14*ProviderShare,UL15*ProviderShare)</f>
        <v/>
      </c>
      <c r="UQ15" s="12">
        <f>UI15*PaymentFee</f>
        <v/>
      </c>
      <c r="UR15" s="12">
        <f>UC15*OpsAI</f>
        <v/>
      </c>
      <c r="US15" s="12">
        <f>MonthlyFixed</f>
        <v/>
      </c>
      <c r="UT15" s="12">
        <f>TQ15*ReferralReward</f>
        <v/>
      </c>
      <c r="UU15" s="12">
        <f>TO15</f>
        <v/>
      </c>
      <c r="UV15" s="9">
        <f>UL15-UP15-UQ15-UR15-US15-UT15-UU15</f>
        <v/>
      </c>
      <c r="UW15" s="9">
        <f>UW14+UI15-(UP15+UQ15+UR15+US15+UT15+UU15+UN15)</f>
        <v/>
      </c>
      <c r="UX15" s="12">
        <f>IF(UC15&gt;0,UD15/UC15,0)</f>
        <v/>
      </c>
      <c r="UY15" s="11">
        <f>IF(UC14&gt;0,MAX(0,(UC14+TR15-UC15)/UC14),0)</f>
        <v/>
      </c>
      <c r="VA15" s="12" t="n">
        <v>11</v>
      </c>
      <c r="VB15" s="12">
        <f>MOD(VA15-1+LaunchMonth-1,12)+1</f>
        <v/>
      </c>
      <c r="VC15" s="12">
        <f>INT((VA15-1+LaunchMonth-1)/12)+1</f>
        <v/>
      </c>
      <c r="VD15" s="12">
        <f>VLOOKUP(VB15,SeasonTable,2,FALSE)</f>
        <v/>
      </c>
      <c r="VE15" s="12">
        <f>(1+InflationRate)^INT((VA15-1)/12)</f>
        <v/>
      </c>
      <c r="VF15" s="11">
        <f>MonthlyChurn*VLOOKUP(VB15,ChurnSeasonTable,4,FALSE)</f>
        <v/>
      </c>
      <c r="VG15" s="12">
        <f>MIN(MAX(MktMin7_12,WA14*MktPct7_12),MAX(0,WO14-CashBuffer))</f>
        <v/>
      </c>
      <c r="VH15" s="12">
        <f>IF(VG15&gt;0,MAX(1,ROUND(VG15/CAC*VD15,0)),0)</f>
        <v/>
      </c>
      <c r="VI15" s="12">
        <f>IF(VH15&gt;0,ROUND(VH15*ReferralMix/(1-ReferralMix),0),0)</f>
        <v/>
      </c>
      <c r="VJ15" s="12">
        <f>VH15+VI15</f>
        <v/>
      </c>
      <c r="VK15" s="12">
        <f>ROUND(VJ15*(1-'Sens - Annual Mix'!$A$10),0)</f>
        <v/>
      </c>
      <c r="VL15" s="12">
        <f>VJ15-VK15</f>
        <v/>
      </c>
      <c r="VM15" s="12">
        <f>ROUND(VK15*EssentialMix,0)</f>
        <v/>
      </c>
      <c r="VN15" s="12">
        <f>VK15-VM15</f>
        <v/>
      </c>
      <c r="VO15" s="12">
        <f>ROUND(VL15*EssentialMix,0)</f>
        <v/>
      </c>
      <c r="VP15" s="12">
        <f>VL15-VO15</f>
        <v/>
      </c>
      <c r="VQ15" s="12">
        <f>VM15+VM14+VM13+MAX(0,VQ14-VM14-VM13)*(1-VF15)</f>
        <v/>
      </c>
      <c r="VR15" s="12">
        <f>VN15+VN14+VN13+MAX(0,VR14-VN14-VN13)*(1-VF15)</f>
        <v/>
      </c>
      <c r="VS15" s="12">
        <f>SUM(VO$5:VO15)</f>
        <v/>
      </c>
      <c r="VT15" s="12">
        <f>SUM(VP$5:VP15)</f>
        <v/>
      </c>
      <c r="VU15" s="12">
        <f>VQ15+VR15+VS15+VT15</f>
        <v/>
      </c>
      <c r="VV15" s="9">
        <f>VQ15*PriceEssMonthly*VE15+VR15*PricePremMonthly*VE15+VS15*PriceEssAnnual*VE15/12+VT15*PricePremAnnual*VE15/12</f>
        <v/>
      </c>
      <c r="VW15" s="9">
        <f>VV15*12</f>
        <v/>
      </c>
      <c r="VX15" s="12">
        <f>VQ15*PriceEssMonthly*VE15+VR15*PricePremMonthly*VE15</f>
        <v/>
      </c>
      <c r="VY15" s="12">
        <f>VO15*PriceEssAnnual*VE15+VP15*PricePremAnnual*VE15</f>
        <v/>
      </c>
      <c r="VZ15" s="12">
        <f>0+0</f>
        <v/>
      </c>
      <c r="WA15" s="9">
        <f>VX15+VY15+VZ15</f>
        <v/>
      </c>
      <c r="WB15" s="12">
        <f>SUM(WA$5:WA15)</f>
        <v/>
      </c>
      <c r="WC15" s="12">
        <f>OR(WC14,WB15&gt;=VATThreshold)</f>
        <v/>
      </c>
      <c r="WD15" s="9">
        <f>IF(WC15,WA15/(1+VATRate),WA15)</f>
        <v/>
      </c>
      <c r="WE15" s="12">
        <f>WA15-WD15</f>
        <v/>
      </c>
      <c r="WF15" s="12">
        <f>IF(WC15=0,0,IF(VB15=1,SUMPRODUCT(--(($VC$5:$VC15=$VC15-1)*($VB$5:$VB15&gt;=10)*($VB$5:$VB15&lt;=12)),$WE$5:$WE15),IF(VB15=4,SUMPRODUCT(--(($VC$5:$VC15=$VC15)*($VB$5:$VB15&gt;=1)*($VB$5:$VB15&lt;=3)),$WE$5:$WE15),IF(VB15=7,SUMPRODUCT(--(($VC$5:$VC15=$VC15)*($VB$5:$VB15&gt;=4)*($VB$5:$VB15&lt;=6)),$WE$5:$WE15),IF(VB15=10,SUMPRODUCT(--(($VC$5:$VC15=$VC15)*($VB$5:$VB15&gt;=7)*($VB$5:$VB15&lt;=9)),$WE$5:$WE15),0)))))</f>
        <v/>
      </c>
      <c r="WG15" s="12">
        <f>WG14+WE15-WF15</f>
        <v/>
      </c>
      <c r="WH15" s="12">
        <f>IF(ProviderDelay&gt;=1,WD14*ProviderShare,WD15*ProviderShare)</f>
        <v/>
      </c>
      <c r="WI15" s="12">
        <f>WA15*PaymentFee</f>
        <v/>
      </c>
      <c r="WJ15" s="12">
        <f>VU15*OpsAI</f>
        <v/>
      </c>
      <c r="WK15" s="12">
        <f>MonthlyFixed</f>
        <v/>
      </c>
      <c r="WL15" s="12">
        <f>VI15*ReferralReward</f>
        <v/>
      </c>
      <c r="WM15" s="12">
        <f>VG15</f>
        <v/>
      </c>
      <c r="WN15" s="9">
        <f>WD15-WH15-WI15-WJ15-WK15-WL15-WM15</f>
        <v/>
      </c>
      <c r="WO15" s="9">
        <f>WO14+WA15-(WH15+WI15+WJ15+WK15+WL15+WM15+WF15)</f>
        <v/>
      </c>
      <c r="WP15" s="12">
        <f>IF(VU15&gt;0,VV15/VU15,0)</f>
        <v/>
      </c>
      <c r="WQ15" s="11">
        <f>IF(VU14&gt;0,MAX(0,(VU14+VJ15-VU15)/VU14),0)</f>
        <v/>
      </c>
      <c r="WS15" s="12" t="n">
        <v>11</v>
      </c>
      <c r="WT15" s="12">
        <f>MOD(WS15-1+LaunchMonth-1,12)+1</f>
        <v/>
      </c>
      <c r="WU15" s="12">
        <f>INT((WS15-1+LaunchMonth-1)/12)+1</f>
        <v/>
      </c>
      <c r="WV15" s="12">
        <f>VLOOKUP(WT15,SeasonTable,2,FALSE)</f>
        <v/>
      </c>
      <c r="WW15" s="12">
        <f>(1+InflationRate)^INT((WS15-1)/12)</f>
        <v/>
      </c>
      <c r="WX15" s="11">
        <f>MonthlyChurn*VLOOKUP(WT15,ChurnSeasonTable,4,FALSE)</f>
        <v/>
      </c>
      <c r="WY15" s="12">
        <f>MIN(MAX(MktMin7_12,XS14*MktPct7_12),MAX(0,YG14-CashBuffer))</f>
        <v/>
      </c>
      <c r="WZ15" s="12">
        <f>IF(WY15&gt;0,MAX(1,ROUND(WY15/CAC*WV15,0)),0)</f>
        <v/>
      </c>
      <c r="XA15" s="12">
        <f>IF(WZ15&gt;0,ROUND(WZ15*ReferralMix/(1-ReferralMix),0),0)</f>
        <v/>
      </c>
      <c r="XB15" s="12">
        <f>WZ15+XA15</f>
        <v/>
      </c>
      <c r="XC15" s="12">
        <f>ROUND(XB15*(1-'Sens - Annual Mix'!$A$11),0)</f>
        <v/>
      </c>
      <c r="XD15" s="12">
        <f>XB15-XC15</f>
        <v/>
      </c>
      <c r="XE15" s="12">
        <f>ROUND(XC15*EssentialMix,0)</f>
        <v/>
      </c>
      <c r="XF15" s="12">
        <f>XC15-XE15</f>
        <v/>
      </c>
      <c r="XG15" s="12">
        <f>ROUND(XD15*EssentialMix,0)</f>
        <v/>
      </c>
      <c r="XH15" s="12">
        <f>XD15-XG15</f>
        <v/>
      </c>
      <c r="XI15" s="12">
        <f>XE15+XE14+XE13+MAX(0,XI14-XE14-XE13)*(1-WX15)</f>
        <v/>
      </c>
      <c r="XJ15" s="12">
        <f>XF15+XF14+XF13+MAX(0,XJ14-XF14-XF13)*(1-WX15)</f>
        <v/>
      </c>
      <c r="XK15" s="12">
        <f>SUM(XG$5:XG15)</f>
        <v/>
      </c>
      <c r="XL15" s="12">
        <f>SUM(XH$5:XH15)</f>
        <v/>
      </c>
      <c r="XM15" s="12">
        <f>XI15+XJ15+XK15+XL15</f>
        <v/>
      </c>
      <c r="XN15" s="9">
        <f>XI15*PriceEssMonthly*WW15+XJ15*PricePremMonthly*WW15+XK15*PriceEssAnnual*WW15/12+XL15*PricePremAnnual*WW15/12</f>
        <v/>
      </c>
      <c r="XO15" s="9">
        <f>XN15*12</f>
        <v/>
      </c>
      <c r="XP15" s="12">
        <f>XI15*PriceEssMonthly*WW15+XJ15*PricePremMonthly*WW15</f>
        <v/>
      </c>
      <c r="XQ15" s="12">
        <f>XG15*PriceEssAnnual*WW15+XH15*PricePremAnnual*WW15</f>
        <v/>
      </c>
      <c r="XR15" s="12">
        <f>0+0</f>
        <v/>
      </c>
      <c r="XS15" s="9">
        <f>XP15+XQ15+XR15</f>
        <v/>
      </c>
      <c r="XT15" s="12">
        <f>SUM(XS$5:XS15)</f>
        <v/>
      </c>
      <c r="XU15" s="12">
        <f>OR(XU14,XT15&gt;=VATThreshold)</f>
        <v/>
      </c>
      <c r="XV15" s="9">
        <f>IF(XU15,XS15/(1+VATRate),XS15)</f>
        <v/>
      </c>
      <c r="XW15" s="12">
        <f>XS15-XV15</f>
        <v/>
      </c>
      <c r="XX15" s="12">
        <f>IF(XU15=0,0,IF(WT15=1,SUMPRODUCT(--(($WU$5:$WU15=$WU15-1)*($WT$5:$WT15&gt;=10)*($WT$5:$WT15&lt;=12)),$XW$5:$XW15),IF(WT15=4,SUMPRODUCT(--(($WU$5:$WU15=$WU15)*($WT$5:$WT15&gt;=1)*($WT$5:$WT15&lt;=3)),$XW$5:$XW15),IF(WT15=7,SUMPRODUCT(--(($WU$5:$WU15=$WU15)*($WT$5:$WT15&gt;=4)*($WT$5:$WT15&lt;=6)),$XW$5:$XW15),IF(WT15=10,SUMPRODUCT(--(($WU$5:$WU15=$WU15)*($WT$5:$WT15&gt;=7)*($WT$5:$WT15&lt;=9)),$XW$5:$XW15),0)))))</f>
        <v/>
      </c>
      <c r="XY15" s="12">
        <f>XY14+XW15-XX15</f>
        <v/>
      </c>
      <c r="XZ15" s="12">
        <f>IF(ProviderDelay&gt;=1,XV14*ProviderShare,XV15*ProviderShare)</f>
        <v/>
      </c>
      <c r="YA15" s="12">
        <f>XS15*PaymentFee</f>
        <v/>
      </c>
      <c r="YB15" s="12">
        <f>XM15*OpsAI</f>
        <v/>
      </c>
      <c r="YC15" s="12">
        <f>MonthlyFixed</f>
        <v/>
      </c>
      <c r="YD15" s="12">
        <f>XA15*ReferralReward</f>
        <v/>
      </c>
      <c r="YE15" s="12">
        <f>WY15</f>
        <v/>
      </c>
      <c r="YF15" s="9">
        <f>XV15-XZ15-YA15-YB15-YC15-YD15-YE15</f>
        <v/>
      </c>
      <c r="YG15" s="9">
        <f>YG14+XS15-(XZ15+YA15+YB15+YC15+YD15+YE15+XX15)</f>
        <v/>
      </c>
      <c r="YH15" s="12">
        <f>IF(XM15&gt;0,XN15/XM15,0)</f>
        <v/>
      </c>
      <c r="YI15" s="11">
        <f>IF(XM14&gt;0,MAX(0,(XM14+XB15-XM15)/XM14),0)</f>
        <v/>
      </c>
      <c r="YK15" s="12" t="n">
        <v>11</v>
      </c>
      <c r="YL15" s="12">
        <f>MOD(YK15-1+LaunchMonth-1,12)+1</f>
        <v/>
      </c>
      <c r="YM15" s="12">
        <f>INT((YK15-1+LaunchMonth-1)/12)+1</f>
        <v/>
      </c>
      <c r="YN15" s="12">
        <f>VLOOKUP(YL15,SeasonTable,2,FALSE)</f>
        <v/>
      </c>
      <c r="YO15" s="12">
        <f>(1+InflationRate)^INT((YK15-1)/12)</f>
        <v/>
      </c>
      <c r="YP15" s="11">
        <f>MonthlyChurn*VLOOKUP(YL15,ChurnSeasonTable,4,FALSE)</f>
        <v/>
      </c>
      <c r="YQ15" s="12">
        <f>MIN(MAX(MktMin7_12,ZK14*MktPct7_12),MAX(0,ZY14-CashBuffer))</f>
        <v/>
      </c>
      <c r="YR15" s="12">
        <f>IF(YQ15&gt;0,MAX(1,ROUND(YQ15/CAC*YN15,0)),0)</f>
        <v/>
      </c>
      <c r="YS15" s="12">
        <f>IF(YR15&gt;0,ROUND(YR15*ReferralMix/(1-ReferralMix),0),0)</f>
        <v/>
      </c>
      <c r="YT15" s="12">
        <f>YR15+YS15</f>
        <v/>
      </c>
      <c r="YU15" s="12">
        <f>ROUND(YT15*(1-'Sens - Annual Mix'!$A$12),0)</f>
        <v/>
      </c>
      <c r="YV15" s="12">
        <f>YT15-YU15</f>
        <v/>
      </c>
      <c r="YW15" s="12">
        <f>ROUND(YU15*EssentialMix,0)</f>
        <v/>
      </c>
      <c r="YX15" s="12">
        <f>YU15-YW15</f>
        <v/>
      </c>
      <c r="YY15" s="12">
        <f>ROUND(YV15*EssentialMix,0)</f>
        <v/>
      </c>
      <c r="YZ15" s="12">
        <f>YV15-YY15</f>
        <v/>
      </c>
      <c r="ZA15" s="12">
        <f>YW15+YW14+YW13+MAX(0,ZA14-YW14-YW13)*(1-YP15)</f>
        <v/>
      </c>
      <c r="ZB15" s="12">
        <f>YX15+YX14+YX13+MAX(0,ZB14-YX14-YX13)*(1-YP15)</f>
        <v/>
      </c>
      <c r="ZC15" s="12">
        <f>SUM(YY$5:YY15)</f>
        <v/>
      </c>
      <c r="ZD15" s="12">
        <f>SUM(YZ$5:YZ15)</f>
        <v/>
      </c>
      <c r="ZE15" s="12">
        <f>ZA15+ZB15+ZC15+ZD15</f>
        <v/>
      </c>
      <c r="ZF15" s="9">
        <f>ZA15*PriceEssMonthly*YO15+ZB15*PricePremMonthly*YO15+ZC15*PriceEssAnnual*YO15/12+ZD15*PricePremAnnual*YO15/12</f>
        <v/>
      </c>
      <c r="ZG15" s="9">
        <f>ZF15*12</f>
        <v/>
      </c>
      <c r="ZH15" s="12">
        <f>ZA15*PriceEssMonthly*YO15+ZB15*PricePremMonthly*YO15</f>
        <v/>
      </c>
      <c r="ZI15" s="12">
        <f>YY15*PriceEssAnnual*YO15+YZ15*PricePremAnnual*YO15</f>
        <v/>
      </c>
      <c r="ZJ15" s="12">
        <f>0+0</f>
        <v/>
      </c>
      <c r="ZK15" s="9">
        <f>ZH15+ZI15+ZJ15</f>
        <v/>
      </c>
      <c r="ZL15" s="12">
        <f>SUM(ZK$5:ZK15)</f>
        <v/>
      </c>
      <c r="ZM15" s="12">
        <f>OR(ZM14,ZL15&gt;=VATThreshold)</f>
        <v/>
      </c>
      <c r="ZN15" s="9">
        <f>IF(ZM15,ZK15/(1+VATRate),ZK15)</f>
        <v/>
      </c>
      <c r="ZO15" s="12">
        <f>ZK15-ZN15</f>
        <v/>
      </c>
      <c r="ZP15" s="12">
        <f>IF(ZM15=0,0,IF(YL15=1,SUMPRODUCT(--(($YM$5:$YM15=$YM15-1)*($YL$5:$YL15&gt;=10)*($YL$5:$YL15&lt;=12)),$ZO$5:$ZO15),IF(YL15=4,SUMPRODUCT(--(($YM$5:$YM15=$YM15)*($YL$5:$YL15&gt;=1)*($YL$5:$YL15&lt;=3)),$ZO$5:$ZO15),IF(YL15=7,SUMPRODUCT(--(($YM$5:$YM15=$YM15)*($YL$5:$YL15&gt;=4)*($YL$5:$YL15&lt;=6)),$ZO$5:$ZO15),IF(YL15=10,SUMPRODUCT(--(($YM$5:$YM15=$YM15)*($YL$5:$YL15&gt;=7)*($YL$5:$YL15&lt;=9)),$ZO$5:$ZO15),0)))))</f>
        <v/>
      </c>
      <c r="ZQ15" s="12">
        <f>ZQ14+ZO15-ZP15</f>
        <v/>
      </c>
      <c r="ZR15" s="12">
        <f>IF(ProviderDelay&gt;=1,ZN14*ProviderShare,ZN15*ProviderShare)</f>
        <v/>
      </c>
      <c r="ZS15" s="12">
        <f>ZK15*PaymentFee</f>
        <v/>
      </c>
      <c r="ZT15" s="12">
        <f>ZE15*OpsAI</f>
        <v/>
      </c>
      <c r="ZU15" s="12">
        <f>MonthlyFixed</f>
        <v/>
      </c>
      <c r="ZV15" s="12">
        <f>YS15*ReferralReward</f>
        <v/>
      </c>
      <c r="ZW15" s="12">
        <f>YQ15</f>
        <v/>
      </c>
      <c r="ZX15" s="9">
        <f>ZN15-ZR15-ZS15-ZT15-ZU15-ZV15-ZW15</f>
        <v/>
      </c>
      <c r="ZY15" s="9">
        <f>ZY14+ZK15-(ZR15+ZS15+ZT15+ZU15+ZV15+ZW15+ZP15)</f>
        <v/>
      </c>
      <c r="ZZ15" s="12">
        <f>IF(ZE15&gt;0,ZF15/ZE15,0)</f>
        <v/>
      </c>
      <c r="AAA15" s="11">
        <f>IF(ZE14&gt;0,MAX(0,(ZE14+YT15-ZE15)/ZE14),0)</f>
        <v/>
      </c>
      <c r="AAC15" s="12" t="n">
        <v>11</v>
      </c>
      <c r="AAD15" s="12">
        <f>MOD(AAC15-1+LaunchMonth-1,12)+1</f>
        <v/>
      </c>
      <c r="AAE15" s="12">
        <f>INT((AAC15-1+LaunchMonth-1)/12)+1</f>
        <v/>
      </c>
      <c r="AAF15" s="12">
        <f>VLOOKUP(AAD15,SeasonTable,2,FALSE)</f>
        <v/>
      </c>
      <c r="AAG15" s="12">
        <f>(1+InflationRate)^INT((AAC15-1)/12)</f>
        <v/>
      </c>
      <c r="AAH15" s="11">
        <f>MonthlyChurn*VLOOKUP(AAD15,ChurnSeasonTable,4,FALSE)</f>
        <v/>
      </c>
      <c r="AAI15" s="12">
        <f>MIN(MAX(MktMin7_12,ABC14*MktPct7_12),MAX(0,ABQ14-CashBuffer))</f>
        <v/>
      </c>
      <c r="AAJ15" s="12">
        <f>IF(AAI15&gt;0,MAX(1,ROUND(AAI15/CAC*AAF15,0)),0)</f>
        <v/>
      </c>
      <c r="AAK15" s="12">
        <f>IF(AAJ15&gt;0,ROUND(AAJ15*ReferralMix/(1-ReferralMix),0),0)</f>
        <v/>
      </c>
      <c r="AAL15" s="12">
        <f>AAJ15+AAK15</f>
        <v/>
      </c>
      <c r="AAM15" s="12">
        <f>ROUND(AAL15*(1-'Sens - Annual Mix'!$A$13),0)</f>
        <v/>
      </c>
      <c r="AAN15" s="12">
        <f>AAL15-AAM15</f>
        <v/>
      </c>
      <c r="AAO15" s="12">
        <f>ROUND(AAM15*EssentialMix,0)</f>
        <v/>
      </c>
      <c r="AAP15" s="12">
        <f>AAM15-AAO15</f>
        <v/>
      </c>
      <c r="AAQ15" s="12">
        <f>ROUND(AAN15*EssentialMix,0)</f>
        <v/>
      </c>
      <c r="AAR15" s="12">
        <f>AAN15-AAQ15</f>
        <v/>
      </c>
      <c r="AAS15" s="12">
        <f>AAO15+AAO14+AAO13+MAX(0,AAS14-AAO14-AAO13)*(1-AAH15)</f>
        <v/>
      </c>
      <c r="AAT15" s="12">
        <f>AAP15+AAP14+AAP13+MAX(0,AAT14-AAP14-AAP13)*(1-AAH15)</f>
        <v/>
      </c>
      <c r="AAU15" s="12">
        <f>SUM(AAQ$5:AAQ15)</f>
        <v/>
      </c>
      <c r="AAV15" s="12">
        <f>SUM(AAR$5:AAR15)</f>
        <v/>
      </c>
      <c r="AAW15" s="12">
        <f>AAS15+AAT15+AAU15+AAV15</f>
        <v/>
      </c>
      <c r="AAX15" s="9">
        <f>AAS15*PriceEssMonthly*AAG15+AAT15*PricePremMonthly*AAG15+AAU15*PriceEssAnnual*AAG15/12+AAV15*PricePremAnnual*AAG15/12</f>
        <v/>
      </c>
      <c r="AAY15" s="9">
        <f>AAX15*12</f>
        <v/>
      </c>
      <c r="AAZ15" s="12">
        <f>AAS15*PriceEssMonthly*AAG15+AAT15*PricePremMonthly*AAG15</f>
        <v/>
      </c>
      <c r="ABA15" s="12">
        <f>AAQ15*PriceEssAnnual*AAG15+AAR15*PricePremAnnual*AAG15</f>
        <v/>
      </c>
      <c r="ABB15" s="12">
        <f>0+0</f>
        <v/>
      </c>
      <c r="ABC15" s="9">
        <f>AAZ15+ABA15+ABB15</f>
        <v/>
      </c>
      <c r="ABD15" s="12">
        <f>SUM(ABC$5:ABC15)</f>
        <v/>
      </c>
      <c r="ABE15" s="12">
        <f>OR(ABE14,ABD15&gt;=VATThreshold)</f>
        <v/>
      </c>
      <c r="ABF15" s="9">
        <f>IF(ABE15,ABC15/(1+VATRate),ABC15)</f>
        <v/>
      </c>
      <c r="ABG15" s="12">
        <f>ABC15-ABF15</f>
        <v/>
      </c>
      <c r="ABH15" s="12">
        <f>IF(ABE15=0,0,IF(AAD15=1,SUMPRODUCT(--(($AAE$5:$AAE15=$AAE15-1)*($AAD$5:$AAD15&gt;=10)*($AAD$5:$AAD15&lt;=12)),$ABG$5:$ABG15),IF(AAD15=4,SUMPRODUCT(--(($AAE$5:$AAE15=$AAE15)*($AAD$5:$AAD15&gt;=1)*($AAD$5:$AAD15&lt;=3)),$ABG$5:$ABG15),IF(AAD15=7,SUMPRODUCT(--(($AAE$5:$AAE15=$AAE15)*($AAD$5:$AAD15&gt;=4)*($AAD$5:$AAD15&lt;=6)),$ABG$5:$ABG15),IF(AAD15=10,SUMPRODUCT(--(($AAE$5:$AAE15=$AAE15)*($AAD$5:$AAD15&gt;=7)*($AAD$5:$AAD15&lt;=9)),$ABG$5:$ABG15),0)))))</f>
        <v/>
      </c>
      <c r="ABI15" s="12">
        <f>ABI14+ABG15-ABH15</f>
        <v/>
      </c>
      <c r="ABJ15" s="12">
        <f>IF(ProviderDelay&gt;=1,ABF14*ProviderShare,ABF15*ProviderShare)</f>
        <v/>
      </c>
      <c r="ABK15" s="12">
        <f>ABC15*PaymentFee</f>
        <v/>
      </c>
      <c r="ABL15" s="12">
        <f>AAW15*OpsAI</f>
        <v/>
      </c>
      <c r="ABM15" s="12">
        <f>MonthlyFixed</f>
        <v/>
      </c>
      <c r="ABN15" s="12">
        <f>AAK15*ReferralReward</f>
        <v/>
      </c>
      <c r="ABO15" s="12">
        <f>AAI15</f>
        <v/>
      </c>
      <c r="ABP15" s="9">
        <f>ABF15-ABJ15-ABK15-ABL15-ABM15-ABN15-ABO15</f>
        <v/>
      </c>
      <c r="ABQ15" s="9">
        <f>ABQ14+ABC15-(ABJ15+ABK15+ABL15+ABM15+ABN15+ABO15+ABH15)</f>
        <v/>
      </c>
      <c r="ABR15" s="12">
        <f>IF(AAW15&gt;0,AAX15/AAW15,0)</f>
        <v/>
      </c>
      <c r="ABS15" s="11">
        <f>IF(AAW14&gt;0,MAX(0,(AAW14+AAL15-AAW15)/AAW14),0)</f>
        <v/>
      </c>
      <c r="ABU15" s="12" t="n">
        <v>11</v>
      </c>
      <c r="ABV15" s="12">
        <f>MOD(ABU15-1+LaunchMonth-1,12)+1</f>
        <v/>
      </c>
      <c r="ABW15" s="12">
        <f>INT((ABU15-1+LaunchMonth-1)/12)+1</f>
        <v/>
      </c>
      <c r="ABX15" s="12">
        <f>VLOOKUP(ABV15,SeasonTable,2,FALSE)</f>
        <v/>
      </c>
      <c r="ABY15" s="12">
        <f>(1+InflationRate)^INT((ABU15-1)/12)</f>
        <v/>
      </c>
      <c r="ABZ15" s="11">
        <f>MonthlyChurn*VLOOKUP(ABV15,ChurnSeasonTable,4,FALSE)</f>
        <v/>
      </c>
      <c r="ACA15" s="12">
        <f>MIN(MAX(MktMin7_12,ACU14*MktPct7_12),MAX(0,ADI14-CashBuffer))</f>
        <v/>
      </c>
      <c r="ACB15" s="12">
        <f>IF(ACA15&gt;0,MAX(1,ROUND(ACA15/CAC*ABX15,0)),0)</f>
        <v/>
      </c>
      <c r="ACC15" s="12">
        <f>IF(ACB15&gt;0,ROUND(ACB15*ReferralMix/(1-ReferralMix),0),0)</f>
        <v/>
      </c>
      <c r="ACD15" s="12">
        <f>ACB15+ACC15</f>
        <v/>
      </c>
      <c r="ACE15" s="12">
        <f>ROUND(ACD15*(1-'Sens - Annual Mix'!$A$14),0)</f>
        <v/>
      </c>
      <c r="ACF15" s="12">
        <f>ACD15-ACE15</f>
        <v/>
      </c>
      <c r="ACG15" s="12">
        <f>ROUND(ACE15*EssentialMix,0)</f>
        <v/>
      </c>
      <c r="ACH15" s="12">
        <f>ACE15-ACG15</f>
        <v/>
      </c>
      <c r="ACI15" s="12">
        <f>ROUND(ACF15*EssentialMix,0)</f>
        <v/>
      </c>
      <c r="ACJ15" s="12">
        <f>ACF15-ACI15</f>
        <v/>
      </c>
      <c r="ACK15" s="12">
        <f>ACG15+ACG14+ACG13+MAX(0,ACK14-ACG14-ACG13)*(1-ABZ15)</f>
        <v/>
      </c>
      <c r="ACL15" s="12">
        <f>ACH15+ACH14+ACH13+MAX(0,ACL14-ACH14-ACH13)*(1-ABZ15)</f>
        <v/>
      </c>
      <c r="ACM15" s="12">
        <f>SUM(ACI$5:ACI15)</f>
        <v/>
      </c>
      <c r="ACN15" s="12">
        <f>SUM(ACJ$5:ACJ15)</f>
        <v/>
      </c>
      <c r="ACO15" s="12">
        <f>ACK15+ACL15+ACM15+ACN15</f>
        <v/>
      </c>
      <c r="ACP15" s="9">
        <f>ACK15*PriceEssMonthly*ABY15+ACL15*PricePremMonthly*ABY15+ACM15*PriceEssAnnual*ABY15/12+ACN15*PricePremAnnual*ABY15/12</f>
        <v/>
      </c>
      <c r="ACQ15" s="9">
        <f>ACP15*12</f>
        <v/>
      </c>
      <c r="ACR15" s="12">
        <f>ACK15*PriceEssMonthly*ABY15+ACL15*PricePremMonthly*ABY15</f>
        <v/>
      </c>
      <c r="ACS15" s="12">
        <f>ACI15*PriceEssAnnual*ABY15+ACJ15*PricePremAnnual*ABY15</f>
        <v/>
      </c>
      <c r="ACT15" s="12">
        <f>0+0</f>
        <v/>
      </c>
      <c r="ACU15" s="9">
        <f>ACR15+ACS15+ACT15</f>
        <v/>
      </c>
      <c r="ACV15" s="12">
        <f>SUM(ACU$5:ACU15)</f>
        <v/>
      </c>
      <c r="ACW15" s="12">
        <f>OR(ACW14,ACV15&gt;=VATThreshold)</f>
        <v/>
      </c>
      <c r="ACX15" s="9">
        <f>IF(ACW15,ACU15/(1+VATRate),ACU15)</f>
        <v/>
      </c>
      <c r="ACY15" s="12">
        <f>ACU15-ACX15</f>
        <v/>
      </c>
      <c r="ACZ15" s="12">
        <f>IF(ACW15=0,0,IF(ABV15=1,SUMPRODUCT(--(($ABW$5:$ABW15=$ABW15-1)*($ABV$5:$ABV15&gt;=10)*($ABV$5:$ABV15&lt;=12)),$ACY$5:$ACY15),IF(ABV15=4,SUMPRODUCT(--(($ABW$5:$ABW15=$ABW15)*($ABV$5:$ABV15&gt;=1)*($ABV$5:$ABV15&lt;=3)),$ACY$5:$ACY15),IF(ABV15=7,SUMPRODUCT(--(($ABW$5:$ABW15=$ABW15)*($ABV$5:$ABV15&gt;=4)*($ABV$5:$ABV15&lt;=6)),$ACY$5:$ACY15),IF(ABV15=10,SUMPRODUCT(--(($ABW$5:$ABW15=$ABW15)*($ABV$5:$ABV15&gt;=7)*($ABV$5:$ABV15&lt;=9)),$ACY$5:$ACY15),0)))))</f>
        <v/>
      </c>
      <c r="ADA15" s="12">
        <f>ADA14+ACY15-ACZ15</f>
        <v/>
      </c>
      <c r="ADB15" s="12">
        <f>IF(ProviderDelay&gt;=1,ACX14*ProviderShare,ACX15*ProviderShare)</f>
        <v/>
      </c>
      <c r="ADC15" s="12">
        <f>ACU15*PaymentFee</f>
        <v/>
      </c>
      <c r="ADD15" s="12">
        <f>ACO15*OpsAI</f>
        <v/>
      </c>
      <c r="ADE15" s="12">
        <f>MonthlyFixed</f>
        <v/>
      </c>
      <c r="ADF15" s="12">
        <f>ACC15*ReferralReward</f>
        <v/>
      </c>
      <c r="ADG15" s="12">
        <f>ACA15</f>
        <v/>
      </c>
      <c r="ADH15" s="9">
        <f>ACX15-ADB15-ADC15-ADD15-ADE15-ADF15-ADG15</f>
        <v/>
      </c>
      <c r="ADI15" s="9">
        <f>ADI14+ACU15-(ADB15+ADC15+ADD15+ADE15+ADF15+ADG15+ACZ15)</f>
        <v/>
      </c>
      <c r="ADJ15" s="12">
        <f>IF(ACO15&gt;0,ACP15/ACO15,0)</f>
        <v/>
      </c>
      <c r="ADK15" s="11">
        <f>IF(ACO14&gt;0,MAX(0,(ACO14+ACD15-ACO15)/ACO14),0)</f>
        <v/>
      </c>
      <c r="ADM15" s="12" t="n">
        <v>11</v>
      </c>
      <c r="ADN15" s="12">
        <f>MOD(ADM15-1+LaunchMonth-1,12)+1</f>
        <v/>
      </c>
      <c r="ADO15" s="12">
        <f>INT((ADM15-1+LaunchMonth-1)/12)+1</f>
        <v/>
      </c>
      <c r="ADP15" s="12">
        <f>VLOOKUP(ADN15,SeasonTable,2,FALSE)</f>
        <v/>
      </c>
      <c r="ADQ15" s="12">
        <f>(1+InflationRate)^INT((ADM15-1)/12)</f>
        <v/>
      </c>
      <c r="ADR15" s="11">
        <f>MonthlyChurn*VLOOKUP(ADN15,ChurnSeasonTable,4,FALSE)</f>
        <v/>
      </c>
      <c r="ADS15" s="12">
        <f>MIN(MAX(MktMin7_12,AEM14*MktPct7_12),MAX(0,AFA14-CashBuffer))</f>
        <v/>
      </c>
      <c r="ADT15" s="12">
        <f>IF(ADS15&gt;0,MAX(1,ROUND(ADS15/CAC*ADP15,0)),0)</f>
        <v/>
      </c>
      <c r="ADU15" s="12">
        <f>IF(ADT15&gt;0,ROUND(ADT15*ReferralMix/(1-ReferralMix),0),0)</f>
        <v/>
      </c>
      <c r="ADV15" s="12">
        <f>ADT15+ADU15</f>
        <v/>
      </c>
      <c r="ADW15" s="12">
        <f>ROUND(ADV15*(1-'Sens - Annual Mix'!$A$15),0)</f>
        <v/>
      </c>
      <c r="ADX15" s="12">
        <f>ADV15-ADW15</f>
        <v/>
      </c>
      <c r="ADY15" s="12">
        <f>ROUND(ADW15*EssentialMix,0)</f>
        <v/>
      </c>
      <c r="ADZ15" s="12">
        <f>ADW15-ADY15</f>
        <v/>
      </c>
      <c r="AEA15" s="12">
        <f>ROUND(ADX15*EssentialMix,0)</f>
        <v/>
      </c>
      <c r="AEB15" s="12">
        <f>ADX15-AEA15</f>
        <v/>
      </c>
      <c r="AEC15" s="12">
        <f>ADY15+ADY14+ADY13+MAX(0,AEC14-ADY14-ADY13)*(1-ADR15)</f>
        <v/>
      </c>
      <c r="AED15" s="12">
        <f>ADZ15+ADZ14+ADZ13+MAX(0,AED14-ADZ14-ADZ13)*(1-ADR15)</f>
        <v/>
      </c>
      <c r="AEE15" s="12">
        <f>SUM(AEA$5:AEA15)</f>
        <v/>
      </c>
      <c r="AEF15" s="12">
        <f>SUM(AEB$5:AEB15)</f>
        <v/>
      </c>
      <c r="AEG15" s="12">
        <f>AEC15+AED15+AEE15+AEF15</f>
        <v/>
      </c>
      <c r="AEH15" s="9">
        <f>AEC15*PriceEssMonthly*ADQ15+AED15*PricePremMonthly*ADQ15+AEE15*PriceEssAnnual*ADQ15/12+AEF15*PricePremAnnual*ADQ15/12</f>
        <v/>
      </c>
      <c r="AEI15" s="9">
        <f>AEH15*12</f>
        <v/>
      </c>
      <c r="AEJ15" s="12">
        <f>AEC15*PriceEssMonthly*ADQ15+AED15*PricePremMonthly*ADQ15</f>
        <v/>
      </c>
      <c r="AEK15" s="12">
        <f>AEA15*PriceEssAnnual*ADQ15+AEB15*PricePremAnnual*ADQ15</f>
        <v/>
      </c>
      <c r="AEL15" s="12">
        <f>0+0</f>
        <v/>
      </c>
      <c r="AEM15" s="9">
        <f>AEJ15+AEK15+AEL15</f>
        <v/>
      </c>
      <c r="AEN15" s="12">
        <f>SUM(AEM$5:AEM15)</f>
        <v/>
      </c>
      <c r="AEO15" s="12">
        <f>OR(AEO14,AEN15&gt;=VATThreshold)</f>
        <v/>
      </c>
      <c r="AEP15" s="9">
        <f>IF(AEO15,AEM15/(1+VATRate),AEM15)</f>
        <v/>
      </c>
      <c r="AEQ15" s="12">
        <f>AEM15-AEP15</f>
        <v/>
      </c>
      <c r="AER15" s="12">
        <f>IF(AEO15=0,0,IF(ADN15=1,SUMPRODUCT(--(($ADO$5:$ADO15=$ADO15-1)*($ADN$5:$ADN15&gt;=10)*($ADN$5:$ADN15&lt;=12)),$AEQ$5:$AEQ15),IF(ADN15=4,SUMPRODUCT(--(($ADO$5:$ADO15=$ADO15)*($ADN$5:$ADN15&gt;=1)*($ADN$5:$ADN15&lt;=3)),$AEQ$5:$AEQ15),IF(ADN15=7,SUMPRODUCT(--(($ADO$5:$ADO15=$ADO15)*($ADN$5:$ADN15&gt;=4)*($ADN$5:$ADN15&lt;=6)),$AEQ$5:$AEQ15),IF(ADN15=10,SUMPRODUCT(--(($ADO$5:$ADO15=$ADO15)*($ADN$5:$ADN15&gt;=7)*($ADN$5:$ADN15&lt;=9)),$AEQ$5:$AEQ15),0)))))</f>
        <v/>
      </c>
      <c r="AES15" s="12">
        <f>AES14+AEQ15-AER15</f>
        <v/>
      </c>
      <c r="AET15" s="12">
        <f>IF(ProviderDelay&gt;=1,AEP14*ProviderShare,AEP15*ProviderShare)</f>
        <v/>
      </c>
      <c r="AEU15" s="12">
        <f>AEM15*PaymentFee</f>
        <v/>
      </c>
      <c r="AEV15" s="12">
        <f>AEG15*OpsAI</f>
        <v/>
      </c>
      <c r="AEW15" s="12">
        <f>MonthlyFixed</f>
        <v/>
      </c>
      <c r="AEX15" s="12">
        <f>ADU15*ReferralReward</f>
        <v/>
      </c>
      <c r="AEY15" s="12">
        <f>ADS15</f>
        <v/>
      </c>
      <c r="AEZ15" s="9">
        <f>AEP15-AET15-AEU15-AEV15-AEW15-AEX15-AEY15</f>
        <v/>
      </c>
      <c r="AFA15" s="9">
        <f>AFA14+AEM15-(AET15+AEU15+AEV15+AEW15+AEX15+AEY15+AER15)</f>
        <v/>
      </c>
      <c r="AFB15" s="12">
        <f>IF(AEG15&gt;0,AEH15/AEG15,0)</f>
        <v/>
      </c>
      <c r="AFC15" s="11">
        <f>IF(AEG14&gt;0,MAX(0,(AEG14+ADV15-AEG15)/AEG14),0)</f>
        <v/>
      </c>
      <c r="AFE15" s="12" t="n">
        <v>11</v>
      </c>
      <c r="AFF15" s="12">
        <f>MOD(AFE15-1+LaunchMonth-1,12)+1</f>
        <v/>
      </c>
      <c r="AFG15" s="12">
        <f>INT((AFE15-1+LaunchMonth-1)/12)+1</f>
        <v/>
      </c>
      <c r="AFH15" s="12">
        <f>VLOOKUP(AFF15,SeasonTable,2,FALSE)</f>
        <v/>
      </c>
      <c r="AFI15" s="12">
        <f>(1+InflationRate)^INT((AFE15-1)/12)</f>
        <v/>
      </c>
      <c r="AFJ15" s="11">
        <f>MonthlyChurn*VLOOKUP(AFF15,ChurnSeasonTable,4,FALSE)</f>
        <v/>
      </c>
      <c r="AFK15" s="12">
        <f>MIN(MAX(MktMin7_12,AGE14*MktPct7_12),MAX(0,AGS14-CashBuffer))</f>
        <v/>
      </c>
      <c r="AFL15" s="12">
        <f>IF(AFK15&gt;0,MAX(1,ROUND(AFK15/'Sens - CAC &amp; Marketing'!$A$9*AFH15,0)),0)</f>
        <v/>
      </c>
      <c r="AFM15" s="12">
        <f>IF(AFL15&gt;0,ROUND(AFL15*ReferralMix/(1-ReferralMix),0),0)</f>
        <v/>
      </c>
      <c r="AFN15" s="12">
        <f>AFL15+AFM15</f>
        <v/>
      </c>
      <c r="AFO15" s="12">
        <f>ROUND(AFN15*(1-AnnualMix),0)</f>
        <v/>
      </c>
      <c r="AFP15" s="12">
        <f>AFN15-AFO15</f>
        <v/>
      </c>
      <c r="AFQ15" s="12">
        <f>ROUND(AFO15*EssentialMix,0)</f>
        <v/>
      </c>
      <c r="AFR15" s="12">
        <f>AFO15-AFQ15</f>
        <v/>
      </c>
      <c r="AFS15" s="12">
        <f>ROUND(AFP15*EssentialMix,0)</f>
        <v/>
      </c>
      <c r="AFT15" s="12">
        <f>AFP15-AFS15</f>
        <v/>
      </c>
      <c r="AFU15" s="12">
        <f>AFQ15+AFQ14+AFQ13+MAX(0,AFU14-AFQ14-AFQ13)*(1-AFJ15)</f>
        <v/>
      </c>
      <c r="AFV15" s="12">
        <f>AFR15+AFR14+AFR13+MAX(0,AFV14-AFR14-AFR13)*(1-AFJ15)</f>
        <v/>
      </c>
      <c r="AFW15" s="12">
        <f>SUM(AFS$5:AFS15)</f>
        <v/>
      </c>
      <c r="AFX15" s="12">
        <f>SUM(AFT$5:AFT15)</f>
        <v/>
      </c>
      <c r="AFY15" s="12">
        <f>AFU15+AFV15+AFW15+AFX15</f>
        <v/>
      </c>
      <c r="AFZ15" s="9">
        <f>AFU15*PriceEssMonthly*AFI15+AFV15*PricePremMonthly*AFI15+AFW15*PriceEssAnnual*AFI15/12+AFX15*PricePremAnnual*AFI15/12</f>
        <v/>
      </c>
      <c r="AGA15" s="9">
        <f>AFZ15*12</f>
        <v/>
      </c>
      <c r="AGB15" s="12">
        <f>AFU15*PriceEssMonthly*AFI15+AFV15*PricePremMonthly*AFI15</f>
        <v/>
      </c>
      <c r="AGC15" s="12">
        <f>AFS15*PriceEssAnnual*AFI15+AFT15*PricePremAnnual*AFI15</f>
        <v/>
      </c>
      <c r="AGD15" s="12">
        <f>0+0</f>
        <v/>
      </c>
      <c r="AGE15" s="9">
        <f>AGB15+AGC15+AGD15</f>
        <v/>
      </c>
      <c r="AGF15" s="12">
        <f>SUM(AGE$5:AGE15)</f>
        <v/>
      </c>
      <c r="AGG15" s="12">
        <f>OR(AGG14,AGF15&gt;=VATThreshold)</f>
        <v/>
      </c>
      <c r="AGH15" s="9">
        <f>IF(AGG15,AGE15/(1+VATRate),AGE15)</f>
        <v/>
      </c>
      <c r="AGI15" s="12">
        <f>AGE15-AGH15</f>
        <v/>
      </c>
      <c r="AGJ15" s="12">
        <f>IF(AGG15=0,0,IF(AFF15=1,SUMPRODUCT(--(($AFG$5:$AFG15=$AFG15-1)*($AFF$5:$AFF15&gt;=10)*($AFF$5:$AFF15&lt;=12)),$AGI$5:$AGI15),IF(AFF15=4,SUMPRODUCT(--(($AFG$5:$AFG15=$AFG15)*($AFF$5:$AFF15&gt;=1)*($AFF$5:$AFF15&lt;=3)),$AGI$5:$AGI15),IF(AFF15=7,SUMPRODUCT(--(($AFG$5:$AFG15=$AFG15)*($AFF$5:$AFF15&gt;=4)*($AFF$5:$AFF15&lt;=6)),$AGI$5:$AGI15),IF(AFF15=10,SUMPRODUCT(--(($AFG$5:$AFG15=$AFG15)*($AFF$5:$AFF15&gt;=7)*($AFF$5:$AFF15&lt;=9)),$AGI$5:$AGI15),0)))))</f>
        <v/>
      </c>
      <c r="AGK15" s="12">
        <f>AGK14+AGI15-AGJ15</f>
        <v/>
      </c>
      <c r="AGL15" s="12">
        <f>IF(ProviderDelay&gt;=1,AGH14*ProviderShare,AGH15*ProviderShare)</f>
        <v/>
      </c>
      <c r="AGM15" s="12">
        <f>AGE15*PaymentFee</f>
        <v/>
      </c>
      <c r="AGN15" s="12">
        <f>AFY15*OpsAI</f>
        <v/>
      </c>
      <c r="AGO15" s="12">
        <f>MonthlyFixed</f>
        <v/>
      </c>
      <c r="AGP15" s="12">
        <f>AFM15*ReferralReward</f>
        <v/>
      </c>
      <c r="AGQ15" s="12">
        <f>AFK15</f>
        <v/>
      </c>
      <c r="AGR15" s="9">
        <f>AGH15-AGL15-AGM15-AGN15-AGO15-AGP15-AGQ15</f>
        <v/>
      </c>
      <c r="AGS15" s="9">
        <f>AGS14+AGE15-(AGL15+AGM15+AGN15+AGO15+AGP15+AGQ15+AGJ15)</f>
        <v/>
      </c>
      <c r="AGT15" s="12">
        <f>IF(AFY15&gt;0,AFZ15/AFY15,0)</f>
        <v/>
      </c>
      <c r="AGU15" s="11">
        <f>IF(AFY14&gt;0,MAX(0,(AFY14+AFN15-AFY15)/AFY14),0)</f>
        <v/>
      </c>
      <c r="AGW15" s="12" t="n">
        <v>11</v>
      </c>
      <c r="AGX15" s="12">
        <f>MOD(AGW15-1+LaunchMonth-1,12)+1</f>
        <v/>
      </c>
      <c r="AGY15" s="12">
        <f>INT((AGW15-1+LaunchMonth-1)/12)+1</f>
        <v/>
      </c>
      <c r="AGZ15" s="12">
        <f>VLOOKUP(AGX15,SeasonTable,2,FALSE)</f>
        <v/>
      </c>
      <c r="AHA15" s="12">
        <f>(1+InflationRate)^INT((AGW15-1)/12)</f>
        <v/>
      </c>
      <c r="AHB15" s="11">
        <f>MonthlyChurn*VLOOKUP(AGX15,ChurnSeasonTable,4,FALSE)</f>
        <v/>
      </c>
      <c r="AHC15" s="12">
        <f>MIN(MAX(MktMin7_12,AHW14*MktPct7_12),MAX(0,AIK14-CashBuffer))</f>
        <v/>
      </c>
      <c r="AHD15" s="12">
        <f>IF(AHC15&gt;0,MAX(1,ROUND(AHC15/'Sens - CAC &amp; Marketing'!$A$10*AGZ15,0)),0)</f>
        <v/>
      </c>
      <c r="AHE15" s="12">
        <f>IF(AHD15&gt;0,ROUND(AHD15*ReferralMix/(1-ReferralMix),0),0)</f>
        <v/>
      </c>
      <c r="AHF15" s="12">
        <f>AHD15+AHE15</f>
        <v/>
      </c>
      <c r="AHG15" s="12">
        <f>ROUND(AHF15*(1-AnnualMix),0)</f>
        <v/>
      </c>
      <c r="AHH15" s="12">
        <f>AHF15-AHG15</f>
        <v/>
      </c>
      <c r="AHI15" s="12">
        <f>ROUND(AHG15*EssentialMix,0)</f>
        <v/>
      </c>
      <c r="AHJ15" s="12">
        <f>AHG15-AHI15</f>
        <v/>
      </c>
      <c r="AHK15" s="12">
        <f>ROUND(AHH15*EssentialMix,0)</f>
        <v/>
      </c>
      <c r="AHL15" s="12">
        <f>AHH15-AHK15</f>
        <v/>
      </c>
      <c r="AHM15" s="12">
        <f>AHI15+AHI14+AHI13+MAX(0,AHM14-AHI14-AHI13)*(1-AHB15)</f>
        <v/>
      </c>
      <c r="AHN15" s="12">
        <f>AHJ15+AHJ14+AHJ13+MAX(0,AHN14-AHJ14-AHJ13)*(1-AHB15)</f>
        <v/>
      </c>
      <c r="AHO15" s="12">
        <f>SUM(AHK$5:AHK15)</f>
        <v/>
      </c>
      <c r="AHP15" s="12">
        <f>SUM(AHL$5:AHL15)</f>
        <v/>
      </c>
      <c r="AHQ15" s="12">
        <f>AHM15+AHN15+AHO15+AHP15</f>
        <v/>
      </c>
      <c r="AHR15" s="9">
        <f>AHM15*PriceEssMonthly*AHA15+AHN15*PricePremMonthly*AHA15+AHO15*PriceEssAnnual*AHA15/12+AHP15*PricePremAnnual*AHA15/12</f>
        <v/>
      </c>
      <c r="AHS15" s="9">
        <f>AHR15*12</f>
        <v/>
      </c>
      <c r="AHT15" s="12">
        <f>AHM15*PriceEssMonthly*AHA15+AHN15*PricePremMonthly*AHA15</f>
        <v/>
      </c>
      <c r="AHU15" s="12">
        <f>AHK15*PriceEssAnnual*AHA15+AHL15*PricePremAnnual*AHA15</f>
        <v/>
      </c>
      <c r="AHV15" s="12">
        <f>0+0</f>
        <v/>
      </c>
      <c r="AHW15" s="9">
        <f>AHT15+AHU15+AHV15</f>
        <v/>
      </c>
      <c r="AHX15" s="12">
        <f>SUM(AHW$5:AHW15)</f>
        <v/>
      </c>
      <c r="AHY15" s="12">
        <f>OR(AHY14,AHX15&gt;=VATThreshold)</f>
        <v/>
      </c>
      <c r="AHZ15" s="9">
        <f>IF(AHY15,AHW15/(1+VATRate),AHW15)</f>
        <v/>
      </c>
      <c r="AIA15" s="12">
        <f>AHW15-AHZ15</f>
        <v/>
      </c>
      <c r="AIB15" s="12">
        <f>IF(AHY15=0,0,IF(AGX15=1,SUMPRODUCT(--(($AGY$5:$AGY15=$AGY15-1)*($AGX$5:$AGX15&gt;=10)*($AGX$5:$AGX15&lt;=12)),$AIA$5:$AIA15),IF(AGX15=4,SUMPRODUCT(--(($AGY$5:$AGY15=$AGY15)*($AGX$5:$AGX15&gt;=1)*($AGX$5:$AGX15&lt;=3)),$AIA$5:$AIA15),IF(AGX15=7,SUMPRODUCT(--(($AGY$5:$AGY15=$AGY15)*($AGX$5:$AGX15&gt;=4)*($AGX$5:$AGX15&lt;=6)),$AIA$5:$AIA15),IF(AGX15=10,SUMPRODUCT(--(($AGY$5:$AGY15=$AGY15)*($AGX$5:$AGX15&gt;=7)*($AGX$5:$AGX15&lt;=9)),$AIA$5:$AIA15),0)))))</f>
        <v/>
      </c>
      <c r="AIC15" s="12">
        <f>AIC14+AIA15-AIB15</f>
        <v/>
      </c>
      <c r="AID15" s="12">
        <f>IF(ProviderDelay&gt;=1,AHZ14*ProviderShare,AHZ15*ProviderShare)</f>
        <v/>
      </c>
      <c r="AIE15" s="12">
        <f>AHW15*PaymentFee</f>
        <v/>
      </c>
      <c r="AIF15" s="12">
        <f>AHQ15*OpsAI</f>
        <v/>
      </c>
      <c r="AIG15" s="12">
        <f>MonthlyFixed</f>
        <v/>
      </c>
      <c r="AIH15" s="12">
        <f>AHE15*ReferralReward</f>
        <v/>
      </c>
      <c r="AII15" s="12">
        <f>AHC15</f>
        <v/>
      </c>
      <c r="AIJ15" s="9">
        <f>AHZ15-AID15-AIE15-AIF15-AIG15-AIH15-AII15</f>
        <v/>
      </c>
      <c r="AIK15" s="9">
        <f>AIK14+AHW15-(AID15+AIE15+AIF15+AIG15+AIH15+AII15+AIB15)</f>
        <v/>
      </c>
      <c r="AIL15" s="12">
        <f>IF(AHQ15&gt;0,AHR15/AHQ15,0)</f>
        <v/>
      </c>
      <c r="AIM15" s="11">
        <f>IF(AHQ14&gt;0,MAX(0,(AHQ14+AHF15-AHQ15)/AHQ14),0)</f>
        <v/>
      </c>
      <c r="AIO15" s="12" t="n">
        <v>11</v>
      </c>
      <c r="AIP15" s="12">
        <f>MOD(AIO15-1+LaunchMonth-1,12)+1</f>
        <v/>
      </c>
      <c r="AIQ15" s="12">
        <f>INT((AIO15-1+LaunchMonth-1)/12)+1</f>
        <v/>
      </c>
      <c r="AIR15" s="12">
        <f>VLOOKUP(AIP15,SeasonTable,2,FALSE)</f>
        <v/>
      </c>
      <c r="AIS15" s="12">
        <f>(1+InflationRate)^INT((AIO15-1)/12)</f>
        <v/>
      </c>
      <c r="AIT15" s="11">
        <f>MonthlyChurn*VLOOKUP(AIP15,ChurnSeasonTable,4,FALSE)</f>
        <v/>
      </c>
      <c r="AIU15" s="12">
        <f>MIN(MAX(MktMin7_12,AJO14*MktPct7_12),MAX(0,AKC14-CashBuffer))</f>
        <v/>
      </c>
      <c r="AIV15" s="12">
        <f>IF(AIU15&gt;0,MAX(1,ROUND(AIU15/'Sens - CAC &amp; Marketing'!$A$11*AIR15,0)),0)</f>
        <v/>
      </c>
      <c r="AIW15" s="12">
        <f>IF(AIV15&gt;0,ROUND(AIV15*ReferralMix/(1-ReferralMix),0),0)</f>
        <v/>
      </c>
      <c r="AIX15" s="12">
        <f>AIV15+AIW15</f>
        <v/>
      </c>
      <c r="AIY15" s="12">
        <f>ROUND(AIX15*(1-AnnualMix),0)</f>
        <v/>
      </c>
      <c r="AIZ15" s="12">
        <f>AIX15-AIY15</f>
        <v/>
      </c>
      <c r="AJA15" s="12">
        <f>ROUND(AIY15*EssentialMix,0)</f>
        <v/>
      </c>
      <c r="AJB15" s="12">
        <f>AIY15-AJA15</f>
        <v/>
      </c>
      <c r="AJC15" s="12">
        <f>ROUND(AIZ15*EssentialMix,0)</f>
        <v/>
      </c>
      <c r="AJD15" s="12">
        <f>AIZ15-AJC15</f>
        <v/>
      </c>
      <c r="AJE15" s="12">
        <f>AJA15+AJA14+AJA13+MAX(0,AJE14-AJA14-AJA13)*(1-AIT15)</f>
        <v/>
      </c>
      <c r="AJF15" s="12">
        <f>AJB15+AJB14+AJB13+MAX(0,AJF14-AJB14-AJB13)*(1-AIT15)</f>
        <v/>
      </c>
      <c r="AJG15" s="12">
        <f>SUM(AJC$5:AJC15)</f>
        <v/>
      </c>
      <c r="AJH15" s="12">
        <f>SUM(AJD$5:AJD15)</f>
        <v/>
      </c>
      <c r="AJI15" s="12">
        <f>AJE15+AJF15+AJG15+AJH15</f>
        <v/>
      </c>
      <c r="AJJ15" s="9">
        <f>AJE15*PriceEssMonthly*AIS15+AJF15*PricePremMonthly*AIS15+AJG15*PriceEssAnnual*AIS15/12+AJH15*PricePremAnnual*AIS15/12</f>
        <v/>
      </c>
      <c r="AJK15" s="9">
        <f>AJJ15*12</f>
        <v/>
      </c>
      <c r="AJL15" s="12">
        <f>AJE15*PriceEssMonthly*AIS15+AJF15*PricePremMonthly*AIS15</f>
        <v/>
      </c>
      <c r="AJM15" s="12">
        <f>AJC15*PriceEssAnnual*AIS15+AJD15*PricePremAnnual*AIS15</f>
        <v/>
      </c>
      <c r="AJN15" s="12">
        <f>0+0</f>
        <v/>
      </c>
      <c r="AJO15" s="9">
        <f>AJL15+AJM15+AJN15</f>
        <v/>
      </c>
      <c r="AJP15" s="12">
        <f>SUM(AJO$5:AJO15)</f>
        <v/>
      </c>
      <c r="AJQ15" s="12">
        <f>OR(AJQ14,AJP15&gt;=VATThreshold)</f>
        <v/>
      </c>
      <c r="AJR15" s="9">
        <f>IF(AJQ15,AJO15/(1+VATRate),AJO15)</f>
        <v/>
      </c>
      <c r="AJS15" s="12">
        <f>AJO15-AJR15</f>
        <v/>
      </c>
      <c r="AJT15" s="12">
        <f>IF(AJQ15=0,0,IF(AIP15=1,SUMPRODUCT(--(($AIQ$5:$AIQ15=$AIQ15-1)*($AIP$5:$AIP15&gt;=10)*($AIP$5:$AIP15&lt;=12)),$AJS$5:$AJS15),IF(AIP15=4,SUMPRODUCT(--(($AIQ$5:$AIQ15=$AIQ15)*($AIP$5:$AIP15&gt;=1)*($AIP$5:$AIP15&lt;=3)),$AJS$5:$AJS15),IF(AIP15=7,SUMPRODUCT(--(($AIQ$5:$AIQ15=$AIQ15)*($AIP$5:$AIP15&gt;=4)*($AIP$5:$AIP15&lt;=6)),$AJS$5:$AJS15),IF(AIP15=10,SUMPRODUCT(--(($AIQ$5:$AIQ15=$AIQ15)*($AIP$5:$AIP15&gt;=7)*($AIP$5:$AIP15&lt;=9)),$AJS$5:$AJS15),0)))))</f>
        <v/>
      </c>
      <c r="AJU15" s="12">
        <f>AJU14+AJS15-AJT15</f>
        <v/>
      </c>
      <c r="AJV15" s="12">
        <f>IF(ProviderDelay&gt;=1,AJR14*ProviderShare,AJR15*ProviderShare)</f>
        <v/>
      </c>
      <c r="AJW15" s="12">
        <f>AJO15*PaymentFee</f>
        <v/>
      </c>
      <c r="AJX15" s="12">
        <f>AJI15*OpsAI</f>
        <v/>
      </c>
      <c r="AJY15" s="12">
        <f>MonthlyFixed</f>
        <v/>
      </c>
      <c r="AJZ15" s="12">
        <f>AIW15*ReferralReward</f>
        <v/>
      </c>
      <c r="AKA15" s="12">
        <f>AIU15</f>
        <v/>
      </c>
      <c r="AKB15" s="9">
        <f>AJR15-AJV15-AJW15-AJX15-AJY15-AJZ15-AKA15</f>
        <v/>
      </c>
      <c r="AKC15" s="9">
        <f>AKC14+AJO15-(AJV15+AJW15+AJX15+AJY15+AJZ15+AKA15+AJT15)</f>
        <v/>
      </c>
      <c r="AKD15" s="12">
        <f>IF(AJI15&gt;0,AJJ15/AJI15,0)</f>
        <v/>
      </c>
      <c r="AKE15" s="11">
        <f>IF(AJI14&gt;0,MAX(0,(AJI14+AIX15-AJI15)/AJI14),0)</f>
        <v/>
      </c>
      <c r="AKG15" s="12" t="n">
        <v>11</v>
      </c>
      <c r="AKH15" s="12">
        <f>MOD(AKG15-1+LaunchMonth-1,12)+1</f>
        <v/>
      </c>
      <c r="AKI15" s="12">
        <f>INT((AKG15-1+LaunchMonth-1)/12)+1</f>
        <v/>
      </c>
      <c r="AKJ15" s="12">
        <f>VLOOKUP(AKH15,SeasonTable,2,FALSE)</f>
        <v/>
      </c>
      <c r="AKK15" s="12">
        <f>(1+InflationRate)^INT((AKG15-1)/12)</f>
        <v/>
      </c>
      <c r="AKL15" s="11">
        <f>MonthlyChurn*VLOOKUP(AKH15,ChurnSeasonTable,4,FALSE)</f>
        <v/>
      </c>
      <c r="AKM15" s="12">
        <f>MIN(MAX(MktMin7_12,ALG14*MktPct7_12),MAX(0,ALU14-CashBuffer))</f>
        <v/>
      </c>
      <c r="AKN15" s="12">
        <f>IF(AKM15&gt;0,MAX(1,ROUND(AKM15/'Sens - CAC &amp; Marketing'!$A$12*AKJ15,0)),0)</f>
        <v/>
      </c>
      <c r="AKO15" s="12">
        <f>IF(AKN15&gt;0,ROUND(AKN15*ReferralMix/(1-ReferralMix),0),0)</f>
        <v/>
      </c>
      <c r="AKP15" s="12">
        <f>AKN15+AKO15</f>
        <v/>
      </c>
      <c r="AKQ15" s="12">
        <f>ROUND(AKP15*(1-AnnualMix),0)</f>
        <v/>
      </c>
      <c r="AKR15" s="12">
        <f>AKP15-AKQ15</f>
        <v/>
      </c>
      <c r="AKS15" s="12">
        <f>ROUND(AKQ15*EssentialMix,0)</f>
        <v/>
      </c>
      <c r="AKT15" s="12">
        <f>AKQ15-AKS15</f>
        <v/>
      </c>
      <c r="AKU15" s="12">
        <f>ROUND(AKR15*EssentialMix,0)</f>
        <v/>
      </c>
      <c r="AKV15" s="12">
        <f>AKR15-AKU15</f>
        <v/>
      </c>
      <c r="AKW15" s="12">
        <f>AKS15+AKS14+AKS13+MAX(0,AKW14-AKS14-AKS13)*(1-AKL15)</f>
        <v/>
      </c>
      <c r="AKX15" s="12">
        <f>AKT15+AKT14+AKT13+MAX(0,AKX14-AKT14-AKT13)*(1-AKL15)</f>
        <v/>
      </c>
      <c r="AKY15" s="12">
        <f>SUM(AKU$5:AKU15)</f>
        <v/>
      </c>
      <c r="AKZ15" s="12">
        <f>SUM(AKV$5:AKV15)</f>
        <v/>
      </c>
      <c r="ALA15" s="12">
        <f>AKW15+AKX15+AKY15+AKZ15</f>
        <v/>
      </c>
      <c r="ALB15" s="9">
        <f>AKW15*PriceEssMonthly*AKK15+AKX15*PricePremMonthly*AKK15+AKY15*PriceEssAnnual*AKK15/12+AKZ15*PricePremAnnual*AKK15/12</f>
        <v/>
      </c>
      <c r="ALC15" s="9">
        <f>ALB15*12</f>
        <v/>
      </c>
      <c r="ALD15" s="12">
        <f>AKW15*PriceEssMonthly*AKK15+AKX15*PricePremMonthly*AKK15</f>
        <v/>
      </c>
      <c r="ALE15" s="12">
        <f>AKU15*PriceEssAnnual*AKK15+AKV15*PricePremAnnual*AKK15</f>
        <v/>
      </c>
      <c r="ALF15" s="12">
        <f>0+0</f>
        <v/>
      </c>
      <c r="ALG15" s="9">
        <f>ALD15+ALE15+ALF15</f>
        <v/>
      </c>
      <c r="ALH15" s="12">
        <f>SUM(ALG$5:ALG15)</f>
        <v/>
      </c>
      <c r="ALI15" s="12">
        <f>OR(ALI14,ALH15&gt;=VATThreshold)</f>
        <v/>
      </c>
      <c r="ALJ15" s="9">
        <f>IF(ALI15,ALG15/(1+VATRate),ALG15)</f>
        <v/>
      </c>
      <c r="ALK15" s="12">
        <f>ALG15-ALJ15</f>
        <v/>
      </c>
      <c r="ALL15" s="12">
        <f>IF(ALI15=0,0,IF(AKH15=1,SUMPRODUCT(--(($AKI$5:$AKI15=$AKI15-1)*($AKH$5:$AKH15&gt;=10)*($AKH$5:$AKH15&lt;=12)),$ALK$5:$ALK15),IF(AKH15=4,SUMPRODUCT(--(($AKI$5:$AKI15=$AKI15)*($AKH$5:$AKH15&gt;=1)*($AKH$5:$AKH15&lt;=3)),$ALK$5:$ALK15),IF(AKH15=7,SUMPRODUCT(--(($AKI$5:$AKI15=$AKI15)*($AKH$5:$AKH15&gt;=4)*($AKH$5:$AKH15&lt;=6)),$ALK$5:$ALK15),IF(AKH15=10,SUMPRODUCT(--(($AKI$5:$AKI15=$AKI15)*($AKH$5:$AKH15&gt;=7)*($AKH$5:$AKH15&lt;=9)),$ALK$5:$ALK15),0)))))</f>
        <v/>
      </c>
      <c r="ALM15" s="12">
        <f>ALM14+ALK15-ALL15</f>
        <v/>
      </c>
      <c r="ALN15" s="12">
        <f>IF(ProviderDelay&gt;=1,ALJ14*ProviderShare,ALJ15*ProviderShare)</f>
        <v/>
      </c>
      <c r="ALO15" s="12">
        <f>ALG15*PaymentFee</f>
        <v/>
      </c>
      <c r="ALP15" s="12">
        <f>ALA15*OpsAI</f>
        <v/>
      </c>
      <c r="ALQ15" s="12">
        <f>MonthlyFixed</f>
        <v/>
      </c>
      <c r="ALR15" s="12">
        <f>AKO15*ReferralReward</f>
        <v/>
      </c>
      <c r="ALS15" s="12">
        <f>AKM15</f>
        <v/>
      </c>
      <c r="ALT15" s="9">
        <f>ALJ15-ALN15-ALO15-ALP15-ALQ15-ALR15-ALS15</f>
        <v/>
      </c>
      <c r="ALU15" s="9">
        <f>ALU14+ALG15-(ALN15+ALO15+ALP15+ALQ15+ALR15+ALS15+ALL15)</f>
        <v/>
      </c>
      <c r="ALV15" s="12">
        <f>IF(ALA15&gt;0,ALB15/ALA15,0)</f>
        <v/>
      </c>
      <c r="ALW15" s="11">
        <f>IF(ALA14&gt;0,MAX(0,(ALA14+AKP15-ALA15)/ALA14),0)</f>
        <v/>
      </c>
      <c r="ALY15" s="12" t="n">
        <v>11</v>
      </c>
      <c r="ALZ15" s="12">
        <f>MOD(ALY15-1+LaunchMonth-1,12)+1</f>
        <v/>
      </c>
      <c r="AMA15" s="12">
        <f>INT((ALY15-1+LaunchMonth-1)/12)+1</f>
        <v/>
      </c>
      <c r="AMB15" s="12">
        <f>VLOOKUP(ALZ15,SeasonTable,2,FALSE)</f>
        <v/>
      </c>
      <c r="AMC15" s="12">
        <f>(1+InflationRate)^INT((ALY15-1)/12)</f>
        <v/>
      </c>
      <c r="AMD15" s="11">
        <f>MonthlyChurn*VLOOKUP(ALZ15,ChurnSeasonTable,4,FALSE)</f>
        <v/>
      </c>
      <c r="AME15" s="12">
        <f>MIN(MAX(MktMin7_12,AMY14*MktPct7_12),MAX(0,ANM14-CashBuffer))</f>
        <v/>
      </c>
      <c r="AMF15" s="12">
        <f>IF(AME15&gt;0,MAX(1,ROUND(AME15/'Sens - CAC &amp; Marketing'!$A$13*AMB15,0)),0)</f>
        <v/>
      </c>
      <c r="AMG15" s="12">
        <f>IF(AMF15&gt;0,ROUND(AMF15*ReferralMix/(1-ReferralMix),0),0)</f>
        <v/>
      </c>
      <c r="AMH15" s="12">
        <f>AMF15+AMG15</f>
        <v/>
      </c>
      <c r="AMI15" s="12">
        <f>ROUND(AMH15*(1-AnnualMix),0)</f>
        <v/>
      </c>
      <c r="AMJ15" s="12">
        <f>AMH15-AMI15</f>
        <v/>
      </c>
      <c r="AMK15" s="12">
        <f>ROUND(AMI15*EssentialMix,0)</f>
        <v/>
      </c>
      <c r="AML15" s="12">
        <f>AMI15-AMK15</f>
        <v/>
      </c>
      <c r="AMM15" s="12">
        <f>ROUND(AMJ15*EssentialMix,0)</f>
        <v/>
      </c>
      <c r="AMN15" s="12">
        <f>AMJ15-AMM15</f>
        <v/>
      </c>
      <c r="AMO15" s="12">
        <f>AMK15+AMK14+AMK13+MAX(0,AMO14-AMK14-AMK13)*(1-AMD15)</f>
        <v/>
      </c>
      <c r="AMP15" s="12">
        <f>AML15+AML14+AML13+MAX(0,AMP14-AML14-AML13)*(1-AMD15)</f>
        <v/>
      </c>
      <c r="AMQ15" s="12">
        <f>SUM(AMM$5:AMM15)</f>
        <v/>
      </c>
      <c r="AMR15" s="12">
        <f>SUM(AMN$5:AMN15)</f>
        <v/>
      </c>
      <c r="AMS15" s="12">
        <f>AMO15+AMP15+AMQ15+AMR15</f>
        <v/>
      </c>
      <c r="AMT15" s="9">
        <f>AMO15*PriceEssMonthly*AMC15+AMP15*PricePremMonthly*AMC15+AMQ15*PriceEssAnnual*AMC15/12+AMR15*PricePremAnnual*AMC15/12</f>
        <v/>
      </c>
      <c r="AMU15" s="9">
        <f>AMT15*12</f>
        <v/>
      </c>
      <c r="AMV15" s="12">
        <f>AMO15*PriceEssMonthly*AMC15+AMP15*PricePremMonthly*AMC15</f>
        <v/>
      </c>
      <c r="AMW15" s="12">
        <f>AMM15*PriceEssAnnual*AMC15+AMN15*PricePremAnnual*AMC15</f>
        <v/>
      </c>
      <c r="AMX15" s="12">
        <f>0+0</f>
        <v/>
      </c>
      <c r="AMY15" s="9">
        <f>AMV15+AMW15+AMX15</f>
        <v/>
      </c>
      <c r="AMZ15" s="12">
        <f>SUM(AMY$5:AMY15)</f>
        <v/>
      </c>
      <c r="ANA15" s="12">
        <f>OR(ANA14,AMZ15&gt;=VATThreshold)</f>
        <v/>
      </c>
      <c r="ANB15" s="9">
        <f>IF(ANA15,AMY15/(1+VATRate),AMY15)</f>
        <v/>
      </c>
      <c r="ANC15" s="12">
        <f>AMY15-ANB15</f>
        <v/>
      </c>
      <c r="AND15" s="12">
        <f>IF(ANA15=0,0,IF(ALZ15=1,SUMPRODUCT(--(($AMA$5:$AMA15=$AMA15-1)*($ALZ$5:$ALZ15&gt;=10)*($ALZ$5:$ALZ15&lt;=12)),$ANC$5:$ANC15),IF(ALZ15=4,SUMPRODUCT(--(($AMA$5:$AMA15=$AMA15)*($ALZ$5:$ALZ15&gt;=1)*($ALZ$5:$ALZ15&lt;=3)),$ANC$5:$ANC15),IF(ALZ15=7,SUMPRODUCT(--(($AMA$5:$AMA15=$AMA15)*($ALZ$5:$ALZ15&gt;=4)*($ALZ$5:$ALZ15&lt;=6)),$ANC$5:$ANC15),IF(ALZ15=10,SUMPRODUCT(--(($AMA$5:$AMA15=$AMA15)*($ALZ$5:$ALZ15&gt;=7)*($ALZ$5:$ALZ15&lt;=9)),$ANC$5:$ANC15),0)))))</f>
        <v/>
      </c>
      <c r="ANE15" s="12">
        <f>ANE14+ANC15-AND15</f>
        <v/>
      </c>
      <c r="ANF15" s="12">
        <f>IF(ProviderDelay&gt;=1,ANB14*ProviderShare,ANB15*ProviderShare)</f>
        <v/>
      </c>
      <c r="ANG15" s="12">
        <f>AMY15*PaymentFee</f>
        <v/>
      </c>
      <c r="ANH15" s="12">
        <f>AMS15*OpsAI</f>
        <v/>
      </c>
      <c r="ANI15" s="12">
        <f>MonthlyFixed</f>
        <v/>
      </c>
      <c r="ANJ15" s="12">
        <f>AMG15*ReferralReward</f>
        <v/>
      </c>
      <c r="ANK15" s="12">
        <f>AME15</f>
        <v/>
      </c>
      <c r="ANL15" s="9">
        <f>ANB15-ANF15-ANG15-ANH15-ANI15-ANJ15-ANK15</f>
        <v/>
      </c>
      <c r="ANM15" s="9">
        <f>ANM14+AMY15-(ANF15+ANG15+ANH15+ANI15+ANJ15+ANK15+AND15)</f>
        <v/>
      </c>
      <c r="ANN15" s="12">
        <f>IF(AMS15&gt;0,AMT15/AMS15,0)</f>
        <v/>
      </c>
      <c r="ANO15" s="11">
        <f>IF(AMS14&gt;0,MAX(0,(AMS14+AMH15-AMS15)/AMS14),0)</f>
        <v/>
      </c>
      <c r="ANQ15" s="12" t="n">
        <v>11</v>
      </c>
      <c r="ANR15" s="12">
        <f>MOD(ANQ15-1+LaunchMonth-1,12)+1</f>
        <v/>
      </c>
      <c r="ANS15" s="12">
        <f>INT((ANQ15-1+LaunchMonth-1)/12)+1</f>
        <v/>
      </c>
      <c r="ANT15" s="12">
        <f>VLOOKUP(ANR15,SeasonTable,2,FALSE)</f>
        <v/>
      </c>
      <c r="ANU15" s="12">
        <f>(1+InflationRate)^INT((ANQ15-1)/12)</f>
        <v/>
      </c>
      <c r="ANV15" s="11">
        <f>MonthlyChurn*VLOOKUP(ANR15,ChurnSeasonTable,4,FALSE)</f>
        <v/>
      </c>
      <c r="ANW15" s="12">
        <f>MIN(MAX(MktMin7_12,AOQ14*MktPct7_12),MAX(0,APE14-CashBuffer))</f>
        <v/>
      </c>
      <c r="ANX15" s="12">
        <f>IF(ANW15&gt;0,MAX(1,ROUND(ANW15/'Sens - CAC &amp; Marketing'!$A$14*ANT15,0)),0)</f>
        <v/>
      </c>
      <c r="ANY15" s="12">
        <f>IF(ANX15&gt;0,ROUND(ANX15*ReferralMix/(1-ReferralMix),0),0)</f>
        <v/>
      </c>
      <c r="ANZ15" s="12">
        <f>ANX15+ANY15</f>
        <v/>
      </c>
      <c r="AOA15" s="12">
        <f>ROUND(ANZ15*(1-AnnualMix),0)</f>
        <v/>
      </c>
      <c r="AOB15" s="12">
        <f>ANZ15-AOA15</f>
        <v/>
      </c>
      <c r="AOC15" s="12">
        <f>ROUND(AOA15*EssentialMix,0)</f>
        <v/>
      </c>
      <c r="AOD15" s="12">
        <f>AOA15-AOC15</f>
        <v/>
      </c>
      <c r="AOE15" s="12">
        <f>ROUND(AOB15*EssentialMix,0)</f>
        <v/>
      </c>
      <c r="AOF15" s="12">
        <f>AOB15-AOE15</f>
        <v/>
      </c>
      <c r="AOG15" s="12">
        <f>AOC15+AOC14+AOC13+MAX(0,AOG14-AOC14-AOC13)*(1-ANV15)</f>
        <v/>
      </c>
      <c r="AOH15" s="12">
        <f>AOD15+AOD14+AOD13+MAX(0,AOH14-AOD14-AOD13)*(1-ANV15)</f>
        <v/>
      </c>
      <c r="AOI15" s="12">
        <f>SUM(AOE$5:AOE15)</f>
        <v/>
      </c>
      <c r="AOJ15" s="12">
        <f>SUM(AOF$5:AOF15)</f>
        <v/>
      </c>
      <c r="AOK15" s="12">
        <f>AOG15+AOH15+AOI15+AOJ15</f>
        <v/>
      </c>
      <c r="AOL15" s="9">
        <f>AOG15*PriceEssMonthly*ANU15+AOH15*PricePremMonthly*ANU15+AOI15*PriceEssAnnual*ANU15/12+AOJ15*PricePremAnnual*ANU15/12</f>
        <v/>
      </c>
      <c r="AOM15" s="9">
        <f>AOL15*12</f>
        <v/>
      </c>
      <c r="AON15" s="12">
        <f>AOG15*PriceEssMonthly*ANU15+AOH15*PricePremMonthly*ANU15</f>
        <v/>
      </c>
      <c r="AOO15" s="12">
        <f>AOE15*PriceEssAnnual*ANU15+AOF15*PricePremAnnual*ANU15</f>
        <v/>
      </c>
      <c r="AOP15" s="12">
        <f>0+0</f>
        <v/>
      </c>
      <c r="AOQ15" s="9">
        <f>AON15+AOO15+AOP15</f>
        <v/>
      </c>
      <c r="AOR15" s="12">
        <f>SUM(AOQ$5:AOQ15)</f>
        <v/>
      </c>
      <c r="AOS15" s="12">
        <f>OR(AOS14,AOR15&gt;=VATThreshold)</f>
        <v/>
      </c>
      <c r="AOT15" s="9">
        <f>IF(AOS15,AOQ15/(1+VATRate),AOQ15)</f>
        <v/>
      </c>
      <c r="AOU15" s="12">
        <f>AOQ15-AOT15</f>
        <v/>
      </c>
      <c r="AOV15" s="12">
        <f>IF(AOS15=0,0,IF(ANR15=1,SUMPRODUCT(--(($ANS$5:$ANS15=$ANS15-1)*($ANR$5:$ANR15&gt;=10)*($ANR$5:$ANR15&lt;=12)),$AOU$5:$AOU15),IF(ANR15=4,SUMPRODUCT(--(($ANS$5:$ANS15=$ANS15)*($ANR$5:$ANR15&gt;=1)*($ANR$5:$ANR15&lt;=3)),$AOU$5:$AOU15),IF(ANR15=7,SUMPRODUCT(--(($ANS$5:$ANS15=$ANS15)*($ANR$5:$ANR15&gt;=4)*($ANR$5:$ANR15&lt;=6)),$AOU$5:$AOU15),IF(ANR15=10,SUMPRODUCT(--(($ANS$5:$ANS15=$ANS15)*($ANR$5:$ANR15&gt;=7)*($ANR$5:$ANR15&lt;=9)),$AOU$5:$AOU15),0)))))</f>
        <v/>
      </c>
      <c r="AOW15" s="12">
        <f>AOW14+AOU15-AOV15</f>
        <v/>
      </c>
      <c r="AOX15" s="12">
        <f>IF(ProviderDelay&gt;=1,AOT14*ProviderShare,AOT15*ProviderShare)</f>
        <v/>
      </c>
      <c r="AOY15" s="12">
        <f>AOQ15*PaymentFee</f>
        <v/>
      </c>
      <c r="AOZ15" s="12">
        <f>AOK15*OpsAI</f>
        <v/>
      </c>
      <c r="APA15" s="12">
        <f>MonthlyFixed</f>
        <v/>
      </c>
      <c r="APB15" s="12">
        <f>ANY15*ReferralReward</f>
        <v/>
      </c>
      <c r="APC15" s="12">
        <f>ANW15</f>
        <v/>
      </c>
      <c r="APD15" s="9">
        <f>AOT15-AOX15-AOY15-AOZ15-APA15-APB15-APC15</f>
        <v/>
      </c>
      <c r="APE15" s="9">
        <f>APE14+AOQ15-(AOX15+AOY15+AOZ15+APA15+APB15+APC15+AOV15)</f>
        <v/>
      </c>
      <c r="APF15" s="12">
        <f>IF(AOK15&gt;0,AOL15/AOK15,0)</f>
        <v/>
      </c>
      <c r="APG15" s="11">
        <f>IF(AOK14&gt;0,MAX(0,(AOK14+ANZ15-AOK15)/AOK14),0)</f>
        <v/>
      </c>
      <c r="API15" s="12" t="n">
        <v>11</v>
      </c>
      <c r="APJ15" s="12">
        <f>MOD(API15-1+LaunchMonth-1,12)+1</f>
        <v/>
      </c>
      <c r="APK15" s="12">
        <f>INT((API15-1+LaunchMonth-1)/12)+1</f>
        <v/>
      </c>
      <c r="APL15" s="12">
        <f>VLOOKUP(APJ15,SeasonTable,2,FALSE)</f>
        <v/>
      </c>
      <c r="APM15" s="12">
        <f>(1+InflationRate)^INT((API15-1)/12)</f>
        <v/>
      </c>
      <c r="APN15" s="11">
        <f>MonthlyChurn*VLOOKUP(APJ15,ChurnSeasonTable,4,FALSE)</f>
        <v/>
      </c>
      <c r="APO15" s="12">
        <f>MIN(MAX(MktMin7_12,AQI14*MktPct7_12),MAX(0,AQW14-CashBuffer))</f>
        <v/>
      </c>
      <c r="APP15" s="12">
        <f>IF(APO15&gt;0,MAX(1,ROUND(APO15/'Sens - CAC &amp; Marketing'!$A$15*APL15,0)),0)</f>
        <v/>
      </c>
      <c r="APQ15" s="12">
        <f>IF(APP15&gt;0,ROUND(APP15*ReferralMix/(1-ReferralMix),0),0)</f>
        <v/>
      </c>
      <c r="APR15" s="12">
        <f>APP15+APQ15</f>
        <v/>
      </c>
      <c r="APS15" s="12">
        <f>ROUND(APR15*(1-AnnualMix),0)</f>
        <v/>
      </c>
      <c r="APT15" s="12">
        <f>APR15-APS15</f>
        <v/>
      </c>
      <c r="APU15" s="12">
        <f>ROUND(APS15*EssentialMix,0)</f>
        <v/>
      </c>
      <c r="APV15" s="12">
        <f>APS15-APU15</f>
        <v/>
      </c>
      <c r="APW15" s="12">
        <f>ROUND(APT15*EssentialMix,0)</f>
        <v/>
      </c>
      <c r="APX15" s="12">
        <f>APT15-APW15</f>
        <v/>
      </c>
      <c r="APY15" s="12">
        <f>APU15+APU14+APU13+MAX(0,APY14-APU14-APU13)*(1-APN15)</f>
        <v/>
      </c>
      <c r="APZ15" s="12">
        <f>APV15+APV14+APV13+MAX(0,APZ14-APV14-APV13)*(1-APN15)</f>
        <v/>
      </c>
      <c r="AQA15" s="12">
        <f>SUM(APW$5:APW15)</f>
        <v/>
      </c>
      <c r="AQB15" s="12">
        <f>SUM(APX$5:APX15)</f>
        <v/>
      </c>
      <c r="AQC15" s="12">
        <f>APY15+APZ15+AQA15+AQB15</f>
        <v/>
      </c>
      <c r="AQD15" s="9">
        <f>APY15*PriceEssMonthly*APM15+APZ15*PricePremMonthly*APM15+AQA15*PriceEssAnnual*APM15/12+AQB15*PricePremAnnual*APM15/12</f>
        <v/>
      </c>
      <c r="AQE15" s="9">
        <f>AQD15*12</f>
        <v/>
      </c>
      <c r="AQF15" s="12">
        <f>APY15*PriceEssMonthly*APM15+APZ15*PricePremMonthly*APM15</f>
        <v/>
      </c>
      <c r="AQG15" s="12">
        <f>APW15*PriceEssAnnual*APM15+APX15*PricePremAnnual*APM15</f>
        <v/>
      </c>
      <c r="AQH15" s="12">
        <f>0+0</f>
        <v/>
      </c>
      <c r="AQI15" s="9">
        <f>AQF15+AQG15+AQH15</f>
        <v/>
      </c>
      <c r="AQJ15" s="12">
        <f>SUM(AQI$5:AQI15)</f>
        <v/>
      </c>
      <c r="AQK15" s="12">
        <f>OR(AQK14,AQJ15&gt;=VATThreshold)</f>
        <v/>
      </c>
      <c r="AQL15" s="9">
        <f>IF(AQK15,AQI15/(1+VATRate),AQI15)</f>
        <v/>
      </c>
      <c r="AQM15" s="12">
        <f>AQI15-AQL15</f>
        <v/>
      </c>
      <c r="AQN15" s="12">
        <f>IF(AQK15=0,0,IF(APJ15=1,SUMPRODUCT(--(($APK$5:$APK15=$APK15-1)*($APJ$5:$APJ15&gt;=10)*($APJ$5:$APJ15&lt;=12)),$AQM$5:$AQM15),IF(APJ15=4,SUMPRODUCT(--(($APK$5:$APK15=$APK15)*($APJ$5:$APJ15&gt;=1)*($APJ$5:$APJ15&lt;=3)),$AQM$5:$AQM15),IF(APJ15=7,SUMPRODUCT(--(($APK$5:$APK15=$APK15)*($APJ$5:$APJ15&gt;=4)*($APJ$5:$APJ15&lt;=6)),$AQM$5:$AQM15),IF(APJ15=10,SUMPRODUCT(--(($APK$5:$APK15=$APK15)*($APJ$5:$APJ15&gt;=7)*($APJ$5:$APJ15&lt;=9)),$AQM$5:$AQM15),0)))))</f>
        <v/>
      </c>
      <c r="AQO15" s="12">
        <f>AQO14+AQM15-AQN15</f>
        <v/>
      </c>
      <c r="AQP15" s="12">
        <f>IF(ProviderDelay&gt;=1,AQL14*ProviderShare,AQL15*ProviderShare)</f>
        <v/>
      </c>
      <c r="AQQ15" s="12">
        <f>AQI15*PaymentFee</f>
        <v/>
      </c>
      <c r="AQR15" s="12">
        <f>AQC15*OpsAI</f>
        <v/>
      </c>
      <c r="AQS15" s="12">
        <f>MonthlyFixed</f>
        <v/>
      </c>
      <c r="AQT15" s="12">
        <f>APQ15*ReferralReward</f>
        <v/>
      </c>
      <c r="AQU15" s="12">
        <f>APO15</f>
        <v/>
      </c>
      <c r="AQV15" s="9">
        <f>AQL15-AQP15-AQQ15-AQR15-AQS15-AQT15-AQU15</f>
        <v/>
      </c>
      <c r="AQW15" s="9">
        <f>AQW14+AQI15-(AQP15+AQQ15+AQR15+AQS15+AQT15+AQU15+AQN15)</f>
        <v/>
      </c>
      <c r="AQX15" s="12">
        <f>IF(AQC15&gt;0,AQD15/AQC15,0)</f>
        <v/>
      </c>
      <c r="AQY15" s="11">
        <f>IF(AQC14&gt;0,MAX(0,(AQC14+APR15-AQC15)/AQC14),0)</f>
        <v/>
      </c>
      <c r="ARA15" s="12" t="n">
        <v>11</v>
      </c>
      <c r="ARB15" s="12">
        <f>MOD(ARA15-1+LaunchMonth-1,12)+1</f>
        <v/>
      </c>
      <c r="ARC15" s="12">
        <f>INT((ARA15-1+LaunchMonth-1)/12)+1</f>
        <v/>
      </c>
      <c r="ARD15" s="12">
        <f>VLOOKUP(ARB15,WinterPivotSeasonTable,5,FALSE)</f>
        <v/>
      </c>
      <c r="ARE15" s="12">
        <f>(1+InflationRate)^INT((ARA15-1)/12)</f>
        <v/>
      </c>
      <c r="ARF15" s="11">
        <f>MonthlyChurn*VLOOKUP(ARB15,WinterPivotChurnTable,6,FALSE)</f>
        <v/>
      </c>
      <c r="ARG15" s="12">
        <f>MIN(MAX(MktMin7_12,ASA14*MktPct7_12),MAX(0,ASO14-CashBuffer))</f>
        <v/>
      </c>
      <c r="ARH15" s="12">
        <f>IF(ARG15&gt;0,MAX(1,ROUND(ARG15/CAC*ARD15,0)),0)</f>
        <v/>
      </c>
      <c r="ARI15" s="12">
        <f>IF(ARH15&gt;0,ROUND(ARH15*ReferralMix/(1-ReferralMix),0),0)</f>
        <v/>
      </c>
      <c r="ARJ15" s="12">
        <f>ARH15+ARI15</f>
        <v/>
      </c>
      <c r="ARK15" s="12">
        <f>ROUND(ARJ15*(1-AnnualMix),0)</f>
        <v/>
      </c>
      <c r="ARL15" s="12">
        <f>ARJ15-ARK15</f>
        <v/>
      </c>
      <c r="ARM15" s="12">
        <f>ROUND(ARK15*'Sens - Winter Pivot'!$B$6,0)</f>
        <v/>
      </c>
      <c r="ARN15" s="12">
        <f>ARK15-ARM15</f>
        <v/>
      </c>
      <c r="ARO15" s="12">
        <f>ROUND(ARL15*'Sens - Winter Pivot'!$B$6,0)</f>
        <v/>
      </c>
      <c r="ARP15" s="12">
        <f>ARL15-ARO15</f>
        <v/>
      </c>
      <c r="ARQ15" s="12">
        <f>ARM15+ARM14+ARM13+MAX(0,ARQ14-ARM14-ARM13)*(1-ARF15)</f>
        <v/>
      </c>
      <c r="ARR15" s="12">
        <f>ARN15+ARN14+ARN13+MAX(0,ARR14-ARN14-ARN13)*(1-ARF15)</f>
        <v/>
      </c>
      <c r="ARS15" s="12">
        <f>SUM(ARO$5:ARO15)</f>
        <v/>
      </c>
      <c r="ART15" s="12">
        <f>SUM(ARP$5:ARP15)</f>
        <v/>
      </c>
      <c r="ARU15" s="12">
        <f>ARQ15+ARR15+ARS15+ART15</f>
        <v/>
      </c>
      <c r="ARV15" s="9">
        <f>ARQ15*PriceEssMonthly*ARE15+ARR15*(PricePremMonthly+'Sens - Winter Pivot'!$B$7)*ARE15+ARS15*PriceEssAnnual*ARE15/12+ART15*(PricePremAnnual+'Sens - Winter Pivot'!$B$7*12)*ARE15/12</f>
        <v/>
      </c>
      <c r="ARW15" s="9">
        <f>ARV15*12</f>
        <v/>
      </c>
      <c r="ARX15" s="12">
        <f>ARQ15*PriceEssMonthly*ARE15+ARR15*(PricePremMonthly+'Sens - Winter Pivot'!$B$7)*ARE15</f>
        <v/>
      </c>
      <c r="ARY15" s="12">
        <f>ARO15*PriceEssAnnual*ARE15+ARP15*(PricePremAnnual+'Sens - Winter Pivot'!$B$7*12)*ARE15</f>
        <v/>
      </c>
      <c r="ARZ15" s="12">
        <f>0+0</f>
        <v/>
      </c>
      <c r="ASA15" s="9">
        <f>ARX15+ARY15+ARZ15</f>
        <v/>
      </c>
      <c r="ASB15" s="12">
        <f>SUM(ASA$5:ASA15)</f>
        <v/>
      </c>
      <c r="ASC15" s="12">
        <f>OR(ASC14,ASB15&gt;=VATThreshold)</f>
        <v/>
      </c>
      <c r="ASD15" s="9">
        <f>IF(ASC15,ASA15/(1+VATRate),ASA15)</f>
        <v/>
      </c>
      <c r="ASE15" s="12">
        <f>ASA15-ASD15</f>
        <v/>
      </c>
      <c r="ASF15" s="12">
        <f>IF(ASC15=0,0,IF(ARB15=1,SUMPRODUCT(--(($ARC$5:$ARC15=$ARC15-1)*($ARB$5:$ARB15&gt;=10)*($ARB$5:$ARB15&lt;=12)),$ASE$5:$ASE15),IF(ARB15=4,SUMPRODUCT(--(($ARC$5:$ARC15=$ARC15)*($ARB$5:$ARB15&gt;=1)*($ARB$5:$ARB15&lt;=3)),$ASE$5:$ASE15),IF(ARB15=7,SUMPRODUCT(--(($ARC$5:$ARC15=$ARC15)*($ARB$5:$ARB15&gt;=4)*($ARB$5:$ARB15&lt;=6)),$ASE$5:$ASE15),IF(ARB15=10,SUMPRODUCT(--(($ARC$5:$ARC15=$ARC15)*($ARB$5:$ARB15&gt;=7)*($ARB$5:$ARB15&lt;=9)),$ASE$5:$ASE15),0)))))</f>
        <v/>
      </c>
      <c r="ASG15" s="12">
        <f>ASG14+ASE15-ASF15</f>
        <v/>
      </c>
      <c r="ASH15" s="12">
        <f>IF(ProviderDelay&gt;=1,ASD14*ProviderShare,ASD15*ProviderShare)</f>
        <v/>
      </c>
      <c r="ASI15" s="12">
        <f>ASA15*PaymentFee</f>
        <v/>
      </c>
      <c r="ASJ15" s="12">
        <f>ARU15*OpsAI</f>
        <v/>
      </c>
      <c r="ASK15" s="12">
        <f>MonthlyFixed</f>
        <v/>
      </c>
      <c r="ASL15" s="12">
        <f>ARI15*ReferralReward</f>
        <v/>
      </c>
      <c r="ASM15" s="12">
        <f>ARG15</f>
        <v/>
      </c>
      <c r="ASN15" s="9">
        <f>ASD15-ASH15-ASI15-ASJ15-ASK15-ASL15-ASM15</f>
        <v/>
      </c>
      <c r="ASO15" s="9">
        <f>ASO14+ASA15-(ASH15+ASI15+ASJ15+ASK15+ASL15+ASM15+ASF15)</f>
        <v/>
      </c>
      <c r="ASP15" s="12">
        <f>IF(ARU15&gt;0,ARV15/ARU15,0)</f>
        <v/>
      </c>
      <c r="ASQ15" s="11">
        <f>IF(ARU14&gt;0,MAX(0,(ARU14+ARJ15-ARU15)/ARU14),0)</f>
        <v/>
      </c>
    </row>
    <row r="16">
      <c r="A16" s="12" t="n">
        <v>12</v>
      </c>
      <c r="B16" s="12">
        <f>MOD(A16-1+LaunchMonth-1,12)+1</f>
        <v/>
      </c>
      <c r="C16" s="12">
        <f>INT((A16-1+LaunchMonth-1)/12)+1</f>
        <v/>
      </c>
      <c r="D16" s="12">
        <f>VLOOKUP(B16,SeasonTable,2,FALSE)</f>
        <v/>
      </c>
      <c r="E16" s="12">
        <f>(1+InflationRate)^INT((A16-1)/12)</f>
        <v/>
      </c>
      <c r="F16" s="11">
        <f>'Sens - Scenarios'!$B$5*VLOOKUP(B16,ChurnSeasonTable,4,FALSE)</f>
        <v/>
      </c>
      <c r="G16" s="12">
        <f>MIN(MAX(MktMin7_12,AA15*MktPct7_12),MAX(0,AO15-CashBuffer))</f>
        <v/>
      </c>
      <c r="H16" s="12">
        <f>IF(G16&gt;0,MAX(1,ROUND(G16/'Sens - Scenarios'!$B$8*D16,0)),0)</f>
        <v/>
      </c>
      <c r="I16" s="12">
        <f>IF(H16&gt;0,ROUND(H16*ReferralMix/(1-ReferralMix),0),0)</f>
        <v/>
      </c>
      <c r="J16" s="12">
        <f>H16+I16</f>
        <v/>
      </c>
      <c r="K16" s="12">
        <f>ROUND(J16*(1-'Sens - Scenarios'!$B$7),0)</f>
        <v/>
      </c>
      <c r="L16" s="12">
        <f>J16-K16</f>
        <v/>
      </c>
      <c r="M16" s="12">
        <f>ROUND(K16*EssentialMix,0)</f>
        <v/>
      </c>
      <c r="N16" s="12">
        <f>K16-M16</f>
        <v/>
      </c>
      <c r="O16" s="12">
        <f>ROUND(L16*EssentialMix,0)</f>
        <v/>
      </c>
      <c r="P16" s="12">
        <f>L16-O16</f>
        <v/>
      </c>
      <c r="Q16" s="12">
        <f>M16+M15+M14+MAX(0,Q15-M15-M14)*(1-F16)</f>
        <v/>
      </c>
      <c r="R16" s="12">
        <f>N16+N15+N14+MAX(0,R15-N15-N14)*(1-F16)</f>
        <v/>
      </c>
      <c r="S16" s="12">
        <f>SUM(O$5:O16)</f>
        <v/>
      </c>
      <c r="T16" s="12">
        <f>SUM(P$5:P16)</f>
        <v/>
      </c>
      <c r="U16" s="12">
        <f>Q16+R16+S16+T16</f>
        <v/>
      </c>
      <c r="V16" s="9">
        <f>Q16*PriceEssMonthly*E16+R16*PricePremMonthly*E16+S16*PriceEssAnnual*E16/12+T16*PricePremAnnual*E16/12</f>
        <v/>
      </c>
      <c r="W16" s="9">
        <f>V16*12</f>
        <v/>
      </c>
      <c r="X16" s="12">
        <f>Q16*PriceEssMonthly*E16+R16*PricePremMonthly*E16</f>
        <v/>
      </c>
      <c r="Y16" s="12">
        <f>O16*PriceEssAnnual*E16+P16*PricePremAnnual*E16</f>
        <v/>
      </c>
      <c r="Z16" s="12">
        <f>0+0</f>
        <v/>
      </c>
      <c r="AA16" s="9">
        <f>X16+Y16+Z16</f>
        <v/>
      </c>
      <c r="AB16" s="12">
        <f>SUM(AA5:AA16)</f>
        <v/>
      </c>
      <c r="AC16" s="12">
        <f>OR(AC15,AB16&gt;=VATThreshold)</f>
        <v/>
      </c>
      <c r="AD16" s="9">
        <f>IF(AC16,AA16/(1+VATRate),AA16)</f>
        <v/>
      </c>
      <c r="AE16" s="12">
        <f>AA16-AD16</f>
        <v/>
      </c>
      <c r="AF16" s="12">
        <f>IF(AC16=0,0,IF(B16=1,SUMPRODUCT(--(($C$5:$C16=$C16-1)*($B$5:$B16&gt;=10)*($B$5:$B16&lt;=12)),$AE$5:$AE16),IF(B16=4,SUMPRODUCT(--(($C$5:$C16=$C16)*($B$5:$B16&gt;=1)*($B$5:$B16&lt;=3)),$AE$5:$AE16),IF(B16=7,SUMPRODUCT(--(($C$5:$C16=$C16)*($B$5:$B16&gt;=4)*($B$5:$B16&lt;=6)),$AE$5:$AE16),IF(B16=10,SUMPRODUCT(--(($C$5:$C16=$C16)*($B$5:$B16&gt;=7)*($B$5:$B16&lt;=9)),$AE$5:$AE16),0)))))</f>
        <v/>
      </c>
      <c r="AG16" s="12">
        <f>AG15+AE16-AF16</f>
        <v/>
      </c>
      <c r="AH16" s="12">
        <f>IF(ProviderDelay&gt;=1,AD15*ProviderShare,AD16*ProviderShare)</f>
        <v/>
      </c>
      <c r="AI16" s="12">
        <f>AA16*PaymentFee</f>
        <v/>
      </c>
      <c r="AJ16" s="12">
        <f>U16*OpsAI</f>
        <v/>
      </c>
      <c r="AK16" s="12">
        <f>MonthlyFixed</f>
        <v/>
      </c>
      <c r="AL16" s="12">
        <f>I16*ReferralReward</f>
        <v/>
      </c>
      <c r="AM16" s="12">
        <f>G16</f>
        <v/>
      </c>
      <c r="AN16" s="9">
        <f>AD16-AH16-AI16-AJ16-AK16-AL16-AM16</f>
        <v/>
      </c>
      <c r="AO16" s="9">
        <f>AO15+AA16-(AH16+AI16+AJ16+AK16+AL16+AM16+AF16)</f>
        <v/>
      </c>
      <c r="AP16" s="12">
        <f>IF(U16&gt;0,V16/U16,0)</f>
        <v/>
      </c>
      <c r="AQ16" s="11">
        <f>IF(U15&gt;0,MAX(0,(U15+J16-U16)/U15),0)</f>
        <v/>
      </c>
      <c r="AS16" s="12" t="n">
        <v>12</v>
      </c>
      <c r="AT16" s="12">
        <f>MOD(AS16-1+LaunchMonth-1,12)+1</f>
        <v/>
      </c>
      <c r="AU16" s="12">
        <f>INT((AS16-1+LaunchMonth-1)/12)+1</f>
        <v/>
      </c>
      <c r="AV16" s="12">
        <f>VLOOKUP(AT16,SeasonTable,2,FALSE)</f>
        <v/>
      </c>
      <c r="AW16" s="12">
        <f>(1+InflationRate)^INT((AS16-1)/12)</f>
        <v/>
      </c>
      <c r="AX16" s="11">
        <f>MonthlyChurn*VLOOKUP(AT16,ChurnSeasonTable,4,FALSE)</f>
        <v/>
      </c>
      <c r="AY16" s="12">
        <f>MIN(MAX(MktMin7_12,BS15*MktPct7_12),MAX(0,CG15-CashBuffer))</f>
        <v/>
      </c>
      <c r="AZ16" s="12">
        <f>IF(AY16&gt;0,MAX(1,ROUND(AY16/CAC*AV16,0)),0)</f>
        <v/>
      </c>
      <c r="BA16" s="12">
        <f>IF(AZ16&gt;0,ROUND(AZ16*ReferralMix/(1-ReferralMix),0),0)</f>
        <v/>
      </c>
      <c r="BB16" s="12">
        <f>AZ16+BA16</f>
        <v/>
      </c>
      <c r="BC16" s="12">
        <f>ROUND(BB16*(1-AnnualMix),0)</f>
        <v/>
      </c>
      <c r="BD16" s="12">
        <f>BB16-BC16</f>
        <v/>
      </c>
      <c r="BE16" s="12">
        <f>ROUND(BC16*EssentialMix,0)</f>
        <v/>
      </c>
      <c r="BF16" s="12">
        <f>BC16-BE16</f>
        <v/>
      </c>
      <c r="BG16" s="12">
        <f>ROUND(BD16*EssentialMix,0)</f>
        <v/>
      </c>
      <c r="BH16" s="12">
        <f>BD16-BG16</f>
        <v/>
      </c>
      <c r="BI16" s="12">
        <f>BE16+BE15+BE14+MAX(0,BI15-BE15-BE14)*(1-AX16)</f>
        <v/>
      </c>
      <c r="BJ16" s="12">
        <f>BF16+BF15+BF14+MAX(0,BJ15-BF15-BF14)*(1-AX16)</f>
        <v/>
      </c>
      <c r="BK16" s="12">
        <f>SUM(BG$5:BG16)</f>
        <v/>
      </c>
      <c r="BL16" s="12">
        <f>SUM(BH$5:BH16)</f>
        <v/>
      </c>
      <c r="BM16" s="12">
        <f>BI16+BJ16+BK16+BL16</f>
        <v/>
      </c>
      <c r="BN16" s="9">
        <f>BI16*PriceEssMonthly*AW16+BJ16*PricePremMonthly*AW16+BK16*PriceEssAnnual*AW16/12+BL16*PricePremAnnual*AW16/12</f>
        <v/>
      </c>
      <c r="BO16" s="9">
        <f>BN16*12</f>
        <v/>
      </c>
      <c r="BP16" s="12">
        <f>BI16*PriceEssMonthly*AW16+BJ16*PricePremMonthly*AW16</f>
        <v/>
      </c>
      <c r="BQ16" s="12">
        <f>BG16*PriceEssAnnual*AW16+BH16*PricePremAnnual*AW16</f>
        <v/>
      </c>
      <c r="BR16" s="12">
        <f>0+0</f>
        <v/>
      </c>
      <c r="BS16" s="9">
        <f>BP16+BQ16+BR16</f>
        <v/>
      </c>
      <c r="BT16" s="12">
        <f>SUM(BS5:BS16)</f>
        <v/>
      </c>
      <c r="BU16" s="12">
        <f>OR(BU15,BT16&gt;=VATThreshold)</f>
        <v/>
      </c>
      <c r="BV16" s="9">
        <f>IF(BU16,BS16/(1+VATRate),BS16)</f>
        <v/>
      </c>
      <c r="BW16" s="12">
        <f>BS16-BV16</f>
        <v/>
      </c>
      <c r="BX16" s="12">
        <f>IF(BU16=0,0,IF(AT16=1,SUMPRODUCT(--(($AU$5:$AU16=$AU16-1)*($AT$5:$AT16&gt;=10)*($AT$5:$AT16&lt;=12)),$BW$5:$BW16),IF(AT16=4,SUMPRODUCT(--(($AU$5:$AU16=$AU16)*($AT$5:$AT16&gt;=1)*($AT$5:$AT16&lt;=3)),$BW$5:$BW16),IF(AT16=7,SUMPRODUCT(--(($AU$5:$AU16=$AU16)*($AT$5:$AT16&gt;=4)*($AT$5:$AT16&lt;=6)),$BW$5:$BW16),IF(AT16=10,SUMPRODUCT(--(($AU$5:$AU16=$AU16)*($AT$5:$AT16&gt;=7)*($AT$5:$AT16&lt;=9)),$BW$5:$BW16),0)))))</f>
        <v/>
      </c>
      <c r="BY16" s="12">
        <f>BY15+BW16-BX16</f>
        <v/>
      </c>
      <c r="BZ16" s="12">
        <f>IF(ProviderDelay&gt;=1,BV15*ProviderShare,BV16*ProviderShare)</f>
        <v/>
      </c>
      <c r="CA16" s="12">
        <f>BS16*PaymentFee</f>
        <v/>
      </c>
      <c r="CB16" s="12">
        <f>BM16*OpsAI</f>
        <v/>
      </c>
      <c r="CC16" s="12">
        <f>MonthlyFixed</f>
        <v/>
      </c>
      <c r="CD16" s="12">
        <f>BA16*ReferralReward</f>
        <v/>
      </c>
      <c r="CE16" s="12">
        <f>AY16</f>
        <v/>
      </c>
      <c r="CF16" s="9">
        <f>BV16-BZ16-CA16-CB16-CC16-CD16-CE16</f>
        <v/>
      </c>
      <c r="CG16" s="9">
        <f>CG15+BS16-(BZ16+CA16+CB16+CC16+CD16+CE16+BX16)</f>
        <v/>
      </c>
      <c r="CH16" s="12">
        <f>IF(BM16&gt;0,BN16/BM16,0)</f>
        <v/>
      </c>
      <c r="CI16" s="11">
        <f>IF(BM15&gt;0,MAX(0,(BM15+BB16-BM16)/BM15),0)</f>
        <v/>
      </c>
      <c r="CK16" s="12" t="n">
        <v>12</v>
      </c>
      <c r="CL16" s="12">
        <f>MOD(CK16-1+LaunchMonth-1,12)+1</f>
        <v/>
      </c>
      <c r="CM16" s="12">
        <f>INT((CK16-1+LaunchMonth-1)/12)+1</f>
        <v/>
      </c>
      <c r="CN16" s="12">
        <f>VLOOKUP(CL16,SeasonTable,2,FALSE)</f>
        <v/>
      </c>
      <c r="CO16" s="12">
        <f>(1+InflationRate)^INT((CK16-1)/12)</f>
        <v/>
      </c>
      <c r="CP16" s="11">
        <f>'Sens - Scenarios'!$D$5*VLOOKUP(CL16,ChurnSeasonTable,4,FALSE)</f>
        <v/>
      </c>
      <c r="CQ16" s="12">
        <f>MIN(MAX(MktMin7_12,DK15*MktPct7_12),MAX(0,DY15-CashBuffer))</f>
        <v/>
      </c>
      <c r="CR16" s="12">
        <f>IF(CQ16&gt;0,MAX(1,ROUND(CQ16/'Sens - Scenarios'!$D$8*CN16,0)),0)</f>
        <v/>
      </c>
      <c r="CS16" s="12">
        <f>IF(CR16&gt;0,ROUND(CR16*ReferralMix/(1-ReferralMix),0),0)</f>
        <v/>
      </c>
      <c r="CT16" s="12">
        <f>CR16+CS16</f>
        <v/>
      </c>
      <c r="CU16" s="12">
        <f>ROUND(CT16*(1-'Sens - Scenarios'!$D$7),0)</f>
        <v/>
      </c>
      <c r="CV16" s="12">
        <f>CT16-CU16</f>
        <v/>
      </c>
      <c r="CW16" s="12">
        <f>ROUND(CU16*EssentialMix,0)</f>
        <v/>
      </c>
      <c r="CX16" s="12">
        <f>CU16-CW16</f>
        <v/>
      </c>
      <c r="CY16" s="12">
        <f>ROUND(CV16*EssentialMix,0)</f>
        <v/>
      </c>
      <c r="CZ16" s="12">
        <f>CV16-CY16</f>
        <v/>
      </c>
      <c r="DA16" s="12">
        <f>CW16+CW15+CW14+MAX(0,DA15-CW15-CW14)*(1-CP16)</f>
        <v/>
      </c>
      <c r="DB16" s="12">
        <f>CX16+CX15+CX14+MAX(0,DB15-CX15-CX14)*(1-CP16)</f>
        <v/>
      </c>
      <c r="DC16" s="12">
        <f>SUM(CY$5:CY16)</f>
        <v/>
      </c>
      <c r="DD16" s="12">
        <f>SUM(CZ$5:CZ16)</f>
        <v/>
      </c>
      <c r="DE16" s="12">
        <f>DA16+DB16+DC16+DD16</f>
        <v/>
      </c>
      <c r="DF16" s="9">
        <f>DA16*PriceEssMonthly*CO16+DB16*PricePremMonthly*CO16+DC16*PriceEssAnnual*CO16/12+DD16*PricePremAnnual*CO16/12</f>
        <v/>
      </c>
      <c r="DG16" s="9">
        <f>DF16*12</f>
        <v/>
      </c>
      <c r="DH16" s="12">
        <f>DA16*PriceEssMonthly*CO16+DB16*PricePremMonthly*CO16</f>
        <v/>
      </c>
      <c r="DI16" s="12">
        <f>CY16*PriceEssAnnual*CO16+CZ16*PricePremAnnual*CO16</f>
        <v/>
      </c>
      <c r="DJ16" s="12">
        <f>0+0</f>
        <v/>
      </c>
      <c r="DK16" s="9">
        <f>DH16+DI16+DJ16</f>
        <v/>
      </c>
      <c r="DL16" s="12">
        <f>SUM(DK5:DK16)</f>
        <v/>
      </c>
      <c r="DM16" s="12">
        <f>OR(DM15,DL16&gt;=VATThreshold)</f>
        <v/>
      </c>
      <c r="DN16" s="9">
        <f>IF(DM16,DK16/(1+VATRate),DK16)</f>
        <v/>
      </c>
      <c r="DO16" s="12">
        <f>DK16-DN16</f>
        <v/>
      </c>
      <c r="DP16" s="12">
        <f>IF(DM16=0,0,IF(CL16=1,SUMPRODUCT(--(($CM$5:$CM16=$CM16-1)*($CL$5:$CL16&gt;=10)*($CL$5:$CL16&lt;=12)),$DO$5:$DO16),IF(CL16=4,SUMPRODUCT(--(($CM$5:$CM16=$CM16)*($CL$5:$CL16&gt;=1)*($CL$5:$CL16&lt;=3)),$DO$5:$DO16),IF(CL16=7,SUMPRODUCT(--(($CM$5:$CM16=$CM16)*($CL$5:$CL16&gt;=4)*($CL$5:$CL16&lt;=6)),$DO$5:$DO16),IF(CL16=10,SUMPRODUCT(--(($CM$5:$CM16=$CM16)*($CL$5:$CL16&gt;=7)*($CL$5:$CL16&lt;=9)),$DO$5:$DO16),0)))))</f>
        <v/>
      </c>
      <c r="DQ16" s="12">
        <f>DQ15+DO16-DP16</f>
        <v/>
      </c>
      <c r="DR16" s="12">
        <f>IF(ProviderDelay&gt;=1,DN15*ProviderShare,DN16*ProviderShare)</f>
        <v/>
      </c>
      <c r="DS16" s="12">
        <f>DK16*PaymentFee</f>
        <v/>
      </c>
      <c r="DT16" s="12">
        <f>DE16*OpsAI</f>
        <v/>
      </c>
      <c r="DU16" s="12">
        <f>MonthlyFixed</f>
        <v/>
      </c>
      <c r="DV16" s="12">
        <f>CS16*ReferralReward</f>
        <v/>
      </c>
      <c r="DW16" s="12">
        <f>CQ16</f>
        <v/>
      </c>
      <c r="DX16" s="9">
        <f>DN16-DR16-DS16-DT16-DU16-DV16-DW16</f>
        <v/>
      </c>
      <c r="DY16" s="9">
        <f>DY15+DK16-(DR16+DS16+DT16+DU16+DV16+DW16+DP16)</f>
        <v/>
      </c>
      <c r="DZ16" s="12">
        <f>IF(DE16&gt;0,DF16/DE16,0)</f>
        <v/>
      </c>
      <c r="EA16" s="11">
        <f>IF(DE15&gt;0,MAX(0,(DE15+CT16-DE16)/DE15),0)</f>
        <v/>
      </c>
      <c r="EC16" s="12" t="n">
        <v>12</v>
      </c>
      <c r="ED16" s="12">
        <f>MOD(EC16-1+LaunchMonth-1,12)+1</f>
        <v/>
      </c>
      <c r="EE16" s="12">
        <f>INT((EC16-1+LaunchMonth-1)/12)+1</f>
        <v/>
      </c>
      <c r="EF16" s="12">
        <f>VLOOKUP(ED16,SeasonTable,2,FALSE)</f>
        <v/>
      </c>
      <c r="EG16" s="12">
        <f>(1+InflationRate)^INT((EC16-1)/12)</f>
        <v/>
      </c>
      <c r="EH16" s="11">
        <f>'Sens - Churn'!$A$13*VLOOKUP(ED16,ChurnSeasonTable,4,FALSE)</f>
        <v/>
      </c>
      <c r="EI16" s="12">
        <f>MIN(MAX(MktMin7_12,FC15*MktPct7_12),MAX(0,FQ15-CashBuffer))</f>
        <v/>
      </c>
      <c r="EJ16" s="12">
        <f>IF(EI16&gt;0,MAX(1,ROUND(EI16/CAC*EF16,0)),0)</f>
        <v/>
      </c>
      <c r="EK16" s="12">
        <f>IF(EJ16&gt;0,ROUND(EJ16*ReferralMix/(1-ReferralMix),0),0)</f>
        <v/>
      </c>
      <c r="EL16" s="12">
        <f>EJ16+EK16</f>
        <v/>
      </c>
      <c r="EM16" s="12">
        <f>ROUND(EL16*(1-AnnualMix),0)</f>
        <v/>
      </c>
      <c r="EN16" s="12">
        <f>EL16-EM16</f>
        <v/>
      </c>
      <c r="EO16" s="12">
        <f>ROUND(EM16*EssentialMix,0)</f>
        <v/>
      </c>
      <c r="EP16" s="12">
        <f>EM16-EO16</f>
        <v/>
      </c>
      <c r="EQ16" s="12">
        <f>ROUND(EN16*EssentialMix,0)</f>
        <v/>
      </c>
      <c r="ER16" s="12">
        <f>EN16-EQ16</f>
        <v/>
      </c>
      <c r="ES16" s="12">
        <f>EO16+EO15+EO14+MAX(0,ES15-EO15-EO14)*(1-EH16)</f>
        <v/>
      </c>
      <c r="ET16" s="12">
        <f>EP16+EP15+EP14+MAX(0,ET15-EP15-EP14)*(1-EH16)</f>
        <v/>
      </c>
      <c r="EU16" s="12">
        <f>SUM(EQ$5:EQ16)</f>
        <v/>
      </c>
      <c r="EV16" s="12">
        <f>SUM(ER$5:ER16)</f>
        <v/>
      </c>
      <c r="EW16" s="12">
        <f>ES16+ET16+EU16+EV16</f>
        <v/>
      </c>
      <c r="EX16" s="9">
        <f>ES16*PriceEssMonthly*EG16+ET16*PricePremMonthly*EG16+EU16*PriceEssAnnual*EG16/12+EV16*PricePremAnnual*EG16/12</f>
        <v/>
      </c>
      <c r="EY16" s="9">
        <f>EX16*12</f>
        <v/>
      </c>
      <c r="EZ16" s="12">
        <f>ES16*PriceEssMonthly*EG16+ET16*PricePremMonthly*EG16</f>
        <v/>
      </c>
      <c r="FA16" s="12">
        <f>EQ16*PriceEssAnnual*EG16+ER16*PricePremAnnual*EG16</f>
        <v/>
      </c>
      <c r="FB16" s="12">
        <f>0+0</f>
        <v/>
      </c>
      <c r="FC16" s="9">
        <f>EZ16+FA16+FB16</f>
        <v/>
      </c>
      <c r="FD16" s="12">
        <f>SUM(FC5:FC16)</f>
        <v/>
      </c>
      <c r="FE16" s="12">
        <f>OR(FE15,FD16&gt;=VATThreshold)</f>
        <v/>
      </c>
      <c r="FF16" s="9">
        <f>IF(FE16,FC16/(1+VATRate),FC16)</f>
        <v/>
      </c>
      <c r="FG16" s="12">
        <f>FC16-FF16</f>
        <v/>
      </c>
      <c r="FH16" s="12">
        <f>IF(FE16=0,0,IF(ED16=1,SUMPRODUCT(--(($EE$5:$EE16=$EE16-1)*($ED$5:$ED16&gt;=10)*($ED$5:$ED16&lt;=12)),$FG$5:$FG16),IF(ED16=4,SUMPRODUCT(--(($EE$5:$EE16=$EE16)*($ED$5:$ED16&gt;=1)*($ED$5:$ED16&lt;=3)),$FG$5:$FG16),IF(ED16=7,SUMPRODUCT(--(($EE$5:$EE16=$EE16)*($ED$5:$ED16&gt;=4)*($ED$5:$ED16&lt;=6)),$FG$5:$FG16),IF(ED16=10,SUMPRODUCT(--(($EE$5:$EE16=$EE16)*($ED$5:$ED16&gt;=7)*($ED$5:$ED16&lt;=9)),$FG$5:$FG16),0)))))</f>
        <v/>
      </c>
      <c r="FI16" s="12">
        <f>FI15+FG16-FH16</f>
        <v/>
      </c>
      <c r="FJ16" s="12">
        <f>IF(ProviderDelay&gt;=1,FF15*ProviderShare,FF16*ProviderShare)</f>
        <v/>
      </c>
      <c r="FK16" s="12">
        <f>FC16*PaymentFee</f>
        <v/>
      </c>
      <c r="FL16" s="12">
        <f>EW16*OpsAI</f>
        <v/>
      </c>
      <c r="FM16" s="12">
        <f>MonthlyFixed</f>
        <v/>
      </c>
      <c r="FN16" s="12">
        <f>EK16*ReferralReward</f>
        <v/>
      </c>
      <c r="FO16" s="12">
        <f>EI16</f>
        <v/>
      </c>
      <c r="FP16" s="9">
        <f>FF16-FJ16-FK16-FL16-FM16-FN16-FO16</f>
        <v/>
      </c>
      <c r="FQ16" s="9">
        <f>FQ15+FC16-(FJ16+FK16+FL16+FM16+FN16+FO16+FH16)</f>
        <v/>
      </c>
      <c r="FR16" s="12">
        <f>IF(EW16&gt;0,EX16/EW16,0)</f>
        <v/>
      </c>
      <c r="FS16" s="11">
        <f>IF(EW15&gt;0,MAX(0,(EW15+EL16-EW16)/EW15),0)</f>
        <v/>
      </c>
      <c r="FU16" s="12" t="n">
        <v>12</v>
      </c>
      <c r="FV16" s="12">
        <f>MOD(FU16-1+LaunchMonth-1,12)+1</f>
        <v/>
      </c>
      <c r="FW16" s="12">
        <f>INT((FU16-1+LaunchMonth-1)/12)+1</f>
        <v/>
      </c>
      <c r="FX16" s="12">
        <f>VLOOKUP(FV16,SeasonTable,2,FALSE)</f>
        <v/>
      </c>
      <c r="FY16" s="12">
        <f>(1+InflationRate)^INT((FU16-1)/12)</f>
        <v/>
      </c>
      <c r="FZ16" s="11">
        <f>'Sens - Churn'!$A$14*VLOOKUP(FV16,ChurnSeasonTable,4,FALSE)</f>
        <v/>
      </c>
      <c r="GA16" s="12">
        <f>MIN(MAX(MktMin7_12,GU15*MktPct7_12),MAX(0,HI15-CashBuffer))</f>
        <v/>
      </c>
      <c r="GB16" s="12">
        <f>IF(GA16&gt;0,MAX(1,ROUND(GA16/CAC*FX16,0)),0)</f>
        <v/>
      </c>
      <c r="GC16" s="12">
        <f>IF(GB16&gt;0,ROUND(GB16*ReferralMix/(1-ReferralMix),0),0)</f>
        <v/>
      </c>
      <c r="GD16" s="12">
        <f>GB16+GC16</f>
        <v/>
      </c>
      <c r="GE16" s="12">
        <f>ROUND(GD16*(1-AnnualMix),0)</f>
        <v/>
      </c>
      <c r="GF16" s="12">
        <f>GD16-GE16</f>
        <v/>
      </c>
      <c r="GG16" s="12">
        <f>ROUND(GE16*EssentialMix,0)</f>
        <v/>
      </c>
      <c r="GH16" s="12">
        <f>GE16-GG16</f>
        <v/>
      </c>
      <c r="GI16" s="12">
        <f>ROUND(GF16*EssentialMix,0)</f>
        <v/>
      </c>
      <c r="GJ16" s="12">
        <f>GF16-GI16</f>
        <v/>
      </c>
      <c r="GK16" s="12">
        <f>GG16+GG15+GG14+MAX(0,GK15-GG15-GG14)*(1-FZ16)</f>
        <v/>
      </c>
      <c r="GL16" s="12">
        <f>GH16+GH15+GH14+MAX(0,GL15-GH15-GH14)*(1-FZ16)</f>
        <v/>
      </c>
      <c r="GM16" s="12">
        <f>SUM(GI$5:GI16)</f>
        <v/>
      </c>
      <c r="GN16" s="12">
        <f>SUM(GJ$5:GJ16)</f>
        <v/>
      </c>
      <c r="GO16" s="12">
        <f>GK16+GL16+GM16+GN16</f>
        <v/>
      </c>
      <c r="GP16" s="9">
        <f>GK16*PriceEssMonthly*FY16+GL16*PricePremMonthly*FY16+GM16*PriceEssAnnual*FY16/12+GN16*PricePremAnnual*FY16/12</f>
        <v/>
      </c>
      <c r="GQ16" s="9">
        <f>GP16*12</f>
        <v/>
      </c>
      <c r="GR16" s="12">
        <f>GK16*PriceEssMonthly*FY16+GL16*PricePremMonthly*FY16</f>
        <v/>
      </c>
      <c r="GS16" s="12">
        <f>GI16*PriceEssAnnual*FY16+GJ16*PricePremAnnual*FY16</f>
        <v/>
      </c>
      <c r="GT16" s="12">
        <f>0+0</f>
        <v/>
      </c>
      <c r="GU16" s="9">
        <f>GR16+GS16+GT16</f>
        <v/>
      </c>
      <c r="GV16" s="12">
        <f>SUM(GU5:GU16)</f>
        <v/>
      </c>
      <c r="GW16" s="12">
        <f>OR(GW15,GV16&gt;=VATThreshold)</f>
        <v/>
      </c>
      <c r="GX16" s="9">
        <f>IF(GW16,GU16/(1+VATRate),GU16)</f>
        <v/>
      </c>
      <c r="GY16" s="12">
        <f>GU16-GX16</f>
        <v/>
      </c>
      <c r="GZ16" s="12">
        <f>IF(GW16=0,0,IF(FV16=1,SUMPRODUCT(--(($FW$5:$FW16=$FW16-1)*($FV$5:$FV16&gt;=10)*($FV$5:$FV16&lt;=12)),$GY$5:$GY16),IF(FV16=4,SUMPRODUCT(--(($FW$5:$FW16=$FW16)*($FV$5:$FV16&gt;=1)*($FV$5:$FV16&lt;=3)),$GY$5:$GY16),IF(FV16=7,SUMPRODUCT(--(($FW$5:$FW16=$FW16)*($FV$5:$FV16&gt;=4)*($FV$5:$FV16&lt;=6)),$GY$5:$GY16),IF(FV16=10,SUMPRODUCT(--(($FW$5:$FW16=$FW16)*($FV$5:$FV16&gt;=7)*($FV$5:$FV16&lt;=9)),$GY$5:$GY16),0)))))</f>
        <v/>
      </c>
      <c r="HA16" s="12">
        <f>HA15+GY16-GZ16</f>
        <v/>
      </c>
      <c r="HB16" s="12">
        <f>IF(ProviderDelay&gt;=1,GX15*ProviderShare,GX16*ProviderShare)</f>
        <v/>
      </c>
      <c r="HC16" s="12">
        <f>GU16*PaymentFee</f>
        <v/>
      </c>
      <c r="HD16" s="12">
        <f>GO16*OpsAI</f>
        <v/>
      </c>
      <c r="HE16" s="12">
        <f>MonthlyFixed</f>
        <v/>
      </c>
      <c r="HF16" s="12">
        <f>GC16*ReferralReward</f>
        <v/>
      </c>
      <c r="HG16" s="12">
        <f>GA16</f>
        <v/>
      </c>
      <c r="HH16" s="9">
        <f>GX16-HB16-HC16-HD16-HE16-HF16-HG16</f>
        <v/>
      </c>
      <c r="HI16" s="9">
        <f>HI15+GU16-(HB16+HC16+HD16+HE16+HF16+HG16+GZ16)</f>
        <v/>
      </c>
      <c r="HJ16" s="12">
        <f>IF(GO16&gt;0,GP16/GO16,0)</f>
        <v/>
      </c>
      <c r="HK16" s="11">
        <f>IF(GO15&gt;0,MAX(0,(GO15+GD16-GO16)/GO15),0)</f>
        <v/>
      </c>
      <c r="HM16" s="12" t="n">
        <v>12</v>
      </c>
      <c r="HN16" s="12">
        <f>MOD(HM16-1+LaunchMonth-1,12)+1</f>
        <v/>
      </c>
      <c r="HO16" s="12">
        <f>INT((HM16-1+LaunchMonth-1)/12)+1</f>
        <v/>
      </c>
      <c r="HP16" s="12">
        <f>VLOOKUP(HN16,SeasonTable,2,FALSE)</f>
        <v/>
      </c>
      <c r="HQ16" s="12">
        <f>(1+InflationRate)^INT((HM16-1)/12)</f>
        <v/>
      </c>
      <c r="HR16" s="11">
        <f>'Sens - Churn'!$A$15*VLOOKUP(HN16,ChurnSeasonTable,4,FALSE)</f>
        <v/>
      </c>
      <c r="HS16" s="12">
        <f>MIN(MAX(MktMin7_12,IM15*MktPct7_12),MAX(0,JA15-CashBuffer))</f>
        <v/>
      </c>
      <c r="HT16" s="12">
        <f>IF(HS16&gt;0,MAX(1,ROUND(HS16/CAC*HP16,0)),0)</f>
        <v/>
      </c>
      <c r="HU16" s="12">
        <f>IF(HT16&gt;0,ROUND(HT16*ReferralMix/(1-ReferralMix),0),0)</f>
        <v/>
      </c>
      <c r="HV16" s="12">
        <f>HT16+HU16</f>
        <v/>
      </c>
      <c r="HW16" s="12">
        <f>ROUND(HV16*(1-AnnualMix),0)</f>
        <v/>
      </c>
      <c r="HX16" s="12">
        <f>HV16-HW16</f>
        <v/>
      </c>
      <c r="HY16" s="12">
        <f>ROUND(HW16*EssentialMix,0)</f>
        <v/>
      </c>
      <c r="HZ16" s="12">
        <f>HW16-HY16</f>
        <v/>
      </c>
      <c r="IA16" s="12">
        <f>ROUND(HX16*EssentialMix,0)</f>
        <v/>
      </c>
      <c r="IB16" s="12">
        <f>HX16-IA16</f>
        <v/>
      </c>
      <c r="IC16" s="12">
        <f>HY16+HY15+HY14+MAX(0,IC15-HY15-HY14)*(1-HR16)</f>
        <v/>
      </c>
      <c r="ID16" s="12">
        <f>HZ16+HZ15+HZ14+MAX(0,ID15-HZ15-HZ14)*(1-HR16)</f>
        <v/>
      </c>
      <c r="IE16" s="12">
        <f>SUM(IA$5:IA16)</f>
        <v/>
      </c>
      <c r="IF16" s="12">
        <f>SUM(IB$5:IB16)</f>
        <v/>
      </c>
      <c r="IG16" s="12">
        <f>IC16+ID16+IE16+IF16</f>
        <v/>
      </c>
      <c r="IH16" s="9">
        <f>IC16*PriceEssMonthly*HQ16+ID16*PricePremMonthly*HQ16+IE16*PriceEssAnnual*HQ16/12+IF16*PricePremAnnual*HQ16/12</f>
        <v/>
      </c>
      <c r="II16" s="9">
        <f>IH16*12</f>
        <v/>
      </c>
      <c r="IJ16" s="12">
        <f>IC16*PriceEssMonthly*HQ16+ID16*PricePremMonthly*HQ16</f>
        <v/>
      </c>
      <c r="IK16" s="12">
        <f>IA16*PriceEssAnnual*HQ16+IB16*PricePremAnnual*HQ16</f>
        <v/>
      </c>
      <c r="IL16" s="12">
        <f>0+0</f>
        <v/>
      </c>
      <c r="IM16" s="9">
        <f>IJ16+IK16+IL16</f>
        <v/>
      </c>
      <c r="IN16" s="12">
        <f>SUM(IM5:IM16)</f>
        <v/>
      </c>
      <c r="IO16" s="12">
        <f>OR(IO15,IN16&gt;=VATThreshold)</f>
        <v/>
      </c>
      <c r="IP16" s="9">
        <f>IF(IO16,IM16/(1+VATRate),IM16)</f>
        <v/>
      </c>
      <c r="IQ16" s="12">
        <f>IM16-IP16</f>
        <v/>
      </c>
      <c r="IR16" s="12">
        <f>IF(IO16=0,0,IF(HN16=1,SUMPRODUCT(--(($HO$5:$HO16=$HO16-1)*($HN$5:$HN16&gt;=10)*($HN$5:$HN16&lt;=12)),$IQ$5:$IQ16),IF(HN16=4,SUMPRODUCT(--(($HO$5:$HO16=$HO16)*($HN$5:$HN16&gt;=1)*($HN$5:$HN16&lt;=3)),$IQ$5:$IQ16),IF(HN16=7,SUMPRODUCT(--(($HO$5:$HO16=$HO16)*($HN$5:$HN16&gt;=4)*($HN$5:$HN16&lt;=6)),$IQ$5:$IQ16),IF(HN16=10,SUMPRODUCT(--(($HO$5:$HO16=$HO16)*($HN$5:$HN16&gt;=7)*($HN$5:$HN16&lt;=9)),$IQ$5:$IQ16),0)))))</f>
        <v/>
      </c>
      <c r="IS16" s="12">
        <f>IS15+IQ16-IR16</f>
        <v/>
      </c>
      <c r="IT16" s="12">
        <f>IF(ProviderDelay&gt;=1,IP15*ProviderShare,IP16*ProviderShare)</f>
        <v/>
      </c>
      <c r="IU16" s="12">
        <f>IM16*PaymentFee</f>
        <v/>
      </c>
      <c r="IV16" s="12">
        <f>IG16*OpsAI</f>
        <v/>
      </c>
      <c r="IW16" s="12">
        <f>MonthlyFixed</f>
        <v/>
      </c>
      <c r="IX16" s="12">
        <f>HU16*ReferralReward</f>
        <v/>
      </c>
      <c r="IY16" s="12">
        <f>HS16</f>
        <v/>
      </c>
      <c r="IZ16" s="9">
        <f>IP16-IT16-IU16-IV16-IW16-IX16-IY16</f>
        <v/>
      </c>
      <c r="JA16" s="9">
        <f>JA15+IM16-(IT16+IU16+IV16+IW16+IX16+IY16+IR16)</f>
        <v/>
      </c>
      <c r="JB16" s="12">
        <f>IF(IG16&gt;0,IH16/IG16,0)</f>
        <v/>
      </c>
      <c r="JC16" s="11">
        <f>IF(IG15&gt;0,MAX(0,(IG15+HV16-IG16)/IG15),0)</f>
        <v/>
      </c>
      <c r="JE16" s="12" t="n">
        <v>12</v>
      </c>
      <c r="JF16" s="12">
        <f>MOD(JE16-1+LaunchMonth-1,12)+1</f>
        <v/>
      </c>
      <c r="JG16" s="12">
        <f>INT((JE16-1+LaunchMonth-1)/12)+1</f>
        <v/>
      </c>
      <c r="JH16" s="12">
        <f>VLOOKUP(JF16,SeasonTable,2,FALSE)</f>
        <v/>
      </c>
      <c r="JI16" s="12">
        <f>(1+InflationRate)^INT((JE16-1)/12)</f>
        <v/>
      </c>
      <c r="JJ16" s="11">
        <f>'Sens - Churn'!$A$16*VLOOKUP(JF16,ChurnSeasonTable,4,FALSE)</f>
        <v/>
      </c>
      <c r="JK16" s="12">
        <f>MIN(MAX(MktMin7_12,KE15*MktPct7_12),MAX(0,KS15-CashBuffer))</f>
        <v/>
      </c>
      <c r="JL16" s="12">
        <f>IF(JK16&gt;0,MAX(1,ROUND(JK16/CAC*JH16,0)),0)</f>
        <v/>
      </c>
      <c r="JM16" s="12">
        <f>IF(JL16&gt;0,ROUND(JL16*ReferralMix/(1-ReferralMix),0),0)</f>
        <v/>
      </c>
      <c r="JN16" s="12">
        <f>JL16+JM16</f>
        <v/>
      </c>
      <c r="JO16" s="12">
        <f>ROUND(JN16*(1-AnnualMix),0)</f>
        <v/>
      </c>
      <c r="JP16" s="12">
        <f>JN16-JO16</f>
        <v/>
      </c>
      <c r="JQ16" s="12">
        <f>ROUND(JO16*EssentialMix,0)</f>
        <v/>
      </c>
      <c r="JR16" s="12">
        <f>JO16-JQ16</f>
        <v/>
      </c>
      <c r="JS16" s="12">
        <f>ROUND(JP16*EssentialMix,0)</f>
        <v/>
      </c>
      <c r="JT16" s="12">
        <f>JP16-JS16</f>
        <v/>
      </c>
      <c r="JU16" s="12">
        <f>JQ16+JQ15+JQ14+MAX(0,JU15-JQ15-JQ14)*(1-JJ16)</f>
        <v/>
      </c>
      <c r="JV16" s="12">
        <f>JR16+JR15+JR14+MAX(0,JV15-JR15-JR14)*(1-JJ16)</f>
        <v/>
      </c>
      <c r="JW16" s="12">
        <f>SUM(JS$5:JS16)</f>
        <v/>
      </c>
      <c r="JX16" s="12">
        <f>SUM(JT$5:JT16)</f>
        <v/>
      </c>
      <c r="JY16" s="12">
        <f>JU16+JV16+JW16+JX16</f>
        <v/>
      </c>
      <c r="JZ16" s="9">
        <f>JU16*PriceEssMonthly*JI16+JV16*PricePremMonthly*JI16+JW16*PriceEssAnnual*JI16/12+JX16*PricePremAnnual*JI16/12</f>
        <v/>
      </c>
      <c r="KA16" s="9">
        <f>JZ16*12</f>
        <v/>
      </c>
      <c r="KB16" s="12">
        <f>JU16*PriceEssMonthly*JI16+JV16*PricePremMonthly*JI16</f>
        <v/>
      </c>
      <c r="KC16" s="12">
        <f>JS16*PriceEssAnnual*JI16+JT16*PricePremAnnual*JI16</f>
        <v/>
      </c>
      <c r="KD16" s="12">
        <f>0+0</f>
        <v/>
      </c>
      <c r="KE16" s="9">
        <f>KB16+KC16+KD16</f>
        <v/>
      </c>
      <c r="KF16" s="12">
        <f>SUM(KE5:KE16)</f>
        <v/>
      </c>
      <c r="KG16" s="12">
        <f>OR(KG15,KF16&gt;=VATThreshold)</f>
        <v/>
      </c>
      <c r="KH16" s="9">
        <f>IF(KG16,KE16/(1+VATRate),KE16)</f>
        <v/>
      </c>
      <c r="KI16" s="12">
        <f>KE16-KH16</f>
        <v/>
      </c>
      <c r="KJ16" s="12">
        <f>IF(KG16=0,0,IF(JF16=1,SUMPRODUCT(--(($JG$5:$JG16=$JG16-1)*($JF$5:$JF16&gt;=10)*($JF$5:$JF16&lt;=12)),$KI$5:$KI16),IF(JF16=4,SUMPRODUCT(--(($JG$5:$JG16=$JG16)*($JF$5:$JF16&gt;=1)*($JF$5:$JF16&lt;=3)),$KI$5:$KI16),IF(JF16=7,SUMPRODUCT(--(($JG$5:$JG16=$JG16)*($JF$5:$JF16&gt;=4)*($JF$5:$JF16&lt;=6)),$KI$5:$KI16),IF(JF16=10,SUMPRODUCT(--(($JG$5:$JG16=$JG16)*($JF$5:$JF16&gt;=7)*($JF$5:$JF16&lt;=9)),$KI$5:$KI16),0)))))</f>
        <v/>
      </c>
      <c r="KK16" s="12">
        <f>KK15+KI16-KJ16</f>
        <v/>
      </c>
      <c r="KL16" s="12">
        <f>IF(ProviderDelay&gt;=1,KH15*ProviderShare,KH16*ProviderShare)</f>
        <v/>
      </c>
      <c r="KM16" s="12">
        <f>KE16*PaymentFee</f>
        <v/>
      </c>
      <c r="KN16" s="12">
        <f>JY16*OpsAI</f>
        <v/>
      </c>
      <c r="KO16" s="12">
        <f>MonthlyFixed</f>
        <v/>
      </c>
      <c r="KP16" s="12">
        <f>JM16*ReferralReward</f>
        <v/>
      </c>
      <c r="KQ16" s="12">
        <f>JK16</f>
        <v/>
      </c>
      <c r="KR16" s="9">
        <f>KH16-KL16-KM16-KN16-KO16-KP16-KQ16</f>
        <v/>
      </c>
      <c r="KS16" s="9">
        <f>KS15+KE16-(KL16+KM16+KN16+KO16+KP16+KQ16+KJ16)</f>
        <v/>
      </c>
      <c r="KT16" s="12">
        <f>IF(JY16&gt;0,JZ16/JY16,0)</f>
        <v/>
      </c>
      <c r="KU16" s="11">
        <f>IF(JY15&gt;0,MAX(0,(JY15+JN16-JY16)/JY15),0)</f>
        <v/>
      </c>
      <c r="KW16" s="12" t="n">
        <v>12</v>
      </c>
      <c r="KX16" s="12">
        <f>MOD(KW16-1+LaunchMonth-1,12)+1</f>
        <v/>
      </c>
      <c r="KY16" s="12">
        <f>INT((KW16-1+LaunchMonth-1)/12)+1</f>
        <v/>
      </c>
      <c r="KZ16" s="12">
        <f>VLOOKUP(KX16,SeasonTable,2,FALSE)</f>
        <v/>
      </c>
      <c r="LA16" s="12">
        <f>(1+InflationRate)^INT((KW16-1)/12)</f>
        <v/>
      </c>
      <c r="LB16" s="11">
        <f>'Sens - Churn'!$A$17*VLOOKUP(KX16,ChurnSeasonTable,4,FALSE)</f>
        <v/>
      </c>
      <c r="LC16" s="12">
        <f>MIN(MAX(MktMin7_12,LW15*MktPct7_12),MAX(0,MK15-CashBuffer))</f>
        <v/>
      </c>
      <c r="LD16" s="12">
        <f>IF(LC16&gt;0,MAX(1,ROUND(LC16/CAC*KZ16,0)),0)</f>
        <v/>
      </c>
      <c r="LE16" s="12">
        <f>IF(LD16&gt;0,ROUND(LD16*ReferralMix/(1-ReferralMix),0),0)</f>
        <v/>
      </c>
      <c r="LF16" s="12">
        <f>LD16+LE16</f>
        <v/>
      </c>
      <c r="LG16" s="12">
        <f>ROUND(LF16*(1-AnnualMix),0)</f>
        <v/>
      </c>
      <c r="LH16" s="12">
        <f>LF16-LG16</f>
        <v/>
      </c>
      <c r="LI16" s="12">
        <f>ROUND(LG16*EssentialMix,0)</f>
        <v/>
      </c>
      <c r="LJ16" s="12">
        <f>LG16-LI16</f>
        <v/>
      </c>
      <c r="LK16" s="12">
        <f>ROUND(LH16*EssentialMix,0)</f>
        <v/>
      </c>
      <c r="LL16" s="12">
        <f>LH16-LK16</f>
        <v/>
      </c>
      <c r="LM16" s="12">
        <f>LI16+LI15+LI14+MAX(0,LM15-LI15-LI14)*(1-LB16)</f>
        <v/>
      </c>
      <c r="LN16" s="12">
        <f>LJ16+LJ15+LJ14+MAX(0,LN15-LJ15-LJ14)*(1-LB16)</f>
        <v/>
      </c>
      <c r="LO16" s="12">
        <f>SUM(LK$5:LK16)</f>
        <v/>
      </c>
      <c r="LP16" s="12">
        <f>SUM(LL$5:LL16)</f>
        <v/>
      </c>
      <c r="LQ16" s="12">
        <f>LM16+LN16+LO16+LP16</f>
        <v/>
      </c>
      <c r="LR16" s="9">
        <f>LM16*PriceEssMonthly*LA16+LN16*PricePremMonthly*LA16+LO16*PriceEssAnnual*LA16/12+LP16*PricePremAnnual*LA16/12</f>
        <v/>
      </c>
      <c r="LS16" s="9">
        <f>LR16*12</f>
        <v/>
      </c>
      <c r="LT16" s="12">
        <f>LM16*PriceEssMonthly*LA16+LN16*PricePremMonthly*LA16</f>
        <v/>
      </c>
      <c r="LU16" s="12">
        <f>LK16*PriceEssAnnual*LA16+LL16*PricePremAnnual*LA16</f>
        <v/>
      </c>
      <c r="LV16" s="12">
        <f>0+0</f>
        <v/>
      </c>
      <c r="LW16" s="9">
        <f>LT16+LU16+LV16</f>
        <v/>
      </c>
      <c r="LX16" s="12">
        <f>SUM(LW5:LW16)</f>
        <v/>
      </c>
      <c r="LY16" s="12">
        <f>OR(LY15,LX16&gt;=VATThreshold)</f>
        <v/>
      </c>
      <c r="LZ16" s="9">
        <f>IF(LY16,LW16/(1+VATRate),LW16)</f>
        <v/>
      </c>
      <c r="MA16" s="12">
        <f>LW16-LZ16</f>
        <v/>
      </c>
      <c r="MB16" s="12">
        <f>IF(LY16=0,0,IF(KX16=1,SUMPRODUCT(--(($KY$5:$KY16=$KY16-1)*($KX$5:$KX16&gt;=10)*($KX$5:$KX16&lt;=12)),$MA$5:$MA16),IF(KX16=4,SUMPRODUCT(--(($KY$5:$KY16=$KY16)*($KX$5:$KX16&gt;=1)*($KX$5:$KX16&lt;=3)),$MA$5:$MA16),IF(KX16=7,SUMPRODUCT(--(($KY$5:$KY16=$KY16)*($KX$5:$KX16&gt;=4)*($KX$5:$KX16&lt;=6)),$MA$5:$MA16),IF(KX16=10,SUMPRODUCT(--(($KY$5:$KY16=$KY16)*($KX$5:$KX16&gt;=7)*($KX$5:$KX16&lt;=9)),$MA$5:$MA16),0)))))</f>
        <v/>
      </c>
      <c r="MC16" s="12">
        <f>MC15+MA16-MB16</f>
        <v/>
      </c>
      <c r="MD16" s="12">
        <f>IF(ProviderDelay&gt;=1,LZ15*ProviderShare,LZ16*ProviderShare)</f>
        <v/>
      </c>
      <c r="ME16" s="12">
        <f>LW16*PaymentFee</f>
        <v/>
      </c>
      <c r="MF16" s="12">
        <f>LQ16*OpsAI</f>
        <v/>
      </c>
      <c r="MG16" s="12">
        <f>MonthlyFixed</f>
        <v/>
      </c>
      <c r="MH16" s="12">
        <f>LE16*ReferralReward</f>
        <v/>
      </c>
      <c r="MI16" s="12">
        <f>LC16</f>
        <v/>
      </c>
      <c r="MJ16" s="9">
        <f>LZ16-MD16-ME16-MF16-MG16-MH16-MI16</f>
        <v/>
      </c>
      <c r="MK16" s="9">
        <f>MK15+LW16-(MD16+ME16+MF16+MG16+MH16+MI16+MB16)</f>
        <v/>
      </c>
      <c r="ML16" s="12">
        <f>IF(LQ16&gt;0,LR16/LQ16,0)</f>
        <v/>
      </c>
      <c r="MM16" s="11">
        <f>IF(LQ15&gt;0,MAX(0,(LQ15+LF16-LQ16)/LQ15),0)</f>
        <v/>
      </c>
      <c r="MO16" s="12" t="n">
        <v>12</v>
      </c>
      <c r="MP16" s="12">
        <f>MOD(MO16-1+LaunchMonth-1,12)+1</f>
        <v/>
      </c>
      <c r="MQ16" s="12">
        <f>INT((MO16-1+LaunchMonth-1)/12)+1</f>
        <v/>
      </c>
      <c r="MR16" s="12">
        <f>VLOOKUP(MP16,SeasonTable,2,FALSE)</f>
        <v/>
      </c>
      <c r="MS16" s="12">
        <f>(1+InflationRate)^INT((MO16-1)/12)</f>
        <v/>
      </c>
      <c r="MT16" s="11">
        <f>'Sens - Churn'!$A$18*VLOOKUP(MP16,ChurnSeasonTable,4,FALSE)</f>
        <v/>
      </c>
      <c r="MU16" s="12">
        <f>MIN(MAX(MktMin7_12,NO15*MktPct7_12),MAX(0,OC15-CashBuffer))</f>
        <v/>
      </c>
      <c r="MV16" s="12">
        <f>IF(MU16&gt;0,MAX(1,ROUND(MU16/CAC*MR16,0)),0)</f>
        <v/>
      </c>
      <c r="MW16" s="12">
        <f>IF(MV16&gt;0,ROUND(MV16*ReferralMix/(1-ReferralMix),0),0)</f>
        <v/>
      </c>
      <c r="MX16" s="12">
        <f>MV16+MW16</f>
        <v/>
      </c>
      <c r="MY16" s="12">
        <f>ROUND(MX16*(1-AnnualMix),0)</f>
        <v/>
      </c>
      <c r="MZ16" s="12">
        <f>MX16-MY16</f>
        <v/>
      </c>
      <c r="NA16" s="12">
        <f>ROUND(MY16*EssentialMix,0)</f>
        <v/>
      </c>
      <c r="NB16" s="12">
        <f>MY16-NA16</f>
        <v/>
      </c>
      <c r="NC16" s="12">
        <f>ROUND(MZ16*EssentialMix,0)</f>
        <v/>
      </c>
      <c r="ND16" s="12">
        <f>MZ16-NC16</f>
        <v/>
      </c>
      <c r="NE16" s="12">
        <f>NA16+NA15+NA14+MAX(0,NE15-NA15-NA14)*(1-MT16)</f>
        <v/>
      </c>
      <c r="NF16" s="12">
        <f>NB16+NB15+NB14+MAX(0,NF15-NB15-NB14)*(1-MT16)</f>
        <v/>
      </c>
      <c r="NG16" s="12">
        <f>SUM(NC$5:NC16)</f>
        <v/>
      </c>
      <c r="NH16" s="12">
        <f>SUM(ND$5:ND16)</f>
        <v/>
      </c>
      <c r="NI16" s="12">
        <f>NE16+NF16+NG16+NH16</f>
        <v/>
      </c>
      <c r="NJ16" s="9">
        <f>NE16*PriceEssMonthly*MS16+NF16*PricePremMonthly*MS16+NG16*PriceEssAnnual*MS16/12+NH16*PricePremAnnual*MS16/12</f>
        <v/>
      </c>
      <c r="NK16" s="9">
        <f>NJ16*12</f>
        <v/>
      </c>
      <c r="NL16" s="12">
        <f>NE16*PriceEssMonthly*MS16+NF16*PricePremMonthly*MS16</f>
        <v/>
      </c>
      <c r="NM16" s="12">
        <f>NC16*PriceEssAnnual*MS16+ND16*PricePremAnnual*MS16</f>
        <v/>
      </c>
      <c r="NN16" s="12">
        <f>0+0</f>
        <v/>
      </c>
      <c r="NO16" s="9">
        <f>NL16+NM16+NN16</f>
        <v/>
      </c>
      <c r="NP16" s="12">
        <f>SUM(NO5:NO16)</f>
        <v/>
      </c>
      <c r="NQ16" s="12">
        <f>OR(NQ15,NP16&gt;=VATThreshold)</f>
        <v/>
      </c>
      <c r="NR16" s="9">
        <f>IF(NQ16,NO16/(1+VATRate),NO16)</f>
        <v/>
      </c>
      <c r="NS16" s="12">
        <f>NO16-NR16</f>
        <v/>
      </c>
      <c r="NT16" s="12">
        <f>IF(NQ16=0,0,IF(MP16=1,SUMPRODUCT(--(($MQ$5:$MQ16=$MQ16-1)*($MP$5:$MP16&gt;=10)*($MP$5:$MP16&lt;=12)),$NS$5:$NS16),IF(MP16=4,SUMPRODUCT(--(($MQ$5:$MQ16=$MQ16)*($MP$5:$MP16&gt;=1)*($MP$5:$MP16&lt;=3)),$NS$5:$NS16),IF(MP16=7,SUMPRODUCT(--(($MQ$5:$MQ16=$MQ16)*($MP$5:$MP16&gt;=4)*($MP$5:$MP16&lt;=6)),$NS$5:$NS16),IF(MP16=10,SUMPRODUCT(--(($MQ$5:$MQ16=$MQ16)*($MP$5:$MP16&gt;=7)*($MP$5:$MP16&lt;=9)),$NS$5:$NS16),0)))))</f>
        <v/>
      </c>
      <c r="NU16" s="12">
        <f>NU15+NS16-NT16</f>
        <v/>
      </c>
      <c r="NV16" s="12">
        <f>IF(ProviderDelay&gt;=1,NR15*ProviderShare,NR16*ProviderShare)</f>
        <v/>
      </c>
      <c r="NW16" s="12">
        <f>NO16*PaymentFee</f>
        <v/>
      </c>
      <c r="NX16" s="12">
        <f>NI16*OpsAI</f>
        <v/>
      </c>
      <c r="NY16" s="12">
        <f>MonthlyFixed</f>
        <v/>
      </c>
      <c r="NZ16" s="12">
        <f>MW16*ReferralReward</f>
        <v/>
      </c>
      <c r="OA16" s="12">
        <f>MU16</f>
        <v/>
      </c>
      <c r="OB16" s="9">
        <f>NR16-NV16-NW16-NX16-NY16-NZ16-OA16</f>
        <v/>
      </c>
      <c r="OC16" s="9">
        <f>OC15+NO16-(NV16+NW16+NX16+NY16+NZ16+OA16+NT16)</f>
        <v/>
      </c>
      <c r="OD16" s="12">
        <f>IF(NI16&gt;0,NJ16/NI16,0)</f>
        <v/>
      </c>
      <c r="OE16" s="11">
        <f>IF(NI15&gt;0,MAX(0,(NI15+MX16-NI16)/NI15),0)</f>
        <v/>
      </c>
      <c r="OG16" s="12" t="n">
        <v>12</v>
      </c>
      <c r="OH16" s="12">
        <f>MOD(OG16-1+LaunchMonth-1,12)+1</f>
        <v/>
      </c>
      <c r="OI16" s="12">
        <f>INT((OG16-1+LaunchMonth-1)/12)+1</f>
        <v/>
      </c>
      <c r="OJ16" s="12">
        <f>VLOOKUP(OH16,SeasonTable,2,FALSE)</f>
        <v/>
      </c>
      <c r="OK16" s="12">
        <f>(1+InflationRate)^INT((OG16-1)/12)</f>
        <v/>
      </c>
      <c r="OL16" s="11">
        <f>'Sens - Churn'!$A$19*VLOOKUP(OH16,ChurnSeasonTable,4,FALSE)</f>
        <v/>
      </c>
      <c r="OM16" s="12">
        <f>MIN(MAX(MktMin7_12,PG15*MktPct7_12),MAX(0,PU15-CashBuffer))</f>
        <v/>
      </c>
      <c r="ON16" s="12">
        <f>IF(OM16&gt;0,MAX(1,ROUND(OM16/CAC*OJ16,0)),0)</f>
        <v/>
      </c>
      <c r="OO16" s="12">
        <f>IF(ON16&gt;0,ROUND(ON16*ReferralMix/(1-ReferralMix),0),0)</f>
        <v/>
      </c>
      <c r="OP16" s="12">
        <f>ON16+OO16</f>
        <v/>
      </c>
      <c r="OQ16" s="12">
        <f>ROUND(OP16*(1-AnnualMix),0)</f>
        <v/>
      </c>
      <c r="OR16" s="12">
        <f>OP16-OQ16</f>
        <v/>
      </c>
      <c r="OS16" s="12">
        <f>ROUND(OQ16*EssentialMix,0)</f>
        <v/>
      </c>
      <c r="OT16" s="12">
        <f>OQ16-OS16</f>
        <v/>
      </c>
      <c r="OU16" s="12">
        <f>ROUND(OR16*EssentialMix,0)</f>
        <v/>
      </c>
      <c r="OV16" s="12">
        <f>OR16-OU16</f>
        <v/>
      </c>
      <c r="OW16" s="12">
        <f>OS16+OS15+OS14+MAX(0,OW15-OS15-OS14)*(1-OL16)</f>
        <v/>
      </c>
      <c r="OX16" s="12">
        <f>OT16+OT15+OT14+MAX(0,OX15-OT15-OT14)*(1-OL16)</f>
        <v/>
      </c>
      <c r="OY16" s="12">
        <f>SUM(OU$5:OU16)</f>
        <v/>
      </c>
      <c r="OZ16" s="12">
        <f>SUM(OV$5:OV16)</f>
        <v/>
      </c>
      <c r="PA16" s="12">
        <f>OW16+OX16+OY16+OZ16</f>
        <v/>
      </c>
      <c r="PB16" s="9">
        <f>OW16*PriceEssMonthly*OK16+OX16*PricePremMonthly*OK16+OY16*PriceEssAnnual*OK16/12+OZ16*PricePremAnnual*OK16/12</f>
        <v/>
      </c>
      <c r="PC16" s="9">
        <f>PB16*12</f>
        <v/>
      </c>
      <c r="PD16" s="12">
        <f>OW16*PriceEssMonthly*OK16+OX16*PricePremMonthly*OK16</f>
        <v/>
      </c>
      <c r="PE16" s="12">
        <f>OU16*PriceEssAnnual*OK16+OV16*PricePremAnnual*OK16</f>
        <v/>
      </c>
      <c r="PF16" s="12">
        <f>0+0</f>
        <v/>
      </c>
      <c r="PG16" s="9">
        <f>PD16+PE16+PF16</f>
        <v/>
      </c>
      <c r="PH16" s="12">
        <f>SUM(PG5:PG16)</f>
        <v/>
      </c>
      <c r="PI16" s="12">
        <f>OR(PI15,PH16&gt;=VATThreshold)</f>
        <v/>
      </c>
      <c r="PJ16" s="9">
        <f>IF(PI16,PG16/(1+VATRate),PG16)</f>
        <v/>
      </c>
      <c r="PK16" s="12">
        <f>PG16-PJ16</f>
        <v/>
      </c>
      <c r="PL16" s="12">
        <f>IF(PI16=0,0,IF(OH16=1,SUMPRODUCT(--(($OI$5:$OI16=$OI16-1)*($OH$5:$OH16&gt;=10)*($OH$5:$OH16&lt;=12)),$PK$5:$PK16),IF(OH16=4,SUMPRODUCT(--(($OI$5:$OI16=$OI16)*($OH$5:$OH16&gt;=1)*($OH$5:$OH16&lt;=3)),$PK$5:$PK16),IF(OH16=7,SUMPRODUCT(--(($OI$5:$OI16=$OI16)*($OH$5:$OH16&gt;=4)*($OH$5:$OH16&lt;=6)),$PK$5:$PK16),IF(OH16=10,SUMPRODUCT(--(($OI$5:$OI16=$OI16)*($OH$5:$OH16&gt;=7)*($OH$5:$OH16&lt;=9)),$PK$5:$PK16),0)))))</f>
        <v/>
      </c>
      <c r="PM16" s="12">
        <f>PM15+PK16-PL16</f>
        <v/>
      </c>
      <c r="PN16" s="12">
        <f>IF(ProviderDelay&gt;=1,PJ15*ProviderShare,PJ16*ProviderShare)</f>
        <v/>
      </c>
      <c r="PO16" s="12">
        <f>PG16*PaymentFee</f>
        <v/>
      </c>
      <c r="PP16" s="12">
        <f>PA16*OpsAI</f>
        <v/>
      </c>
      <c r="PQ16" s="12">
        <f>MonthlyFixed</f>
        <v/>
      </c>
      <c r="PR16" s="12">
        <f>OO16*ReferralReward</f>
        <v/>
      </c>
      <c r="PS16" s="12">
        <f>OM16</f>
        <v/>
      </c>
      <c r="PT16" s="9">
        <f>PJ16-PN16-PO16-PP16-PQ16-PR16-PS16</f>
        <v/>
      </c>
      <c r="PU16" s="9">
        <f>PU15+PG16-(PN16+PO16+PP16+PQ16+PR16+PS16+PL16)</f>
        <v/>
      </c>
      <c r="PV16" s="12">
        <f>IF(PA16&gt;0,PB16/PA16,0)</f>
        <v/>
      </c>
      <c r="PW16" s="11">
        <f>IF(PA15&gt;0,MAX(0,(PA15+OP16-PA16)/PA15),0)</f>
        <v/>
      </c>
      <c r="PY16" s="12" t="n">
        <v>12</v>
      </c>
      <c r="PZ16" s="12">
        <f>MOD(PY16-1+LaunchMonth-1,12)+1</f>
        <v/>
      </c>
      <c r="QA16" s="12">
        <f>INT((PY16-1+LaunchMonth-1)/12)+1</f>
        <v/>
      </c>
      <c r="QB16" s="12">
        <f>VLOOKUP(PZ16,SeasonTable,2,FALSE)</f>
        <v/>
      </c>
      <c r="QC16" s="12">
        <f>(1+InflationRate)^INT((PY16-1)/12)</f>
        <v/>
      </c>
      <c r="QD16" s="11">
        <f>'Sens - Churn'!$A$20*VLOOKUP(PZ16,ChurnSeasonTable,4,FALSE)</f>
        <v/>
      </c>
      <c r="QE16" s="12">
        <f>MIN(MAX(MktMin7_12,QY15*MktPct7_12),MAX(0,RM15-CashBuffer))</f>
        <v/>
      </c>
      <c r="QF16" s="12">
        <f>IF(QE16&gt;0,MAX(1,ROUND(QE16/CAC*QB16,0)),0)</f>
        <v/>
      </c>
      <c r="QG16" s="12">
        <f>IF(QF16&gt;0,ROUND(QF16*ReferralMix/(1-ReferralMix),0),0)</f>
        <v/>
      </c>
      <c r="QH16" s="12">
        <f>QF16+QG16</f>
        <v/>
      </c>
      <c r="QI16" s="12">
        <f>ROUND(QH16*(1-AnnualMix),0)</f>
        <v/>
      </c>
      <c r="QJ16" s="12">
        <f>QH16-QI16</f>
        <v/>
      </c>
      <c r="QK16" s="12">
        <f>ROUND(QI16*EssentialMix,0)</f>
        <v/>
      </c>
      <c r="QL16" s="12">
        <f>QI16-QK16</f>
        <v/>
      </c>
      <c r="QM16" s="12">
        <f>ROUND(QJ16*EssentialMix,0)</f>
        <v/>
      </c>
      <c r="QN16" s="12">
        <f>QJ16-QM16</f>
        <v/>
      </c>
      <c r="QO16" s="12">
        <f>QK16+QK15+QK14+MAX(0,QO15-QK15-QK14)*(1-QD16)</f>
        <v/>
      </c>
      <c r="QP16" s="12">
        <f>QL16+QL15+QL14+MAX(0,QP15-QL15-QL14)*(1-QD16)</f>
        <v/>
      </c>
      <c r="QQ16" s="12">
        <f>SUM(QM$5:QM16)</f>
        <v/>
      </c>
      <c r="QR16" s="12">
        <f>SUM(QN$5:QN16)</f>
        <v/>
      </c>
      <c r="QS16" s="12">
        <f>QO16+QP16+QQ16+QR16</f>
        <v/>
      </c>
      <c r="QT16" s="9">
        <f>QO16*PriceEssMonthly*QC16+QP16*PricePremMonthly*QC16+QQ16*PriceEssAnnual*QC16/12+QR16*PricePremAnnual*QC16/12</f>
        <v/>
      </c>
      <c r="QU16" s="9">
        <f>QT16*12</f>
        <v/>
      </c>
      <c r="QV16" s="12">
        <f>QO16*PriceEssMonthly*QC16+QP16*PricePremMonthly*QC16</f>
        <v/>
      </c>
      <c r="QW16" s="12">
        <f>QM16*PriceEssAnnual*QC16+QN16*PricePremAnnual*QC16</f>
        <v/>
      </c>
      <c r="QX16" s="12">
        <f>0+0</f>
        <v/>
      </c>
      <c r="QY16" s="9">
        <f>QV16+QW16+QX16</f>
        <v/>
      </c>
      <c r="QZ16" s="12">
        <f>SUM(QY5:QY16)</f>
        <v/>
      </c>
      <c r="RA16" s="12">
        <f>OR(RA15,QZ16&gt;=VATThreshold)</f>
        <v/>
      </c>
      <c r="RB16" s="9">
        <f>IF(RA16,QY16/(1+VATRate),QY16)</f>
        <v/>
      </c>
      <c r="RC16" s="12">
        <f>QY16-RB16</f>
        <v/>
      </c>
      <c r="RD16" s="12">
        <f>IF(RA16=0,0,IF(PZ16=1,SUMPRODUCT(--(($QA$5:$QA16=$QA16-1)*($PZ$5:$PZ16&gt;=10)*($PZ$5:$PZ16&lt;=12)),$RC$5:$RC16),IF(PZ16=4,SUMPRODUCT(--(($QA$5:$QA16=$QA16)*($PZ$5:$PZ16&gt;=1)*($PZ$5:$PZ16&lt;=3)),$RC$5:$RC16),IF(PZ16=7,SUMPRODUCT(--(($QA$5:$QA16=$QA16)*($PZ$5:$PZ16&gt;=4)*($PZ$5:$PZ16&lt;=6)),$RC$5:$RC16),IF(PZ16=10,SUMPRODUCT(--(($QA$5:$QA16=$QA16)*($PZ$5:$PZ16&gt;=7)*($PZ$5:$PZ16&lt;=9)),$RC$5:$RC16),0)))))</f>
        <v/>
      </c>
      <c r="RE16" s="12">
        <f>RE15+RC16-RD16</f>
        <v/>
      </c>
      <c r="RF16" s="12">
        <f>IF(ProviderDelay&gt;=1,RB15*ProviderShare,RB16*ProviderShare)</f>
        <v/>
      </c>
      <c r="RG16" s="12">
        <f>QY16*PaymentFee</f>
        <v/>
      </c>
      <c r="RH16" s="12">
        <f>QS16*OpsAI</f>
        <v/>
      </c>
      <c r="RI16" s="12">
        <f>MonthlyFixed</f>
        <v/>
      </c>
      <c r="RJ16" s="12">
        <f>QG16*ReferralReward</f>
        <v/>
      </c>
      <c r="RK16" s="12">
        <f>QE16</f>
        <v/>
      </c>
      <c r="RL16" s="9">
        <f>RB16-RF16-RG16-RH16-RI16-RJ16-RK16</f>
        <v/>
      </c>
      <c r="RM16" s="9">
        <f>RM15+QY16-(RF16+RG16+RH16+RI16+RJ16+RK16+RD16)</f>
        <v/>
      </c>
      <c r="RN16" s="12">
        <f>IF(QS16&gt;0,QT16/QS16,0)</f>
        <v/>
      </c>
      <c r="RO16" s="11">
        <f>IF(QS15&gt;0,MAX(0,(QS15+QH16-QS16)/QS15),0)</f>
        <v/>
      </c>
      <c r="RQ16" s="12" t="n">
        <v>12</v>
      </c>
      <c r="RR16" s="12">
        <f>MOD(RQ16-1+LaunchMonth-1,12)+1</f>
        <v/>
      </c>
      <c r="RS16" s="12">
        <f>INT((RQ16-1+LaunchMonth-1)/12)+1</f>
        <v/>
      </c>
      <c r="RT16" s="12">
        <f>VLOOKUP(RR16,SeasonTable,2,FALSE)</f>
        <v/>
      </c>
      <c r="RU16" s="12">
        <f>(1+InflationRate)^INT((RQ16-1)/12)</f>
        <v/>
      </c>
      <c r="RV16" s="11">
        <f>'Sens - Churn'!$A$21*VLOOKUP(RR16,ChurnSeasonTable,4,FALSE)</f>
        <v/>
      </c>
      <c r="RW16" s="12">
        <f>MIN(MAX(MktMin7_12,SQ15*MktPct7_12),MAX(0,TE15-CashBuffer))</f>
        <v/>
      </c>
      <c r="RX16" s="12">
        <f>IF(RW16&gt;0,MAX(1,ROUND(RW16/CAC*RT16,0)),0)</f>
        <v/>
      </c>
      <c r="RY16" s="12">
        <f>IF(RX16&gt;0,ROUND(RX16*ReferralMix/(1-ReferralMix),0),0)</f>
        <v/>
      </c>
      <c r="RZ16" s="12">
        <f>RX16+RY16</f>
        <v/>
      </c>
      <c r="SA16" s="12">
        <f>ROUND(RZ16*(1-AnnualMix),0)</f>
        <v/>
      </c>
      <c r="SB16" s="12">
        <f>RZ16-SA16</f>
        <v/>
      </c>
      <c r="SC16" s="12">
        <f>ROUND(SA16*EssentialMix,0)</f>
        <v/>
      </c>
      <c r="SD16" s="12">
        <f>SA16-SC16</f>
        <v/>
      </c>
      <c r="SE16" s="12">
        <f>ROUND(SB16*EssentialMix,0)</f>
        <v/>
      </c>
      <c r="SF16" s="12">
        <f>SB16-SE16</f>
        <v/>
      </c>
      <c r="SG16" s="12">
        <f>SC16+SC15+SC14+MAX(0,SG15-SC15-SC14)*(1-RV16)</f>
        <v/>
      </c>
      <c r="SH16" s="12">
        <f>SD16+SD15+SD14+MAX(0,SH15-SD15-SD14)*(1-RV16)</f>
        <v/>
      </c>
      <c r="SI16" s="12">
        <f>SUM(SE$5:SE16)</f>
        <v/>
      </c>
      <c r="SJ16" s="12">
        <f>SUM(SF$5:SF16)</f>
        <v/>
      </c>
      <c r="SK16" s="12">
        <f>SG16+SH16+SI16+SJ16</f>
        <v/>
      </c>
      <c r="SL16" s="9">
        <f>SG16*PriceEssMonthly*RU16+SH16*PricePremMonthly*RU16+SI16*PriceEssAnnual*RU16/12+SJ16*PricePremAnnual*RU16/12</f>
        <v/>
      </c>
      <c r="SM16" s="9">
        <f>SL16*12</f>
        <v/>
      </c>
      <c r="SN16" s="12">
        <f>SG16*PriceEssMonthly*RU16+SH16*PricePremMonthly*RU16</f>
        <v/>
      </c>
      <c r="SO16" s="12">
        <f>SE16*PriceEssAnnual*RU16+SF16*PricePremAnnual*RU16</f>
        <v/>
      </c>
      <c r="SP16" s="12">
        <f>0+0</f>
        <v/>
      </c>
      <c r="SQ16" s="9">
        <f>SN16+SO16+SP16</f>
        <v/>
      </c>
      <c r="SR16" s="12">
        <f>SUM(SQ5:SQ16)</f>
        <v/>
      </c>
      <c r="SS16" s="12">
        <f>OR(SS15,SR16&gt;=VATThreshold)</f>
        <v/>
      </c>
      <c r="ST16" s="9">
        <f>IF(SS16,SQ16/(1+VATRate),SQ16)</f>
        <v/>
      </c>
      <c r="SU16" s="12">
        <f>SQ16-ST16</f>
        <v/>
      </c>
      <c r="SV16" s="12">
        <f>IF(SS16=0,0,IF(RR16=1,SUMPRODUCT(--(($RS$5:$RS16=$RS16-1)*($RR$5:$RR16&gt;=10)*($RR$5:$RR16&lt;=12)),$SU$5:$SU16),IF(RR16=4,SUMPRODUCT(--(($RS$5:$RS16=$RS16)*($RR$5:$RR16&gt;=1)*($RR$5:$RR16&lt;=3)),$SU$5:$SU16),IF(RR16=7,SUMPRODUCT(--(($RS$5:$RS16=$RS16)*($RR$5:$RR16&gt;=4)*($RR$5:$RR16&lt;=6)),$SU$5:$SU16),IF(RR16=10,SUMPRODUCT(--(($RS$5:$RS16=$RS16)*($RR$5:$RR16&gt;=7)*($RR$5:$RR16&lt;=9)),$SU$5:$SU16),0)))))</f>
        <v/>
      </c>
      <c r="SW16" s="12">
        <f>SW15+SU16-SV16</f>
        <v/>
      </c>
      <c r="SX16" s="12">
        <f>IF(ProviderDelay&gt;=1,ST15*ProviderShare,ST16*ProviderShare)</f>
        <v/>
      </c>
      <c r="SY16" s="12">
        <f>SQ16*PaymentFee</f>
        <v/>
      </c>
      <c r="SZ16" s="12">
        <f>SK16*OpsAI</f>
        <v/>
      </c>
      <c r="TA16" s="12">
        <f>MonthlyFixed</f>
        <v/>
      </c>
      <c r="TB16" s="12">
        <f>RY16*ReferralReward</f>
        <v/>
      </c>
      <c r="TC16" s="12">
        <f>RW16</f>
        <v/>
      </c>
      <c r="TD16" s="9">
        <f>ST16-SX16-SY16-SZ16-TA16-TB16-TC16</f>
        <v/>
      </c>
      <c r="TE16" s="9">
        <f>TE15+SQ16-(SX16+SY16+SZ16+TA16+TB16+TC16+SV16)</f>
        <v/>
      </c>
      <c r="TF16" s="12">
        <f>IF(SK16&gt;0,SL16/SK16,0)</f>
        <v/>
      </c>
      <c r="TG16" s="11">
        <f>IF(SK15&gt;0,MAX(0,(SK15+RZ16-SK16)/SK15),0)</f>
        <v/>
      </c>
      <c r="TI16" s="12" t="n">
        <v>12</v>
      </c>
      <c r="TJ16" s="12">
        <f>MOD(TI16-1+LaunchMonth-1,12)+1</f>
        <v/>
      </c>
      <c r="TK16" s="12">
        <f>INT((TI16-1+LaunchMonth-1)/12)+1</f>
        <v/>
      </c>
      <c r="TL16" s="12">
        <f>VLOOKUP(TJ16,SeasonTable,2,FALSE)</f>
        <v/>
      </c>
      <c r="TM16" s="12">
        <f>(1+InflationRate)^INT((TI16-1)/12)</f>
        <v/>
      </c>
      <c r="TN16" s="11">
        <f>MonthlyChurn*VLOOKUP(TJ16,ChurnSeasonTable,4,FALSE)</f>
        <v/>
      </c>
      <c r="TO16" s="12">
        <f>MIN(MAX(MktMin7_12,UI15*MktPct7_12),MAX(0,UW15-CashBuffer))</f>
        <v/>
      </c>
      <c r="TP16" s="12">
        <f>IF(TO16&gt;0,MAX(1,ROUND(TO16/CAC*TL16,0)),0)</f>
        <v/>
      </c>
      <c r="TQ16" s="12">
        <f>IF(TP16&gt;0,ROUND(TP16*ReferralMix/(1-ReferralMix),0),0)</f>
        <v/>
      </c>
      <c r="TR16" s="12">
        <f>TP16+TQ16</f>
        <v/>
      </c>
      <c r="TS16" s="12">
        <f>ROUND(TR16*(1-'Sens - Annual Mix'!$A$9),0)</f>
        <v/>
      </c>
      <c r="TT16" s="12">
        <f>TR16-TS16</f>
        <v/>
      </c>
      <c r="TU16" s="12">
        <f>ROUND(TS16*EssentialMix,0)</f>
        <v/>
      </c>
      <c r="TV16" s="12">
        <f>TS16-TU16</f>
        <v/>
      </c>
      <c r="TW16" s="12">
        <f>ROUND(TT16*EssentialMix,0)</f>
        <v/>
      </c>
      <c r="TX16" s="12">
        <f>TT16-TW16</f>
        <v/>
      </c>
      <c r="TY16" s="12">
        <f>TU16+TU15+TU14+MAX(0,TY15-TU15-TU14)*(1-TN16)</f>
        <v/>
      </c>
      <c r="TZ16" s="12">
        <f>TV16+TV15+TV14+MAX(0,TZ15-TV15-TV14)*(1-TN16)</f>
        <v/>
      </c>
      <c r="UA16" s="12">
        <f>SUM(TW$5:TW16)</f>
        <v/>
      </c>
      <c r="UB16" s="12">
        <f>SUM(TX$5:TX16)</f>
        <v/>
      </c>
      <c r="UC16" s="12">
        <f>TY16+TZ16+UA16+UB16</f>
        <v/>
      </c>
      <c r="UD16" s="9">
        <f>TY16*PriceEssMonthly*TM16+TZ16*PricePremMonthly*TM16+UA16*PriceEssAnnual*TM16/12+UB16*PricePremAnnual*TM16/12</f>
        <v/>
      </c>
      <c r="UE16" s="9">
        <f>UD16*12</f>
        <v/>
      </c>
      <c r="UF16" s="12">
        <f>TY16*PriceEssMonthly*TM16+TZ16*PricePremMonthly*TM16</f>
        <v/>
      </c>
      <c r="UG16" s="12">
        <f>TW16*PriceEssAnnual*TM16+TX16*PricePremAnnual*TM16</f>
        <v/>
      </c>
      <c r="UH16" s="12">
        <f>0+0</f>
        <v/>
      </c>
      <c r="UI16" s="9">
        <f>UF16+UG16+UH16</f>
        <v/>
      </c>
      <c r="UJ16" s="12">
        <f>SUM(UI5:UI16)</f>
        <v/>
      </c>
      <c r="UK16" s="12">
        <f>OR(UK15,UJ16&gt;=VATThreshold)</f>
        <v/>
      </c>
      <c r="UL16" s="9">
        <f>IF(UK16,UI16/(1+VATRate),UI16)</f>
        <v/>
      </c>
      <c r="UM16" s="12">
        <f>UI16-UL16</f>
        <v/>
      </c>
      <c r="UN16" s="12">
        <f>IF(UK16=0,0,IF(TJ16=1,SUMPRODUCT(--(($TK$5:$TK16=$TK16-1)*($TJ$5:$TJ16&gt;=10)*($TJ$5:$TJ16&lt;=12)),$UM$5:$UM16),IF(TJ16=4,SUMPRODUCT(--(($TK$5:$TK16=$TK16)*($TJ$5:$TJ16&gt;=1)*($TJ$5:$TJ16&lt;=3)),$UM$5:$UM16),IF(TJ16=7,SUMPRODUCT(--(($TK$5:$TK16=$TK16)*($TJ$5:$TJ16&gt;=4)*($TJ$5:$TJ16&lt;=6)),$UM$5:$UM16),IF(TJ16=10,SUMPRODUCT(--(($TK$5:$TK16=$TK16)*($TJ$5:$TJ16&gt;=7)*($TJ$5:$TJ16&lt;=9)),$UM$5:$UM16),0)))))</f>
        <v/>
      </c>
      <c r="UO16" s="12">
        <f>UO15+UM16-UN16</f>
        <v/>
      </c>
      <c r="UP16" s="12">
        <f>IF(ProviderDelay&gt;=1,UL15*ProviderShare,UL16*ProviderShare)</f>
        <v/>
      </c>
      <c r="UQ16" s="12">
        <f>UI16*PaymentFee</f>
        <v/>
      </c>
      <c r="UR16" s="12">
        <f>UC16*OpsAI</f>
        <v/>
      </c>
      <c r="US16" s="12">
        <f>MonthlyFixed</f>
        <v/>
      </c>
      <c r="UT16" s="12">
        <f>TQ16*ReferralReward</f>
        <v/>
      </c>
      <c r="UU16" s="12">
        <f>TO16</f>
        <v/>
      </c>
      <c r="UV16" s="9">
        <f>UL16-UP16-UQ16-UR16-US16-UT16-UU16</f>
        <v/>
      </c>
      <c r="UW16" s="9">
        <f>UW15+UI16-(UP16+UQ16+UR16+US16+UT16+UU16+UN16)</f>
        <v/>
      </c>
      <c r="UX16" s="12">
        <f>IF(UC16&gt;0,UD16/UC16,0)</f>
        <v/>
      </c>
      <c r="UY16" s="11">
        <f>IF(UC15&gt;0,MAX(0,(UC15+TR16-UC16)/UC15),0)</f>
        <v/>
      </c>
      <c r="VA16" s="12" t="n">
        <v>12</v>
      </c>
      <c r="VB16" s="12">
        <f>MOD(VA16-1+LaunchMonth-1,12)+1</f>
        <v/>
      </c>
      <c r="VC16" s="12">
        <f>INT((VA16-1+LaunchMonth-1)/12)+1</f>
        <v/>
      </c>
      <c r="VD16" s="12">
        <f>VLOOKUP(VB16,SeasonTable,2,FALSE)</f>
        <v/>
      </c>
      <c r="VE16" s="12">
        <f>(1+InflationRate)^INT((VA16-1)/12)</f>
        <v/>
      </c>
      <c r="VF16" s="11">
        <f>MonthlyChurn*VLOOKUP(VB16,ChurnSeasonTable,4,FALSE)</f>
        <v/>
      </c>
      <c r="VG16" s="12">
        <f>MIN(MAX(MktMin7_12,WA15*MktPct7_12),MAX(0,WO15-CashBuffer))</f>
        <v/>
      </c>
      <c r="VH16" s="12">
        <f>IF(VG16&gt;0,MAX(1,ROUND(VG16/CAC*VD16,0)),0)</f>
        <v/>
      </c>
      <c r="VI16" s="12">
        <f>IF(VH16&gt;0,ROUND(VH16*ReferralMix/(1-ReferralMix),0),0)</f>
        <v/>
      </c>
      <c r="VJ16" s="12">
        <f>VH16+VI16</f>
        <v/>
      </c>
      <c r="VK16" s="12">
        <f>ROUND(VJ16*(1-'Sens - Annual Mix'!$A$10),0)</f>
        <v/>
      </c>
      <c r="VL16" s="12">
        <f>VJ16-VK16</f>
        <v/>
      </c>
      <c r="VM16" s="12">
        <f>ROUND(VK16*EssentialMix,0)</f>
        <v/>
      </c>
      <c r="VN16" s="12">
        <f>VK16-VM16</f>
        <v/>
      </c>
      <c r="VO16" s="12">
        <f>ROUND(VL16*EssentialMix,0)</f>
        <v/>
      </c>
      <c r="VP16" s="12">
        <f>VL16-VO16</f>
        <v/>
      </c>
      <c r="VQ16" s="12">
        <f>VM16+VM15+VM14+MAX(0,VQ15-VM15-VM14)*(1-VF16)</f>
        <v/>
      </c>
      <c r="VR16" s="12">
        <f>VN16+VN15+VN14+MAX(0,VR15-VN15-VN14)*(1-VF16)</f>
        <v/>
      </c>
      <c r="VS16" s="12">
        <f>SUM(VO$5:VO16)</f>
        <v/>
      </c>
      <c r="VT16" s="12">
        <f>SUM(VP$5:VP16)</f>
        <v/>
      </c>
      <c r="VU16" s="12">
        <f>VQ16+VR16+VS16+VT16</f>
        <v/>
      </c>
      <c r="VV16" s="9">
        <f>VQ16*PriceEssMonthly*VE16+VR16*PricePremMonthly*VE16+VS16*PriceEssAnnual*VE16/12+VT16*PricePremAnnual*VE16/12</f>
        <v/>
      </c>
      <c r="VW16" s="9">
        <f>VV16*12</f>
        <v/>
      </c>
      <c r="VX16" s="12">
        <f>VQ16*PriceEssMonthly*VE16+VR16*PricePremMonthly*VE16</f>
        <v/>
      </c>
      <c r="VY16" s="12">
        <f>VO16*PriceEssAnnual*VE16+VP16*PricePremAnnual*VE16</f>
        <v/>
      </c>
      <c r="VZ16" s="12">
        <f>0+0</f>
        <v/>
      </c>
      <c r="WA16" s="9">
        <f>VX16+VY16+VZ16</f>
        <v/>
      </c>
      <c r="WB16" s="12">
        <f>SUM(WA5:WA16)</f>
        <v/>
      </c>
      <c r="WC16" s="12">
        <f>OR(WC15,WB16&gt;=VATThreshold)</f>
        <v/>
      </c>
      <c r="WD16" s="9">
        <f>IF(WC16,WA16/(1+VATRate),WA16)</f>
        <v/>
      </c>
      <c r="WE16" s="12">
        <f>WA16-WD16</f>
        <v/>
      </c>
      <c r="WF16" s="12">
        <f>IF(WC16=0,0,IF(VB16=1,SUMPRODUCT(--(($VC$5:$VC16=$VC16-1)*($VB$5:$VB16&gt;=10)*($VB$5:$VB16&lt;=12)),$WE$5:$WE16),IF(VB16=4,SUMPRODUCT(--(($VC$5:$VC16=$VC16)*($VB$5:$VB16&gt;=1)*($VB$5:$VB16&lt;=3)),$WE$5:$WE16),IF(VB16=7,SUMPRODUCT(--(($VC$5:$VC16=$VC16)*($VB$5:$VB16&gt;=4)*($VB$5:$VB16&lt;=6)),$WE$5:$WE16),IF(VB16=10,SUMPRODUCT(--(($VC$5:$VC16=$VC16)*($VB$5:$VB16&gt;=7)*($VB$5:$VB16&lt;=9)),$WE$5:$WE16),0)))))</f>
        <v/>
      </c>
      <c r="WG16" s="12">
        <f>WG15+WE16-WF16</f>
        <v/>
      </c>
      <c r="WH16" s="12">
        <f>IF(ProviderDelay&gt;=1,WD15*ProviderShare,WD16*ProviderShare)</f>
        <v/>
      </c>
      <c r="WI16" s="12">
        <f>WA16*PaymentFee</f>
        <v/>
      </c>
      <c r="WJ16" s="12">
        <f>VU16*OpsAI</f>
        <v/>
      </c>
      <c r="WK16" s="12">
        <f>MonthlyFixed</f>
        <v/>
      </c>
      <c r="WL16" s="12">
        <f>VI16*ReferralReward</f>
        <v/>
      </c>
      <c r="WM16" s="12">
        <f>VG16</f>
        <v/>
      </c>
      <c r="WN16" s="9">
        <f>WD16-WH16-WI16-WJ16-WK16-WL16-WM16</f>
        <v/>
      </c>
      <c r="WO16" s="9">
        <f>WO15+WA16-(WH16+WI16+WJ16+WK16+WL16+WM16+WF16)</f>
        <v/>
      </c>
      <c r="WP16" s="12">
        <f>IF(VU16&gt;0,VV16/VU16,0)</f>
        <v/>
      </c>
      <c r="WQ16" s="11">
        <f>IF(VU15&gt;0,MAX(0,(VU15+VJ16-VU16)/VU15),0)</f>
        <v/>
      </c>
      <c r="WS16" s="12" t="n">
        <v>12</v>
      </c>
      <c r="WT16" s="12">
        <f>MOD(WS16-1+LaunchMonth-1,12)+1</f>
        <v/>
      </c>
      <c r="WU16" s="12">
        <f>INT((WS16-1+LaunchMonth-1)/12)+1</f>
        <v/>
      </c>
      <c r="WV16" s="12">
        <f>VLOOKUP(WT16,SeasonTable,2,FALSE)</f>
        <v/>
      </c>
      <c r="WW16" s="12">
        <f>(1+InflationRate)^INT((WS16-1)/12)</f>
        <v/>
      </c>
      <c r="WX16" s="11">
        <f>MonthlyChurn*VLOOKUP(WT16,ChurnSeasonTable,4,FALSE)</f>
        <v/>
      </c>
      <c r="WY16" s="12">
        <f>MIN(MAX(MktMin7_12,XS15*MktPct7_12),MAX(0,YG15-CashBuffer))</f>
        <v/>
      </c>
      <c r="WZ16" s="12">
        <f>IF(WY16&gt;0,MAX(1,ROUND(WY16/CAC*WV16,0)),0)</f>
        <v/>
      </c>
      <c r="XA16" s="12">
        <f>IF(WZ16&gt;0,ROUND(WZ16*ReferralMix/(1-ReferralMix),0),0)</f>
        <v/>
      </c>
      <c r="XB16" s="12">
        <f>WZ16+XA16</f>
        <v/>
      </c>
      <c r="XC16" s="12">
        <f>ROUND(XB16*(1-'Sens - Annual Mix'!$A$11),0)</f>
        <v/>
      </c>
      <c r="XD16" s="12">
        <f>XB16-XC16</f>
        <v/>
      </c>
      <c r="XE16" s="12">
        <f>ROUND(XC16*EssentialMix,0)</f>
        <v/>
      </c>
      <c r="XF16" s="12">
        <f>XC16-XE16</f>
        <v/>
      </c>
      <c r="XG16" s="12">
        <f>ROUND(XD16*EssentialMix,0)</f>
        <v/>
      </c>
      <c r="XH16" s="12">
        <f>XD16-XG16</f>
        <v/>
      </c>
      <c r="XI16" s="12">
        <f>XE16+XE15+XE14+MAX(0,XI15-XE15-XE14)*(1-WX16)</f>
        <v/>
      </c>
      <c r="XJ16" s="12">
        <f>XF16+XF15+XF14+MAX(0,XJ15-XF15-XF14)*(1-WX16)</f>
        <v/>
      </c>
      <c r="XK16" s="12">
        <f>SUM(XG$5:XG16)</f>
        <v/>
      </c>
      <c r="XL16" s="12">
        <f>SUM(XH$5:XH16)</f>
        <v/>
      </c>
      <c r="XM16" s="12">
        <f>XI16+XJ16+XK16+XL16</f>
        <v/>
      </c>
      <c r="XN16" s="9">
        <f>XI16*PriceEssMonthly*WW16+XJ16*PricePremMonthly*WW16+XK16*PriceEssAnnual*WW16/12+XL16*PricePremAnnual*WW16/12</f>
        <v/>
      </c>
      <c r="XO16" s="9">
        <f>XN16*12</f>
        <v/>
      </c>
      <c r="XP16" s="12">
        <f>XI16*PriceEssMonthly*WW16+XJ16*PricePremMonthly*WW16</f>
        <v/>
      </c>
      <c r="XQ16" s="12">
        <f>XG16*PriceEssAnnual*WW16+XH16*PricePremAnnual*WW16</f>
        <v/>
      </c>
      <c r="XR16" s="12">
        <f>0+0</f>
        <v/>
      </c>
      <c r="XS16" s="9">
        <f>XP16+XQ16+XR16</f>
        <v/>
      </c>
      <c r="XT16" s="12">
        <f>SUM(XS5:XS16)</f>
        <v/>
      </c>
      <c r="XU16" s="12">
        <f>OR(XU15,XT16&gt;=VATThreshold)</f>
        <v/>
      </c>
      <c r="XV16" s="9">
        <f>IF(XU16,XS16/(1+VATRate),XS16)</f>
        <v/>
      </c>
      <c r="XW16" s="12">
        <f>XS16-XV16</f>
        <v/>
      </c>
      <c r="XX16" s="12">
        <f>IF(XU16=0,0,IF(WT16=1,SUMPRODUCT(--(($WU$5:$WU16=$WU16-1)*($WT$5:$WT16&gt;=10)*($WT$5:$WT16&lt;=12)),$XW$5:$XW16),IF(WT16=4,SUMPRODUCT(--(($WU$5:$WU16=$WU16)*($WT$5:$WT16&gt;=1)*($WT$5:$WT16&lt;=3)),$XW$5:$XW16),IF(WT16=7,SUMPRODUCT(--(($WU$5:$WU16=$WU16)*($WT$5:$WT16&gt;=4)*($WT$5:$WT16&lt;=6)),$XW$5:$XW16),IF(WT16=10,SUMPRODUCT(--(($WU$5:$WU16=$WU16)*($WT$5:$WT16&gt;=7)*($WT$5:$WT16&lt;=9)),$XW$5:$XW16),0)))))</f>
        <v/>
      </c>
      <c r="XY16" s="12">
        <f>XY15+XW16-XX16</f>
        <v/>
      </c>
      <c r="XZ16" s="12">
        <f>IF(ProviderDelay&gt;=1,XV15*ProviderShare,XV16*ProviderShare)</f>
        <v/>
      </c>
      <c r="YA16" s="12">
        <f>XS16*PaymentFee</f>
        <v/>
      </c>
      <c r="YB16" s="12">
        <f>XM16*OpsAI</f>
        <v/>
      </c>
      <c r="YC16" s="12">
        <f>MonthlyFixed</f>
        <v/>
      </c>
      <c r="YD16" s="12">
        <f>XA16*ReferralReward</f>
        <v/>
      </c>
      <c r="YE16" s="12">
        <f>WY16</f>
        <v/>
      </c>
      <c r="YF16" s="9">
        <f>XV16-XZ16-YA16-YB16-YC16-YD16-YE16</f>
        <v/>
      </c>
      <c r="YG16" s="9">
        <f>YG15+XS16-(XZ16+YA16+YB16+YC16+YD16+YE16+XX16)</f>
        <v/>
      </c>
      <c r="YH16" s="12">
        <f>IF(XM16&gt;0,XN16/XM16,0)</f>
        <v/>
      </c>
      <c r="YI16" s="11">
        <f>IF(XM15&gt;0,MAX(0,(XM15+XB16-XM16)/XM15),0)</f>
        <v/>
      </c>
      <c r="YK16" s="12" t="n">
        <v>12</v>
      </c>
      <c r="YL16" s="12">
        <f>MOD(YK16-1+LaunchMonth-1,12)+1</f>
        <v/>
      </c>
      <c r="YM16" s="12">
        <f>INT((YK16-1+LaunchMonth-1)/12)+1</f>
        <v/>
      </c>
      <c r="YN16" s="12">
        <f>VLOOKUP(YL16,SeasonTable,2,FALSE)</f>
        <v/>
      </c>
      <c r="YO16" s="12">
        <f>(1+InflationRate)^INT((YK16-1)/12)</f>
        <v/>
      </c>
      <c r="YP16" s="11">
        <f>MonthlyChurn*VLOOKUP(YL16,ChurnSeasonTable,4,FALSE)</f>
        <v/>
      </c>
      <c r="YQ16" s="12">
        <f>MIN(MAX(MktMin7_12,ZK15*MktPct7_12),MAX(0,ZY15-CashBuffer))</f>
        <v/>
      </c>
      <c r="YR16" s="12">
        <f>IF(YQ16&gt;0,MAX(1,ROUND(YQ16/CAC*YN16,0)),0)</f>
        <v/>
      </c>
      <c r="YS16" s="12">
        <f>IF(YR16&gt;0,ROUND(YR16*ReferralMix/(1-ReferralMix),0),0)</f>
        <v/>
      </c>
      <c r="YT16" s="12">
        <f>YR16+YS16</f>
        <v/>
      </c>
      <c r="YU16" s="12">
        <f>ROUND(YT16*(1-'Sens - Annual Mix'!$A$12),0)</f>
        <v/>
      </c>
      <c r="YV16" s="12">
        <f>YT16-YU16</f>
        <v/>
      </c>
      <c r="YW16" s="12">
        <f>ROUND(YU16*EssentialMix,0)</f>
        <v/>
      </c>
      <c r="YX16" s="12">
        <f>YU16-YW16</f>
        <v/>
      </c>
      <c r="YY16" s="12">
        <f>ROUND(YV16*EssentialMix,0)</f>
        <v/>
      </c>
      <c r="YZ16" s="12">
        <f>YV16-YY16</f>
        <v/>
      </c>
      <c r="ZA16" s="12">
        <f>YW16+YW15+YW14+MAX(0,ZA15-YW15-YW14)*(1-YP16)</f>
        <v/>
      </c>
      <c r="ZB16" s="12">
        <f>YX16+YX15+YX14+MAX(0,ZB15-YX15-YX14)*(1-YP16)</f>
        <v/>
      </c>
      <c r="ZC16" s="12">
        <f>SUM(YY$5:YY16)</f>
        <v/>
      </c>
      <c r="ZD16" s="12">
        <f>SUM(YZ$5:YZ16)</f>
        <v/>
      </c>
      <c r="ZE16" s="12">
        <f>ZA16+ZB16+ZC16+ZD16</f>
        <v/>
      </c>
      <c r="ZF16" s="9">
        <f>ZA16*PriceEssMonthly*YO16+ZB16*PricePremMonthly*YO16+ZC16*PriceEssAnnual*YO16/12+ZD16*PricePremAnnual*YO16/12</f>
        <v/>
      </c>
      <c r="ZG16" s="9">
        <f>ZF16*12</f>
        <v/>
      </c>
      <c r="ZH16" s="12">
        <f>ZA16*PriceEssMonthly*YO16+ZB16*PricePremMonthly*YO16</f>
        <v/>
      </c>
      <c r="ZI16" s="12">
        <f>YY16*PriceEssAnnual*YO16+YZ16*PricePremAnnual*YO16</f>
        <v/>
      </c>
      <c r="ZJ16" s="12">
        <f>0+0</f>
        <v/>
      </c>
      <c r="ZK16" s="9">
        <f>ZH16+ZI16+ZJ16</f>
        <v/>
      </c>
      <c r="ZL16" s="12">
        <f>SUM(ZK5:ZK16)</f>
        <v/>
      </c>
      <c r="ZM16" s="12">
        <f>OR(ZM15,ZL16&gt;=VATThreshold)</f>
        <v/>
      </c>
      <c r="ZN16" s="9">
        <f>IF(ZM16,ZK16/(1+VATRate),ZK16)</f>
        <v/>
      </c>
      <c r="ZO16" s="12">
        <f>ZK16-ZN16</f>
        <v/>
      </c>
      <c r="ZP16" s="12">
        <f>IF(ZM16=0,0,IF(YL16=1,SUMPRODUCT(--(($YM$5:$YM16=$YM16-1)*($YL$5:$YL16&gt;=10)*($YL$5:$YL16&lt;=12)),$ZO$5:$ZO16),IF(YL16=4,SUMPRODUCT(--(($YM$5:$YM16=$YM16)*($YL$5:$YL16&gt;=1)*($YL$5:$YL16&lt;=3)),$ZO$5:$ZO16),IF(YL16=7,SUMPRODUCT(--(($YM$5:$YM16=$YM16)*($YL$5:$YL16&gt;=4)*($YL$5:$YL16&lt;=6)),$ZO$5:$ZO16),IF(YL16=10,SUMPRODUCT(--(($YM$5:$YM16=$YM16)*($YL$5:$YL16&gt;=7)*($YL$5:$YL16&lt;=9)),$ZO$5:$ZO16),0)))))</f>
        <v/>
      </c>
      <c r="ZQ16" s="12">
        <f>ZQ15+ZO16-ZP16</f>
        <v/>
      </c>
      <c r="ZR16" s="12">
        <f>IF(ProviderDelay&gt;=1,ZN15*ProviderShare,ZN16*ProviderShare)</f>
        <v/>
      </c>
      <c r="ZS16" s="12">
        <f>ZK16*PaymentFee</f>
        <v/>
      </c>
      <c r="ZT16" s="12">
        <f>ZE16*OpsAI</f>
        <v/>
      </c>
      <c r="ZU16" s="12">
        <f>MonthlyFixed</f>
        <v/>
      </c>
      <c r="ZV16" s="12">
        <f>YS16*ReferralReward</f>
        <v/>
      </c>
      <c r="ZW16" s="12">
        <f>YQ16</f>
        <v/>
      </c>
      <c r="ZX16" s="9">
        <f>ZN16-ZR16-ZS16-ZT16-ZU16-ZV16-ZW16</f>
        <v/>
      </c>
      <c r="ZY16" s="9">
        <f>ZY15+ZK16-(ZR16+ZS16+ZT16+ZU16+ZV16+ZW16+ZP16)</f>
        <v/>
      </c>
      <c r="ZZ16" s="12">
        <f>IF(ZE16&gt;0,ZF16/ZE16,0)</f>
        <v/>
      </c>
      <c r="AAA16" s="11">
        <f>IF(ZE15&gt;0,MAX(0,(ZE15+YT16-ZE16)/ZE15),0)</f>
        <v/>
      </c>
      <c r="AAC16" s="12" t="n">
        <v>12</v>
      </c>
      <c r="AAD16" s="12">
        <f>MOD(AAC16-1+LaunchMonth-1,12)+1</f>
        <v/>
      </c>
      <c r="AAE16" s="12">
        <f>INT((AAC16-1+LaunchMonth-1)/12)+1</f>
        <v/>
      </c>
      <c r="AAF16" s="12">
        <f>VLOOKUP(AAD16,SeasonTable,2,FALSE)</f>
        <v/>
      </c>
      <c r="AAG16" s="12">
        <f>(1+InflationRate)^INT((AAC16-1)/12)</f>
        <v/>
      </c>
      <c r="AAH16" s="11">
        <f>MonthlyChurn*VLOOKUP(AAD16,ChurnSeasonTable,4,FALSE)</f>
        <v/>
      </c>
      <c r="AAI16" s="12">
        <f>MIN(MAX(MktMin7_12,ABC15*MktPct7_12),MAX(0,ABQ15-CashBuffer))</f>
        <v/>
      </c>
      <c r="AAJ16" s="12">
        <f>IF(AAI16&gt;0,MAX(1,ROUND(AAI16/CAC*AAF16,0)),0)</f>
        <v/>
      </c>
      <c r="AAK16" s="12">
        <f>IF(AAJ16&gt;0,ROUND(AAJ16*ReferralMix/(1-ReferralMix),0),0)</f>
        <v/>
      </c>
      <c r="AAL16" s="12">
        <f>AAJ16+AAK16</f>
        <v/>
      </c>
      <c r="AAM16" s="12">
        <f>ROUND(AAL16*(1-'Sens - Annual Mix'!$A$13),0)</f>
        <v/>
      </c>
      <c r="AAN16" s="12">
        <f>AAL16-AAM16</f>
        <v/>
      </c>
      <c r="AAO16" s="12">
        <f>ROUND(AAM16*EssentialMix,0)</f>
        <v/>
      </c>
      <c r="AAP16" s="12">
        <f>AAM16-AAO16</f>
        <v/>
      </c>
      <c r="AAQ16" s="12">
        <f>ROUND(AAN16*EssentialMix,0)</f>
        <v/>
      </c>
      <c r="AAR16" s="12">
        <f>AAN16-AAQ16</f>
        <v/>
      </c>
      <c r="AAS16" s="12">
        <f>AAO16+AAO15+AAO14+MAX(0,AAS15-AAO15-AAO14)*(1-AAH16)</f>
        <v/>
      </c>
      <c r="AAT16" s="12">
        <f>AAP16+AAP15+AAP14+MAX(0,AAT15-AAP15-AAP14)*(1-AAH16)</f>
        <v/>
      </c>
      <c r="AAU16" s="12">
        <f>SUM(AAQ$5:AAQ16)</f>
        <v/>
      </c>
      <c r="AAV16" s="12">
        <f>SUM(AAR$5:AAR16)</f>
        <v/>
      </c>
      <c r="AAW16" s="12">
        <f>AAS16+AAT16+AAU16+AAV16</f>
        <v/>
      </c>
      <c r="AAX16" s="9">
        <f>AAS16*PriceEssMonthly*AAG16+AAT16*PricePremMonthly*AAG16+AAU16*PriceEssAnnual*AAG16/12+AAV16*PricePremAnnual*AAG16/12</f>
        <v/>
      </c>
      <c r="AAY16" s="9">
        <f>AAX16*12</f>
        <v/>
      </c>
      <c r="AAZ16" s="12">
        <f>AAS16*PriceEssMonthly*AAG16+AAT16*PricePremMonthly*AAG16</f>
        <v/>
      </c>
      <c r="ABA16" s="12">
        <f>AAQ16*PriceEssAnnual*AAG16+AAR16*PricePremAnnual*AAG16</f>
        <v/>
      </c>
      <c r="ABB16" s="12">
        <f>0+0</f>
        <v/>
      </c>
      <c r="ABC16" s="9">
        <f>AAZ16+ABA16+ABB16</f>
        <v/>
      </c>
      <c r="ABD16" s="12">
        <f>SUM(ABC5:ABC16)</f>
        <v/>
      </c>
      <c r="ABE16" s="12">
        <f>OR(ABE15,ABD16&gt;=VATThreshold)</f>
        <v/>
      </c>
      <c r="ABF16" s="9">
        <f>IF(ABE16,ABC16/(1+VATRate),ABC16)</f>
        <v/>
      </c>
      <c r="ABG16" s="12">
        <f>ABC16-ABF16</f>
        <v/>
      </c>
      <c r="ABH16" s="12">
        <f>IF(ABE16=0,0,IF(AAD16=1,SUMPRODUCT(--(($AAE$5:$AAE16=$AAE16-1)*($AAD$5:$AAD16&gt;=10)*($AAD$5:$AAD16&lt;=12)),$ABG$5:$ABG16),IF(AAD16=4,SUMPRODUCT(--(($AAE$5:$AAE16=$AAE16)*($AAD$5:$AAD16&gt;=1)*($AAD$5:$AAD16&lt;=3)),$ABG$5:$ABG16),IF(AAD16=7,SUMPRODUCT(--(($AAE$5:$AAE16=$AAE16)*($AAD$5:$AAD16&gt;=4)*($AAD$5:$AAD16&lt;=6)),$ABG$5:$ABG16),IF(AAD16=10,SUMPRODUCT(--(($AAE$5:$AAE16=$AAE16)*($AAD$5:$AAD16&gt;=7)*($AAD$5:$AAD16&lt;=9)),$ABG$5:$ABG16),0)))))</f>
        <v/>
      </c>
      <c r="ABI16" s="12">
        <f>ABI15+ABG16-ABH16</f>
        <v/>
      </c>
      <c r="ABJ16" s="12">
        <f>IF(ProviderDelay&gt;=1,ABF15*ProviderShare,ABF16*ProviderShare)</f>
        <v/>
      </c>
      <c r="ABK16" s="12">
        <f>ABC16*PaymentFee</f>
        <v/>
      </c>
      <c r="ABL16" s="12">
        <f>AAW16*OpsAI</f>
        <v/>
      </c>
      <c r="ABM16" s="12">
        <f>MonthlyFixed</f>
        <v/>
      </c>
      <c r="ABN16" s="12">
        <f>AAK16*ReferralReward</f>
        <v/>
      </c>
      <c r="ABO16" s="12">
        <f>AAI16</f>
        <v/>
      </c>
      <c r="ABP16" s="9">
        <f>ABF16-ABJ16-ABK16-ABL16-ABM16-ABN16-ABO16</f>
        <v/>
      </c>
      <c r="ABQ16" s="9">
        <f>ABQ15+ABC16-(ABJ16+ABK16+ABL16+ABM16+ABN16+ABO16+ABH16)</f>
        <v/>
      </c>
      <c r="ABR16" s="12">
        <f>IF(AAW16&gt;0,AAX16/AAW16,0)</f>
        <v/>
      </c>
      <c r="ABS16" s="11">
        <f>IF(AAW15&gt;0,MAX(0,(AAW15+AAL16-AAW16)/AAW15),0)</f>
        <v/>
      </c>
      <c r="ABU16" s="12" t="n">
        <v>12</v>
      </c>
      <c r="ABV16" s="12">
        <f>MOD(ABU16-1+LaunchMonth-1,12)+1</f>
        <v/>
      </c>
      <c r="ABW16" s="12">
        <f>INT((ABU16-1+LaunchMonth-1)/12)+1</f>
        <v/>
      </c>
      <c r="ABX16" s="12">
        <f>VLOOKUP(ABV16,SeasonTable,2,FALSE)</f>
        <v/>
      </c>
      <c r="ABY16" s="12">
        <f>(1+InflationRate)^INT((ABU16-1)/12)</f>
        <v/>
      </c>
      <c r="ABZ16" s="11">
        <f>MonthlyChurn*VLOOKUP(ABV16,ChurnSeasonTable,4,FALSE)</f>
        <v/>
      </c>
      <c r="ACA16" s="12">
        <f>MIN(MAX(MktMin7_12,ACU15*MktPct7_12),MAX(0,ADI15-CashBuffer))</f>
        <v/>
      </c>
      <c r="ACB16" s="12">
        <f>IF(ACA16&gt;0,MAX(1,ROUND(ACA16/CAC*ABX16,0)),0)</f>
        <v/>
      </c>
      <c r="ACC16" s="12">
        <f>IF(ACB16&gt;0,ROUND(ACB16*ReferralMix/(1-ReferralMix),0),0)</f>
        <v/>
      </c>
      <c r="ACD16" s="12">
        <f>ACB16+ACC16</f>
        <v/>
      </c>
      <c r="ACE16" s="12">
        <f>ROUND(ACD16*(1-'Sens - Annual Mix'!$A$14),0)</f>
        <v/>
      </c>
      <c r="ACF16" s="12">
        <f>ACD16-ACE16</f>
        <v/>
      </c>
      <c r="ACG16" s="12">
        <f>ROUND(ACE16*EssentialMix,0)</f>
        <v/>
      </c>
      <c r="ACH16" s="12">
        <f>ACE16-ACG16</f>
        <v/>
      </c>
      <c r="ACI16" s="12">
        <f>ROUND(ACF16*EssentialMix,0)</f>
        <v/>
      </c>
      <c r="ACJ16" s="12">
        <f>ACF16-ACI16</f>
        <v/>
      </c>
      <c r="ACK16" s="12">
        <f>ACG16+ACG15+ACG14+MAX(0,ACK15-ACG15-ACG14)*(1-ABZ16)</f>
        <v/>
      </c>
      <c r="ACL16" s="12">
        <f>ACH16+ACH15+ACH14+MAX(0,ACL15-ACH15-ACH14)*(1-ABZ16)</f>
        <v/>
      </c>
      <c r="ACM16" s="12">
        <f>SUM(ACI$5:ACI16)</f>
        <v/>
      </c>
      <c r="ACN16" s="12">
        <f>SUM(ACJ$5:ACJ16)</f>
        <v/>
      </c>
      <c r="ACO16" s="12">
        <f>ACK16+ACL16+ACM16+ACN16</f>
        <v/>
      </c>
      <c r="ACP16" s="9">
        <f>ACK16*PriceEssMonthly*ABY16+ACL16*PricePremMonthly*ABY16+ACM16*PriceEssAnnual*ABY16/12+ACN16*PricePremAnnual*ABY16/12</f>
        <v/>
      </c>
      <c r="ACQ16" s="9">
        <f>ACP16*12</f>
        <v/>
      </c>
      <c r="ACR16" s="12">
        <f>ACK16*PriceEssMonthly*ABY16+ACL16*PricePremMonthly*ABY16</f>
        <v/>
      </c>
      <c r="ACS16" s="12">
        <f>ACI16*PriceEssAnnual*ABY16+ACJ16*PricePremAnnual*ABY16</f>
        <v/>
      </c>
      <c r="ACT16" s="12">
        <f>0+0</f>
        <v/>
      </c>
      <c r="ACU16" s="9">
        <f>ACR16+ACS16+ACT16</f>
        <v/>
      </c>
      <c r="ACV16" s="12">
        <f>SUM(ACU5:ACU16)</f>
        <v/>
      </c>
      <c r="ACW16" s="12">
        <f>OR(ACW15,ACV16&gt;=VATThreshold)</f>
        <v/>
      </c>
      <c r="ACX16" s="9">
        <f>IF(ACW16,ACU16/(1+VATRate),ACU16)</f>
        <v/>
      </c>
      <c r="ACY16" s="12">
        <f>ACU16-ACX16</f>
        <v/>
      </c>
      <c r="ACZ16" s="12">
        <f>IF(ACW16=0,0,IF(ABV16=1,SUMPRODUCT(--(($ABW$5:$ABW16=$ABW16-1)*($ABV$5:$ABV16&gt;=10)*($ABV$5:$ABV16&lt;=12)),$ACY$5:$ACY16),IF(ABV16=4,SUMPRODUCT(--(($ABW$5:$ABW16=$ABW16)*($ABV$5:$ABV16&gt;=1)*($ABV$5:$ABV16&lt;=3)),$ACY$5:$ACY16),IF(ABV16=7,SUMPRODUCT(--(($ABW$5:$ABW16=$ABW16)*($ABV$5:$ABV16&gt;=4)*($ABV$5:$ABV16&lt;=6)),$ACY$5:$ACY16),IF(ABV16=10,SUMPRODUCT(--(($ABW$5:$ABW16=$ABW16)*($ABV$5:$ABV16&gt;=7)*($ABV$5:$ABV16&lt;=9)),$ACY$5:$ACY16),0)))))</f>
        <v/>
      </c>
      <c r="ADA16" s="12">
        <f>ADA15+ACY16-ACZ16</f>
        <v/>
      </c>
      <c r="ADB16" s="12">
        <f>IF(ProviderDelay&gt;=1,ACX15*ProviderShare,ACX16*ProviderShare)</f>
        <v/>
      </c>
      <c r="ADC16" s="12">
        <f>ACU16*PaymentFee</f>
        <v/>
      </c>
      <c r="ADD16" s="12">
        <f>ACO16*OpsAI</f>
        <v/>
      </c>
      <c r="ADE16" s="12">
        <f>MonthlyFixed</f>
        <v/>
      </c>
      <c r="ADF16" s="12">
        <f>ACC16*ReferralReward</f>
        <v/>
      </c>
      <c r="ADG16" s="12">
        <f>ACA16</f>
        <v/>
      </c>
      <c r="ADH16" s="9">
        <f>ACX16-ADB16-ADC16-ADD16-ADE16-ADF16-ADG16</f>
        <v/>
      </c>
      <c r="ADI16" s="9">
        <f>ADI15+ACU16-(ADB16+ADC16+ADD16+ADE16+ADF16+ADG16+ACZ16)</f>
        <v/>
      </c>
      <c r="ADJ16" s="12">
        <f>IF(ACO16&gt;0,ACP16/ACO16,0)</f>
        <v/>
      </c>
      <c r="ADK16" s="11">
        <f>IF(ACO15&gt;0,MAX(0,(ACO15+ACD16-ACO16)/ACO15),0)</f>
        <v/>
      </c>
      <c r="ADM16" s="12" t="n">
        <v>12</v>
      </c>
      <c r="ADN16" s="12">
        <f>MOD(ADM16-1+LaunchMonth-1,12)+1</f>
        <v/>
      </c>
      <c r="ADO16" s="12">
        <f>INT((ADM16-1+LaunchMonth-1)/12)+1</f>
        <v/>
      </c>
      <c r="ADP16" s="12">
        <f>VLOOKUP(ADN16,SeasonTable,2,FALSE)</f>
        <v/>
      </c>
      <c r="ADQ16" s="12">
        <f>(1+InflationRate)^INT((ADM16-1)/12)</f>
        <v/>
      </c>
      <c r="ADR16" s="11">
        <f>MonthlyChurn*VLOOKUP(ADN16,ChurnSeasonTable,4,FALSE)</f>
        <v/>
      </c>
      <c r="ADS16" s="12">
        <f>MIN(MAX(MktMin7_12,AEM15*MktPct7_12),MAX(0,AFA15-CashBuffer))</f>
        <v/>
      </c>
      <c r="ADT16" s="12">
        <f>IF(ADS16&gt;0,MAX(1,ROUND(ADS16/CAC*ADP16,0)),0)</f>
        <v/>
      </c>
      <c r="ADU16" s="12">
        <f>IF(ADT16&gt;0,ROUND(ADT16*ReferralMix/(1-ReferralMix),0),0)</f>
        <v/>
      </c>
      <c r="ADV16" s="12">
        <f>ADT16+ADU16</f>
        <v/>
      </c>
      <c r="ADW16" s="12">
        <f>ROUND(ADV16*(1-'Sens - Annual Mix'!$A$15),0)</f>
        <v/>
      </c>
      <c r="ADX16" s="12">
        <f>ADV16-ADW16</f>
        <v/>
      </c>
      <c r="ADY16" s="12">
        <f>ROUND(ADW16*EssentialMix,0)</f>
        <v/>
      </c>
      <c r="ADZ16" s="12">
        <f>ADW16-ADY16</f>
        <v/>
      </c>
      <c r="AEA16" s="12">
        <f>ROUND(ADX16*EssentialMix,0)</f>
        <v/>
      </c>
      <c r="AEB16" s="12">
        <f>ADX16-AEA16</f>
        <v/>
      </c>
      <c r="AEC16" s="12">
        <f>ADY16+ADY15+ADY14+MAX(0,AEC15-ADY15-ADY14)*(1-ADR16)</f>
        <v/>
      </c>
      <c r="AED16" s="12">
        <f>ADZ16+ADZ15+ADZ14+MAX(0,AED15-ADZ15-ADZ14)*(1-ADR16)</f>
        <v/>
      </c>
      <c r="AEE16" s="12">
        <f>SUM(AEA$5:AEA16)</f>
        <v/>
      </c>
      <c r="AEF16" s="12">
        <f>SUM(AEB$5:AEB16)</f>
        <v/>
      </c>
      <c r="AEG16" s="12">
        <f>AEC16+AED16+AEE16+AEF16</f>
        <v/>
      </c>
      <c r="AEH16" s="9">
        <f>AEC16*PriceEssMonthly*ADQ16+AED16*PricePremMonthly*ADQ16+AEE16*PriceEssAnnual*ADQ16/12+AEF16*PricePremAnnual*ADQ16/12</f>
        <v/>
      </c>
      <c r="AEI16" s="9">
        <f>AEH16*12</f>
        <v/>
      </c>
      <c r="AEJ16" s="12">
        <f>AEC16*PriceEssMonthly*ADQ16+AED16*PricePremMonthly*ADQ16</f>
        <v/>
      </c>
      <c r="AEK16" s="12">
        <f>AEA16*PriceEssAnnual*ADQ16+AEB16*PricePremAnnual*ADQ16</f>
        <v/>
      </c>
      <c r="AEL16" s="12">
        <f>0+0</f>
        <v/>
      </c>
      <c r="AEM16" s="9">
        <f>AEJ16+AEK16+AEL16</f>
        <v/>
      </c>
      <c r="AEN16" s="12">
        <f>SUM(AEM5:AEM16)</f>
        <v/>
      </c>
      <c r="AEO16" s="12">
        <f>OR(AEO15,AEN16&gt;=VATThreshold)</f>
        <v/>
      </c>
      <c r="AEP16" s="9">
        <f>IF(AEO16,AEM16/(1+VATRate),AEM16)</f>
        <v/>
      </c>
      <c r="AEQ16" s="12">
        <f>AEM16-AEP16</f>
        <v/>
      </c>
      <c r="AER16" s="12">
        <f>IF(AEO16=0,0,IF(ADN16=1,SUMPRODUCT(--(($ADO$5:$ADO16=$ADO16-1)*($ADN$5:$ADN16&gt;=10)*($ADN$5:$ADN16&lt;=12)),$AEQ$5:$AEQ16),IF(ADN16=4,SUMPRODUCT(--(($ADO$5:$ADO16=$ADO16)*($ADN$5:$ADN16&gt;=1)*($ADN$5:$ADN16&lt;=3)),$AEQ$5:$AEQ16),IF(ADN16=7,SUMPRODUCT(--(($ADO$5:$ADO16=$ADO16)*($ADN$5:$ADN16&gt;=4)*($ADN$5:$ADN16&lt;=6)),$AEQ$5:$AEQ16),IF(ADN16=10,SUMPRODUCT(--(($ADO$5:$ADO16=$ADO16)*($ADN$5:$ADN16&gt;=7)*($ADN$5:$ADN16&lt;=9)),$AEQ$5:$AEQ16),0)))))</f>
        <v/>
      </c>
      <c r="AES16" s="12">
        <f>AES15+AEQ16-AER16</f>
        <v/>
      </c>
      <c r="AET16" s="12">
        <f>IF(ProviderDelay&gt;=1,AEP15*ProviderShare,AEP16*ProviderShare)</f>
        <v/>
      </c>
      <c r="AEU16" s="12">
        <f>AEM16*PaymentFee</f>
        <v/>
      </c>
      <c r="AEV16" s="12">
        <f>AEG16*OpsAI</f>
        <v/>
      </c>
      <c r="AEW16" s="12">
        <f>MonthlyFixed</f>
        <v/>
      </c>
      <c r="AEX16" s="12">
        <f>ADU16*ReferralReward</f>
        <v/>
      </c>
      <c r="AEY16" s="12">
        <f>ADS16</f>
        <v/>
      </c>
      <c r="AEZ16" s="9">
        <f>AEP16-AET16-AEU16-AEV16-AEW16-AEX16-AEY16</f>
        <v/>
      </c>
      <c r="AFA16" s="9">
        <f>AFA15+AEM16-(AET16+AEU16+AEV16+AEW16+AEX16+AEY16+AER16)</f>
        <v/>
      </c>
      <c r="AFB16" s="12">
        <f>IF(AEG16&gt;0,AEH16/AEG16,0)</f>
        <v/>
      </c>
      <c r="AFC16" s="11">
        <f>IF(AEG15&gt;0,MAX(0,(AEG15+ADV16-AEG16)/AEG15),0)</f>
        <v/>
      </c>
      <c r="AFE16" s="12" t="n">
        <v>12</v>
      </c>
      <c r="AFF16" s="12">
        <f>MOD(AFE16-1+LaunchMonth-1,12)+1</f>
        <v/>
      </c>
      <c r="AFG16" s="12">
        <f>INT((AFE16-1+LaunchMonth-1)/12)+1</f>
        <v/>
      </c>
      <c r="AFH16" s="12">
        <f>VLOOKUP(AFF16,SeasonTable,2,FALSE)</f>
        <v/>
      </c>
      <c r="AFI16" s="12">
        <f>(1+InflationRate)^INT((AFE16-1)/12)</f>
        <v/>
      </c>
      <c r="AFJ16" s="11">
        <f>MonthlyChurn*VLOOKUP(AFF16,ChurnSeasonTable,4,FALSE)</f>
        <v/>
      </c>
      <c r="AFK16" s="12">
        <f>MIN(MAX(MktMin7_12,AGE15*MktPct7_12),MAX(0,AGS15-CashBuffer))</f>
        <v/>
      </c>
      <c r="AFL16" s="12">
        <f>IF(AFK16&gt;0,MAX(1,ROUND(AFK16/'Sens - CAC &amp; Marketing'!$A$9*AFH16,0)),0)</f>
        <v/>
      </c>
      <c r="AFM16" s="12">
        <f>IF(AFL16&gt;0,ROUND(AFL16*ReferralMix/(1-ReferralMix),0),0)</f>
        <v/>
      </c>
      <c r="AFN16" s="12">
        <f>AFL16+AFM16</f>
        <v/>
      </c>
      <c r="AFO16" s="12">
        <f>ROUND(AFN16*(1-AnnualMix),0)</f>
        <v/>
      </c>
      <c r="AFP16" s="12">
        <f>AFN16-AFO16</f>
        <v/>
      </c>
      <c r="AFQ16" s="12">
        <f>ROUND(AFO16*EssentialMix,0)</f>
        <v/>
      </c>
      <c r="AFR16" s="12">
        <f>AFO16-AFQ16</f>
        <v/>
      </c>
      <c r="AFS16" s="12">
        <f>ROUND(AFP16*EssentialMix,0)</f>
        <v/>
      </c>
      <c r="AFT16" s="12">
        <f>AFP16-AFS16</f>
        <v/>
      </c>
      <c r="AFU16" s="12">
        <f>AFQ16+AFQ15+AFQ14+MAX(0,AFU15-AFQ15-AFQ14)*(1-AFJ16)</f>
        <v/>
      </c>
      <c r="AFV16" s="12">
        <f>AFR16+AFR15+AFR14+MAX(0,AFV15-AFR15-AFR14)*(1-AFJ16)</f>
        <v/>
      </c>
      <c r="AFW16" s="12">
        <f>SUM(AFS$5:AFS16)</f>
        <v/>
      </c>
      <c r="AFX16" s="12">
        <f>SUM(AFT$5:AFT16)</f>
        <v/>
      </c>
      <c r="AFY16" s="12">
        <f>AFU16+AFV16+AFW16+AFX16</f>
        <v/>
      </c>
      <c r="AFZ16" s="9">
        <f>AFU16*PriceEssMonthly*AFI16+AFV16*PricePremMonthly*AFI16+AFW16*PriceEssAnnual*AFI16/12+AFX16*PricePremAnnual*AFI16/12</f>
        <v/>
      </c>
      <c r="AGA16" s="9">
        <f>AFZ16*12</f>
        <v/>
      </c>
      <c r="AGB16" s="12">
        <f>AFU16*PriceEssMonthly*AFI16+AFV16*PricePremMonthly*AFI16</f>
        <v/>
      </c>
      <c r="AGC16" s="12">
        <f>AFS16*PriceEssAnnual*AFI16+AFT16*PricePremAnnual*AFI16</f>
        <v/>
      </c>
      <c r="AGD16" s="12">
        <f>0+0</f>
        <v/>
      </c>
      <c r="AGE16" s="9">
        <f>AGB16+AGC16+AGD16</f>
        <v/>
      </c>
      <c r="AGF16" s="12">
        <f>SUM(AGE5:AGE16)</f>
        <v/>
      </c>
      <c r="AGG16" s="12">
        <f>OR(AGG15,AGF16&gt;=VATThreshold)</f>
        <v/>
      </c>
      <c r="AGH16" s="9">
        <f>IF(AGG16,AGE16/(1+VATRate),AGE16)</f>
        <v/>
      </c>
      <c r="AGI16" s="12">
        <f>AGE16-AGH16</f>
        <v/>
      </c>
      <c r="AGJ16" s="12">
        <f>IF(AGG16=0,0,IF(AFF16=1,SUMPRODUCT(--(($AFG$5:$AFG16=$AFG16-1)*($AFF$5:$AFF16&gt;=10)*($AFF$5:$AFF16&lt;=12)),$AGI$5:$AGI16),IF(AFF16=4,SUMPRODUCT(--(($AFG$5:$AFG16=$AFG16)*($AFF$5:$AFF16&gt;=1)*($AFF$5:$AFF16&lt;=3)),$AGI$5:$AGI16),IF(AFF16=7,SUMPRODUCT(--(($AFG$5:$AFG16=$AFG16)*($AFF$5:$AFF16&gt;=4)*($AFF$5:$AFF16&lt;=6)),$AGI$5:$AGI16),IF(AFF16=10,SUMPRODUCT(--(($AFG$5:$AFG16=$AFG16)*($AFF$5:$AFF16&gt;=7)*($AFF$5:$AFF16&lt;=9)),$AGI$5:$AGI16),0)))))</f>
        <v/>
      </c>
      <c r="AGK16" s="12">
        <f>AGK15+AGI16-AGJ16</f>
        <v/>
      </c>
      <c r="AGL16" s="12">
        <f>IF(ProviderDelay&gt;=1,AGH15*ProviderShare,AGH16*ProviderShare)</f>
        <v/>
      </c>
      <c r="AGM16" s="12">
        <f>AGE16*PaymentFee</f>
        <v/>
      </c>
      <c r="AGN16" s="12">
        <f>AFY16*OpsAI</f>
        <v/>
      </c>
      <c r="AGO16" s="12">
        <f>MonthlyFixed</f>
        <v/>
      </c>
      <c r="AGP16" s="12">
        <f>AFM16*ReferralReward</f>
        <v/>
      </c>
      <c r="AGQ16" s="12">
        <f>AFK16</f>
        <v/>
      </c>
      <c r="AGR16" s="9">
        <f>AGH16-AGL16-AGM16-AGN16-AGO16-AGP16-AGQ16</f>
        <v/>
      </c>
      <c r="AGS16" s="9">
        <f>AGS15+AGE16-(AGL16+AGM16+AGN16+AGO16+AGP16+AGQ16+AGJ16)</f>
        <v/>
      </c>
      <c r="AGT16" s="12">
        <f>IF(AFY16&gt;0,AFZ16/AFY16,0)</f>
        <v/>
      </c>
      <c r="AGU16" s="11">
        <f>IF(AFY15&gt;0,MAX(0,(AFY15+AFN16-AFY16)/AFY15),0)</f>
        <v/>
      </c>
      <c r="AGW16" s="12" t="n">
        <v>12</v>
      </c>
      <c r="AGX16" s="12">
        <f>MOD(AGW16-1+LaunchMonth-1,12)+1</f>
        <v/>
      </c>
      <c r="AGY16" s="12">
        <f>INT((AGW16-1+LaunchMonth-1)/12)+1</f>
        <v/>
      </c>
      <c r="AGZ16" s="12">
        <f>VLOOKUP(AGX16,SeasonTable,2,FALSE)</f>
        <v/>
      </c>
      <c r="AHA16" s="12">
        <f>(1+InflationRate)^INT((AGW16-1)/12)</f>
        <v/>
      </c>
      <c r="AHB16" s="11">
        <f>MonthlyChurn*VLOOKUP(AGX16,ChurnSeasonTable,4,FALSE)</f>
        <v/>
      </c>
      <c r="AHC16" s="12">
        <f>MIN(MAX(MktMin7_12,AHW15*MktPct7_12),MAX(0,AIK15-CashBuffer))</f>
        <v/>
      </c>
      <c r="AHD16" s="12">
        <f>IF(AHC16&gt;0,MAX(1,ROUND(AHC16/'Sens - CAC &amp; Marketing'!$A$10*AGZ16,0)),0)</f>
        <v/>
      </c>
      <c r="AHE16" s="12">
        <f>IF(AHD16&gt;0,ROUND(AHD16*ReferralMix/(1-ReferralMix),0),0)</f>
        <v/>
      </c>
      <c r="AHF16" s="12">
        <f>AHD16+AHE16</f>
        <v/>
      </c>
      <c r="AHG16" s="12">
        <f>ROUND(AHF16*(1-AnnualMix),0)</f>
        <v/>
      </c>
      <c r="AHH16" s="12">
        <f>AHF16-AHG16</f>
        <v/>
      </c>
      <c r="AHI16" s="12">
        <f>ROUND(AHG16*EssentialMix,0)</f>
        <v/>
      </c>
      <c r="AHJ16" s="12">
        <f>AHG16-AHI16</f>
        <v/>
      </c>
      <c r="AHK16" s="12">
        <f>ROUND(AHH16*EssentialMix,0)</f>
        <v/>
      </c>
      <c r="AHL16" s="12">
        <f>AHH16-AHK16</f>
        <v/>
      </c>
      <c r="AHM16" s="12">
        <f>AHI16+AHI15+AHI14+MAX(0,AHM15-AHI15-AHI14)*(1-AHB16)</f>
        <v/>
      </c>
      <c r="AHN16" s="12">
        <f>AHJ16+AHJ15+AHJ14+MAX(0,AHN15-AHJ15-AHJ14)*(1-AHB16)</f>
        <v/>
      </c>
      <c r="AHO16" s="12">
        <f>SUM(AHK$5:AHK16)</f>
        <v/>
      </c>
      <c r="AHP16" s="12">
        <f>SUM(AHL$5:AHL16)</f>
        <v/>
      </c>
      <c r="AHQ16" s="12">
        <f>AHM16+AHN16+AHO16+AHP16</f>
        <v/>
      </c>
      <c r="AHR16" s="9">
        <f>AHM16*PriceEssMonthly*AHA16+AHN16*PricePremMonthly*AHA16+AHO16*PriceEssAnnual*AHA16/12+AHP16*PricePremAnnual*AHA16/12</f>
        <v/>
      </c>
      <c r="AHS16" s="9">
        <f>AHR16*12</f>
        <v/>
      </c>
      <c r="AHT16" s="12">
        <f>AHM16*PriceEssMonthly*AHA16+AHN16*PricePremMonthly*AHA16</f>
        <v/>
      </c>
      <c r="AHU16" s="12">
        <f>AHK16*PriceEssAnnual*AHA16+AHL16*PricePremAnnual*AHA16</f>
        <v/>
      </c>
      <c r="AHV16" s="12">
        <f>0+0</f>
        <v/>
      </c>
      <c r="AHW16" s="9">
        <f>AHT16+AHU16+AHV16</f>
        <v/>
      </c>
      <c r="AHX16" s="12">
        <f>SUM(AHW5:AHW16)</f>
        <v/>
      </c>
      <c r="AHY16" s="12">
        <f>OR(AHY15,AHX16&gt;=VATThreshold)</f>
        <v/>
      </c>
      <c r="AHZ16" s="9">
        <f>IF(AHY16,AHW16/(1+VATRate),AHW16)</f>
        <v/>
      </c>
      <c r="AIA16" s="12">
        <f>AHW16-AHZ16</f>
        <v/>
      </c>
      <c r="AIB16" s="12">
        <f>IF(AHY16=0,0,IF(AGX16=1,SUMPRODUCT(--(($AGY$5:$AGY16=$AGY16-1)*($AGX$5:$AGX16&gt;=10)*($AGX$5:$AGX16&lt;=12)),$AIA$5:$AIA16),IF(AGX16=4,SUMPRODUCT(--(($AGY$5:$AGY16=$AGY16)*($AGX$5:$AGX16&gt;=1)*($AGX$5:$AGX16&lt;=3)),$AIA$5:$AIA16),IF(AGX16=7,SUMPRODUCT(--(($AGY$5:$AGY16=$AGY16)*($AGX$5:$AGX16&gt;=4)*($AGX$5:$AGX16&lt;=6)),$AIA$5:$AIA16),IF(AGX16=10,SUMPRODUCT(--(($AGY$5:$AGY16=$AGY16)*($AGX$5:$AGX16&gt;=7)*($AGX$5:$AGX16&lt;=9)),$AIA$5:$AIA16),0)))))</f>
        <v/>
      </c>
      <c r="AIC16" s="12">
        <f>AIC15+AIA16-AIB16</f>
        <v/>
      </c>
      <c r="AID16" s="12">
        <f>IF(ProviderDelay&gt;=1,AHZ15*ProviderShare,AHZ16*ProviderShare)</f>
        <v/>
      </c>
      <c r="AIE16" s="12">
        <f>AHW16*PaymentFee</f>
        <v/>
      </c>
      <c r="AIF16" s="12">
        <f>AHQ16*OpsAI</f>
        <v/>
      </c>
      <c r="AIG16" s="12">
        <f>MonthlyFixed</f>
        <v/>
      </c>
      <c r="AIH16" s="12">
        <f>AHE16*ReferralReward</f>
        <v/>
      </c>
      <c r="AII16" s="12">
        <f>AHC16</f>
        <v/>
      </c>
      <c r="AIJ16" s="9">
        <f>AHZ16-AID16-AIE16-AIF16-AIG16-AIH16-AII16</f>
        <v/>
      </c>
      <c r="AIK16" s="9">
        <f>AIK15+AHW16-(AID16+AIE16+AIF16+AIG16+AIH16+AII16+AIB16)</f>
        <v/>
      </c>
      <c r="AIL16" s="12">
        <f>IF(AHQ16&gt;0,AHR16/AHQ16,0)</f>
        <v/>
      </c>
      <c r="AIM16" s="11">
        <f>IF(AHQ15&gt;0,MAX(0,(AHQ15+AHF16-AHQ16)/AHQ15),0)</f>
        <v/>
      </c>
      <c r="AIO16" s="12" t="n">
        <v>12</v>
      </c>
      <c r="AIP16" s="12">
        <f>MOD(AIO16-1+LaunchMonth-1,12)+1</f>
        <v/>
      </c>
      <c r="AIQ16" s="12">
        <f>INT((AIO16-1+LaunchMonth-1)/12)+1</f>
        <v/>
      </c>
      <c r="AIR16" s="12">
        <f>VLOOKUP(AIP16,SeasonTable,2,FALSE)</f>
        <v/>
      </c>
      <c r="AIS16" s="12">
        <f>(1+InflationRate)^INT((AIO16-1)/12)</f>
        <v/>
      </c>
      <c r="AIT16" s="11">
        <f>MonthlyChurn*VLOOKUP(AIP16,ChurnSeasonTable,4,FALSE)</f>
        <v/>
      </c>
      <c r="AIU16" s="12">
        <f>MIN(MAX(MktMin7_12,AJO15*MktPct7_12),MAX(0,AKC15-CashBuffer))</f>
        <v/>
      </c>
      <c r="AIV16" s="12">
        <f>IF(AIU16&gt;0,MAX(1,ROUND(AIU16/'Sens - CAC &amp; Marketing'!$A$11*AIR16,0)),0)</f>
        <v/>
      </c>
      <c r="AIW16" s="12">
        <f>IF(AIV16&gt;0,ROUND(AIV16*ReferralMix/(1-ReferralMix),0),0)</f>
        <v/>
      </c>
      <c r="AIX16" s="12">
        <f>AIV16+AIW16</f>
        <v/>
      </c>
      <c r="AIY16" s="12">
        <f>ROUND(AIX16*(1-AnnualMix),0)</f>
        <v/>
      </c>
      <c r="AIZ16" s="12">
        <f>AIX16-AIY16</f>
        <v/>
      </c>
      <c r="AJA16" s="12">
        <f>ROUND(AIY16*EssentialMix,0)</f>
        <v/>
      </c>
      <c r="AJB16" s="12">
        <f>AIY16-AJA16</f>
        <v/>
      </c>
      <c r="AJC16" s="12">
        <f>ROUND(AIZ16*EssentialMix,0)</f>
        <v/>
      </c>
      <c r="AJD16" s="12">
        <f>AIZ16-AJC16</f>
        <v/>
      </c>
      <c r="AJE16" s="12">
        <f>AJA16+AJA15+AJA14+MAX(0,AJE15-AJA15-AJA14)*(1-AIT16)</f>
        <v/>
      </c>
      <c r="AJF16" s="12">
        <f>AJB16+AJB15+AJB14+MAX(0,AJF15-AJB15-AJB14)*(1-AIT16)</f>
        <v/>
      </c>
      <c r="AJG16" s="12">
        <f>SUM(AJC$5:AJC16)</f>
        <v/>
      </c>
      <c r="AJH16" s="12">
        <f>SUM(AJD$5:AJD16)</f>
        <v/>
      </c>
      <c r="AJI16" s="12">
        <f>AJE16+AJF16+AJG16+AJH16</f>
        <v/>
      </c>
      <c r="AJJ16" s="9">
        <f>AJE16*PriceEssMonthly*AIS16+AJF16*PricePremMonthly*AIS16+AJG16*PriceEssAnnual*AIS16/12+AJH16*PricePremAnnual*AIS16/12</f>
        <v/>
      </c>
      <c r="AJK16" s="9">
        <f>AJJ16*12</f>
        <v/>
      </c>
      <c r="AJL16" s="12">
        <f>AJE16*PriceEssMonthly*AIS16+AJF16*PricePremMonthly*AIS16</f>
        <v/>
      </c>
      <c r="AJM16" s="12">
        <f>AJC16*PriceEssAnnual*AIS16+AJD16*PricePremAnnual*AIS16</f>
        <v/>
      </c>
      <c r="AJN16" s="12">
        <f>0+0</f>
        <v/>
      </c>
      <c r="AJO16" s="9">
        <f>AJL16+AJM16+AJN16</f>
        <v/>
      </c>
      <c r="AJP16" s="12">
        <f>SUM(AJO5:AJO16)</f>
        <v/>
      </c>
      <c r="AJQ16" s="12">
        <f>OR(AJQ15,AJP16&gt;=VATThreshold)</f>
        <v/>
      </c>
      <c r="AJR16" s="9">
        <f>IF(AJQ16,AJO16/(1+VATRate),AJO16)</f>
        <v/>
      </c>
      <c r="AJS16" s="12">
        <f>AJO16-AJR16</f>
        <v/>
      </c>
      <c r="AJT16" s="12">
        <f>IF(AJQ16=0,0,IF(AIP16=1,SUMPRODUCT(--(($AIQ$5:$AIQ16=$AIQ16-1)*($AIP$5:$AIP16&gt;=10)*($AIP$5:$AIP16&lt;=12)),$AJS$5:$AJS16),IF(AIP16=4,SUMPRODUCT(--(($AIQ$5:$AIQ16=$AIQ16)*($AIP$5:$AIP16&gt;=1)*($AIP$5:$AIP16&lt;=3)),$AJS$5:$AJS16),IF(AIP16=7,SUMPRODUCT(--(($AIQ$5:$AIQ16=$AIQ16)*($AIP$5:$AIP16&gt;=4)*($AIP$5:$AIP16&lt;=6)),$AJS$5:$AJS16),IF(AIP16=10,SUMPRODUCT(--(($AIQ$5:$AIQ16=$AIQ16)*($AIP$5:$AIP16&gt;=7)*($AIP$5:$AIP16&lt;=9)),$AJS$5:$AJS16),0)))))</f>
        <v/>
      </c>
      <c r="AJU16" s="12">
        <f>AJU15+AJS16-AJT16</f>
        <v/>
      </c>
      <c r="AJV16" s="12">
        <f>IF(ProviderDelay&gt;=1,AJR15*ProviderShare,AJR16*ProviderShare)</f>
        <v/>
      </c>
      <c r="AJW16" s="12">
        <f>AJO16*PaymentFee</f>
        <v/>
      </c>
      <c r="AJX16" s="12">
        <f>AJI16*OpsAI</f>
        <v/>
      </c>
      <c r="AJY16" s="12">
        <f>MonthlyFixed</f>
        <v/>
      </c>
      <c r="AJZ16" s="12">
        <f>AIW16*ReferralReward</f>
        <v/>
      </c>
      <c r="AKA16" s="12">
        <f>AIU16</f>
        <v/>
      </c>
      <c r="AKB16" s="9">
        <f>AJR16-AJV16-AJW16-AJX16-AJY16-AJZ16-AKA16</f>
        <v/>
      </c>
      <c r="AKC16" s="9">
        <f>AKC15+AJO16-(AJV16+AJW16+AJX16+AJY16+AJZ16+AKA16+AJT16)</f>
        <v/>
      </c>
      <c r="AKD16" s="12">
        <f>IF(AJI16&gt;0,AJJ16/AJI16,0)</f>
        <v/>
      </c>
      <c r="AKE16" s="11">
        <f>IF(AJI15&gt;0,MAX(0,(AJI15+AIX16-AJI16)/AJI15),0)</f>
        <v/>
      </c>
      <c r="AKG16" s="12" t="n">
        <v>12</v>
      </c>
      <c r="AKH16" s="12">
        <f>MOD(AKG16-1+LaunchMonth-1,12)+1</f>
        <v/>
      </c>
      <c r="AKI16" s="12">
        <f>INT((AKG16-1+LaunchMonth-1)/12)+1</f>
        <v/>
      </c>
      <c r="AKJ16" s="12">
        <f>VLOOKUP(AKH16,SeasonTable,2,FALSE)</f>
        <v/>
      </c>
      <c r="AKK16" s="12">
        <f>(1+InflationRate)^INT((AKG16-1)/12)</f>
        <v/>
      </c>
      <c r="AKL16" s="11">
        <f>MonthlyChurn*VLOOKUP(AKH16,ChurnSeasonTable,4,FALSE)</f>
        <v/>
      </c>
      <c r="AKM16" s="12">
        <f>MIN(MAX(MktMin7_12,ALG15*MktPct7_12),MAX(0,ALU15-CashBuffer))</f>
        <v/>
      </c>
      <c r="AKN16" s="12">
        <f>IF(AKM16&gt;0,MAX(1,ROUND(AKM16/'Sens - CAC &amp; Marketing'!$A$12*AKJ16,0)),0)</f>
        <v/>
      </c>
      <c r="AKO16" s="12">
        <f>IF(AKN16&gt;0,ROUND(AKN16*ReferralMix/(1-ReferralMix),0),0)</f>
        <v/>
      </c>
      <c r="AKP16" s="12">
        <f>AKN16+AKO16</f>
        <v/>
      </c>
      <c r="AKQ16" s="12">
        <f>ROUND(AKP16*(1-AnnualMix),0)</f>
        <v/>
      </c>
      <c r="AKR16" s="12">
        <f>AKP16-AKQ16</f>
        <v/>
      </c>
      <c r="AKS16" s="12">
        <f>ROUND(AKQ16*EssentialMix,0)</f>
        <v/>
      </c>
      <c r="AKT16" s="12">
        <f>AKQ16-AKS16</f>
        <v/>
      </c>
      <c r="AKU16" s="12">
        <f>ROUND(AKR16*EssentialMix,0)</f>
        <v/>
      </c>
      <c r="AKV16" s="12">
        <f>AKR16-AKU16</f>
        <v/>
      </c>
      <c r="AKW16" s="12">
        <f>AKS16+AKS15+AKS14+MAX(0,AKW15-AKS15-AKS14)*(1-AKL16)</f>
        <v/>
      </c>
      <c r="AKX16" s="12">
        <f>AKT16+AKT15+AKT14+MAX(0,AKX15-AKT15-AKT14)*(1-AKL16)</f>
        <v/>
      </c>
      <c r="AKY16" s="12">
        <f>SUM(AKU$5:AKU16)</f>
        <v/>
      </c>
      <c r="AKZ16" s="12">
        <f>SUM(AKV$5:AKV16)</f>
        <v/>
      </c>
      <c r="ALA16" s="12">
        <f>AKW16+AKX16+AKY16+AKZ16</f>
        <v/>
      </c>
      <c r="ALB16" s="9">
        <f>AKW16*PriceEssMonthly*AKK16+AKX16*PricePremMonthly*AKK16+AKY16*PriceEssAnnual*AKK16/12+AKZ16*PricePremAnnual*AKK16/12</f>
        <v/>
      </c>
      <c r="ALC16" s="9">
        <f>ALB16*12</f>
        <v/>
      </c>
      <c r="ALD16" s="12">
        <f>AKW16*PriceEssMonthly*AKK16+AKX16*PricePremMonthly*AKK16</f>
        <v/>
      </c>
      <c r="ALE16" s="12">
        <f>AKU16*PriceEssAnnual*AKK16+AKV16*PricePremAnnual*AKK16</f>
        <v/>
      </c>
      <c r="ALF16" s="12">
        <f>0+0</f>
        <v/>
      </c>
      <c r="ALG16" s="9">
        <f>ALD16+ALE16+ALF16</f>
        <v/>
      </c>
      <c r="ALH16" s="12">
        <f>SUM(ALG5:ALG16)</f>
        <v/>
      </c>
      <c r="ALI16" s="12">
        <f>OR(ALI15,ALH16&gt;=VATThreshold)</f>
        <v/>
      </c>
      <c r="ALJ16" s="9">
        <f>IF(ALI16,ALG16/(1+VATRate),ALG16)</f>
        <v/>
      </c>
      <c r="ALK16" s="12">
        <f>ALG16-ALJ16</f>
        <v/>
      </c>
      <c r="ALL16" s="12">
        <f>IF(ALI16=0,0,IF(AKH16=1,SUMPRODUCT(--(($AKI$5:$AKI16=$AKI16-1)*($AKH$5:$AKH16&gt;=10)*($AKH$5:$AKH16&lt;=12)),$ALK$5:$ALK16),IF(AKH16=4,SUMPRODUCT(--(($AKI$5:$AKI16=$AKI16)*($AKH$5:$AKH16&gt;=1)*($AKH$5:$AKH16&lt;=3)),$ALK$5:$ALK16),IF(AKH16=7,SUMPRODUCT(--(($AKI$5:$AKI16=$AKI16)*($AKH$5:$AKH16&gt;=4)*($AKH$5:$AKH16&lt;=6)),$ALK$5:$ALK16),IF(AKH16=10,SUMPRODUCT(--(($AKI$5:$AKI16=$AKI16)*($AKH$5:$AKH16&gt;=7)*($AKH$5:$AKH16&lt;=9)),$ALK$5:$ALK16),0)))))</f>
        <v/>
      </c>
      <c r="ALM16" s="12">
        <f>ALM15+ALK16-ALL16</f>
        <v/>
      </c>
      <c r="ALN16" s="12">
        <f>IF(ProviderDelay&gt;=1,ALJ15*ProviderShare,ALJ16*ProviderShare)</f>
        <v/>
      </c>
      <c r="ALO16" s="12">
        <f>ALG16*PaymentFee</f>
        <v/>
      </c>
      <c r="ALP16" s="12">
        <f>ALA16*OpsAI</f>
        <v/>
      </c>
      <c r="ALQ16" s="12">
        <f>MonthlyFixed</f>
        <v/>
      </c>
      <c r="ALR16" s="12">
        <f>AKO16*ReferralReward</f>
        <v/>
      </c>
      <c r="ALS16" s="12">
        <f>AKM16</f>
        <v/>
      </c>
      <c r="ALT16" s="9">
        <f>ALJ16-ALN16-ALO16-ALP16-ALQ16-ALR16-ALS16</f>
        <v/>
      </c>
      <c r="ALU16" s="9">
        <f>ALU15+ALG16-(ALN16+ALO16+ALP16+ALQ16+ALR16+ALS16+ALL16)</f>
        <v/>
      </c>
      <c r="ALV16" s="12">
        <f>IF(ALA16&gt;0,ALB16/ALA16,0)</f>
        <v/>
      </c>
      <c r="ALW16" s="11">
        <f>IF(ALA15&gt;0,MAX(0,(ALA15+AKP16-ALA16)/ALA15),0)</f>
        <v/>
      </c>
      <c r="ALY16" s="12" t="n">
        <v>12</v>
      </c>
      <c r="ALZ16" s="12">
        <f>MOD(ALY16-1+LaunchMonth-1,12)+1</f>
        <v/>
      </c>
      <c r="AMA16" s="12">
        <f>INT((ALY16-1+LaunchMonth-1)/12)+1</f>
        <v/>
      </c>
      <c r="AMB16" s="12">
        <f>VLOOKUP(ALZ16,SeasonTable,2,FALSE)</f>
        <v/>
      </c>
      <c r="AMC16" s="12">
        <f>(1+InflationRate)^INT((ALY16-1)/12)</f>
        <v/>
      </c>
      <c r="AMD16" s="11">
        <f>MonthlyChurn*VLOOKUP(ALZ16,ChurnSeasonTable,4,FALSE)</f>
        <v/>
      </c>
      <c r="AME16" s="12">
        <f>MIN(MAX(MktMin7_12,AMY15*MktPct7_12),MAX(0,ANM15-CashBuffer))</f>
        <v/>
      </c>
      <c r="AMF16" s="12">
        <f>IF(AME16&gt;0,MAX(1,ROUND(AME16/'Sens - CAC &amp; Marketing'!$A$13*AMB16,0)),0)</f>
        <v/>
      </c>
      <c r="AMG16" s="12">
        <f>IF(AMF16&gt;0,ROUND(AMF16*ReferralMix/(1-ReferralMix),0),0)</f>
        <v/>
      </c>
      <c r="AMH16" s="12">
        <f>AMF16+AMG16</f>
        <v/>
      </c>
      <c r="AMI16" s="12">
        <f>ROUND(AMH16*(1-AnnualMix),0)</f>
        <v/>
      </c>
      <c r="AMJ16" s="12">
        <f>AMH16-AMI16</f>
        <v/>
      </c>
      <c r="AMK16" s="12">
        <f>ROUND(AMI16*EssentialMix,0)</f>
        <v/>
      </c>
      <c r="AML16" s="12">
        <f>AMI16-AMK16</f>
        <v/>
      </c>
      <c r="AMM16" s="12">
        <f>ROUND(AMJ16*EssentialMix,0)</f>
        <v/>
      </c>
      <c r="AMN16" s="12">
        <f>AMJ16-AMM16</f>
        <v/>
      </c>
      <c r="AMO16" s="12">
        <f>AMK16+AMK15+AMK14+MAX(0,AMO15-AMK15-AMK14)*(1-AMD16)</f>
        <v/>
      </c>
      <c r="AMP16" s="12">
        <f>AML16+AML15+AML14+MAX(0,AMP15-AML15-AML14)*(1-AMD16)</f>
        <v/>
      </c>
      <c r="AMQ16" s="12">
        <f>SUM(AMM$5:AMM16)</f>
        <v/>
      </c>
      <c r="AMR16" s="12">
        <f>SUM(AMN$5:AMN16)</f>
        <v/>
      </c>
      <c r="AMS16" s="12">
        <f>AMO16+AMP16+AMQ16+AMR16</f>
        <v/>
      </c>
      <c r="AMT16" s="9">
        <f>AMO16*PriceEssMonthly*AMC16+AMP16*PricePremMonthly*AMC16+AMQ16*PriceEssAnnual*AMC16/12+AMR16*PricePremAnnual*AMC16/12</f>
        <v/>
      </c>
      <c r="AMU16" s="9">
        <f>AMT16*12</f>
        <v/>
      </c>
      <c r="AMV16" s="12">
        <f>AMO16*PriceEssMonthly*AMC16+AMP16*PricePremMonthly*AMC16</f>
        <v/>
      </c>
      <c r="AMW16" s="12">
        <f>AMM16*PriceEssAnnual*AMC16+AMN16*PricePremAnnual*AMC16</f>
        <v/>
      </c>
      <c r="AMX16" s="12">
        <f>0+0</f>
        <v/>
      </c>
      <c r="AMY16" s="9">
        <f>AMV16+AMW16+AMX16</f>
        <v/>
      </c>
      <c r="AMZ16" s="12">
        <f>SUM(AMY5:AMY16)</f>
        <v/>
      </c>
      <c r="ANA16" s="12">
        <f>OR(ANA15,AMZ16&gt;=VATThreshold)</f>
        <v/>
      </c>
      <c r="ANB16" s="9">
        <f>IF(ANA16,AMY16/(1+VATRate),AMY16)</f>
        <v/>
      </c>
      <c r="ANC16" s="12">
        <f>AMY16-ANB16</f>
        <v/>
      </c>
      <c r="AND16" s="12">
        <f>IF(ANA16=0,0,IF(ALZ16=1,SUMPRODUCT(--(($AMA$5:$AMA16=$AMA16-1)*($ALZ$5:$ALZ16&gt;=10)*($ALZ$5:$ALZ16&lt;=12)),$ANC$5:$ANC16),IF(ALZ16=4,SUMPRODUCT(--(($AMA$5:$AMA16=$AMA16)*($ALZ$5:$ALZ16&gt;=1)*($ALZ$5:$ALZ16&lt;=3)),$ANC$5:$ANC16),IF(ALZ16=7,SUMPRODUCT(--(($AMA$5:$AMA16=$AMA16)*($ALZ$5:$ALZ16&gt;=4)*($ALZ$5:$ALZ16&lt;=6)),$ANC$5:$ANC16),IF(ALZ16=10,SUMPRODUCT(--(($AMA$5:$AMA16=$AMA16)*($ALZ$5:$ALZ16&gt;=7)*($ALZ$5:$ALZ16&lt;=9)),$ANC$5:$ANC16),0)))))</f>
        <v/>
      </c>
      <c r="ANE16" s="12">
        <f>ANE15+ANC16-AND16</f>
        <v/>
      </c>
      <c r="ANF16" s="12">
        <f>IF(ProviderDelay&gt;=1,ANB15*ProviderShare,ANB16*ProviderShare)</f>
        <v/>
      </c>
      <c r="ANG16" s="12">
        <f>AMY16*PaymentFee</f>
        <v/>
      </c>
      <c r="ANH16" s="12">
        <f>AMS16*OpsAI</f>
        <v/>
      </c>
      <c r="ANI16" s="12">
        <f>MonthlyFixed</f>
        <v/>
      </c>
      <c r="ANJ16" s="12">
        <f>AMG16*ReferralReward</f>
        <v/>
      </c>
      <c r="ANK16" s="12">
        <f>AME16</f>
        <v/>
      </c>
      <c r="ANL16" s="9">
        <f>ANB16-ANF16-ANG16-ANH16-ANI16-ANJ16-ANK16</f>
        <v/>
      </c>
      <c r="ANM16" s="9">
        <f>ANM15+AMY16-(ANF16+ANG16+ANH16+ANI16+ANJ16+ANK16+AND16)</f>
        <v/>
      </c>
      <c r="ANN16" s="12">
        <f>IF(AMS16&gt;0,AMT16/AMS16,0)</f>
        <v/>
      </c>
      <c r="ANO16" s="11">
        <f>IF(AMS15&gt;0,MAX(0,(AMS15+AMH16-AMS16)/AMS15),0)</f>
        <v/>
      </c>
      <c r="ANQ16" s="12" t="n">
        <v>12</v>
      </c>
      <c r="ANR16" s="12">
        <f>MOD(ANQ16-1+LaunchMonth-1,12)+1</f>
        <v/>
      </c>
      <c r="ANS16" s="12">
        <f>INT((ANQ16-1+LaunchMonth-1)/12)+1</f>
        <v/>
      </c>
      <c r="ANT16" s="12">
        <f>VLOOKUP(ANR16,SeasonTable,2,FALSE)</f>
        <v/>
      </c>
      <c r="ANU16" s="12">
        <f>(1+InflationRate)^INT((ANQ16-1)/12)</f>
        <v/>
      </c>
      <c r="ANV16" s="11">
        <f>MonthlyChurn*VLOOKUP(ANR16,ChurnSeasonTable,4,FALSE)</f>
        <v/>
      </c>
      <c r="ANW16" s="12">
        <f>MIN(MAX(MktMin7_12,AOQ15*MktPct7_12),MAX(0,APE15-CashBuffer))</f>
        <v/>
      </c>
      <c r="ANX16" s="12">
        <f>IF(ANW16&gt;0,MAX(1,ROUND(ANW16/'Sens - CAC &amp; Marketing'!$A$14*ANT16,0)),0)</f>
        <v/>
      </c>
      <c r="ANY16" s="12">
        <f>IF(ANX16&gt;0,ROUND(ANX16*ReferralMix/(1-ReferralMix),0),0)</f>
        <v/>
      </c>
      <c r="ANZ16" s="12">
        <f>ANX16+ANY16</f>
        <v/>
      </c>
      <c r="AOA16" s="12">
        <f>ROUND(ANZ16*(1-AnnualMix),0)</f>
        <v/>
      </c>
      <c r="AOB16" s="12">
        <f>ANZ16-AOA16</f>
        <v/>
      </c>
      <c r="AOC16" s="12">
        <f>ROUND(AOA16*EssentialMix,0)</f>
        <v/>
      </c>
      <c r="AOD16" s="12">
        <f>AOA16-AOC16</f>
        <v/>
      </c>
      <c r="AOE16" s="12">
        <f>ROUND(AOB16*EssentialMix,0)</f>
        <v/>
      </c>
      <c r="AOF16" s="12">
        <f>AOB16-AOE16</f>
        <v/>
      </c>
      <c r="AOG16" s="12">
        <f>AOC16+AOC15+AOC14+MAX(0,AOG15-AOC15-AOC14)*(1-ANV16)</f>
        <v/>
      </c>
      <c r="AOH16" s="12">
        <f>AOD16+AOD15+AOD14+MAX(0,AOH15-AOD15-AOD14)*(1-ANV16)</f>
        <v/>
      </c>
      <c r="AOI16" s="12">
        <f>SUM(AOE$5:AOE16)</f>
        <v/>
      </c>
      <c r="AOJ16" s="12">
        <f>SUM(AOF$5:AOF16)</f>
        <v/>
      </c>
      <c r="AOK16" s="12">
        <f>AOG16+AOH16+AOI16+AOJ16</f>
        <v/>
      </c>
      <c r="AOL16" s="9">
        <f>AOG16*PriceEssMonthly*ANU16+AOH16*PricePremMonthly*ANU16+AOI16*PriceEssAnnual*ANU16/12+AOJ16*PricePremAnnual*ANU16/12</f>
        <v/>
      </c>
      <c r="AOM16" s="9">
        <f>AOL16*12</f>
        <v/>
      </c>
      <c r="AON16" s="12">
        <f>AOG16*PriceEssMonthly*ANU16+AOH16*PricePremMonthly*ANU16</f>
        <v/>
      </c>
      <c r="AOO16" s="12">
        <f>AOE16*PriceEssAnnual*ANU16+AOF16*PricePremAnnual*ANU16</f>
        <v/>
      </c>
      <c r="AOP16" s="12">
        <f>0+0</f>
        <v/>
      </c>
      <c r="AOQ16" s="9">
        <f>AON16+AOO16+AOP16</f>
        <v/>
      </c>
      <c r="AOR16" s="12">
        <f>SUM(AOQ5:AOQ16)</f>
        <v/>
      </c>
      <c r="AOS16" s="12">
        <f>OR(AOS15,AOR16&gt;=VATThreshold)</f>
        <v/>
      </c>
      <c r="AOT16" s="9">
        <f>IF(AOS16,AOQ16/(1+VATRate),AOQ16)</f>
        <v/>
      </c>
      <c r="AOU16" s="12">
        <f>AOQ16-AOT16</f>
        <v/>
      </c>
      <c r="AOV16" s="12">
        <f>IF(AOS16=0,0,IF(ANR16=1,SUMPRODUCT(--(($ANS$5:$ANS16=$ANS16-1)*($ANR$5:$ANR16&gt;=10)*($ANR$5:$ANR16&lt;=12)),$AOU$5:$AOU16),IF(ANR16=4,SUMPRODUCT(--(($ANS$5:$ANS16=$ANS16)*($ANR$5:$ANR16&gt;=1)*($ANR$5:$ANR16&lt;=3)),$AOU$5:$AOU16),IF(ANR16=7,SUMPRODUCT(--(($ANS$5:$ANS16=$ANS16)*($ANR$5:$ANR16&gt;=4)*($ANR$5:$ANR16&lt;=6)),$AOU$5:$AOU16),IF(ANR16=10,SUMPRODUCT(--(($ANS$5:$ANS16=$ANS16)*($ANR$5:$ANR16&gt;=7)*($ANR$5:$ANR16&lt;=9)),$AOU$5:$AOU16),0)))))</f>
        <v/>
      </c>
      <c r="AOW16" s="12">
        <f>AOW15+AOU16-AOV16</f>
        <v/>
      </c>
      <c r="AOX16" s="12">
        <f>IF(ProviderDelay&gt;=1,AOT15*ProviderShare,AOT16*ProviderShare)</f>
        <v/>
      </c>
      <c r="AOY16" s="12">
        <f>AOQ16*PaymentFee</f>
        <v/>
      </c>
      <c r="AOZ16" s="12">
        <f>AOK16*OpsAI</f>
        <v/>
      </c>
      <c r="APA16" s="12">
        <f>MonthlyFixed</f>
        <v/>
      </c>
      <c r="APB16" s="12">
        <f>ANY16*ReferralReward</f>
        <v/>
      </c>
      <c r="APC16" s="12">
        <f>ANW16</f>
        <v/>
      </c>
      <c r="APD16" s="9">
        <f>AOT16-AOX16-AOY16-AOZ16-APA16-APB16-APC16</f>
        <v/>
      </c>
      <c r="APE16" s="9">
        <f>APE15+AOQ16-(AOX16+AOY16+AOZ16+APA16+APB16+APC16+AOV16)</f>
        <v/>
      </c>
      <c r="APF16" s="12">
        <f>IF(AOK16&gt;0,AOL16/AOK16,0)</f>
        <v/>
      </c>
      <c r="APG16" s="11">
        <f>IF(AOK15&gt;0,MAX(0,(AOK15+ANZ16-AOK16)/AOK15),0)</f>
        <v/>
      </c>
      <c r="API16" s="12" t="n">
        <v>12</v>
      </c>
      <c r="APJ16" s="12">
        <f>MOD(API16-1+LaunchMonth-1,12)+1</f>
        <v/>
      </c>
      <c r="APK16" s="12">
        <f>INT((API16-1+LaunchMonth-1)/12)+1</f>
        <v/>
      </c>
      <c r="APL16" s="12">
        <f>VLOOKUP(APJ16,SeasonTable,2,FALSE)</f>
        <v/>
      </c>
      <c r="APM16" s="12">
        <f>(1+InflationRate)^INT((API16-1)/12)</f>
        <v/>
      </c>
      <c r="APN16" s="11">
        <f>MonthlyChurn*VLOOKUP(APJ16,ChurnSeasonTable,4,FALSE)</f>
        <v/>
      </c>
      <c r="APO16" s="12">
        <f>MIN(MAX(MktMin7_12,AQI15*MktPct7_12),MAX(0,AQW15-CashBuffer))</f>
        <v/>
      </c>
      <c r="APP16" s="12">
        <f>IF(APO16&gt;0,MAX(1,ROUND(APO16/'Sens - CAC &amp; Marketing'!$A$15*APL16,0)),0)</f>
        <v/>
      </c>
      <c r="APQ16" s="12">
        <f>IF(APP16&gt;0,ROUND(APP16*ReferralMix/(1-ReferralMix),0),0)</f>
        <v/>
      </c>
      <c r="APR16" s="12">
        <f>APP16+APQ16</f>
        <v/>
      </c>
      <c r="APS16" s="12">
        <f>ROUND(APR16*(1-AnnualMix),0)</f>
        <v/>
      </c>
      <c r="APT16" s="12">
        <f>APR16-APS16</f>
        <v/>
      </c>
      <c r="APU16" s="12">
        <f>ROUND(APS16*EssentialMix,0)</f>
        <v/>
      </c>
      <c r="APV16" s="12">
        <f>APS16-APU16</f>
        <v/>
      </c>
      <c r="APW16" s="12">
        <f>ROUND(APT16*EssentialMix,0)</f>
        <v/>
      </c>
      <c r="APX16" s="12">
        <f>APT16-APW16</f>
        <v/>
      </c>
      <c r="APY16" s="12">
        <f>APU16+APU15+APU14+MAX(0,APY15-APU15-APU14)*(1-APN16)</f>
        <v/>
      </c>
      <c r="APZ16" s="12">
        <f>APV16+APV15+APV14+MAX(0,APZ15-APV15-APV14)*(1-APN16)</f>
        <v/>
      </c>
      <c r="AQA16" s="12">
        <f>SUM(APW$5:APW16)</f>
        <v/>
      </c>
      <c r="AQB16" s="12">
        <f>SUM(APX$5:APX16)</f>
        <v/>
      </c>
      <c r="AQC16" s="12">
        <f>APY16+APZ16+AQA16+AQB16</f>
        <v/>
      </c>
      <c r="AQD16" s="9">
        <f>APY16*PriceEssMonthly*APM16+APZ16*PricePremMonthly*APM16+AQA16*PriceEssAnnual*APM16/12+AQB16*PricePremAnnual*APM16/12</f>
        <v/>
      </c>
      <c r="AQE16" s="9">
        <f>AQD16*12</f>
        <v/>
      </c>
      <c r="AQF16" s="12">
        <f>APY16*PriceEssMonthly*APM16+APZ16*PricePremMonthly*APM16</f>
        <v/>
      </c>
      <c r="AQG16" s="12">
        <f>APW16*PriceEssAnnual*APM16+APX16*PricePremAnnual*APM16</f>
        <v/>
      </c>
      <c r="AQH16" s="12">
        <f>0+0</f>
        <v/>
      </c>
      <c r="AQI16" s="9">
        <f>AQF16+AQG16+AQH16</f>
        <v/>
      </c>
      <c r="AQJ16" s="12">
        <f>SUM(AQI5:AQI16)</f>
        <v/>
      </c>
      <c r="AQK16" s="12">
        <f>OR(AQK15,AQJ16&gt;=VATThreshold)</f>
        <v/>
      </c>
      <c r="AQL16" s="9">
        <f>IF(AQK16,AQI16/(1+VATRate),AQI16)</f>
        <v/>
      </c>
      <c r="AQM16" s="12">
        <f>AQI16-AQL16</f>
        <v/>
      </c>
      <c r="AQN16" s="12">
        <f>IF(AQK16=0,0,IF(APJ16=1,SUMPRODUCT(--(($APK$5:$APK16=$APK16-1)*($APJ$5:$APJ16&gt;=10)*($APJ$5:$APJ16&lt;=12)),$AQM$5:$AQM16),IF(APJ16=4,SUMPRODUCT(--(($APK$5:$APK16=$APK16)*($APJ$5:$APJ16&gt;=1)*($APJ$5:$APJ16&lt;=3)),$AQM$5:$AQM16),IF(APJ16=7,SUMPRODUCT(--(($APK$5:$APK16=$APK16)*($APJ$5:$APJ16&gt;=4)*($APJ$5:$APJ16&lt;=6)),$AQM$5:$AQM16),IF(APJ16=10,SUMPRODUCT(--(($APK$5:$APK16=$APK16)*($APJ$5:$APJ16&gt;=7)*($APJ$5:$APJ16&lt;=9)),$AQM$5:$AQM16),0)))))</f>
        <v/>
      </c>
      <c r="AQO16" s="12">
        <f>AQO15+AQM16-AQN16</f>
        <v/>
      </c>
      <c r="AQP16" s="12">
        <f>IF(ProviderDelay&gt;=1,AQL15*ProviderShare,AQL16*ProviderShare)</f>
        <v/>
      </c>
      <c r="AQQ16" s="12">
        <f>AQI16*PaymentFee</f>
        <v/>
      </c>
      <c r="AQR16" s="12">
        <f>AQC16*OpsAI</f>
        <v/>
      </c>
      <c r="AQS16" s="12">
        <f>MonthlyFixed</f>
        <v/>
      </c>
      <c r="AQT16" s="12">
        <f>APQ16*ReferralReward</f>
        <v/>
      </c>
      <c r="AQU16" s="12">
        <f>APO16</f>
        <v/>
      </c>
      <c r="AQV16" s="9">
        <f>AQL16-AQP16-AQQ16-AQR16-AQS16-AQT16-AQU16</f>
        <v/>
      </c>
      <c r="AQW16" s="9">
        <f>AQW15+AQI16-(AQP16+AQQ16+AQR16+AQS16+AQT16+AQU16+AQN16)</f>
        <v/>
      </c>
      <c r="AQX16" s="12">
        <f>IF(AQC16&gt;0,AQD16/AQC16,0)</f>
        <v/>
      </c>
      <c r="AQY16" s="11">
        <f>IF(AQC15&gt;0,MAX(0,(AQC15+APR16-AQC16)/AQC15),0)</f>
        <v/>
      </c>
      <c r="ARA16" s="12" t="n">
        <v>12</v>
      </c>
      <c r="ARB16" s="12">
        <f>MOD(ARA16-1+LaunchMonth-1,12)+1</f>
        <v/>
      </c>
      <c r="ARC16" s="12">
        <f>INT((ARA16-1+LaunchMonth-1)/12)+1</f>
        <v/>
      </c>
      <c r="ARD16" s="12">
        <f>VLOOKUP(ARB16,WinterPivotSeasonTable,5,FALSE)</f>
        <v/>
      </c>
      <c r="ARE16" s="12">
        <f>(1+InflationRate)^INT((ARA16-1)/12)</f>
        <v/>
      </c>
      <c r="ARF16" s="11">
        <f>MonthlyChurn*VLOOKUP(ARB16,WinterPivotChurnTable,6,FALSE)</f>
        <v/>
      </c>
      <c r="ARG16" s="12">
        <f>MIN(MAX(MktMin7_12,ASA15*MktPct7_12),MAX(0,ASO15-CashBuffer))</f>
        <v/>
      </c>
      <c r="ARH16" s="12">
        <f>IF(ARG16&gt;0,MAX(1,ROUND(ARG16/CAC*ARD16,0)),0)</f>
        <v/>
      </c>
      <c r="ARI16" s="12">
        <f>IF(ARH16&gt;0,ROUND(ARH16*ReferralMix/(1-ReferralMix),0),0)</f>
        <v/>
      </c>
      <c r="ARJ16" s="12">
        <f>ARH16+ARI16</f>
        <v/>
      </c>
      <c r="ARK16" s="12">
        <f>ROUND(ARJ16*(1-AnnualMix),0)</f>
        <v/>
      </c>
      <c r="ARL16" s="12">
        <f>ARJ16-ARK16</f>
        <v/>
      </c>
      <c r="ARM16" s="12">
        <f>ROUND(ARK16*'Sens - Winter Pivot'!$B$6,0)</f>
        <v/>
      </c>
      <c r="ARN16" s="12">
        <f>ARK16-ARM16</f>
        <v/>
      </c>
      <c r="ARO16" s="12">
        <f>ROUND(ARL16*'Sens - Winter Pivot'!$B$6,0)</f>
        <v/>
      </c>
      <c r="ARP16" s="12">
        <f>ARL16-ARO16</f>
        <v/>
      </c>
      <c r="ARQ16" s="12">
        <f>ARM16+ARM15+ARM14+MAX(0,ARQ15-ARM15-ARM14)*(1-ARF16)</f>
        <v/>
      </c>
      <c r="ARR16" s="12">
        <f>ARN16+ARN15+ARN14+MAX(0,ARR15-ARN15-ARN14)*(1-ARF16)</f>
        <v/>
      </c>
      <c r="ARS16" s="12">
        <f>SUM(ARO$5:ARO16)</f>
        <v/>
      </c>
      <c r="ART16" s="12">
        <f>SUM(ARP$5:ARP16)</f>
        <v/>
      </c>
      <c r="ARU16" s="12">
        <f>ARQ16+ARR16+ARS16+ART16</f>
        <v/>
      </c>
      <c r="ARV16" s="9">
        <f>ARQ16*PriceEssMonthly*ARE16+ARR16*(PricePremMonthly+'Sens - Winter Pivot'!$B$7)*ARE16+ARS16*PriceEssAnnual*ARE16/12+ART16*(PricePremAnnual+'Sens - Winter Pivot'!$B$7*12)*ARE16/12</f>
        <v/>
      </c>
      <c r="ARW16" s="9">
        <f>ARV16*12</f>
        <v/>
      </c>
      <c r="ARX16" s="12">
        <f>ARQ16*PriceEssMonthly*ARE16+ARR16*(PricePremMonthly+'Sens - Winter Pivot'!$B$7)*ARE16</f>
        <v/>
      </c>
      <c r="ARY16" s="12">
        <f>ARO16*PriceEssAnnual*ARE16+ARP16*(PricePremAnnual+'Sens - Winter Pivot'!$B$7*12)*ARE16</f>
        <v/>
      </c>
      <c r="ARZ16" s="12">
        <f>0+0</f>
        <v/>
      </c>
      <c r="ASA16" s="9">
        <f>ARX16+ARY16+ARZ16</f>
        <v/>
      </c>
      <c r="ASB16" s="12">
        <f>SUM(ASA5:ASA16)</f>
        <v/>
      </c>
      <c r="ASC16" s="12">
        <f>OR(ASC15,ASB16&gt;=VATThreshold)</f>
        <v/>
      </c>
      <c r="ASD16" s="9">
        <f>IF(ASC16,ASA16/(1+VATRate),ASA16)</f>
        <v/>
      </c>
      <c r="ASE16" s="12">
        <f>ASA16-ASD16</f>
        <v/>
      </c>
      <c r="ASF16" s="12">
        <f>IF(ASC16=0,0,IF(ARB16=1,SUMPRODUCT(--(($ARC$5:$ARC16=$ARC16-1)*($ARB$5:$ARB16&gt;=10)*($ARB$5:$ARB16&lt;=12)),$ASE$5:$ASE16),IF(ARB16=4,SUMPRODUCT(--(($ARC$5:$ARC16=$ARC16)*($ARB$5:$ARB16&gt;=1)*($ARB$5:$ARB16&lt;=3)),$ASE$5:$ASE16),IF(ARB16=7,SUMPRODUCT(--(($ARC$5:$ARC16=$ARC16)*($ARB$5:$ARB16&gt;=4)*($ARB$5:$ARB16&lt;=6)),$ASE$5:$ASE16),IF(ARB16=10,SUMPRODUCT(--(($ARC$5:$ARC16=$ARC16)*($ARB$5:$ARB16&gt;=7)*($ARB$5:$ARB16&lt;=9)),$ASE$5:$ASE16),0)))))</f>
        <v/>
      </c>
      <c r="ASG16" s="12">
        <f>ASG15+ASE16-ASF16</f>
        <v/>
      </c>
      <c r="ASH16" s="12">
        <f>IF(ProviderDelay&gt;=1,ASD15*ProviderShare,ASD16*ProviderShare)</f>
        <v/>
      </c>
      <c r="ASI16" s="12">
        <f>ASA16*PaymentFee</f>
        <v/>
      </c>
      <c r="ASJ16" s="12">
        <f>ARU16*OpsAI</f>
        <v/>
      </c>
      <c r="ASK16" s="12">
        <f>MonthlyFixed</f>
        <v/>
      </c>
      <c r="ASL16" s="12">
        <f>ARI16*ReferralReward</f>
        <v/>
      </c>
      <c r="ASM16" s="12">
        <f>ARG16</f>
        <v/>
      </c>
      <c r="ASN16" s="9">
        <f>ASD16-ASH16-ASI16-ASJ16-ASK16-ASL16-ASM16</f>
        <v/>
      </c>
      <c r="ASO16" s="9">
        <f>ASO15+ASA16-(ASH16+ASI16+ASJ16+ASK16+ASL16+ASM16+ASF16)</f>
        <v/>
      </c>
      <c r="ASP16" s="12">
        <f>IF(ARU16&gt;0,ARV16/ARU16,0)</f>
        <v/>
      </c>
      <c r="ASQ16" s="11">
        <f>IF(ARU15&gt;0,MAX(0,(ARU15+ARJ16-ARU16)/ARU15),0)</f>
        <v/>
      </c>
    </row>
    <row r="17">
      <c r="A17" s="12" t="n">
        <v>13</v>
      </c>
      <c r="B17" s="12">
        <f>MOD(A17-1+LaunchMonth-1,12)+1</f>
        <v/>
      </c>
      <c r="C17" s="12">
        <f>INT((A17-1+LaunchMonth-1)/12)+1</f>
        <v/>
      </c>
      <c r="D17" s="12">
        <f>VLOOKUP(B17,SeasonTable,2,FALSE)</f>
        <v/>
      </c>
      <c r="E17" s="12">
        <f>(1+InflationRate)^INT((A17-1)/12)</f>
        <v/>
      </c>
      <c r="F17" s="11">
        <f>'Sens - Scenarios'!$B$5*VLOOKUP(B17,ChurnSeasonTable,4,FALSE)</f>
        <v/>
      </c>
      <c r="G17" s="12">
        <f>MIN(MAX(MktMin13_18,AA16*MktPct13_18),MAX(0,AO16-CashBuffer))</f>
        <v/>
      </c>
      <c r="H17" s="12">
        <f>IF(G17&gt;0,MAX(1,ROUND(G17/'Sens - Scenarios'!$B$8*D17,0)),0)</f>
        <v/>
      </c>
      <c r="I17" s="12">
        <f>IF(H17&gt;0,ROUND(H17*ReferralMix/(1-ReferralMix),0),0)</f>
        <v/>
      </c>
      <c r="J17" s="12">
        <f>H17+I17</f>
        <v/>
      </c>
      <c r="K17" s="12">
        <f>ROUND(J17*(1-'Sens - Scenarios'!$B$7),0)</f>
        <v/>
      </c>
      <c r="L17" s="12">
        <f>J17-K17</f>
        <v/>
      </c>
      <c r="M17" s="12">
        <f>ROUND(K17*EssentialMix,0)</f>
        <v/>
      </c>
      <c r="N17" s="12">
        <f>K17-M17</f>
        <v/>
      </c>
      <c r="O17" s="12">
        <f>ROUND(L17*EssentialMix,0)</f>
        <v/>
      </c>
      <c r="P17" s="12">
        <f>L17-O17</f>
        <v/>
      </c>
      <c r="Q17" s="12">
        <f>M17+M16+M15+MAX(0,Q16-M16-M15)*(1-F17)</f>
        <v/>
      </c>
      <c r="R17" s="12">
        <f>N17+N16+N15+MAX(0,R16-N16-N15)*(1-F17)</f>
        <v/>
      </c>
      <c r="S17" s="12">
        <f>S16+O17-O5*('Sens - Scenarios'!$B$6*VLOOKUP(B17,ChurnSeasonTable,4,FALSE))*POWER(1-('Sens - Scenarios'!$B$6*VLOOKUP(B17,ChurnSeasonTable,4,FALSE)),0)</f>
        <v/>
      </c>
      <c r="T17" s="12">
        <f>T16+P17-P5*('Sens - Scenarios'!$B$6*VLOOKUP(B17,ChurnSeasonTable,4,FALSE))*POWER(1-('Sens - Scenarios'!$B$6*VLOOKUP(B17,ChurnSeasonTable,4,FALSE)),0)</f>
        <v/>
      </c>
      <c r="U17" s="12">
        <f>Q17+R17+S17+T17</f>
        <v/>
      </c>
      <c r="V17" s="9">
        <f>Q17*PriceEssMonthly*E17+R17*PricePremMonthly*E17+S17*PriceEssAnnual*E17/12+T17*PricePremAnnual*E17/12</f>
        <v/>
      </c>
      <c r="W17" s="9">
        <f>V17*12</f>
        <v/>
      </c>
      <c r="X17" s="12">
        <f>Q17*PriceEssMonthly*E17+R17*PricePremMonthly*E17</f>
        <v/>
      </c>
      <c r="Y17" s="12">
        <f>O17*PriceEssAnnual*E17+P17*PricePremAnnual*E17</f>
        <v/>
      </c>
      <c r="Z17" s="12">
        <f>O5*POWER(1-('Sens - Scenarios'!$B$6*VLOOKUP(B17,ChurnSeasonTable,4,FALSE)),1)*PriceEssAnnual*E17+P5*POWER(1-('Sens - Scenarios'!$B$6*VLOOKUP(B17,ChurnSeasonTable,4,FALSE)),1)*PricePremAnnual*E17</f>
        <v/>
      </c>
      <c r="AA17" s="9">
        <f>X17+Y17+Z17</f>
        <v/>
      </c>
      <c r="AB17" s="12">
        <f>SUM(AA6:AA17)</f>
        <v/>
      </c>
      <c r="AC17" s="12">
        <f>OR(AC16,AB17&gt;=VATThreshold)</f>
        <v/>
      </c>
      <c r="AD17" s="9">
        <f>IF(AC17,AA17/(1+VATRate),AA17)</f>
        <v/>
      </c>
      <c r="AE17" s="12">
        <f>AA17-AD17</f>
        <v/>
      </c>
      <c r="AF17" s="12">
        <f>IF(AC17=0,0,IF(B17=1,SUMPRODUCT(--(($C$5:$C17=$C17-1)*($B$5:$B17&gt;=10)*($B$5:$B17&lt;=12)),$AE$5:$AE17),IF(B17=4,SUMPRODUCT(--(($C$5:$C17=$C17)*($B$5:$B17&gt;=1)*($B$5:$B17&lt;=3)),$AE$5:$AE17),IF(B17=7,SUMPRODUCT(--(($C$5:$C17=$C17)*($B$5:$B17&gt;=4)*($B$5:$B17&lt;=6)),$AE$5:$AE17),IF(B17=10,SUMPRODUCT(--(($C$5:$C17=$C17)*($B$5:$B17&gt;=7)*($B$5:$B17&lt;=9)),$AE$5:$AE17),0)))))</f>
        <v/>
      </c>
      <c r="AG17" s="12">
        <f>AG16+AE17-AF17</f>
        <v/>
      </c>
      <c r="AH17" s="12">
        <f>IF(ProviderDelay&gt;=1,AD16*ProviderShare,AD17*ProviderShare)</f>
        <v/>
      </c>
      <c r="AI17" s="12">
        <f>AA17*PaymentFee</f>
        <v/>
      </c>
      <c r="AJ17" s="12">
        <f>U17*OpsAI</f>
        <v/>
      </c>
      <c r="AK17" s="12">
        <f>MonthlyFixed</f>
        <v/>
      </c>
      <c r="AL17" s="12">
        <f>I17*ReferralReward</f>
        <v/>
      </c>
      <c r="AM17" s="12">
        <f>G17</f>
        <v/>
      </c>
      <c r="AN17" s="9">
        <f>AD17-AH17-AI17-AJ17-AK17-AL17-AM17</f>
        <v/>
      </c>
      <c r="AO17" s="9">
        <f>AO16+AA17-(AH17+AI17+AJ17+AK17+AL17+AM17+AF17)</f>
        <v/>
      </c>
      <c r="AP17" s="12">
        <f>IF(U17&gt;0,V17/U17,0)</f>
        <v/>
      </c>
      <c r="AQ17" s="11">
        <f>IF(U16&gt;0,MAX(0,(U16+J17-U17)/U16),0)</f>
        <v/>
      </c>
      <c r="AS17" s="12" t="n">
        <v>13</v>
      </c>
      <c r="AT17" s="12">
        <f>MOD(AS17-1+LaunchMonth-1,12)+1</f>
        <v/>
      </c>
      <c r="AU17" s="12">
        <f>INT((AS17-1+LaunchMonth-1)/12)+1</f>
        <v/>
      </c>
      <c r="AV17" s="12">
        <f>VLOOKUP(AT17,SeasonTable,2,FALSE)</f>
        <v/>
      </c>
      <c r="AW17" s="12">
        <f>(1+InflationRate)^INT((AS17-1)/12)</f>
        <v/>
      </c>
      <c r="AX17" s="11">
        <f>MonthlyChurn*VLOOKUP(AT17,ChurnSeasonTable,4,FALSE)</f>
        <v/>
      </c>
      <c r="AY17" s="12">
        <f>MIN(MAX(MktMin13_18,BS16*MktPct13_18),MAX(0,CG16-CashBuffer))</f>
        <v/>
      </c>
      <c r="AZ17" s="12">
        <f>IF(AY17&gt;0,MAX(1,ROUND(AY17/CAC*AV17,0)),0)</f>
        <v/>
      </c>
      <c r="BA17" s="12">
        <f>IF(AZ17&gt;0,ROUND(AZ17*ReferralMix/(1-ReferralMix),0),0)</f>
        <v/>
      </c>
      <c r="BB17" s="12">
        <f>AZ17+BA17</f>
        <v/>
      </c>
      <c r="BC17" s="12">
        <f>ROUND(BB17*(1-AnnualMix),0)</f>
        <v/>
      </c>
      <c r="BD17" s="12">
        <f>BB17-BC17</f>
        <v/>
      </c>
      <c r="BE17" s="12">
        <f>ROUND(BC17*EssentialMix,0)</f>
        <v/>
      </c>
      <c r="BF17" s="12">
        <f>BC17-BE17</f>
        <v/>
      </c>
      <c r="BG17" s="12">
        <f>ROUND(BD17*EssentialMix,0)</f>
        <v/>
      </c>
      <c r="BH17" s="12">
        <f>BD17-BG17</f>
        <v/>
      </c>
      <c r="BI17" s="12">
        <f>BE17+BE16+BE15+MAX(0,BI16-BE16-BE15)*(1-AX17)</f>
        <v/>
      </c>
      <c r="BJ17" s="12">
        <f>BF17+BF16+BF15+MAX(0,BJ16-BF16-BF15)*(1-AX17)</f>
        <v/>
      </c>
      <c r="BK17" s="12">
        <f>BK16+BG17-BG5*(AnnualChurn*VLOOKUP(AT17,ChurnSeasonTable,4,FALSE))*POWER(1-(AnnualChurn*VLOOKUP(AT17,ChurnSeasonTable,4,FALSE)),0)</f>
        <v/>
      </c>
      <c r="BL17" s="12">
        <f>BL16+BH17-BH5*(AnnualChurn*VLOOKUP(AT17,ChurnSeasonTable,4,FALSE))*POWER(1-(AnnualChurn*VLOOKUP(AT17,ChurnSeasonTable,4,FALSE)),0)</f>
        <v/>
      </c>
      <c r="BM17" s="12">
        <f>BI17+BJ17+BK17+BL17</f>
        <v/>
      </c>
      <c r="BN17" s="9">
        <f>BI17*PriceEssMonthly*AW17+BJ17*PricePremMonthly*AW17+BK17*PriceEssAnnual*AW17/12+BL17*PricePremAnnual*AW17/12</f>
        <v/>
      </c>
      <c r="BO17" s="9">
        <f>BN17*12</f>
        <v/>
      </c>
      <c r="BP17" s="12">
        <f>BI17*PriceEssMonthly*AW17+BJ17*PricePremMonthly*AW17</f>
        <v/>
      </c>
      <c r="BQ17" s="12">
        <f>BG17*PriceEssAnnual*AW17+BH17*PricePremAnnual*AW17</f>
        <v/>
      </c>
      <c r="BR17" s="12">
        <f>BG5*POWER(1-(AnnualChurn*VLOOKUP(AT17,ChurnSeasonTable,4,FALSE)),1)*PriceEssAnnual*AW17+BH5*POWER(1-(AnnualChurn*VLOOKUP(AT17,ChurnSeasonTable,4,FALSE)),1)*PricePremAnnual*AW17</f>
        <v/>
      </c>
      <c r="BS17" s="9">
        <f>BP17+BQ17+BR17</f>
        <v/>
      </c>
      <c r="BT17" s="12">
        <f>SUM(BS6:BS17)</f>
        <v/>
      </c>
      <c r="BU17" s="12">
        <f>OR(BU16,BT17&gt;=VATThreshold)</f>
        <v/>
      </c>
      <c r="BV17" s="9">
        <f>IF(BU17,BS17/(1+VATRate),BS17)</f>
        <v/>
      </c>
      <c r="BW17" s="12">
        <f>BS17-BV17</f>
        <v/>
      </c>
      <c r="BX17" s="12">
        <f>IF(BU17=0,0,IF(AT17=1,SUMPRODUCT(--(($AU$5:$AU17=$AU17-1)*($AT$5:$AT17&gt;=10)*($AT$5:$AT17&lt;=12)),$BW$5:$BW17),IF(AT17=4,SUMPRODUCT(--(($AU$5:$AU17=$AU17)*($AT$5:$AT17&gt;=1)*($AT$5:$AT17&lt;=3)),$BW$5:$BW17),IF(AT17=7,SUMPRODUCT(--(($AU$5:$AU17=$AU17)*($AT$5:$AT17&gt;=4)*($AT$5:$AT17&lt;=6)),$BW$5:$BW17),IF(AT17=10,SUMPRODUCT(--(($AU$5:$AU17=$AU17)*($AT$5:$AT17&gt;=7)*($AT$5:$AT17&lt;=9)),$BW$5:$BW17),0)))))</f>
        <v/>
      </c>
      <c r="BY17" s="12">
        <f>BY16+BW17-BX17</f>
        <v/>
      </c>
      <c r="BZ17" s="12">
        <f>IF(ProviderDelay&gt;=1,BV16*ProviderShare,BV17*ProviderShare)</f>
        <v/>
      </c>
      <c r="CA17" s="12">
        <f>BS17*PaymentFee</f>
        <v/>
      </c>
      <c r="CB17" s="12">
        <f>BM17*OpsAI</f>
        <v/>
      </c>
      <c r="CC17" s="12">
        <f>MonthlyFixed</f>
        <v/>
      </c>
      <c r="CD17" s="12">
        <f>BA17*ReferralReward</f>
        <v/>
      </c>
      <c r="CE17" s="12">
        <f>AY17</f>
        <v/>
      </c>
      <c r="CF17" s="9">
        <f>BV17-BZ17-CA17-CB17-CC17-CD17-CE17</f>
        <v/>
      </c>
      <c r="CG17" s="9">
        <f>CG16+BS17-(BZ17+CA17+CB17+CC17+CD17+CE17+BX17)</f>
        <v/>
      </c>
      <c r="CH17" s="12">
        <f>IF(BM17&gt;0,BN17/BM17,0)</f>
        <v/>
      </c>
      <c r="CI17" s="11">
        <f>IF(BM16&gt;0,MAX(0,(BM16+BB17-BM17)/BM16),0)</f>
        <v/>
      </c>
      <c r="CK17" s="12" t="n">
        <v>13</v>
      </c>
      <c r="CL17" s="12">
        <f>MOD(CK17-1+LaunchMonth-1,12)+1</f>
        <v/>
      </c>
      <c r="CM17" s="12">
        <f>INT((CK17-1+LaunchMonth-1)/12)+1</f>
        <v/>
      </c>
      <c r="CN17" s="12">
        <f>VLOOKUP(CL17,SeasonTable,2,FALSE)</f>
        <v/>
      </c>
      <c r="CO17" s="12">
        <f>(1+InflationRate)^INT((CK17-1)/12)</f>
        <v/>
      </c>
      <c r="CP17" s="11">
        <f>'Sens - Scenarios'!$D$5*VLOOKUP(CL17,ChurnSeasonTable,4,FALSE)</f>
        <v/>
      </c>
      <c r="CQ17" s="12">
        <f>MIN(MAX(MktMin13_18,DK16*MktPct13_18),MAX(0,DY16-CashBuffer))</f>
        <v/>
      </c>
      <c r="CR17" s="12">
        <f>IF(CQ17&gt;0,MAX(1,ROUND(CQ17/'Sens - Scenarios'!$D$8*CN17,0)),0)</f>
        <v/>
      </c>
      <c r="CS17" s="12">
        <f>IF(CR17&gt;0,ROUND(CR17*ReferralMix/(1-ReferralMix),0),0)</f>
        <v/>
      </c>
      <c r="CT17" s="12">
        <f>CR17+CS17</f>
        <v/>
      </c>
      <c r="CU17" s="12">
        <f>ROUND(CT17*(1-'Sens - Scenarios'!$D$7),0)</f>
        <v/>
      </c>
      <c r="CV17" s="12">
        <f>CT17-CU17</f>
        <v/>
      </c>
      <c r="CW17" s="12">
        <f>ROUND(CU17*EssentialMix,0)</f>
        <v/>
      </c>
      <c r="CX17" s="12">
        <f>CU17-CW17</f>
        <v/>
      </c>
      <c r="CY17" s="12">
        <f>ROUND(CV17*EssentialMix,0)</f>
        <v/>
      </c>
      <c r="CZ17" s="12">
        <f>CV17-CY17</f>
        <v/>
      </c>
      <c r="DA17" s="12">
        <f>CW17+CW16+CW15+MAX(0,DA16-CW16-CW15)*(1-CP17)</f>
        <v/>
      </c>
      <c r="DB17" s="12">
        <f>CX17+CX16+CX15+MAX(0,DB16-CX16-CX15)*(1-CP17)</f>
        <v/>
      </c>
      <c r="DC17" s="12">
        <f>DC16+CY17-CY5*('Sens - Scenarios'!$D$6*VLOOKUP(CL17,ChurnSeasonTable,4,FALSE))*POWER(1-('Sens - Scenarios'!$D$6*VLOOKUP(CL17,ChurnSeasonTable,4,FALSE)),0)</f>
        <v/>
      </c>
      <c r="DD17" s="12">
        <f>DD16+CZ17-CZ5*('Sens - Scenarios'!$D$6*VLOOKUP(CL17,ChurnSeasonTable,4,FALSE))*POWER(1-('Sens - Scenarios'!$D$6*VLOOKUP(CL17,ChurnSeasonTable,4,FALSE)),0)</f>
        <v/>
      </c>
      <c r="DE17" s="12">
        <f>DA17+DB17+DC17+DD17</f>
        <v/>
      </c>
      <c r="DF17" s="9">
        <f>DA17*PriceEssMonthly*CO17+DB17*PricePremMonthly*CO17+DC17*PriceEssAnnual*CO17/12+DD17*PricePremAnnual*CO17/12</f>
        <v/>
      </c>
      <c r="DG17" s="9">
        <f>DF17*12</f>
        <v/>
      </c>
      <c r="DH17" s="12">
        <f>DA17*PriceEssMonthly*CO17+DB17*PricePremMonthly*CO17</f>
        <v/>
      </c>
      <c r="DI17" s="12">
        <f>CY17*PriceEssAnnual*CO17+CZ17*PricePremAnnual*CO17</f>
        <v/>
      </c>
      <c r="DJ17" s="12">
        <f>CY5*POWER(1-('Sens - Scenarios'!$D$6*VLOOKUP(CL17,ChurnSeasonTable,4,FALSE)),1)*PriceEssAnnual*CO17+CZ5*POWER(1-('Sens - Scenarios'!$D$6*VLOOKUP(CL17,ChurnSeasonTable,4,FALSE)),1)*PricePremAnnual*CO17</f>
        <v/>
      </c>
      <c r="DK17" s="9">
        <f>DH17+DI17+DJ17</f>
        <v/>
      </c>
      <c r="DL17" s="12">
        <f>SUM(DK6:DK17)</f>
        <v/>
      </c>
      <c r="DM17" s="12">
        <f>OR(DM16,DL17&gt;=VATThreshold)</f>
        <v/>
      </c>
      <c r="DN17" s="9">
        <f>IF(DM17,DK17/(1+VATRate),DK17)</f>
        <v/>
      </c>
      <c r="DO17" s="12">
        <f>DK17-DN17</f>
        <v/>
      </c>
      <c r="DP17" s="12">
        <f>IF(DM17=0,0,IF(CL17=1,SUMPRODUCT(--(($CM$5:$CM17=$CM17-1)*($CL$5:$CL17&gt;=10)*($CL$5:$CL17&lt;=12)),$DO$5:$DO17),IF(CL17=4,SUMPRODUCT(--(($CM$5:$CM17=$CM17)*($CL$5:$CL17&gt;=1)*($CL$5:$CL17&lt;=3)),$DO$5:$DO17),IF(CL17=7,SUMPRODUCT(--(($CM$5:$CM17=$CM17)*($CL$5:$CL17&gt;=4)*($CL$5:$CL17&lt;=6)),$DO$5:$DO17),IF(CL17=10,SUMPRODUCT(--(($CM$5:$CM17=$CM17)*($CL$5:$CL17&gt;=7)*($CL$5:$CL17&lt;=9)),$DO$5:$DO17),0)))))</f>
        <v/>
      </c>
      <c r="DQ17" s="12">
        <f>DQ16+DO17-DP17</f>
        <v/>
      </c>
      <c r="DR17" s="12">
        <f>IF(ProviderDelay&gt;=1,DN16*ProviderShare,DN17*ProviderShare)</f>
        <v/>
      </c>
      <c r="DS17" s="12">
        <f>DK17*PaymentFee</f>
        <v/>
      </c>
      <c r="DT17" s="12">
        <f>DE17*OpsAI</f>
        <v/>
      </c>
      <c r="DU17" s="12">
        <f>MonthlyFixed</f>
        <v/>
      </c>
      <c r="DV17" s="12">
        <f>CS17*ReferralReward</f>
        <v/>
      </c>
      <c r="DW17" s="12">
        <f>CQ17</f>
        <v/>
      </c>
      <c r="DX17" s="9">
        <f>DN17-DR17-DS17-DT17-DU17-DV17-DW17</f>
        <v/>
      </c>
      <c r="DY17" s="9">
        <f>DY16+DK17-(DR17+DS17+DT17+DU17+DV17+DW17+DP17)</f>
        <v/>
      </c>
      <c r="DZ17" s="12">
        <f>IF(DE17&gt;0,DF17/DE17,0)</f>
        <v/>
      </c>
      <c r="EA17" s="11">
        <f>IF(DE16&gt;0,MAX(0,(DE16+CT17-DE17)/DE16),0)</f>
        <v/>
      </c>
      <c r="EC17" s="12" t="n">
        <v>13</v>
      </c>
      <c r="ED17" s="12">
        <f>MOD(EC17-1+LaunchMonth-1,12)+1</f>
        <v/>
      </c>
      <c r="EE17" s="12">
        <f>INT((EC17-1+LaunchMonth-1)/12)+1</f>
        <v/>
      </c>
      <c r="EF17" s="12">
        <f>VLOOKUP(ED17,SeasonTable,2,FALSE)</f>
        <v/>
      </c>
      <c r="EG17" s="12">
        <f>(1+InflationRate)^INT((EC17-1)/12)</f>
        <v/>
      </c>
      <c r="EH17" s="11">
        <f>'Sens - Churn'!$A$13*VLOOKUP(ED17,ChurnSeasonTable,4,FALSE)</f>
        <v/>
      </c>
      <c r="EI17" s="12">
        <f>MIN(MAX(MktMin13_18,FC16*MktPct13_18),MAX(0,FQ16-CashBuffer))</f>
        <v/>
      </c>
      <c r="EJ17" s="12">
        <f>IF(EI17&gt;0,MAX(1,ROUND(EI17/CAC*EF17,0)),0)</f>
        <v/>
      </c>
      <c r="EK17" s="12">
        <f>IF(EJ17&gt;0,ROUND(EJ17*ReferralMix/(1-ReferralMix),0),0)</f>
        <v/>
      </c>
      <c r="EL17" s="12">
        <f>EJ17+EK17</f>
        <v/>
      </c>
      <c r="EM17" s="12">
        <f>ROUND(EL17*(1-AnnualMix),0)</f>
        <v/>
      </c>
      <c r="EN17" s="12">
        <f>EL17-EM17</f>
        <v/>
      </c>
      <c r="EO17" s="12">
        <f>ROUND(EM17*EssentialMix,0)</f>
        <v/>
      </c>
      <c r="EP17" s="12">
        <f>EM17-EO17</f>
        <v/>
      </c>
      <c r="EQ17" s="12">
        <f>ROUND(EN17*EssentialMix,0)</f>
        <v/>
      </c>
      <c r="ER17" s="12">
        <f>EN17-EQ17</f>
        <v/>
      </c>
      <c r="ES17" s="12">
        <f>EO17+EO16+EO15+MAX(0,ES16-EO16-EO15)*(1-EH17)</f>
        <v/>
      </c>
      <c r="ET17" s="12">
        <f>EP17+EP16+EP15+MAX(0,ET16-EP16-EP15)*(1-EH17)</f>
        <v/>
      </c>
      <c r="EU17" s="12">
        <f>EU16+EQ17-EQ5*(AnnualChurn*VLOOKUP(ED17,ChurnSeasonTable,4,FALSE))*POWER(1-(AnnualChurn*VLOOKUP(ED17,ChurnSeasonTable,4,FALSE)),0)</f>
        <v/>
      </c>
      <c r="EV17" s="12">
        <f>EV16+ER17-ER5*(AnnualChurn*VLOOKUP(ED17,ChurnSeasonTable,4,FALSE))*POWER(1-(AnnualChurn*VLOOKUP(ED17,ChurnSeasonTable,4,FALSE)),0)</f>
        <v/>
      </c>
      <c r="EW17" s="12">
        <f>ES17+ET17+EU17+EV17</f>
        <v/>
      </c>
      <c r="EX17" s="9">
        <f>ES17*PriceEssMonthly*EG17+ET17*PricePremMonthly*EG17+EU17*PriceEssAnnual*EG17/12+EV17*PricePremAnnual*EG17/12</f>
        <v/>
      </c>
      <c r="EY17" s="9">
        <f>EX17*12</f>
        <v/>
      </c>
      <c r="EZ17" s="12">
        <f>ES17*PriceEssMonthly*EG17+ET17*PricePremMonthly*EG17</f>
        <v/>
      </c>
      <c r="FA17" s="12">
        <f>EQ17*PriceEssAnnual*EG17+ER17*PricePremAnnual*EG17</f>
        <v/>
      </c>
      <c r="FB17" s="12">
        <f>EQ5*POWER(1-(AnnualChurn*VLOOKUP(ED17,ChurnSeasonTable,4,FALSE)),1)*PriceEssAnnual*EG17+ER5*POWER(1-(AnnualChurn*VLOOKUP(ED17,ChurnSeasonTable,4,FALSE)),1)*PricePremAnnual*EG17</f>
        <v/>
      </c>
      <c r="FC17" s="9">
        <f>EZ17+FA17+FB17</f>
        <v/>
      </c>
      <c r="FD17" s="12">
        <f>SUM(FC6:FC17)</f>
        <v/>
      </c>
      <c r="FE17" s="12">
        <f>OR(FE16,FD17&gt;=VATThreshold)</f>
        <v/>
      </c>
      <c r="FF17" s="9">
        <f>IF(FE17,FC17/(1+VATRate),FC17)</f>
        <v/>
      </c>
      <c r="FG17" s="12">
        <f>FC17-FF17</f>
        <v/>
      </c>
      <c r="FH17" s="12">
        <f>IF(FE17=0,0,IF(ED17=1,SUMPRODUCT(--(($EE$5:$EE17=$EE17-1)*($ED$5:$ED17&gt;=10)*($ED$5:$ED17&lt;=12)),$FG$5:$FG17),IF(ED17=4,SUMPRODUCT(--(($EE$5:$EE17=$EE17)*($ED$5:$ED17&gt;=1)*($ED$5:$ED17&lt;=3)),$FG$5:$FG17),IF(ED17=7,SUMPRODUCT(--(($EE$5:$EE17=$EE17)*($ED$5:$ED17&gt;=4)*($ED$5:$ED17&lt;=6)),$FG$5:$FG17),IF(ED17=10,SUMPRODUCT(--(($EE$5:$EE17=$EE17)*($ED$5:$ED17&gt;=7)*($ED$5:$ED17&lt;=9)),$FG$5:$FG17),0)))))</f>
        <v/>
      </c>
      <c r="FI17" s="12">
        <f>FI16+FG17-FH17</f>
        <v/>
      </c>
      <c r="FJ17" s="12">
        <f>IF(ProviderDelay&gt;=1,FF16*ProviderShare,FF17*ProviderShare)</f>
        <v/>
      </c>
      <c r="FK17" s="12">
        <f>FC17*PaymentFee</f>
        <v/>
      </c>
      <c r="FL17" s="12">
        <f>EW17*OpsAI</f>
        <v/>
      </c>
      <c r="FM17" s="12">
        <f>MonthlyFixed</f>
        <v/>
      </c>
      <c r="FN17" s="12">
        <f>EK17*ReferralReward</f>
        <v/>
      </c>
      <c r="FO17" s="12">
        <f>EI17</f>
        <v/>
      </c>
      <c r="FP17" s="9">
        <f>FF17-FJ17-FK17-FL17-FM17-FN17-FO17</f>
        <v/>
      </c>
      <c r="FQ17" s="9">
        <f>FQ16+FC17-(FJ17+FK17+FL17+FM17+FN17+FO17+FH17)</f>
        <v/>
      </c>
      <c r="FR17" s="12">
        <f>IF(EW17&gt;0,EX17/EW17,0)</f>
        <v/>
      </c>
      <c r="FS17" s="11">
        <f>IF(EW16&gt;0,MAX(0,(EW16+EL17-EW17)/EW16),0)</f>
        <v/>
      </c>
      <c r="FU17" s="12" t="n">
        <v>13</v>
      </c>
      <c r="FV17" s="12">
        <f>MOD(FU17-1+LaunchMonth-1,12)+1</f>
        <v/>
      </c>
      <c r="FW17" s="12">
        <f>INT((FU17-1+LaunchMonth-1)/12)+1</f>
        <v/>
      </c>
      <c r="FX17" s="12">
        <f>VLOOKUP(FV17,SeasonTable,2,FALSE)</f>
        <v/>
      </c>
      <c r="FY17" s="12">
        <f>(1+InflationRate)^INT((FU17-1)/12)</f>
        <v/>
      </c>
      <c r="FZ17" s="11">
        <f>'Sens - Churn'!$A$14*VLOOKUP(FV17,ChurnSeasonTable,4,FALSE)</f>
        <v/>
      </c>
      <c r="GA17" s="12">
        <f>MIN(MAX(MktMin13_18,GU16*MktPct13_18),MAX(0,HI16-CashBuffer))</f>
        <v/>
      </c>
      <c r="GB17" s="12">
        <f>IF(GA17&gt;0,MAX(1,ROUND(GA17/CAC*FX17,0)),0)</f>
        <v/>
      </c>
      <c r="GC17" s="12">
        <f>IF(GB17&gt;0,ROUND(GB17*ReferralMix/(1-ReferralMix),0),0)</f>
        <v/>
      </c>
      <c r="GD17" s="12">
        <f>GB17+GC17</f>
        <v/>
      </c>
      <c r="GE17" s="12">
        <f>ROUND(GD17*(1-AnnualMix),0)</f>
        <v/>
      </c>
      <c r="GF17" s="12">
        <f>GD17-GE17</f>
        <v/>
      </c>
      <c r="GG17" s="12">
        <f>ROUND(GE17*EssentialMix,0)</f>
        <v/>
      </c>
      <c r="GH17" s="12">
        <f>GE17-GG17</f>
        <v/>
      </c>
      <c r="GI17" s="12">
        <f>ROUND(GF17*EssentialMix,0)</f>
        <v/>
      </c>
      <c r="GJ17" s="12">
        <f>GF17-GI17</f>
        <v/>
      </c>
      <c r="GK17" s="12">
        <f>GG17+GG16+GG15+MAX(0,GK16-GG16-GG15)*(1-FZ17)</f>
        <v/>
      </c>
      <c r="GL17" s="12">
        <f>GH17+GH16+GH15+MAX(0,GL16-GH16-GH15)*(1-FZ17)</f>
        <v/>
      </c>
      <c r="GM17" s="12">
        <f>GM16+GI17-GI5*(AnnualChurn*VLOOKUP(FV17,ChurnSeasonTable,4,FALSE))*POWER(1-(AnnualChurn*VLOOKUP(FV17,ChurnSeasonTable,4,FALSE)),0)</f>
        <v/>
      </c>
      <c r="GN17" s="12">
        <f>GN16+GJ17-GJ5*(AnnualChurn*VLOOKUP(FV17,ChurnSeasonTable,4,FALSE))*POWER(1-(AnnualChurn*VLOOKUP(FV17,ChurnSeasonTable,4,FALSE)),0)</f>
        <v/>
      </c>
      <c r="GO17" s="12">
        <f>GK17+GL17+GM17+GN17</f>
        <v/>
      </c>
      <c r="GP17" s="9">
        <f>GK17*PriceEssMonthly*FY17+GL17*PricePremMonthly*FY17+GM17*PriceEssAnnual*FY17/12+GN17*PricePremAnnual*FY17/12</f>
        <v/>
      </c>
      <c r="GQ17" s="9">
        <f>GP17*12</f>
        <v/>
      </c>
      <c r="GR17" s="12">
        <f>GK17*PriceEssMonthly*FY17+GL17*PricePremMonthly*FY17</f>
        <v/>
      </c>
      <c r="GS17" s="12">
        <f>GI17*PriceEssAnnual*FY17+GJ17*PricePremAnnual*FY17</f>
        <v/>
      </c>
      <c r="GT17" s="12">
        <f>GI5*POWER(1-(AnnualChurn*VLOOKUP(FV17,ChurnSeasonTable,4,FALSE)),1)*PriceEssAnnual*FY17+GJ5*POWER(1-(AnnualChurn*VLOOKUP(FV17,ChurnSeasonTable,4,FALSE)),1)*PricePremAnnual*FY17</f>
        <v/>
      </c>
      <c r="GU17" s="9">
        <f>GR17+GS17+GT17</f>
        <v/>
      </c>
      <c r="GV17" s="12">
        <f>SUM(GU6:GU17)</f>
        <v/>
      </c>
      <c r="GW17" s="12">
        <f>OR(GW16,GV17&gt;=VATThreshold)</f>
        <v/>
      </c>
      <c r="GX17" s="9">
        <f>IF(GW17,GU17/(1+VATRate),GU17)</f>
        <v/>
      </c>
      <c r="GY17" s="12">
        <f>GU17-GX17</f>
        <v/>
      </c>
      <c r="GZ17" s="12">
        <f>IF(GW17=0,0,IF(FV17=1,SUMPRODUCT(--(($FW$5:$FW17=$FW17-1)*($FV$5:$FV17&gt;=10)*($FV$5:$FV17&lt;=12)),$GY$5:$GY17),IF(FV17=4,SUMPRODUCT(--(($FW$5:$FW17=$FW17)*($FV$5:$FV17&gt;=1)*($FV$5:$FV17&lt;=3)),$GY$5:$GY17),IF(FV17=7,SUMPRODUCT(--(($FW$5:$FW17=$FW17)*($FV$5:$FV17&gt;=4)*($FV$5:$FV17&lt;=6)),$GY$5:$GY17),IF(FV17=10,SUMPRODUCT(--(($FW$5:$FW17=$FW17)*($FV$5:$FV17&gt;=7)*($FV$5:$FV17&lt;=9)),$GY$5:$GY17),0)))))</f>
        <v/>
      </c>
      <c r="HA17" s="12">
        <f>HA16+GY17-GZ17</f>
        <v/>
      </c>
      <c r="HB17" s="12">
        <f>IF(ProviderDelay&gt;=1,GX16*ProviderShare,GX17*ProviderShare)</f>
        <v/>
      </c>
      <c r="HC17" s="12">
        <f>GU17*PaymentFee</f>
        <v/>
      </c>
      <c r="HD17" s="12">
        <f>GO17*OpsAI</f>
        <v/>
      </c>
      <c r="HE17" s="12">
        <f>MonthlyFixed</f>
        <v/>
      </c>
      <c r="HF17" s="12">
        <f>GC17*ReferralReward</f>
        <v/>
      </c>
      <c r="HG17" s="12">
        <f>GA17</f>
        <v/>
      </c>
      <c r="HH17" s="9">
        <f>GX17-HB17-HC17-HD17-HE17-HF17-HG17</f>
        <v/>
      </c>
      <c r="HI17" s="9">
        <f>HI16+GU17-(HB17+HC17+HD17+HE17+HF17+HG17+GZ17)</f>
        <v/>
      </c>
      <c r="HJ17" s="12">
        <f>IF(GO17&gt;0,GP17/GO17,0)</f>
        <v/>
      </c>
      <c r="HK17" s="11">
        <f>IF(GO16&gt;0,MAX(0,(GO16+GD17-GO17)/GO16),0)</f>
        <v/>
      </c>
      <c r="HM17" s="12" t="n">
        <v>13</v>
      </c>
      <c r="HN17" s="12">
        <f>MOD(HM17-1+LaunchMonth-1,12)+1</f>
        <v/>
      </c>
      <c r="HO17" s="12">
        <f>INT((HM17-1+LaunchMonth-1)/12)+1</f>
        <v/>
      </c>
      <c r="HP17" s="12">
        <f>VLOOKUP(HN17,SeasonTable,2,FALSE)</f>
        <v/>
      </c>
      <c r="HQ17" s="12">
        <f>(1+InflationRate)^INT((HM17-1)/12)</f>
        <v/>
      </c>
      <c r="HR17" s="11">
        <f>'Sens - Churn'!$A$15*VLOOKUP(HN17,ChurnSeasonTable,4,FALSE)</f>
        <v/>
      </c>
      <c r="HS17" s="12">
        <f>MIN(MAX(MktMin13_18,IM16*MktPct13_18),MAX(0,JA16-CashBuffer))</f>
        <v/>
      </c>
      <c r="HT17" s="12">
        <f>IF(HS17&gt;0,MAX(1,ROUND(HS17/CAC*HP17,0)),0)</f>
        <v/>
      </c>
      <c r="HU17" s="12">
        <f>IF(HT17&gt;0,ROUND(HT17*ReferralMix/(1-ReferralMix),0),0)</f>
        <v/>
      </c>
      <c r="HV17" s="12">
        <f>HT17+HU17</f>
        <v/>
      </c>
      <c r="HW17" s="12">
        <f>ROUND(HV17*(1-AnnualMix),0)</f>
        <v/>
      </c>
      <c r="HX17" s="12">
        <f>HV17-HW17</f>
        <v/>
      </c>
      <c r="HY17" s="12">
        <f>ROUND(HW17*EssentialMix,0)</f>
        <v/>
      </c>
      <c r="HZ17" s="12">
        <f>HW17-HY17</f>
        <v/>
      </c>
      <c r="IA17" s="12">
        <f>ROUND(HX17*EssentialMix,0)</f>
        <v/>
      </c>
      <c r="IB17" s="12">
        <f>HX17-IA17</f>
        <v/>
      </c>
      <c r="IC17" s="12">
        <f>HY17+HY16+HY15+MAX(0,IC16-HY16-HY15)*(1-HR17)</f>
        <v/>
      </c>
      <c r="ID17" s="12">
        <f>HZ17+HZ16+HZ15+MAX(0,ID16-HZ16-HZ15)*(1-HR17)</f>
        <v/>
      </c>
      <c r="IE17" s="12">
        <f>IE16+IA17-IA5*(AnnualChurn*VLOOKUP(HN17,ChurnSeasonTable,4,FALSE))*POWER(1-(AnnualChurn*VLOOKUP(HN17,ChurnSeasonTable,4,FALSE)),0)</f>
        <v/>
      </c>
      <c r="IF17" s="12">
        <f>IF16+IB17-IB5*(AnnualChurn*VLOOKUP(HN17,ChurnSeasonTable,4,FALSE))*POWER(1-(AnnualChurn*VLOOKUP(HN17,ChurnSeasonTable,4,FALSE)),0)</f>
        <v/>
      </c>
      <c r="IG17" s="12">
        <f>IC17+ID17+IE17+IF17</f>
        <v/>
      </c>
      <c r="IH17" s="9">
        <f>IC17*PriceEssMonthly*HQ17+ID17*PricePremMonthly*HQ17+IE17*PriceEssAnnual*HQ17/12+IF17*PricePremAnnual*HQ17/12</f>
        <v/>
      </c>
      <c r="II17" s="9">
        <f>IH17*12</f>
        <v/>
      </c>
      <c r="IJ17" s="12">
        <f>IC17*PriceEssMonthly*HQ17+ID17*PricePremMonthly*HQ17</f>
        <v/>
      </c>
      <c r="IK17" s="12">
        <f>IA17*PriceEssAnnual*HQ17+IB17*PricePremAnnual*HQ17</f>
        <v/>
      </c>
      <c r="IL17" s="12">
        <f>IA5*POWER(1-(AnnualChurn*VLOOKUP(HN17,ChurnSeasonTable,4,FALSE)),1)*PriceEssAnnual*HQ17+IB5*POWER(1-(AnnualChurn*VLOOKUP(HN17,ChurnSeasonTable,4,FALSE)),1)*PricePremAnnual*HQ17</f>
        <v/>
      </c>
      <c r="IM17" s="9">
        <f>IJ17+IK17+IL17</f>
        <v/>
      </c>
      <c r="IN17" s="12">
        <f>SUM(IM6:IM17)</f>
        <v/>
      </c>
      <c r="IO17" s="12">
        <f>OR(IO16,IN17&gt;=VATThreshold)</f>
        <v/>
      </c>
      <c r="IP17" s="9">
        <f>IF(IO17,IM17/(1+VATRate),IM17)</f>
        <v/>
      </c>
      <c r="IQ17" s="12">
        <f>IM17-IP17</f>
        <v/>
      </c>
      <c r="IR17" s="12">
        <f>IF(IO17=0,0,IF(HN17=1,SUMPRODUCT(--(($HO$5:$HO17=$HO17-1)*($HN$5:$HN17&gt;=10)*($HN$5:$HN17&lt;=12)),$IQ$5:$IQ17),IF(HN17=4,SUMPRODUCT(--(($HO$5:$HO17=$HO17)*($HN$5:$HN17&gt;=1)*($HN$5:$HN17&lt;=3)),$IQ$5:$IQ17),IF(HN17=7,SUMPRODUCT(--(($HO$5:$HO17=$HO17)*($HN$5:$HN17&gt;=4)*($HN$5:$HN17&lt;=6)),$IQ$5:$IQ17),IF(HN17=10,SUMPRODUCT(--(($HO$5:$HO17=$HO17)*($HN$5:$HN17&gt;=7)*($HN$5:$HN17&lt;=9)),$IQ$5:$IQ17),0)))))</f>
        <v/>
      </c>
      <c r="IS17" s="12">
        <f>IS16+IQ17-IR17</f>
        <v/>
      </c>
      <c r="IT17" s="12">
        <f>IF(ProviderDelay&gt;=1,IP16*ProviderShare,IP17*ProviderShare)</f>
        <v/>
      </c>
      <c r="IU17" s="12">
        <f>IM17*PaymentFee</f>
        <v/>
      </c>
      <c r="IV17" s="12">
        <f>IG17*OpsAI</f>
        <v/>
      </c>
      <c r="IW17" s="12">
        <f>MonthlyFixed</f>
        <v/>
      </c>
      <c r="IX17" s="12">
        <f>HU17*ReferralReward</f>
        <v/>
      </c>
      <c r="IY17" s="12">
        <f>HS17</f>
        <v/>
      </c>
      <c r="IZ17" s="9">
        <f>IP17-IT17-IU17-IV17-IW17-IX17-IY17</f>
        <v/>
      </c>
      <c r="JA17" s="9">
        <f>JA16+IM17-(IT17+IU17+IV17+IW17+IX17+IY17+IR17)</f>
        <v/>
      </c>
      <c r="JB17" s="12">
        <f>IF(IG17&gt;0,IH17/IG17,0)</f>
        <v/>
      </c>
      <c r="JC17" s="11">
        <f>IF(IG16&gt;0,MAX(0,(IG16+HV17-IG17)/IG16),0)</f>
        <v/>
      </c>
      <c r="JE17" s="12" t="n">
        <v>13</v>
      </c>
      <c r="JF17" s="12">
        <f>MOD(JE17-1+LaunchMonth-1,12)+1</f>
        <v/>
      </c>
      <c r="JG17" s="12">
        <f>INT((JE17-1+LaunchMonth-1)/12)+1</f>
        <v/>
      </c>
      <c r="JH17" s="12">
        <f>VLOOKUP(JF17,SeasonTable,2,FALSE)</f>
        <v/>
      </c>
      <c r="JI17" s="12">
        <f>(1+InflationRate)^INT((JE17-1)/12)</f>
        <v/>
      </c>
      <c r="JJ17" s="11">
        <f>'Sens - Churn'!$A$16*VLOOKUP(JF17,ChurnSeasonTable,4,FALSE)</f>
        <v/>
      </c>
      <c r="JK17" s="12">
        <f>MIN(MAX(MktMin13_18,KE16*MktPct13_18),MAX(0,KS16-CashBuffer))</f>
        <v/>
      </c>
      <c r="JL17" s="12">
        <f>IF(JK17&gt;0,MAX(1,ROUND(JK17/CAC*JH17,0)),0)</f>
        <v/>
      </c>
      <c r="JM17" s="12">
        <f>IF(JL17&gt;0,ROUND(JL17*ReferralMix/(1-ReferralMix),0),0)</f>
        <v/>
      </c>
      <c r="JN17" s="12">
        <f>JL17+JM17</f>
        <v/>
      </c>
      <c r="JO17" s="12">
        <f>ROUND(JN17*(1-AnnualMix),0)</f>
        <v/>
      </c>
      <c r="JP17" s="12">
        <f>JN17-JO17</f>
        <v/>
      </c>
      <c r="JQ17" s="12">
        <f>ROUND(JO17*EssentialMix,0)</f>
        <v/>
      </c>
      <c r="JR17" s="12">
        <f>JO17-JQ17</f>
        <v/>
      </c>
      <c r="JS17" s="12">
        <f>ROUND(JP17*EssentialMix,0)</f>
        <v/>
      </c>
      <c r="JT17" s="12">
        <f>JP17-JS17</f>
        <v/>
      </c>
      <c r="JU17" s="12">
        <f>JQ17+JQ16+JQ15+MAX(0,JU16-JQ16-JQ15)*(1-JJ17)</f>
        <v/>
      </c>
      <c r="JV17" s="12">
        <f>JR17+JR16+JR15+MAX(0,JV16-JR16-JR15)*(1-JJ17)</f>
        <v/>
      </c>
      <c r="JW17" s="12">
        <f>JW16+JS17-JS5*(AnnualChurn*VLOOKUP(JF17,ChurnSeasonTable,4,FALSE))*POWER(1-(AnnualChurn*VLOOKUP(JF17,ChurnSeasonTable,4,FALSE)),0)</f>
        <v/>
      </c>
      <c r="JX17" s="12">
        <f>JX16+JT17-JT5*(AnnualChurn*VLOOKUP(JF17,ChurnSeasonTable,4,FALSE))*POWER(1-(AnnualChurn*VLOOKUP(JF17,ChurnSeasonTable,4,FALSE)),0)</f>
        <v/>
      </c>
      <c r="JY17" s="12">
        <f>JU17+JV17+JW17+JX17</f>
        <v/>
      </c>
      <c r="JZ17" s="9">
        <f>JU17*PriceEssMonthly*JI17+JV17*PricePremMonthly*JI17+JW17*PriceEssAnnual*JI17/12+JX17*PricePremAnnual*JI17/12</f>
        <v/>
      </c>
      <c r="KA17" s="9">
        <f>JZ17*12</f>
        <v/>
      </c>
      <c r="KB17" s="12">
        <f>JU17*PriceEssMonthly*JI17+JV17*PricePremMonthly*JI17</f>
        <v/>
      </c>
      <c r="KC17" s="12">
        <f>JS17*PriceEssAnnual*JI17+JT17*PricePremAnnual*JI17</f>
        <v/>
      </c>
      <c r="KD17" s="12">
        <f>JS5*POWER(1-(AnnualChurn*VLOOKUP(JF17,ChurnSeasonTable,4,FALSE)),1)*PriceEssAnnual*JI17+JT5*POWER(1-(AnnualChurn*VLOOKUP(JF17,ChurnSeasonTable,4,FALSE)),1)*PricePremAnnual*JI17</f>
        <v/>
      </c>
      <c r="KE17" s="9">
        <f>KB17+KC17+KD17</f>
        <v/>
      </c>
      <c r="KF17" s="12">
        <f>SUM(KE6:KE17)</f>
        <v/>
      </c>
      <c r="KG17" s="12">
        <f>OR(KG16,KF17&gt;=VATThreshold)</f>
        <v/>
      </c>
      <c r="KH17" s="9">
        <f>IF(KG17,KE17/(1+VATRate),KE17)</f>
        <v/>
      </c>
      <c r="KI17" s="12">
        <f>KE17-KH17</f>
        <v/>
      </c>
      <c r="KJ17" s="12">
        <f>IF(KG17=0,0,IF(JF17=1,SUMPRODUCT(--(($JG$5:$JG17=$JG17-1)*($JF$5:$JF17&gt;=10)*($JF$5:$JF17&lt;=12)),$KI$5:$KI17),IF(JF17=4,SUMPRODUCT(--(($JG$5:$JG17=$JG17)*($JF$5:$JF17&gt;=1)*($JF$5:$JF17&lt;=3)),$KI$5:$KI17),IF(JF17=7,SUMPRODUCT(--(($JG$5:$JG17=$JG17)*($JF$5:$JF17&gt;=4)*($JF$5:$JF17&lt;=6)),$KI$5:$KI17),IF(JF17=10,SUMPRODUCT(--(($JG$5:$JG17=$JG17)*($JF$5:$JF17&gt;=7)*($JF$5:$JF17&lt;=9)),$KI$5:$KI17),0)))))</f>
        <v/>
      </c>
      <c r="KK17" s="12">
        <f>KK16+KI17-KJ17</f>
        <v/>
      </c>
      <c r="KL17" s="12">
        <f>IF(ProviderDelay&gt;=1,KH16*ProviderShare,KH17*ProviderShare)</f>
        <v/>
      </c>
      <c r="KM17" s="12">
        <f>KE17*PaymentFee</f>
        <v/>
      </c>
      <c r="KN17" s="12">
        <f>JY17*OpsAI</f>
        <v/>
      </c>
      <c r="KO17" s="12">
        <f>MonthlyFixed</f>
        <v/>
      </c>
      <c r="KP17" s="12">
        <f>JM17*ReferralReward</f>
        <v/>
      </c>
      <c r="KQ17" s="12">
        <f>JK17</f>
        <v/>
      </c>
      <c r="KR17" s="9">
        <f>KH17-KL17-KM17-KN17-KO17-KP17-KQ17</f>
        <v/>
      </c>
      <c r="KS17" s="9">
        <f>KS16+KE17-(KL17+KM17+KN17+KO17+KP17+KQ17+KJ17)</f>
        <v/>
      </c>
      <c r="KT17" s="12">
        <f>IF(JY17&gt;0,JZ17/JY17,0)</f>
        <v/>
      </c>
      <c r="KU17" s="11">
        <f>IF(JY16&gt;0,MAX(0,(JY16+JN17-JY17)/JY16),0)</f>
        <v/>
      </c>
      <c r="KW17" s="12" t="n">
        <v>13</v>
      </c>
      <c r="KX17" s="12">
        <f>MOD(KW17-1+LaunchMonth-1,12)+1</f>
        <v/>
      </c>
      <c r="KY17" s="12">
        <f>INT((KW17-1+LaunchMonth-1)/12)+1</f>
        <v/>
      </c>
      <c r="KZ17" s="12">
        <f>VLOOKUP(KX17,SeasonTable,2,FALSE)</f>
        <v/>
      </c>
      <c r="LA17" s="12">
        <f>(1+InflationRate)^INT((KW17-1)/12)</f>
        <v/>
      </c>
      <c r="LB17" s="11">
        <f>'Sens - Churn'!$A$17*VLOOKUP(KX17,ChurnSeasonTable,4,FALSE)</f>
        <v/>
      </c>
      <c r="LC17" s="12">
        <f>MIN(MAX(MktMin13_18,LW16*MktPct13_18),MAX(0,MK16-CashBuffer))</f>
        <v/>
      </c>
      <c r="LD17" s="12">
        <f>IF(LC17&gt;0,MAX(1,ROUND(LC17/CAC*KZ17,0)),0)</f>
        <v/>
      </c>
      <c r="LE17" s="12">
        <f>IF(LD17&gt;0,ROUND(LD17*ReferralMix/(1-ReferralMix),0),0)</f>
        <v/>
      </c>
      <c r="LF17" s="12">
        <f>LD17+LE17</f>
        <v/>
      </c>
      <c r="LG17" s="12">
        <f>ROUND(LF17*(1-AnnualMix),0)</f>
        <v/>
      </c>
      <c r="LH17" s="12">
        <f>LF17-LG17</f>
        <v/>
      </c>
      <c r="LI17" s="12">
        <f>ROUND(LG17*EssentialMix,0)</f>
        <v/>
      </c>
      <c r="LJ17" s="12">
        <f>LG17-LI17</f>
        <v/>
      </c>
      <c r="LK17" s="12">
        <f>ROUND(LH17*EssentialMix,0)</f>
        <v/>
      </c>
      <c r="LL17" s="12">
        <f>LH17-LK17</f>
        <v/>
      </c>
      <c r="LM17" s="12">
        <f>LI17+LI16+LI15+MAX(0,LM16-LI16-LI15)*(1-LB17)</f>
        <v/>
      </c>
      <c r="LN17" s="12">
        <f>LJ17+LJ16+LJ15+MAX(0,LN16-LJ16-LJ15)*(1-LB17)</f>
        <v/>
      </c>
      <c r="LO17" s="12">
        <f>LO16+LK17-LK5*(AnnualChurn*VLOOKUP(KX17,ChurnSeasonTable,4,FALSE))*POWER(1-(AnnualChurn*VLOOKUP(KX17,ChurnSeasonTable,4,FALSE)),0)</f>
        <v/>
      </c>
      <c r="LP17" s="12">
        <f>LP16+LL17-LL5*(AnnualChurn*VLOOKUP(KX17,ChurnSeasonTable,4,FALSE))*POWER(1-(AnnualChurn*VLOOKUP(KX17,ChurnSeasonTable,4,FALSE)),0)</f>
        <v/>
      </c>
      <c r="LQ17" s="12">
        <f>LM17+LN17+LO17+LP17</f>
        <v/>
      </c>
      <c r="LR17" s="9">
        <f>LM17*PriceEssMonthly*LA17+LN17*PricePremMonthly*LA17+LO17*PriceEssAnnual*LA17/12+LP17*PricePremAnnual*LA17/12</f>
        <v/>
      </c>
      <c r="LS17" s="9">
        <f>LR17*12</f>
        <v/>
      </c>
      <c r="LT17" s="12">
        <f>LM17*PriceEssMonthly*LA17+LN17*PricePremMonthly*LA17</f>
        <v/>
      </c>
      <c r="LU17" s="12">
        <f>LK17*PriceEssAnnual*LA17+LL17*PricePremAnnual*LA17</f>
        <v/>
      </c>
      <c r="LV17" s="12">
        <f>LK5*POWER(1-(AnnualChurn*VLOOKUP(KX17,ChurnSeasonTable,4,FALSE)),1)*PriceEssAnnual*LA17+LL5*POWER(1-(AnnualChurn*VLOOKUP(KX17,ChurnSeasonTable,4,FALSE)),1)*PricePremAnnual*LA17</f>
        <v/>
      </c>
      <c r="LW17" s="9">
        <f>LT17+LU17+LV17</f>
        <v/>
      </c>
      <c r="LX17" s="12">
        <f>SUM(LW6:LW17)</f>
        <v/>
      </c>
      <c r="LY17" s="12">
        <f>OR(LY16,LX17&gt;=VATThreshold)</f>
        <v/>
      </c>
      <c r="LZ17" s="9">
        <f>IF(LY17,LW17/(1+VATRate),LW17)</f>
        <v/>
      </c>
      <c r="MA17" s="12">
        <f>LW17-LZ17</f>
        <v/>
      </c>
      <c r="MB17" s="12">
        <f>IF(LY17=0,0,IF(KX17=1,SUMPRODUCT(--(($KY$5:$KY17=$KY17-1)*($KX$5:$KX17&gt;=10)*($KX$5:$KX17&lt;=12)),$MA$5:$MA17),IF(KX17=4,SUMPRODUCT(--(($KY$5:$KY17=$KY17)*($KX$5:$KX17&gt;=1)*($KX$5:$KX17&lt;=3)),$MA$5:$MA17),IF(KX17=7,SUMPRODUCT(--(($KY$5:$KY17=$KY17)*($KX$5:$KX17&gt;=4)*($KX$5:$KX17&lt;=6)),$MA$5:$MA17),IF(KX17=10,SUMPRODUCT(--(($KY$5:$KY17=$KY17)*($KX$5:$KX17&gt;=7)*($KX$5:$KX17&lt;=9)),$MA$5:$MA17),0)))))</f>
        <v/>
      </c>
      <c r="MC17" s="12">
        <f>MC16+MA17-MB17</f>
        <v/>
      </c>
      <c r="MD17" s="12">
        <f>IF(ProviderDelay&gt;=1,LZ16*ProviderShare,LZ17*ProviderShare)</f>
        <v/>
      </c>
      <c r="ME17" s="12">
        <f>LW17*PaymentFee</f>
        <v/>
      </c>
      <c r="MF17" s="12">
        <f>LQ17*OpsAI</f>
        <v/>
      </c>
      <c r="MG17" s="12">
        <f>MonthlyFixed</f>
        <v/>
      </c>
      <c r="MH17" s="12">
        <f>LE17*ReferralReward</f>
        <v/>
      </c>
      <c r="MI17" s="12">
        <f>LC17</f>
        <v/>
      </c>
      <c r="MJ17" s="9">
        <f>LZ17-MD17-ME17-MF17-MG17-MH17-MI17</f>
        <v/>
      </c>
      <c r="MK17" s="9">
        <f>MK16+LW17-(MD17+ME17+MF17+MG17+MH17+MI17+MB17)</f>
        <v/>
      </c>
      <c r="ML17" s="12">
        <f>IF(LQ17&gt;0,LR17/LQ17,0)</f>
        <v/>
      </c>
      <c r="MM17" s="11">
        <f>IF(LQ16&gt;0,MAX(0,(LQ16+LF17-LQ17)/LQ16),0)</f>
        <v/>
      </c>
      <c r="MO17" s="12" t="n">
        <v>13</v>
      </c>
      <c r="MP17" s="12">
        <f>MOD(MO17-1+LaunchMonth-1,12)+1</f>
        <v/>
      </c>
      <c r="MQ17" s="12">
        <f>INT((MO17-1+LaunchMonth-1)/12)+1</f>
        <v/>
      </c>
      <c r="MR17" s="12">
        <f>VLOOKUP(MP17,SeasonTable,2,FALSE)</f>
        <v/>
      </c>
      <c r="MS17" s="12">
        <f>(1+InflationRate)^INT((MO17-1)/12)</f>
        <v/>
      </c>
      <c r="MT17" s="11">
        <f>'Sens - Churn'!$A$18*VLOOKUP(MP17,ChurnSeasonTable,4,FALSE)</f>
        <v/>
      </c>
      <c r="MU17" s="12">
        <f>MIN(MAX(MktMin13_18,NO16*MktPct13_18),MAX(0,OC16-CashBuffer))</f>
        <v/>
      </c>
      <c r="MV17" s="12">
        <f>IF(MU17&gt;0,MAX(1,ROUND(MU17/CAC*MR17,0)),0)</f>
        <v/>
      </c>
      <c r="MW17" s="12">
        <f>IF(MV17&gt;0,ROUND(MV17*ReferralMix/(1-ReferralMix),0),0)</f>
        <v/>
      </c>
      <c r="MX17" s="12">
        <f>MV17+MW17</f>
        <v/>
      </c>
      <c r="MY17" s="12">
        <f>ROUND(MX17*(1-AnnualMix),0)</f>
        <v/>
      </c>
      <c r="MZ17" s="12">
        <f>MX17-MY17</f>
        <v/>
      </c>
      <c r="NA17" s="12">
        <f>ROUND(MY17*EssentialMix,0)</f>
        <v/>
      </c>
      <c r="NB17" s="12">
        <f>MY17-NA17</f>
        <v/>
      </c>
      <c r="NC17" s="12">
        <f>ROUND(MZ17*EssentialMix,0)</f>
        <v/>
      </c>
      <c r="ND17" s="12">
        <f>MZ17-NC17</f>
        <v/>
      </c>
      <c r="NE17" s="12">
        <f>NA17+NA16+NA15+MAX(0,NE16-NA16-NA15)*(1-MT17)</f>
        <v/>
      </c>
      <c r="NF17" s="12">
        <f>NB17+NB16+NB15+MAX(0,NF16-NB16-NB15)*(1-MT17)</f>
        <v/>
      </c>
      <c r="NG17" s="12">
        <f>NG16+NC17-NC5*(AnnualChurn*VLOOKUP(MP17,ChurnSeasonTable,4,FALSE))*POWER(1-(AnnualChurn*VLOOKUP(MP17,ChurnSeasonTable,4,FALSE)),0)</f>
        <v/>
      </c>
      <c r="NH17" s="12">
        <f>NH16+ND17-ND5*(AnnualChurn*VLOOKUP(MP17,ChurnSeasonTable,4,FALSE))*POWER(1-(AnnualChurn*VLOOKUP(MP17,ChurnSeasonTable,4,FALSE)),0)</f>
        <v/>
      </c>
      <c r="NI17" s="12">
        <f>NE17+NF17+NG17+NH17</f>
        <v/>
      </c>
      <c r="NJ17" s="9">
        <f>NE17*PriceEssMonthly*MS17+NF17*PricePremMonthly*MS17+NG17*PriceEssAnnual*MS17/12+NH17*PricePremAnnual*MS17/12</f>
        <v/>
      </c>
      <c r="NK17" s="9">
        <f>NJ17*12</f>
        <v/>
      </c>
      <c r="NL17" s="12">
        <f>NE17*PriceEssMonthly*MS17+NF17*PricePremMonthly*MS17</f>
        <v/>
      </c>
      <c r="NM17" s="12">
        <f>NC17*PriceEssAnnual*MS17+ND17*PricePremAnnual*MS17</f>
        <v/>
      </c>
      <c r="NN17" s="12">
        <f>NC5*POWER(1-(AnnualChurn*VLOOKUP(MP17,ChurnSeasonTable,4,FALSE)),1)*PriceEssAnnual*MS17+ND5*POWER(1-(AnnualChurn*VLOOKUP(MP17,ChurnSeasonTable,4,FALSE)),1)*PricePremAnnual*MS17</f>
        <v/>
      </c>
      <c r="NO17" s="9">
        <f>NL17+NM17+NN17</f>
        <v/>
      </c>
      <c r="NP17" s="12">
        <f>SUM(NO6:NO17)</f>
        <v/>
      </c>
      <c r="NQ17" s="12">
        <f>OR(NQ16,NP17&gt;=VATThreshold)</f>
        <v/>
      </c>
      <c r="NR17" s="9">
        <f>IF(NQ17,NO17/(1+VATRate),NO17)</f>
        <v/>
      </c>
      <c r="NS17" s="12">
        <f>NO17-NR17</f>
        <v/>
      </c>
      <c r="NT17" s="12">
        <f>IF(NQ17=0,0,IF(MP17=1,SUMPRODUCT(--(($MQ$5:$MQ17=$MQ17-1)*($MP$5:$MP17&gt;=10)*($MP$5:$MP17&lt;=12)),$NS$5:$NS17),IF(MP17=4,SUMPRODUCT(--(($MQ$5:$MQ17=$MQ17)*($MP$5:$MP17&gt;=1)*($MP$5:$MP17&lt;=3)),$NS$5:$NS17),IF(MP17=7,SUMPRODUCT(--(($MQ$5:$MQ17=$MQ17)*($MP$5:$MP17&gt;=4)*($MP$5:$MP17&lt;=6)),$NS$5:$NS17),IF(MP17=10,SUMPRODUCT(--(($MQ$5:$MQ17=$MQ17)*($MP$5:$MP17&gt;=7)*($MP$5:$MP17&lt;=9)),$NS$5:$NS17),0)))))</f>
        <v/>
      </c>
      <c r="NU17" s="12">
        <f>NU16+NS17-NT17</f>
        <v/>
      </c>
      <c r="NV17" s="12">
        <f>IF(ProviderDelay&gt;=1,NR16*ProviderShare,NR17*ProviderShare)</f>
        <v/>
      </c>
      <c r="NW17" s="12">
        <f>NO17*PaymentFee</f>
        <v/>
      </c>
      <c r="NX17" s="12">
        <f>NI17*OpsAI</f>
        <v/>
      </c>
      <c r="NY17" s="12">
        <f>MonthlyFixed</f>
        <v/>
      </c>
      <c r="NZ17" s="12">
        <f>MW17*ReferralReward</f>
        <v/>
      </c>
      <c r="OA17" s="12">
        <f>MU17</f>
        <v/>
      </c>
      <c r="OB17" s="9">
        <f>NR17-NV17-NW17-NX17-NY17-NZ17-OA17</f>
        <v/>
      </c>
      <c r="OC17" s="9">
        <f>OC16+NO17-(NV17+NW17+NX17+NY17+NZ17+OA17+NT17)</f>
        <v/>
      </c>
      <c r="OD17" s="12">
        <f>IF(NI17&gt;0,NJ17/NI17,0)</f>
        <v/>
      </c>
      <c r="OE17" s="11">
        <f>IF(NI16&gt;0,MAX(0,(NI16+MX17-NI17)/NI16),0)</f>
        <v/>
      </c>
      <c r="OG17" s="12" t="n">
        <v>13</v>
      </c>
      <c r="OH17" s="12">
        <f>MOD(OG17-1+LaunchMonth-1,12)+1</f>
        <v/>
      </c>
      <c r="OI17" s="12">
        <f>INT((OG17-1+LaunchMonth-1)/12)+1</f>
        <v/>
      </c>
      <c r="OJ17" s="12">
        <f>VLOOKUP(OH17,SeasonTable,2,FALSE)</f>
        <v/>
      </c>
      <c r="OK17" s="12">
        <f>(1+InflationRate)^INT((OG17-1)/12)</f>
        <v/>
      </c>
      <c r="OL17" s="11">
        <f>'Sens - Churn'!$A$19*VLOOKUP(OH17,ChurnSeasonTable,4,FALSE)</f>
        <v/>
      </c>
      <c r="OM17" s="12">
        <f>MIN(MAX(MktMin13_18,PG16*MktPct13_18),MAX(0,PU16-CashBuffer))</f>
        <v/>
      </c>
      <c r="ON17" s="12">
        <f>IF(OM17&gt;0,MAX(1,ROUND(OM17/CAC*OJ17,0)),0)</f>
        <v/>
      </c>
      <c r="OO17" s="12">
        <f>IF(ON17&gt;0,ROUND(ON17*ReferralMix/(1-ReferralMix),0),0)</f>
        <v/>
      </c>
      <c r="OP17" s="12">
        <f>ON17+OO17</f>
        <v/>
      </c>
      <c r="OQ17" s="12">
        <f>ROUND(OP17*(1-AnnualMix),0)</f>
        <v/>
      </c>
      <c r="OR17" s="12">
        <f>OP17-OQ17</f>
        <v/>
      </c>
      <c r="OS17" s="12">
        <f>ROUND(OQ17*EssentialMix,0)</f>
        <v/>
      </c>
      <c r="OT17" s="12">
        <f>OQ17-OS17</f>
        <v/>
      </c>
      <c r="OU17" s="12">
        <f>ROUND(OR17*EssentialMix,0)</f>
        <v/>
      </c>
      <c r="OV17" s="12">
        <f>OR17-OU17</f>
        <v/>
      </c>
      <c r="OW17" s="12">
        <f>OS17+OS16+OS15+MAX(0,OW16-OS16-OS15)*(1-OL17)</f>
        <v/>
      </c>
      <c r="OX17" s="12">
        <f>OT17+OT16+OT15+MAX(0,OX16-OT16-OT15)*(1-OL17)</f>
        <v/>
      </c>
      <c r="OY17" s="12">
        <f>OY16+OU17-OU5*(AnnualChurn*VLOOKUP(OH17,ChurnSeasonTable,4,FALSE))*POWER(1-(AnnualChurn*VLOOKUP(OH17,ChurnSeasonTable,4,FALSE)),0)</f>
        <v/>
      </c>
      <c r="OZ17" s="12">
        <f>OZ16+OV17-OV5*(AnnualChurn*VLOOKUP(OH17,ChurnSeasonTable,4,FALSE))*POWER(1-(AnnualChurn*VLOOKUP(OH17,ChurnSeasonTable,4,FALSE)),0)</f>
        <v/>
      </c>
      <c r="PA17" s="12">
        <f>OW17+OX17+OY17+OZ17</f>
        <v/>
      </c>
      <c r="PB17" s="9">
        <f>OW17*PriceEssMonthly*OK17+OX17*PricePremMonthly*OK17+OY17*PriceEssAnnual*OK17/12+OZ17*PricePremAnnual*OK17/12</f>
        <v/>
      </c>
      <c r="PC17" s="9">
        <f>PB17*12</f>
        <v/>
      </c>
      <c r="PD17" s="12">
        <f>OW17*PriceEssMonthly*OK17+OX17*PricePremMonthly*OK17</f>
        <v/>
      </c>
      <c r="PE17" s="12">
        <f>OU17*PriceEssAnnual*OK17+OV17*PricePremAnnual*OK17</f>
        <v/>
      </c>
      <c r="PF17" s="12">
        <f>OU5*POWER(1-(AnnualChurn*VLOOKUP(OH17,ChurnSeasonTable,4,FALSE)),1)*PriceEssAnnual*OK17+OV5*POWER(1-(AnnualChurn*VLOOKUP(OH17,ChurnSeasonTable,4,FALSE)),1)*PricePremAnnual*OK17</f>
        <v/>
      </c>
      <c r="PG17" s="9">
        <f>PD17+PE17+PF17</f>
        <v/>
      </c>
      <c r="PH17" s="12">
        <f>SUM(PG6:PG17)</f>
        <v/>
      </c>
      <c r="PI17" s="12">
        <f>OR(PI16,PH17&gt;=VATThreshold)</f>
        <v/>
      </c>
      <c r="PJ17" s="9">
        <f>IF(PI17,PG17/(1+VATRate),PG17)</f>
        <v/>
      </c>
      <c r="PK17" s="12">
        <f>PG17-PJ17</f>
        <v/>
      </c>
      <c r="PL17" s="12">
        <f>IF(PI17=0,0,IF(OH17=1,SUMPRODUCT(--(($OI$5:$OI17=$OI17-1)*($OH$5:$OH17&gt;=10)*($OH$5:$OH17&lt;=12)),$PK$5:$PK17),IF(OH17=4,SUMPRODUCT(--(($OI$5:$OI17=$OI17)*($OH$5:$OH17&gt;=1)*($OH$5:$OH17&lt;=3)),$PK$5:$PK17),IF(OH17=7,SUMPRODUCT(--(($OI$5:$OI17=$OI17)*($OH$5:$OH17&gt;=4)*($OH$5:$OH17&lt;=6)),$PK$5:$PK17),IF(OH17=10,SUMPRODUCT(--(($OI$5:$OI17=$OI17)*($OH$5:$OH17&gt;=7)*($OH$5:$OH17&lt;=9)),$PK$5:$PK17),0)))))</f>
        <v/>
      </c>
      <c r="PM17" s="12">
        <f>PM16+PK17-PL17</f>
        <v/>
      </c>
      <c r="PN17" s="12">
        <f>IF(ProviderDelay&gt;=1,PJ16*ProviderShare,PJ17*ProviderShare)</f>
        <v/>
      </c>
      <c r="PO17" s="12">
        <f>PG17*PaymentFee</f>
        <v/>
      </c>
      <c r="PP17" s="12">
        <f>PA17*OpsAI</f>
        <v/>
      </c>
      <c r="PQ17" s="12">
        <f>MonthlyFixed</f>
        <v/>
      </c>
      <c r="PR17" s="12">
        <f>OO17*ReferralReward</f>
        <v/>
      </c>
      <c r="PS17" s="12">
        <f>OM17</f>
        <v/>
      </c>
      <c r="PT17" s="9">
        <f>PJ17-PN17-PO17-PP17-PQ17-PR17-PS17</f>
        <v/>
      </c>
      <c r="PU17" s="9">
        <f>PU16+PG17-(PN17+PO17+PP17+PQ17+PR17+PS17+PL17)</f>
        <v/>
      </c>
      <c r="PV17" s="12">
        <f>IF(PA17&gt;0,PB17/PA17,0)</f>
        <v/>
      </c>
      <c r="PW17" s="11">
        <f>IF(PA16&gt;0,MAX(0,(PA16+OP17-PA17)/PA16),0)</f>
        <v/>
      </c>
      <c r="PY17" s="12" t="n">
        <v>13</v>
      </c>
      <c r="PZ17" s="12">
        <f>MOD(PY17-1+LaunchMonth-1,12)+1</f>
        <v/>
      </c>
      <c r="QA17" s="12">
        <f>INT((PY17-1+LaunchMonth-1)/12)+1</f>
        <v/>
      </c>
      <c r="QB17" s="12">
        <f>VLOOKUP(PZ17,SeasonTable,2,FALSE)</f>
        <v/>
      </c>
      <c r="QC17" s="12">
        <f>(1+InflationRate)^INT((PY17-1)/12)</f>
        <v/>
      </c>
      <c r="QD17" s="11">
        <f>'Sens - Churn'!$A$20*VLOOKUP(PZ17,ChurnSeasonTable,4,FALSE)</f>
        <v/>
      </c>
      <c r="QE17" s="12">
        <f>MIN(MAX(MktMin13_18,QY16*MktPct13_18),MAX(0,RM16-CashBuffer))</f>
        <v/>
      </c>
      <c r="QF17" s="12">
        <f>IF(QE17&gt;0,MAX(1,ROUND(QE17/CAC*QB17,0)),0)</f>
        <v/>
      </c>
      <c r="QG17" s="12">
        <f>IF(QF17&gt;0,ROUND(QF17*ReferralMix/(1-ReferralMix),0),0)</f>
        <v/>
      </c>
      <c r="QH17" s="12">
        <f>QF17+QG17</f>
        <v/>
      </c>
      <c r="QI17" s="12">
        <f>ROUND(QH17*(1-AnnualMix),0)</f>
        <v/>
      </c>
      <c r="QJ17" s="12">
        <f>QH17-QI17</f>
        <v/>
      </c>
      <c r="QK17" s="12">
        <f>ROUND(QI17*EssentialMix,0)</f>
        <v/>
      </c>
      <c r="QL17" s="12">
        <f>QI17-QK17</f>
        <v/>
      </c>
      <c r="QM17" s="12">
        <f>ROUND(QJ17*EssentialMix,0)</f>
        <v/>
      </c>
      <c r="QN17" s="12">
        <f>QJ17-QM17</f>
        <v/>
      </c>
      <c r="QO17" s="12">
        <f>QK17+QK16+QK15+MAX(0,QO16-QK16-QK15)*(1-QD17)</f>
        <v/>
      </c>
      <c r="QP17" s="12">
        <f>QL17+QL16+QL15+MAX(0,QP16-QL16-QL15)*(1-QD17)</f>
        <v/>
      </c>
      <c r="QQ17" s="12">
        <f>QQ16+QM17-QM5*(AnnualChurn*VLOOKUP(PZ17,ChurnSeasonTable,4,FALSE))*POWER(1-(AnnualChurn*VLOOKUP(PZ17,ChurnSeasonTable,4,FALSE)),0)</f>
        <v/>
      </c>
      <c r="QR17" s="12">
        <f>QR16+QN17-QN5*(AnnualChurn*VLOOKUP(PZ17,ChurnSeasonTable,4,FALSE))*POWER(1-(AnnualChurn*VLOOKUP(PZ17,ChurnSeasonTable,4,FALSE)),0)</f>
        <v/>
      </c>
      <c r="QS17" s="12">
        <f>QO17+QP17+QQ17+QR17</f>
        <v/>
      </c>
      <c r="QT17" s="9">
        <f>QO17*PriceEssMonthly*QC17+QP17*PricePremMonthly*QC17+QQ17*PriceEssAnnual*QC17/12+QR17*PricePremAnnual*QC17/12</f>
        <v/>
      </c>
      <c r="QU17" s="9">
        <f>QT17*12</f>
        <v/>
      </c>
      <c r="QV17" s="12">
        <f>QO17*PriceEssMonthly*QC17+QP17*PricePremMonthly*QC17</f>
        <v/>
      </c>
      <c r="QW17" s="12">
        <f>QM17*PriceEssAnnual*QC17+QN17*PricePremAnnual*QC17</f>
        <v/>
      </c>
      <c r="QX17" s="12">
        <f>QM5*POWER(1-(AnnualChurn*VLOOKUP(PZ17,ChurnSeasonTable,4,FALSE)),1)*PriceEssAnnual*QC17+QN5*POWER(1-(AnnualChurn*VLOOKUP(PZ17,ChurnSeasonTable,4,FALSE)),1)*PricePremAnnual*QC17</f>
        <v/>
      </c>
      <c r="QY17" s="9">
        <f>QV17+QW17+QX17</f>
        <v/>
      </c>
      <c r="QZ17" s="12">
        <f>SUM(QY6:QY17)</f>
        <v/>
      </c>
      <c r="RA17" s="12">
        <f>OR(RA16,QZ17&gt;=VATThreshold)</f>
        <v/>
      </c>
      <c r="RB17" s="9">
        <f>IF(RA17,QY17/(1+VATRate),QY17)</f>
        <v/>
      </c>
      <c r="RC17" s="12">
        <f>QY17-RB17</f>
        <v/>
      </c>
      <c r="RD17" s="12">
        <f>IF(RA17=0,0,IF(PZ17=1,SUMPRODUCT(--(($QA$5:$QA17=$QA17-1)*($PZ$5:$PZ17&gt;=10)*($PZ$5:$PZ17&lt;=12)),$RC$5:$RC17),IF(PZ17=4,SUMPRODUCT(--(($QA$5:$QA17=$QA17)*($PZ$5:$PZ17&gt;=1)*($PZ$5:$PZ17&lt;=3)),$RC$5:$RC17),IF(PZ17=7,SUMPRODUCT(--(($QA$5:$QA17=$QA17)*($PZ$5:$PZ17&gt;=4)*($PZ$5:$PZ17&lt;=6)),$RC$5:$RC17),IF(PZ17=10,SUMPRODUCT(--(($QA$5:$QA17=$QA17)*($PZ$5:$PZ17&gt;=7)*($PZ$5:$PZ17&lt;=9)),$RC$5:$RC17),0)))))</f>
        <v/>
      </c>
      <c r="RE17" s="12">
        <f>RE16+RC17-RD17</f>
        <v/>
      </c>
      <c r="RF17" s="12">
        <f>IF(ProviderDelay&gt;=1,RB16*ProviderShare,RB17*ProviderShare)</f>
        <v/>
      </c>
      <c r="RG17" s="12">
        <f>QY17*PaymentFee</f>
        <v/>
      </c>
      <c r="RH17" s="12">
        <f>QS17*OpsAI</f>
        <v/>
      </c>
      <c r="RI17" s="12">
        <f>MonthlyFixed</f>
        <v/>
      </c>
      <c r="RJ17" s="12">
        <f>QG17*ReferralReward</f>
        <v/>
      </c>
      <c r="RK17" s="12">
        <f>QE17</f>
        <v/>
      </c>
      <c r="RL17" s="9">
        <f>RB17-RF17-RG17-RH17-RI17-RJ17-RK17</f>
        <v/>
      </c>
      <c r="RM17" s="9">
        <f>RM16+QY17-(RF17+RG17+RH17+RI17+RJ17+RK17+RD17)</f>
        <v/>
      </c>
      <c r="RN17" s="12">
        <f>IF(QS17&gt;0,QT17/QS17,0)</f>
        <v/>
      </c>
      <c r="RO17" s="11">
        <f>IF(QS16&gt;0,MAX(0,(QS16+QH17-QS17)/QS16),0)</f>
        <v/>
      </c>
      <c r="RQ17" s="12" t="n">
        <v>13</v>
      </c>
      <c r="RR17" s="12">
        <f>MOD(RQ17-1+LaunchMonth-1,12)+1</f>
        <v/>
      </c>
      <c r="RS17" s="12">
        <f>INT((RQ17-1+LaunchMonth-1)/12)+1</f>
        <v/>
      </c>
      <c r="RT17" s="12">
        <f>VLOOKUP(RR17,SeasonTable,2,FALSE)</f>
        <v/>
      </c>
      <c r="RU17" s="12">
        <f>(1+InflationRate)^INT((RQ17-1)/12)</f>
        <v/>
      </c>
      <c r="RV17" s="11">
        <f>'Sens - Churn'!$A$21*VLOOKUP(RR17,ChurnSeasonTable,4,FALSE)</f>
        <v/>
      </c>
      <c r="RW17" s="12">
        <f>MIN(MAX(MktMin13_18,SQ16*MktPct13_18),MAX(0,TE16-CashBuffer))</f>
        <v/>
      </c>
      <c r="RX17" s="12">
        <f>IF(RW17&gt;0,MAX(1,ROUND(RW17/CAC*RT17,0)),0)</f>
        <v/>
      </c>
      <c r="RY17" s="12">
        <f>IF(RX17&gt;0,ROUND(RX17*ReferralMix/(1-ReferralMix),0),0)</f>
        <v/>
      </c>
      <c r="RZ17" s="12">
        <f>RX17+RY17</f>
        <v/>
      </c>
      <c r="SA17" s="12">
        <f>ROUND(RZ17*(1-AnnualMix),0)</f>
        <v/>
      </c>
      <c r="SB17" s="12">
        <f>RZ17-SA17</f>
        <v/>
      </c>
      <c r="SC17" s="12">
        <f>ROUND(SA17*EssentialMix,0)</f>
        <v/>
      </c>
      <c r="SD17" s="12">
        <f>SA17-SC17</f>
        <v/>
      </c>
      <c r="SE17" s="12">
        <f>ROUND(SB17*EssentialMix,0)</f>
        <v/>
      </c>
      <c r="SF17" s="12">
        <f>SB17-SE17</f>
        <v/>
      </c>
      <c r="SG17" s="12">
        <f>SC17+SC16+SC15+MAX(0,SG16-SC16-SC15)*(1-RV17)</f>
        <v/>
      </c>
      <c r="SH17" s="12">
        <f>SD17+SD16+SD15+MAX(0,SH16-SD16-SD15)*(1-RV17)</f>
        <v/>
      </c>
      <c r="SI17" s="12">
        <f>SI16+SE17-SE5*(AnnualChurn*VLOOKUP(RR17,ChurnSeasonTable,4,FALSE))*POWER(1-(AnnualChurn*VLOOKUP(RR17,ChurnSeasonTable,4,FALSE)),0)</f>
        <v/>
      </c>
      <c r="SJ17" s="12">
        <f>SJ16+SF17-SF5*(AnnualChurn*VLOOKUP(RR17,ChurnSeasonTable,4,FALSE))*POWER(1-(AnnualChurn*VLOOKUP(RR17,ChurnSeasonTable,4,FALSE)),0)</f>
        <v/>
      </c>
      <c r="SK17" s="12">
        <f>SG17+SH17+SI17+SJ17</f>
        <v/>
      </c>
      <c r="SL17" s="9">
        <f>SG17*PriceEssMonthly*RU17+SH17*PricePremMonthly*RU17+SI17*PriceEssAnnual*RU17/12+SJ17*PricePremAnnual*RU17/12</f>
        <v/>
      </c>
      <c r="SM17" s="9">
        <f>SL17*12</f>
        <v/>
      </c>
      <c r="SN17" s="12">
        <f>SG17*PriceEssMonthly*RU17+SH17*PricePremMonthly*RU17</f>
        <v/>
      </c>
      <c r="SO17" s="12">
        <f>SE17*PriceEssAnnual*RU17+SF17*PricePremAnnual*RU17</f>
        <v/>
      </c>
      <c r="SP17" s="12">
        <f>SE5*POWER(1-(AnnualChurn*VLOOKUP(RR17,ChurnSeasonTable,4,FALSE)),1)*PriceEssAnnual*RU17+SF5*POWER(1-(AnnualChurn*VLOOKUP(RR17,ChurnSeasonTable,4,FALSE)),1)*PricePremAnnual*RU17</f>
        <v/>
      </c>
      <c r="SQ17" s="9">
        <f>SN17+SO17+SP17</f>
        <v/>
      </c>
      <c r="SR17" s="12">
        <f>SUM(SQ6:SQ17)</f>
        <v/>
      </c>
      <c r="SS17" s="12">
        <f>OR(SS16,SR17&gt;=VATThreshold)</f>
        <v/>
      </c>
      <c r="ST17" s="9">
        <f>IF(SS17,SQ17/(1+VATRate),SQ17)</f>
        <v/>
      </c>
      <c r="SU17" s="12">
        <f>SQ17-ST17</f>
        <v/>
      </c>
      <c r="SV17" s="12">
        <f>IF(SS17=0,0,IF(RR17=1,SUMPRODUCT(--(($RS$5:$RS17=$RS17-1)*($RR$5:$RR17&gt;=10)*($RR$5:$RR17&lt;=12)),$SU$5:$SU17),IF(RR17=4,SUMPRODUCT(--(($RS$5:$RS17=$RS17)*($RR$5:$RR17&gt;=1)*($RR$5:$RR17&lt;=3)),$SU$5:$SU17),IF(RR17=7,SUMPRODUCT(--(($RS$5:$RS17=$RS17)*($RR$5:$RR17&gt;=4)*($RR$5:$RR17&lt;=6)),$SU$5:$SU17),IF(RR17=10,SUMPRODUCT(--(($RS$5:$RS17=$RS17)*($RR$5:$RR17&gt;=7)*($RR$5:$RR17&lt;=9)),$SU$5:$SU17),0)))))</f>
        <v/>
      </c>
      <c r="SW17" s="12">
        <f>SW16+SU17-SV17</f>
        <v/>
      </c>
      <c r="SX17" s="12">
        <f>IF(ProviderDelay&gt;=1,ST16*ProviderShare,ST17*ProviderShare)</f>
        <v/>
      </c>
      <c r="SY17" s="12">
        <f>SQ17*PaymentFee</f>
        <v/>
      </c>
      <c r="SZ17" s="12">
        <f>SK17*OpsAI</f>
        <v/>
      </c>
      <c r="TA17" s="12">
        <f>MonthlyFixed</f>
        <v/>
      </c>
      <c r="TB17" s="12">
        <f>RY17*ReferralReward</f>
        <v/>
      </c>
      <c r="TC17" s="12">
        <f>RW17</f>
        <v/>
      </c>
      <c r="TD17" s="9">
        <f>ST17-SX17-SY17-SZ17-TA17-TB17-TC17</f>
        <v/>
      </c>
      <c r="TE17" s="9">
        <f>TE16+SQ17-(SX17+SY17+SZ17+TA17+TB17+TC17+SV17)</f>
        <v/>
      </c>
      <c r="TF17" s="12">
        <f>IF(SK17&gt;0,SL17/SK17,0)</f>
        <v/>
      </c>
      <c r="TG17" s="11">
        <f>IF(SK16&gt;0,MAX(0,(SK16+RZ17-SK17)/SK16),0)</f>
        <v/>
      </c>
      <c r="TI17" s="12" t="n">
        <v>13</v>
      </c>
      <c r="TJ17" s="12">
        <f>MOD(TI17-1+LaunchMonth-1,12)+1</f>
        <v/>
      </c>
      <c r="TK17" s="12">
        <f>INT((TI17-1+LaunchMonth-1)/12)+1</f>
        <v/>
      </c>
      <c r="TL17" s="12">
        <f>VLOOKUP(TJ17,SeasonTable,2,FALSE)</f>
        <v/>
      </c>
      <c r="TM17" s="12">
        <f>(1+InflationRate)^INT((TI17-1)/12)</f>
        <v/>
      </c>
      <c r="TN17" s="11">
        <f>MonthlyChurn*VLOOKUP(TJ17,ChurnSeasonTable,4,FALSE)</f>
        <v/>
      </c>
      <c r="TO17" s="12">
        <f>MIN(MAX(MktMin13_18,UI16*MktPct13_18),MAX(0,UW16-CashBuffer))</f>
        <v/>
      </c>
      <c r="TP17" s="12">
        <f>IF(TO17&gt;0,MAX(1,ROUND(TO17/CAC*TL17,0)),0)</f>
        <v/>
      </c>
      <c r="TQ17" s="12">
        <f>IF(TP17&gt;0,ROUND(TP17*ReferralMix/(1-ReferralMix),0),0)</f>
        <v/>
      </c>
      <c r="TR17" s="12">
        <f>TP17+TQ17</f>
        <v/>
      </c>
      <c r="TS17" s="12">
        <f>ROUND(TR17*(1-'Sens - Annual Mix'!$A$9),0)</f>
        <v/>
      </c>
      <c r="TT17" s="12">
        <f>TR17-TS17</f>
        <v/>
      </c>
      <c r="TU17" s="12">
        <f>ROUND(TS17*EssentialMix,0)</f>
        <v/>
      </c>
      <c r="TV17" s="12">
        <f>TS17-TU17</f>
        <v/>
      </c>
      <c r="TW17" s="12">
        <f>ROUND(TT17*EssentialMix,0)</f>
        <v/>
      </c>
      <c r="TX17" s="12">
        <f>TT17-TW17</f>
        <v/>
      </c>
      <c r="TY17" s="12">
        <f>TU17+TU16+TU15+MAX(0,TY16-TU16-TU15)*(1-TN17)</f>
        <v/>
      </c>
      <c r="TZ17" s="12">
        <f>TV17+TV16+TV15+MAX(0,TZ16-TV16-TV15)*(1-TN17)</f>
        <v/>
      </c>
      <c r="UA17" s="12">
        <f>UA16+TW17-TW5*(AnnualChurn*VLOOKUP(TJ17,ChurnSeasonTable,4,FALSE))*POWER(1-(AnnualChurn*VLOOKUP(TJ17,ChurnSeasonTable,4,FALSE)),0)</f>
        <v/>
      </c>
      <c r="UB17" s="12">
        <f>UB16+TX17-TX5*(AnnualChurn*VLOOKUP(TJ17,ChurnSeasonTable,4,FALSE))*POWER(1-(AnnualChurn*VLOOKUP(TJ17,ChurnSeasonTable,4,FALSE)),0)</f>
        <v/>
      </c>
      <c r="UC17" s="12">
        <f>TY17+TZ17+UA17+UB17</f>
        <v/>
      </c>
      <c r="UD17" s="9">
        <f>TY17*PriceEssMonthly*TM17+TZ17*PricePremMonthly*TM17+UA17*PriceEssAnnual*TM17/12+UB17*PricePremAnnual*TM17/12</f>
        <v/>
      </c>
      <c r="UE17" s="9">
        <f>UD17*12</f>
        <v/>
      </c>
      <c r="UF17" s="12">
        <f>TY17*PriceEssMonthly*TM17+TZ17*PricePremMonthly*TM17</f>
        <v/>
      </c>
      <c r="UG17" s="12">
        <f>TW17*PriceEssAnnual*TM17+TX17*PricePremAnnual*TM17</f>
        <v/>
      </c>
      <c r="UH17" s="12">
        <f>TW5*POWER(1-(AnnualChurn*VLOOKUP(TJ17,ChurnSeasonTable,4,FALSE)),1)*PriceEssAnnual*TM17+TX5*POWER(1-(AnnualChurn*VLOOKUP(TJ17,ChurnSeasonTable,4,FALSE)),1)*PricePremAnnual*TM17</f>
        <v/>
      </c>
      <c r="UI17" s="9">
        <f>UF17+UG17+UH17</f>
        <v/>
      </c>
      <c r="UJ17" s="12">
        <f>SUM(UI6:UI17)</f>
        <v/>
      </c>
      <c r="UK17" s="12">
        <f>OR(UK16,UJ17&gt;=VATThreshold)</f>
        <v/>
      </c>
      <c r="UL17" s="9">
        <f>IF(UK17,UI17/(1+VATRate),UI17)</f>
        <v/>
      </c>
      <c r="UM17" s="12">
        <f>UI17-UL17</f>
        <v/>
      </c>
      <c r="UN17" s="12">
        <f>IF(UK17=0,0,IF(TJ17=1,SUMPRODUCT(--(($TK$5:$TK17=$TK17-1)*($TJ$5:$TJ17&gt;=10)*($TJ$5:$TJ17&lt;=12)),$UM$5:$UM17),IF(TJ17=4,SUMPRODUCT(--(($TK$5:$TK17=$TK17)*($TJ$5:$TJ17&gt;=1)*($TJ$5:$TJ17&lt;=3)),$UM$5:$UM17),IF(TJ17=7,SUMPRODUCT(--(($TK$5:$TK17=$TK17)*($TJ$5:$TJ17&gt;=4)*($TJ$5:$TJ17&lt;=6)),$UM$5:$UM17),IF(TJ17=10,SUMPRODUCT(--(($TK$5:$TK17=$TK17)*($TJ$5:$TJ17&gt;=7)*($TJ$5:$TJ17&lt;=9)),$UM$5:$UM17),0)))))</f>
        <v/>
      </c>
      <c r="UO17" s="12">
        <f>UO16+UM17-UN17</f>
        <v/>
      </c>
      <c r="UP17" s="12">
        <f>IF(ProviderDelay&gt;=1,UL16*ProviderShare,UL17*ProviderShare)</f>
        <v/>
      </c>
      <c r="UQ17" s="12">
        <f>UI17*PaymentFee</f>
        <v/>
      </c>
      <c r="UR17" s="12">
        <f>UC17*OpsAI</f>
        <v/>
      </c>
      <c r="US17" s="12">
        <f>MonthlyFixed</f>
        <v/>
      </c>
      <c r="UT17" s="12">
        <f>TQ17*ReferralReward</f>
        <v/>
      </c>
      <c r="UU17" s="12">
        <f>TO17</f>
        <v/>
      </c>
      <c r="UV17" s="9">
        <f>UL17-UP17-UQ17-UR17-US17-UT17-UU17</f>
        <v/>
      </c>
      <c r="UW17" s="9">
        <f>UW16+UI17-(UP17+UQ17+UR17+US17+UT17+UU17+UN17)</f>
        <v/>
      </c>
      <c r="UX17" s="12">
        <f>IF(UC17&gt;0,UD17/UC17,0)</f>
        <v/>
      </c>
      <c r="UY17" s="11">
        <f>IF(UC16&gt;0,MAX(0,(UC16+TR17-UC17)/UC16),0)</f>
        <v/>
      </c>
      <c r="VA17" s="12" t="n">
        <v>13</v>
      </c>
      <c r="VB17" s="12">
        <f>MOD(VA17-1+LaunchMonth-1,12)+1</f>
        <v/>
      </c>
      <c r="VC17" s="12">
        <f>INT((VA17-1+LaunchMonth-1)/12)+1</f>
        <v/>
      </c>
      <c r="VD17" s="12">
        <f>VLOOKUP(VB17,SeasonTable,2,FALSE)</f>
        <v/>
      </c>
      <c r="VE17" s="12">
        <f>(1+InflationRate)^INT((VA17-1)/12)</f>
        <v/>
      </c>
      <c r="VF17" s="11">
        <f>MonthlyChurn*VLOOKUP(VB17,ChurnSeasonTable,4,FALSE)</f>
        <v/>
      </c>
      <c r="VG17" s="12">
        <f>MIN(MAX(MktMin13_18,WA16*MktPct13_18),MAX(0,WO16-CashBuffer))</f>
        <v/>
      </c>
      <c r="VH17" s="12">
        <f>IF(VG17&gt;0,MAX(1,ROUND(VG17/CAC*VD17,0)),0)</f>
        <v/>
      </c>
      <c r="VI17" s="12">
        <f>IF(VH17&gt;0,ROUND(VH17*ReferralMix/(1-ReferralMix),0),0)</f>
        <v/>
      </c>
      <c r="VJ17" s="12">
        <f>VH17+VI17</f>
        <v/>
      </c>
      <c r="VK17" s="12">
        <f>ROUND(VJ17*(1-'Sens - Annual Mix'!$A$10),0)</f>
        <v/>
      </c>
      <c r="VL17" s="12">
        <f>VJ17-VK17</f>
        <v/>
      </c>
      <c r="VM17" s="12">
        <f>ROUND(VK17*EssentialMix,0)</f>
        <v/>
      </c>
      <c r="VN17" s="12">
        <f>VK17-VM17</f>
        <v/>
      </c>
      <c r="VO17" s="12">
        <f>ROUND(VL17*EssentialMix,0)</f>
        <v/>
      </c>
      <c r="VP17" s="12">
        <f>VL17-VO17</f>
        <v/>
      </c>
      <c r="VQ17" s="12">
        <f>VM17+VM16+VM15+MAX(0,VQ16-VM16-VM15)*(1-VF17)</f>
        <v/>
      </c>
      <c r="VR17" s="12">
        <f>VN17+VN16+VN15+MAX(0,VR16-VN16-VN15)*(1-VF17)</f>
        <v/>
      </c>
      <c r="VS17" s="12">
        <f>VS16+VO17-VO5*(AnnualChurn*VLOOKUP(VB17,ChurnSeasonTable,4,FALSE))*POWER(1-(AnnualChurn*VLOOKUP(VB17,ChurnSeasonTable,4,FALSE)),0)</f>
        <v/>
      </c>
      <c r="VT17" s="12">
        <f>VT16+VP17-VP5*(AnnualChurn*VLOOKUP(VB17,ChurnSeasonTable,4,FALSE))*POWER(1-(AnnualChurn*VLOOKUP(VB17,ChurnSeasonTable,4,FALSE)),0)</f>
        <v/>
      </c>
      <c r="VU17" s="12">
        <f>VQ17+VR17+VS17+VT17</f>
        <v/>
      </c>
      <c r="VV17" s="9">
        <f>VQ17*PriceEssMonthly*VE17+VR17*PricePremMonthly*VE17+VS17*PriceEssAnnual*VE17/12+VT17*PricePremAnnual*VE17/12</f>
        <v/>
      </c>
      <c r="VW17" s="9">
        <f>VV17*12</f>
        <v/>
      </c>
      <c r="VX17" s="12">
        <f>VQ17*PriceEssMonthly*VE17+VR17*PricePremMonthly*VE17</f>
        <v/>
      </c>
      <c r="VY17" s="12">
        <f>VO17*PriceEssAnnual*VE17+VP17*PricePremAnnual*VE17</f>
        <v/>
      </c>
      <c r="VZ17" s="12">
        <f>VO5*POWER(1-(AnnualChurn*VLOOKUP(VB17,ChurnSeasonTable,4,FALSE)),1)*PriceEssAnnual*VE17+VP5*POWER(1-(AnnualChurn*VLOOKUP(VB17,ChurnSeasonTable,4,FALSE)),1)*PricePremAnnual*VE17</f>
        <v/>
      </c>
      <c r="WA17" s="9">
        <f>VX17+VY17+VZ17</f>
        <v/>
      </c>
      <c r="WB17" s="12">
        <f>SUM(WA6:WA17)</f>
        <v/>
      </c>
      <c r="WC17" s="12">
        <f>OR(WC16,WB17&gt;=VATThreshold)</f>
        <v/>
      </c>
      <c r="WD17" s="9">
        <f>IF(WC17,WA17/(1+VATRate),WA17)</f>
        <v/>
      </c>
      <c r="WE17" s="12">
        <f>WA17-WD17</f>
        <v/>
      </c>
      <c r="WF17" s="12">
        <f>IF(WC17=0,0,IF(VB17=1,SUMPRODUCT(--(($VC$5:$VC17=$VC17-1)*($VB$5:$VB17&gt;=10)*($VB$5:$VB17&lt;=12)),$WE$5:$WE17),IF(VB17=4,SUMPRODUCT(--(($VC$5:$VC17=$VC17)*($VB$5:$VB17&gt;=1)*($VB$5:$VB17&lt;=3)),$WE$5:$WE17),IF(VB17=7,SUMPRODUCT(--(($VC$5:$VC17=$VC17)*($VB$5:$VB17&gt;=4)*($VB$5:$VB17&lt;=6)),$WE$5:$WE17),IF(VB17=10,SUMPRODUCT(--(($VC$5:$VC17=$VC17)*($VB$5:$VB17&gt;=7)*($VB$5:$VB17&lt;=9)),$WE$5:$WE17),0)))))</f>
        <v/>
      </c>
      <c r="WG17" s="12">
        <f>WG16+WE17-WF17</f>
        <v/>
      </c>
      <c r="WH17" s="12">
        <f>IF(ProviderDelay&gt;=1,WD16*ProviderShare,WD17*ProviderShare)</f>
        <v/>
      </c>
      <c r="WI17" s="12">
        <f>WA17*PaymentFee</f>
        <v/>
      </c>
      <c r="WJ17" s="12">
        <f>VU17*OpsAI</f>
        <v/>
      </c>
      <c r="WK17" s="12">
        <f>MonthlyFixed</f>
        <v/>
      </c>
      <c r="WL17" s="12">
        <f>VI17*ReferralReward</f>
        <v/>
      </c>
      <c r="WM17" s="12">
        <f>VG17</f>
        <v/>
      </c>
      <c r="WN17" s="9">
        <f>WD17-WH17-WI17-WJ17-WK17-WL17-WM17</f>
        <v/>
      </c>
      <c r="WO17" s="9">
        <f>WO16+WA17-(WH17+WI17+WJ17+WK17+WL17+WM17+WF17)</f>
        <v/>
      </c>
      <c r="WP17" s="12">
        <f>IF(VU17&gt;0,VV17/VU17,0)</f>
        <v/>
      </c>
      <c r="WQ17" s="11">
        <f>IF(VU16&gt;0,MAX(0,(VU16+VJ17-VU17)/VU16),0)</f>
        <v/>
      </c>
      <c r="WS17" s="12" t="n">
        <v>13</v>
      </c>
      <c r="WT17" s="12">
        <f>MOD(WS17-1+LaunchMonth-1,12)+1</f>
        <v/>
      </c>
      <c r="WU17" s="12">
        <f>INT((WS17-1+LaunchMonth-1)/12)+1</f>
        <v/>
      </c>
      <c r="WV17" s="12">
        <f>VLOOKUP(WT17,SeasonTable,2,FALSE)</f>
        <v/>
      </c>
      <c r="WW17" s="12">
        <f>(1+InflationRate)^INT((WS17-1)/12)</f>
        <v/>
      </c>
      <c r="WX17" s="11">
        <f>MonthlyChurn*VLOOKUP(WT17,ChurnSeasonTable,4,FALSE)</f>
        <v/>
      </c>
      <c r="WY17" s="12">
        <f>MIN(MAX(MktMin13_18,XS16*MktPct13_18),MAX(0,YG16-CashBuffer))</f>
        <v/>
      </c>
      <c r="WZ17" s="12">
        <f>IF(WY17&gt;0,MAX(1,ROUND(WY17/CAC*WV17,0)),0)</f>
        <v/>
      </c>
      <c r="XA17" s="12">
        <f>IF(WZ17&gt;0,ROUND(WZ17*ReferralMix/(1-ReferralMix),0),0)</f>
        <v/>
      </c>
      <c r="XB17" s="12">
        <f>WZ17+XA17</f>
        <v/>
      </c>
      <c r="XC17" s="12">
        <f>ROUND(XB17*(1-'Sens - Annual Mix'!$A$11),0)</f>
        <v/>
      </c>
      <c r="XD17" s="12">
        <f>XB17-XC17</f>
        <v/>
      </c>
      <c r="XE17" s="12">
        <f>ROUND(XC17*EssentialMix,0)</f>
        <v/>
      </c>
      <c r="XF17" s="12">
        <f>XC17-XE17</f>
        <v/>
      </c>
      <c r="XG17" s="12">
        <f>ROUND(XD17*EssentialMix,0)</f>
        <v/>
      </c>
      <c r="XH17" s="12">
        <f>XD17-XG17</f>
        <v/>
      </c>
      <c r="XI17" s="12">
        <f>XE17+XE16+XE15+MAX(0,XI16-XE16-XE15)*(1-WX17)</f>
        <v/>
      </c>
      <c r="XJ17" s="12">
        <f>XF17+XF16+XF15+MAX(0,XJ16-XF16-XF15)*(1-WX17)</f>
        <v/>
      </c>
      <c r="XK17" s="12">
        <f>XK16+XG17-XG5*(AnnualChurn*VLOOKUP(WT17,ChurnSeasonTable,4,FALSE))*POWER(1-(AnnualChurn*VLOOKUP(WT17,ChurnSeasonTable,4,FALSE)),0)</f>
        <v/>
      </c>
      <c r="XL17" s="12">
        <f>XL16+XH17-XH5*(AnnualChurn*VLOOKUP(WT17,ChurnSeasonTable,4,FALSE))*POWER(1-(AnnualChurn*VLOOKUP(WT17,ChurnSeasonTable,4,FALSE)),0)</f>
        <v/>
      </c>
      <c r="XM17" s="12">
        <f>XI17+XJ17+XK17+XL17</f>
        <v/>
      </c>
      <c r="XN17" s="9">
        <f>XI17*PriceEssMonthly*WW17+XJ17*PricePremMonthly*WW17+XK17*PriceEssAnnual*WW17/12+XL17*PricePremAnnual*WW17/12</f>
        <v/>
      </c>
      <c r="XO17" s="9">
        <f>XN17*12</f>
        <v/>
      </c>
      <c r="XP17" s="12">
        <f>XI17*PriceEssMonthly*WW17+XJ17*PricePremMonthly*WW17</f>
        <v/>
      </c>
      <c r="XQ17" s="12">
        <f>XG17*PriceEssAnnual*WW17+XH17*PricePremAnnual*WW17</f>
        <v/>
      </c>
      <c r="XR17" s="12">
        <f>XG5*POWER(1-(AnnualChurn*VLOOKUP(WT17,ChurnSeasonTable,4,FALSE)),1)*PriceEssAnnual*WW17+XH5*POWER(1-(AnnualChurn*VLOOKUP(WT17,ChurnSeasonTable,4,FALSE)),1)*PricePremAnnual*WW17</f>
        <v/>
      </c>
      <c r="XS17" s="9">
        <f>XP17+XQ17+XR17</f>
        <v/>
      </c>
      <c r="XT17" s="12">
        <f>SUM(XS6:XS17)</f>
        <v/>
      </c>
      <c r="XU17" s="12">
        <f>OR(XU16,XT17&gt;=VATThreshold)</f>
        <v/>
      </c>
      <c r="XV17" s="9">
        <f>IF(XU17,XS17/(1+VATRate),XS17)</f>
        <v/>
      </c>
      <c r="XW17" s="12">
        <f>XS17-XV17</f>
        <v/>
      </c>
      <c r="XX17" s="12">
        <f>IF(XU17=0,0,IF(WT17=1,SUMPRODUCT(--(($WU$5:$WU17=$WU17-1)*($WT$5:$WT17&gt;=10)*($WT$5:$WT17&lt;=12)),$XW$5:$XW17),IF(WT17=4,SUMPRODUCT(--(($WU$5:$WU17=$WU17)*($WT$5:$WT17&gt;=1)*($WT$5:$WT17&lt;=3)),$XW$5:$XW17),IF(WT17=7,SUMPRODUCT(--(($WU$5:$WU17=$WU17)*($WT$5:$WT17&gt;=4)*($WT$5:$WT17&lt;=6)),$XW$5:$XW17),IF(WT17=10,SUMPRODUCT(--(($WU$5:$WU17=$WU17)*($WT$5:$WT17&gt;=7)*($WT$5:$WT17&lt;=9)),$XW$5:$XW17),0)))))</f>
        <v/>
      </c>
      <c r="XY17" s="12">
        <f>XY16+XW17-XX17</f>
        <v/>
      </c>
      <c r="XZ17" s="12">
        <f>IF(ProviderDelay&gt;=1,XV16*ProviderShare,XV17*ProviderShare)</f>
        <v/>
      </c>
      <c r="YA17" s="12">
        <f>XS17*PaymentFee</f>
        <v/>
      </c>
      <c r="YB17" s="12">
        <f>XM17*OpsAI</f>
        <v/>
      </c>
      <c r="YC17" s="12">
        <f>MonthlyFixed</f>
        <v/>
      </c>
      <c r="YD17" s="12">
        <f>XA17*ReferralReward</f>
        <v/>
      </c>
      <c r="YE17" s="12">
        <f>WY17</f>
        <v/>
      </c>
      <c r="YF17" s="9">
        <f>XV17-XZ17-YA17-YB17-YC17-YD17-YE17</f>
        <v/>
      </c>
      <c r="YG17" s="9">
        <f>YG16+XS17-(XZ17+YA17+YB17+YC17+YD17+YE17+XX17)</f>
        <v/>
      </c>
      <c r="YH17" s="12">
        <f>IF(XM17&gt;0,XN17/XM17,0)</f>
        <v/>
      </c>
      <c r="YI17" s="11">
        <f>IF(XM16&gt;0,MAX(0,(XM16+XB17-XM17)/XM16),0)</f>
        <v/>
      </c>
      <c r="YK17" s="12" t="n">
        <v>13</v>
      </c>
      <c r="YL17" s="12">
        <f>MOD(YK17-1+LaunchMonth-1,12)+1</f>
        <v/>
      </c>
      <c r="YM17" s="12">
        <f>INT((YK17-1+LaunchMonth-1)/12)+1</f>
        <v/>
      </c>
      <c r="YN17" s="12">
        <f>VLOOKUP(YL17,SeasonTable,2,FALSE)</f>
        <v/>
      </c>
      <c r="YO17" s="12">
        <f>(1+InflationRate)^INT((YK17-1)/12)</f>
        <v/>
      </c>
      <c r="YP17" s="11">
        <f>MonthlyChurn*VLOOKUP(YL17,ChurnSeasonTable,4,FALSE)</f>
        <v/>
      </c>
      <c r="YQ17" s="12">
        <f>MIN(MAX(MktMin13_18,ZK16*MktPct13_18),MAX(0,ZY16-CashBuffer))</f>
        <v/>
      </c>
      <c r="YR17" s="12">
        <f>IF(YQ17&gt;0,MAX(1,ROUND(YQ17/CAC*YN17,0)),0)</f>
        <v/>
      </c>
      <c r="YS17" s="12">
        <f>IF(YR17&gt;0,ROUND(YR17*ReferralMix/(1-ReferralMix),0),0)</f>
        <v/>
      </c>
      <c r="YT17" s="12">
        <f>YR17+YS17</f>
        <v/>
      </c>
      <c r="YU17" s="12">
        <f>ROUND(YT17*(1-'Sens - Annual Mix'!$A$12),0)</f>
        <v/>
      </c>
      <c r="YV17" s="12">
        <f>YT17-YU17</f>
        <v/>
      </c>
      <c r="YW17" s="12">
        <f>ROUND(YU17*EssentialMix,0)</f>
        <v/>
      </c>
      <c r="YX17" s="12">
        <f>YU17-YW17</f>
        <v/>
      </c>
      <c r="YY17" s="12">
        <f>ROUND(YV17*EssentialMix,0)</f>
        <v/>
      </c>
      <c r="YZ17" s="12">
        <f>YV17-YY17</f>
        <v/>
      </c>
      <c r="ZA17" s="12">
        <f>YW17+YW16+YW15+MAX(0,ZA16-YW16-YW15)*(1-YP17)</f>
        <v/>
      </c>
      <c r="ZB17" s="12">
        <f>YX17+YX16+YX15+MAX(0,ZB16-YX16-YX15)*(1-YP17)</f>
        <v/>
      </c>
      <c r="ZC17" s="12">
        <f>ZC16+YY17-YY5*(AnnualChurn*VLOOKUP(YL17,ChurnSeasonTable,4,FALSE))*POWER(1-(AnnualChurn*VLOOKUP(YL17,ChurnSeasonTable,4,FALSE)),0)</f>
        <v/>
      </c>
      <c r="ZD17" s="12">
        <f>ZD16+YZ17-YZ5*(AnnualChurn*VLOOKUP(YL17,ChurnSeasonTable,4,FALSE))*POWER(1-(AnnualChurn*VLOOKUP(YL17,ChurnSeasonTable,4,FALSE)),0)</f>
        <v/>
      </c>
      <c r="ZE17" s="12">
        <f>ZA17+ZB17+ZC17+ZD17</f>
        <v/>
      </c>
      <c r="ZF17" s="9">
        <f>ZA17*PriceEssMonthly*YO17+ZB17*PricePremMonthly*YO17+ZC17*PriceEssAnnual*YO17/12+ZD17*PricePremAnnual*YO17/12</f>
        <v/>
      </c>
      <c r="ZG17" s="9">
        <f>ZF17*12</f>
        <v/>
      </c>
      <c r="ZH17" s="12">
        <f>ZA17*PriceEssMonthly*YO17+ZB17*PricePremMonthly*YO17</f>
        <v/>
      </c>
      <c r="ZI17" s="12">
        <f>YY17*PriceEssAnnual*YO17+YZ17*PricePremAnnual*YO17</f>
        <v/>
      </c>
      <c r="ZJ17" s="12">
        <f>YY5*POWER(1-(AnnualChurn*VLOOKUP(YL17,ChurnSeasonTable,4,FALSE)),1)*PriceEssAnnual*YO17+YZ5*POWER(1-(AnnualChurn*VLOOKUP(YL17,ChurnSeasonTable,4,FALSE)),1)*PricePremAnnual*YO17</f>
        <v/>
      </c>
      <c r="ZK17" s="9">
        <f>ZH17+ZI17+ZJ17</f>
        <v/>
      </c>
      <c r="ZL17" s="12">
        <f>SUM(ZK6:ZK17)</f>
        <v/>
      </c>
      <c r="ZM17" s="12">
        <f>OR(ZM16,ZL17&gt;=VATThreshold)</f>
        <v/>
      </c>
      <c r="ZN17" s="9">
        <f>IF(ZM17,ZK17/(1+VATRate),ZK17)</f>
        <v/>
      </c>
      <c r="ZO17" s="12">
        <f>ZK17-ZN17</f>
        <v/>
      </c>
      <c r="ZP17" s="12">
        <f>IF(ZM17=0,0,IF(YL17=1,SUMPRODUCT(--(($YM$5:$YM17=$YM17-1)*($YL$5:$YL17&gt;=10)*($YL$5:$YL17&lt;=12)),$ZO$5:$ZO17),IF(YL17=4,SUMPRODUCT(--(($YM$5:$YM17=$YM17)*($YL$5:$YL17&gt;=1)*($YL$5:$YL17&lt;=3)),$ZO$5:$ZO17),IF(YL17=7,SUMPRODUCT(--(($YM$5:$YM17=$YM17)*($YL$5:$YL17&gt;=4)*($YL$5:$YL17&lt;=6)),$ZO$5:$ZO17),IF(YL17=10,SUMPRODUCT(--(($YM$5:$YM17=$YM17)*($YL$5:$YL17&gt;=7)*($YL$5:$YL17&lt;=9)),$ZO$5:$ZO17),0)))))</f>
        <v/>
      </c>
      <c r="ZQ17" s="12">
        <f>ZQ16+ZO17-ZP17</f>
        <v/>
      </c>
      <c r="ZR17" s="12">
        <f>IF(ProviderDelay&gt;=1,ZN16*ProviderShare,ZN17*ProviderShare)</f>
        <v/>
      </c>
      <c r="ZS17" s="12">
        <f>ZK17*PaymentFee</f>
        <v/>
      </c>
      <c r="ZT17" s="12">
        <f>ZE17*OpsAI</f>
        <v/>
      </c>
      <c r="ZU17" s="12">
        <f>MonthlyFixed</f>
        <v/>
      </c>
      <c r="ZV17" s="12">
        <f>YS17*ReferralReward</f>
        <v/>
      </c>
      <c r="ZW17" s="12">
        <f>YQ17</f>
        <v/>
      </c>
      <c r="ZX17" s="9">
        <f>ZN17-ZR17-ZS17-ZT17-ZU17-ZV17-ZW17</f>
        <v/>
      </c>
      <c r="ZY17" s="9">
        <f>ZY16+ZK17-(ZR17+ZS17+ZT17+ZU17+ZV17+ZW17+ZP17)</f>
        <v/>
      </c>
      <c r="ZZ17" s="12">
        <f>IF(ZE17&gt;0,ZF17/ZE17,0)</f>
        <v/>
      </c>
      <c r="AAA17" s="11">
        <f>IF(ZE16&gt;0,MAX(0,(ZE16+YT17-ZE17)/ZE16),0)</f>
        <v/>
      </c>
      <c r="AAC17" s="12" t="n">
        <v>13</v>
      </c>
      <c r="AAD17" s="12">
        <f>MOD(AAC17-1+LaunchMonth-1,12)+1</f>
        <v/>
      </c>
      <c r="AAE17" s="12">
        <f>INT((AAC17-1+LaunchMonth-1)/12)+1</f>
        <v/>
      </c>
      <c r="AAF17" s="12">
        <f>VLOOKUP(AAD17,SeasonTable,2,FALSE)</f>
        <v/>
      </c>
      <c r="AAG17" s="12">
        <f>(1+InflationRate)^INT((AAC17-1)/12)</f>
        <v/>
      </c>
      <c r="AAH17" s="11">
        <f>MonthlyChurn*VLOOKUP(AAD17,ChurnSeasonTable,4,FALSE)</f>
        <v/>
      </c>
      <c r="AAI17" s="12">
        <f>MIN(MAX(MktMin13_18,ABC16*MktPct13_18),MAX(0,ABQ16-CashBuffer))</f>
        <v/>
      </c>
      <c r="AAJ17" s="12">
        <f>IF(AAI17&gt;0,MAX(1,ROUND(AAI17/CAC*AAF17,0)),0)</f>
        <v/>
      </c>
      <c r="AAK17" s="12">
        <f>IF(AAJ17&gt;0,ROUND(AAJ17*ReferralMix/(1-ReferralMix),0),0)</f>
        <v/>
      </c>
      <c r="AAL17" s="12">
        <f>AAJ17+AAK17</f>
        <v/>
      </c>
      <c r="AAM17" s="12">
        <f>ROUND(AAL17*(1-'Sens - Annual Mix'!$A$13),0)</f>
        <v/>
      </c>
      <c r="AAN17" s="12">
        <f>AAL17-AAM17</f>
        <v/>
      </c>
      <c r="AAO17" s="12">
        <f>ROUND(AAM17*EssentialMix,0)</f>
        <v/>
      </c>
      <c r="AAP17" s="12">
        <f>AAM17-AAO17</f>
        <v/>
      </c>
      <c r="AAQ17" s="12">
        <f>ROUND(AAN17*EssentialMix,0)</f>
        <v/>
      </c>
      <c r="AAR17" s="12">
        <f>AAN17-AAQ17</f>
        <v/>
      </c>
      <c r="AAS17" s="12">
        <f>AAO17+AAO16+AAO15+MAX(0,AAS16-AAO16-AAO15)*(1-AAH17)</f>
        <v/>
      </c>
      <c r="AAT17" s="12">
        <f>AAP17+AAP16+AAP15+MAX(0,AAT16-AAP16-AAP15)*(1-AAH17)</f>
        <v/>
      </c>
      <c r="AAU17" s="12">
        <f>AAU16+AAQ17-AAQ5*(AnnualChurn*VLOOKUP(AAD17,ChurnSeasonTable,4,FALSE))*POWER(1-(AnnualChurn*VLOOKUP(AAD17,ChurnSeasonTable,4,FALSE)),0)</f>
        <v/>
      </c>
      <c r="AAV17" s="12">
        <f>AAV16+AAR17-AAR5*(AnnualChurn*VLOOKUP(AAD17,ChurnSeasonTable,4,FALSE))*POWER(1-(AnnualChurn*VLOOKUP(AAD17,ChurnSeasonTable,4,FALSE)),0)</f>
        <v/>
      </c>
      <c r="AAW17" s="12">
        <f>AAS17+AAT17+AAU17+AAV17</f>
        <v/>
      </c>
      <c r="AAX17" s="9">
        <f>AAS17*PriceEssMonthly*AAG17+AAT17*PricePremMonthly*AAG17+AAU17*PriceEssAnnual*AAG17/12+AAV17*PricePremAnnual*AAG17/12</f>
        <v/>
      </c>
      <c r="AAY17" s="9">
        <f>AAX17*12</f>
        <v/>
      </c>
      <c r="AAZ17" s="12">
        <f>AAS17*PriceEssMonthly*AAG17+AAT17*PricePremMonthly*AAG17</f>
        <v/>
      </c>
      <c r="ABA17" s="12">
        <f>AAQ17*PriceEssAnnual*AAG17+AAR17*PricePremAnnual*AAG17</f>
        <v/>
      </c>
      <c r="ABB17" s="12">
        <f>AAQ5*POWER(1-(AnnualChurn*VLOOKUP(AAD17,ChurnSeasonTable,4,FALSE)),1)*PriceEssAnnual*AAG17+AAR5*POWER(1-(AnnualChurn*VLOOKUP(AAD17,ChurnSeasonTable,4,FALSE)),1)*PricePremAnnual*AAG17</f>
        <v/>
      </c>
      <c r="ABC17" s="9">
        <f>AAZ17+ABA17+ABB17</f>
        <v/>
      </c>
      <c r="ABD17" s="12">
        <f>SUM(ABC6:ABC17)</f>
        <v/>
      </c>
      <c r="ABE17" s="12">
        <f>OR(ABE16,ABD17&gt;=VATThreshold)</f>
        <v/>
      </c>
      <c r="ABF17" s="9">
        <f>IF(ABE17,ABC17/(1+VATRate),ABC17)</f>
        <v/>
      </c>
      <c r="ABG17" s="12">
        <f>ABC17-ABF17</f>
        <v/>
      </c>
      <c r="ABH17" s="12">
        <f>IF(ABE17=0,0,IF(AAD17=1,SUMPRODUCT(--(($AAE$5:$AAE17=$AAE17-1)*($AAD$5:$AAD17&gt;=10)*($AAD$5:$AAD17&lt;=12)),$ABG$5:$ABG17),IF(AAD17=4,SUMPRODUCT(--(($AAE$5:$AAE17=$AAE17)*($AAD$5:$AAD17&gt;=1)*($AAD$5:$AAD17&lt;=3)),$ABG$5:$ABG17),IF(AAD17=7,SUMPRODUCT(--(($AAE$5:$AAE17=$AAE17)*($AAD$5:$AAD17&gt;=4)*($AAD$5:$AAD17&lt;=6)),$ABG$5:$ABG17),IF(AAD17=10,SUMPRODUCT(--(($AAE$5:$AAE17=$AAE17)*($AAD$5:$AAD17&gt;=7)*($AAD$5:$AAD17&lt;=9)),$ABG$5:$ABG17),0)))))</f>
        <v/>
      </c>
      <c r="ABI17" s="12">
        <f>ABI16+ABG17-ABH17</f>
        <v/>
      </c>
      <c r="ABJ17" s="12">
        <f>IF(ProviderDelay&gt;=1,ABF16*ProviderShare,ABF17*ProviderShare)</f>
        <v/>
      </c>
      <c r="ABK17" s="12">
        <f>ABC17*PaymentFee</f>
        <v/>
      </c>
      <c r="ABL17" s="12">
        <f>AAW17*OpsAI</f>
        <v/>
      </c>
      <c r="ABM17" s="12">
        <f>MonthlyFixed</f>
        <v/>
      </c>
      <c r="ABN17" s="12">
        <f>AAK17*ReferralReward</f>
        <v/>
      </c>
      <c r="ABO17" s="12">
        <f>AAI17</f>
        <v/>
      </c>
      <c r="ABP17" s="9">
        <f>ABF17-ABJ17-ABK17-ABL17-ABM17-ABN17-ABO17</f>
        <v/>
      </c>
      <c r="ABQ17" s="9">
        <f>ABQ16+ABC17-(ABJ17+ABK17+ABL17+ABM17+ABN17+ABO17+ABH17)</f>
        <v/>
      </c>
      <c r="ABR17" s="12">
        <f>IF(AAW17&gt;0,AAX17/AAW17,0)</f>
        <v/>
      </c>
      <c r="ABS17" s="11">
        <f>IF(AAW16&gt;0,MAX(0,(AAW16+AAL17-AAW17)/AAW16),0)</f>
        <v/>
      </c>
      <c r="ABU17" s="12" t="n">
        <v>13</v>
      </c>
      <c r="ABV17" s="12">
        <f>MOD(ABU17-1+LaunchMonth-1,12)+1</f>
        <v/>
      </c>
      <c r="ABW17" s="12">
        <f>INT((ABU17-1+LaunchMonth-1)/12)+1</f>
        <v/>
      </c>
      <c r="ABX17" s="12">
        <f>VLOOKUP(ABV17,SeasonTable,2,FALSE)</f>
        <v/>
      </c>
      <c r="ABY17" s="12">
        <f>(1+InflationRate)^INT((ABU17-1)/12)</f>
        <v/>
      </c>
      <c r="ABZ17" s="11">
        <f>MonthlyChurn*VLOOKUP(ABV17,ChurnSeasonTable,4,FALSE)</f>
        <v/>
      </c>
      <c r="ACA17" s="12">
        <f>MIN(MAX(MktMin13_18,ACU16*MktPct13_18),MAX(0,ADI16-CashBuffer))</f>
        <v/>
      </c>
      <c r="ACB17" s="12">
        <f>IF(ACA17&gt;0,MAX(1,ROUND(ACA17/CAC*ABX17,0)),0)</f>
        <v/>
      </c>
      <c r="ACC17" s="12">
        <f>IF(ACB17&gt;0,ROUND(ACB17*ReferralMix/(1-ReferralMix),0),0)</f>
        <v/>
      </c>
      <c r="ACD17" s="12">
        <f>ACB17+ACC17</f>
        <v/>
      </c>
      <c r="ACE17" s="12">
        <f>ROUND(ACD17*(1-'Sens - Annual Mix'!$A$14),0)</f>
        <v/>
      </c>
      <c r="ACF17" s="12">
        <f>ACD17-ACE17</f>
        <v/>
      </c>
      <c r="ACG17" s="12">
        <f>ROUND(ACE17*EssentialMix,0)</f>
        <v/>
      </c>
      <c r="ACH17" s="12">
        <f>ACE17-ACG17</f>
        <v/>
      </c>
      <c r="ACI17" s="12">
        <f>ROUND(ACF17*EssentialMix,0)</f>
        <v/>
      </c>
      <c r="ACJ17" s="12">
        <f>ACF17-ACI17</f>
        <v/>
      </c>
      <c r="ACK17" s="12">
        <f>ACG17+ACG16+ACG15+MAX(0,ACK16-ACG16-ACG15)*(1-ABZ17)</f>
        <v/>
      </c>
      <c r="ACL17" s="12">
        <f>ACH17+ACH16+ACH15+MAX(0,ACL16-ACH16-ACH15)*(1-ABZ17)</f>
        <v/>
      </c>
      <c r="ACM17" s="12">
        <f>ACM16+ACI17-ACI5*(AnnualChurn*VLOOKUP(ABV17,ChurnSeasonTable,4,FALSE))*POWER(1-(AnnualChurn*VLOOKUP(ABV17,ChurnSeasonTable,4,FALSE)),0)</f>
        <v/>
      </c>
      <c r="ACN17" s="12">
        <f>ACN16+ACJ17-ACJ5*(AnnualChurn*VLOOKUP(ABV17,ChurnSeasonTable,4,FALSE))*POWER(1-(AnnualChurn*VLOOKUP(ABV17,ChurnSeasonTable,4,FALSE)),0)</f>
        <v/>
      </c>
      <c r="ACO17" s="12">
        <f>ACK17+ACL17+ACM17+ACN17</f>
        <v/>
      </c>
      <c r="ACP17" s="9">
        <f>ACK17*PriceEssMonthly*ABY17+ACL17*PricePremMonthly*ABY17+ACM17*PriceEssAnnual*ABY17/12+ACN17*PricePremAnnual*ABY17/12</f>
        <v/>
      </c>
      <c r="ACQ17" s="9">
        <f>ACP17*12</f>
        <v/>
      </c>
      <c r="ACR17" s="12">
        <f>ACK17*PriceEssMonthly*ABY17+ACL17*PricePremMonthly*ABY17</f>
        <v/>
      </c>
      <c r="ACS17" s="12">
        <f>ACI17*PriceEssAnnual*ABY17+ACJ17*PricePremAnnual*ABY17</f>
        <v/>
      </c>
      <c r="ACT17" s="12">
        <f>ACI5*POWER(1-(AnnualChurn*VLOOKUP(ABV17,ChurnSeasonTable,4,FALSE)),1)*PriceEssAnnual*ABY17+ACJ5*POWER(1-(AnnualChurn*VLOOKUP(ABV17,ChurnSeasonTable,4,FALSE)),1)*PricePremAnnual*ABY17</f>
        <v/>
      </c>
      <c r="ACU17" s="9">
        <f>ACR17+ACS17+ACT17</f>
        <v/>
      </c>
      <c r="ACV17" s="12">
        <f>SUM(ACU6:ACU17)</f>
        <v/>
      </c>
      <c r="ACW17" s="12">
        <f>OR(ACW16,ACV17&gt;=VATThreshold)</f>
        <v/>
      </c>
      <c r="ACX17" s="9">
        <f>IF(ACW17,ACU17/(1+VATRate),ACU17)</f>
        <v/>
      </c>
      <c r="ACY17" s="12">
        <f>ACU17-ACX17</f>
        <v/>
      </c>
      <c r="ACZ17" s="12">
        <f>IF(ACW17=0,0,IF(ABV17=1,SUMPRODUCT(--(($ABW$5:$ABW17=$ABW17-1)*($ABV$5:$ABV17&gt;=10)*($ABV$5:$ABV17&lt;=12)),$ACY$5:$ACY17),IF(ABV17=4,SUMPRODUCT(--(($ABW$5:$ABW17=$ABW17)*($ABV$5:$ABV17&gt;=1)*($ABV$5:$ABV17&lt;=3)),$ACY$5:$ACY17),IF(ABV17=7,SUMPRODUCT(--(($ABW$5:$ABW17=$ABW17)*($ABV$5:$ABV17&gt;=4)*($ABV$5:$ABV17&lt;=6)),$ACY$5:$ACY17),IF(ABV17=10,SUMPRODUCT(--(($ABW$5:$ABW17=$ABW17)*($ABV$5:$ABV17&gt;=7)*($ABV$5:$ABV17&lt;=9)),$ACY$5:$ACY17),0)))))</f>
        <v/>
      </c>
      <c r="ADA17" s="12">
        <f>ADA16+ACY17-ACZ17</f>
        <v/>
      </c>
      <c r="ADB17" s="12">
        <f>IF(ProviderDelay&gt;=1,ACX16*ProviderShare,ACX17*ProviderShare)</f>
        <v/>
      </c>
      <c r="ADC17" s="12">
        <f>ACU17*PaymentFee</f>
        <v/>
      </c>
      <c r="ADD17" s="12">
        <f>ACO17*OpsAI</f>
        <v/>
      </c>
      <c r="ADE17" s="12">
        <f>MonthlyFixed</f>
        <v/>
      </c>
      <c r="ADF17" s="12">
        <f>ACC17*ReferralReward</f>
        <v/>
      </c>
      <c r="ADG17" s="12">
        <f>ACA17</f>
        <v/>
      </c>
      <c r="ADH17" s="9">
        <f>ACX17-ADB17-ADC17-ADD17-ADE17-ADF17-ADG17</f>
        <v/>
      </c>
      <c r="ADI17" s="9">
        <f>ADI16+ACU17-(ADB17+ADC17+ADD17+ADE17+ADF17+ADG17+ACZ17)</f>
        <v/>
      </c>
      <c r="ADJ17" s="12">
        <f>IF(ACO17&gt;0,ACP17/ACO17,0)</f>
        <v/>
      </c>
      <c r="ADK17" s="11">
        <f>IF(ACO16&gt;0,MAX(0,(ACO16+ACD17-ACO17)/ACO16),0)</f>
        <v/>
      </c>
      <c r="ADM17" s="12" t="n">
        <v>13</v>
      </c>
      <c r="ADN17" s="12">
        <f>MOD(ADM17-1+LaunchMonth-1,12)+1</f>
        <v/>
      </c>
      <c r="ADO17" s="12">
        <f>INT((ADM17-1+LaunchMonth-1)/12)+1</f>
        <v/>
      </c>
      <c r="ADP17" s="12">
        <f>VLOOKUP(ADN17,SeasonTable,2,FALSE)</f>
        <v/>
      </c>
      <c r="ADQ17" s="12">
        <f>(1+InflationRate)^INT((ADM17-1)/12)</f>
        <v/>
      </c>
      <c r="ADR17" s="11">
        <f>MonthlyChurn*VLOOKUP(ADN17,ChurnSeasonTable,4,FALSE)</f>
        <v/>
      </c>
      <c r="ADS17" s="12">
        <f>MIN(MAX(MktMin13_18,AEM16*MktPct13_18),MAX(0,AFA16-CashBuffer))</f>
        <v/>
      </c>
      <c r="ADT17" s="12">
        <f>IF(ADS17&gt;0,MAX(1,ROUND(ADS17/CAC*ADP17,0)),0)</f>
        <v/>
      </c>
      <c r="ADU17" s="12">
        <f>IF(ADT17&gt;0,ROUND(ADT17*ReferralMix/(1-ReferralMix),0),0)</f>
        <v/>
      </c>
      <c r="ADV17" s="12">
        <f>ADT17+ADU17</f>
        <v/>
      </c>
      <c r="ADW17" s="12">
        <f>ROUND(ADV17*(1-'Sens - Annual Mix'!$A$15),0)</f>
        <v/>
      </c>
      <c r="ADX17" s="12">
        <f>ADV17-ADW17</f>
        <v/>
      </c>
      <c r="ADY17" s="12">
        <f>ROUND(ADW17*EssentialMix,0)</f>
        <v/>
      </c>
      <c r="ADZ17" s="12">
        <f>ADW17-ADY17</f>
        <v/>
      </c>
      <c r="AEA17" s="12">
        <f>ROUND(ADX17*EssentialMix,0)</f>
        <v/>
      </c>
      <c r="AEB17" s="12">
        <f>ADX17-AEA17</f>
        <v/>
      </c>
      <c r="AEC17" s="12">
        <f>ADY17+ADY16+ADY15+MAX(0,AEC16-ADY16-ADY15)*(1-ADR17)</f>
        <v/>
      </c>
      <c r="AED17" s="12">
        <f>ADZ17+ADZ16+ADZ15+MAX(0,AED16-ADZ16-ADZ15)*(1-ADR17)</f>
        <v/>
      </c>
      <c r="AEE17" s="12">
        <f>AEE16+AEA17-AEA5*(AnnualChurn*VLOOKUP(ADN17,ChurnSeasonTable,4,FALSE))*POWER(1-(AnnualChurn*VLOOKUP(ADN17,ChurnSeasonTable,4,FALSE)),0)</f>
        <v/>
      </c>
      <c r="AEF17" s="12">
        <f>AEF16+AEB17-AEB5*(AnnualChurn*VLOOKUP(ADN17,ChurnSeasonTable,4,FALSE))*POWER(1-(AnnualChurn*VLOOKUP(ADN17,ChurnSeasonTable,4,FALSE)),0)</f>
        <v/>
      </c>
      <c r="AEG17" s="12">
        <f>AEC17+AED17+AEE17+AEF17</f>
        <v/>
      </c>
      <c r="AEH17" s="9">
        <f>AEC17*PriceEssMonthly*ADQ17+AED17*PricePremMonthly*ADQ17+AEE17*PriceEssAnnual*ADQ17/12+AEF17*PricePremAnnual*ADQ17/12</f>
        <v/>
      </c>
      <c r="AEI17" s="9">
        <f>AEH17*12</f>
        <v/>
      </c>
      <c r="AEJ17" s="12">
        <f>AEC17*PriceEssMonthly*ADQ17+AED17*PricePremMonthly*ADQ17</f>
        <v/>
      </c>
      <c r="AEK17" s="12">
        <f>AEA17*PriceEssAnnual*ADQ17+AEB17*PricePremAnnual*ADQ17</f>
        <v/>
      </c>
      <c r="AEL17" s="12">
        <f>AEA5*POWER(1-(AnnualChurn*VLOOKUP(ADN17,ChurnSeasonTable,4,FALSE)),1)*PriceEssAnnual*ADQ17+AEB5*POWER(1-(AnnualChurn*VLOOKUP(ADN17,ChurnSeasonTable,4,FALSE)),1)*PricePremAnnual*ADQ17</f>
        <v/>
      </c>
      <c r="AEM17" s="9">
        <f>AEJ17+AEK17+AEL17</f>
        <v/>
      </c>
      <c r="AEN17" s="12">
        <f>SUM(AEM6:AEM17)</f>
        <v/>
      </c>
      <c r="AEO17" s="12">
        <f>OR(AEO16,AEN17&gt;=VATThreshold)</f>
        <v/>
      </c>
      <c r="AEP17" s="9">
        <f>IF(AEO17,AEM17/(1+VATRate),AEM17)</f>
        <v/>
      </c>
      <c r="AEQ17" s="12">
        <f>AEM17-AEP17</f>
        <v/>
      </c>
      <c r="AER17" s="12">
        <f>IF(AEO17=0,0,IF(ADN17=1,SUMPRODUCT(--(($ADO$5:$ADO17=$ADO17-1)*($ADN$5:$ADN17&gt;=10)*($ADN$5:$ADN17&lt;=12)),$AEQ$5:$AEQ17),IF(ADN17=4,SUMPRODUCT(--(($ADO$5:$ADO17=$ADO17)*($ADN$5:$ADN17&gt;=1)*($ADN$5:$ADN17&lt;=3)),$AEQ$5:$AEQ17),IF(ADN17=7,SUMPRODUCT(--(($ADO$5:$ADO17=$ADO17)*($ADN$5:$ADN17&gt;=4)*($ADN$5:$ADN17&lt;=6)),$AEQ$5:$AEQ17),IF(ADN17=10,SUMPRODUCT(--(($ADO$5:$ADO17=$ADO17)*($ADN$5:$ADN17&gt;=7)*($ADN$5:$ADN17&lt;=9)),$AEQ$5:$AEQ17),0)))))</f>
        <v/>
      </c>
      <c r="AES17" s="12">
        <f>AES16+AEQ17-AER17</f>
        <v/>
      </c>
      <c r="AET17" s="12">
        <f>IF(ProviderDelay&gt;=1,AEP16*ProviderShare,AEP17*ProviderShare)</f>
        <v/>
      </c>
      <c r="AEU17" s="12">
        <f>AEM17*PaymentFee</f>
        <v/>
      </c>
      <c r="AEV17" s="12">
        <f>AEG17*OpsAI</f>
        <v/>
      </c>
      <c r="AEW17" s="12">
        <f>MonthlyFixed</f>
        <v/>
      </c>
      <c r="AEX17" s="12">
        <f>ADU17*ReferralReward</f>
        <v/>
      </c>
      <c r="AEY17" s="12">
        <f>ADS17</f>
        <v/>
      </c>
      <c r="AEZ17" s="9">
        <f>AEP17-AET17-AEU17-AEV17-AEW17-AEX17-AEY17</f>
        <v/>
      </c>
      <c r="AFA17" s="9">
        <f>AFA16+AEM17-(AET17+AEU17+AEV17+AEW17+AEX17+AEY17+AER17)</f>
        <v/>
      </c>
      <c r="AFB17" s="12">
        <f>IF(AEG17&gt;0,AEH17/AEG17,0)</f>
        <v/>
      </c>
      <c r="AFC17" s="11">
        <f>IF(AEG16&gt;0,MAX(0,(AEG16+ADV17-AEG17)/AEG16),0)</f>
        <v/>
      </c>
      <c r="AFE17" s="12" t="n">
        <v>13</v>
      </c>
      <c r="AFF17" s="12">
        <f>MOD(AFE17-1+LaunchMonth-1,12)+1</f>
        <v/>
      </c>
      <c r="AFG17" s="12">
        <f>INT((AFE17-1+LaunchMonth-1)/12)+1</f>
        <v/>
      </c>
      <c r="AFH17" s="12">
        <f>VLOOKUP(AFF17,SeasonTable,2,FALSE)</f>
        <v/>
      </c>
      <c r="AFI17" s="12">
        <f>(1+InflationRate)^INT((AFE17-1)/12)</f>
        <v/>
      </c>
      <c r="AFJ17" s="11">
        <f>MonthlyChurn*VLOOKUP(AFF17,ChurnSeasonTable,4,FALSE)</f>
        <v/>
      </c>
      <c r="AFK17" s="12">
        <f>MIN(MAX(MktMin13_18,AGE16*MktPct13_18),MAX(0,AGS16-CashBuffer))</f>
        <v/>
      </c>
      <c r="AFL17" s="12">
        <f>IF(AFK17&gt;0,MAX(1,ROUND(AFK17/'Sens - CAC &amp; Marketing'!$A$9*AFH17,0)),0)</f>
        <v/>
      </c>
      <c r="AFM17" s="12">
        <f>IF(AFL17&gt;0,ROUND(AFL17*ReferralMix/(1-ReferralMix),0),0)</f>
        <v/>
      </c>
      <c r="AFN17" s="12">
        <f>AFL17+AFM17</f>
        <v/>
      </c>
      <c r="AFO17" s="12">
        <f>ROUND(AFN17*(1-AnnualMix),0)</f>
        <v/>
      </c>
      <c r="AFP17" s="12">
        <f>AFN17-AFO17</f>
        <v/>
      </c>
      <c r="AFQ17" s="12">
        <f>ROUND(AFO17*EssentialMix,0)</f>
        <v/>
      </c>
      <c r="AFR17" s="12">
        <f>AFO17-AFQ17</f>
        <v/>
      </c>
      <c r="AFS17" s="12">
        <f>ROUND(AFP17*EssentialMix,0)</f>
        <v/>
      </c>
      <c r="AFT17" s="12">
        <f>AFP17-AFS17</f>
        <v/>
      </c>
      <c r="AFU17" s="12">
        <f>AFQ17+AFQ16+AFQ15+MAX(0,AFU16-AFQ16-AFQ15)*(1-AFJ17)</f>
        <v/>
      </c>
      <c r="AFV17" s="12">
        <f>AFR17+AFR16+AFR15+MAX(0,AFV16-AFR16-AFR15)*(1-AFJ17)</f>
        <v/>
      </c>
      <c r="AFW17" s="12">
        <f>AFW16+AFS17-AFS5*(AnnualChurn*VLOOKUP(AFF17,ChurnSeasonTable,4,FALSE))*POWER(1-(AnnualChurn*VLOOKUP(AFF17,ChurnSeasonTable,4,FALSE)),0)</f>
        <v/>
      </c>
      <c r="AFX17" s="12">
        <f>AFX16+AFT17-AFT5*(AnnualChurn*VLOOKUP(AFF17,ChurnSeasonTable,4,FALSE))*POWER(1-(AnnualChurn*VLOOKUP(AFF17,ChurnSeasonTable,4,FALSE)),0)</f>
        <v/>
      </c>
      <c r="AFY17" s="12">
        <f>AFU17+AFV17+AFW17+AFX17</f>
        <v/>
      </c>
      <c r="AFZ17" s="9">
        <f>AFU17*PriceEssMonthly*AFI17+AFV17*PricePremMonthly*AFI17+AFW17*PriceEssAnnual*AFI17/12+AFX17*PricePremAnnual*AFI17/12</f>
        <v/>
      </c>
      <c r="AGA17" s="9">
        <f>AFZ17*12</f>
        <v/>
      </c>
      <c r="AGB17" s="12">
        <f>AFU17*PriceEssMonthly*AFI17+AFV17*PricePremMonthly*AFI17</f>
        <v/>
      </c>
      <c r="AGC17" s="12">
        <f>AFS17*PriceEssAnnual*AFI17+AFT17*PricePremAnnual*AFI17</f>
        <v/>
      </c>
      <c r="AGD17" s="12">
        <f>AFS5*POWER(1-(AnnualChurn*VLOOKUP(AFF17,ChurnSeasonTable,4,FALSE)),1)*PriceEssAnnual*AFI17+AFT5*POWER(1-(AnnualChurn*VLOOKUP(AFF17,ChurnSeasonTable,4,FALSE)),1)*PricePremAnnual*AFI17</f>
        <v/>
      </c>
      <c r="AGE17" s="9">
        <f>AGB17+AGC17+AGD17</f>
        <v/>
      </c>
      <c r="AGF17" s="12">
        <f>SUM(AGE6:AGE17)</f>
        <v/>
      </c>
      <c r="AGG17" s="12">
        <f>OR(AGG16,AGF17&gt;=VATThreshold)</f>
        <v/>
      </c>
      <c r="AGH17" s="9">
        <f>IF(AGG17,AGE17/(1+VATRate),AGE17)</f>
        <v/>
      </c>
      <c r="AGI17" s="12">
        <f>AGE17-AGH17</f>
        <v/>
      </c>
      <c r="AGJ17" s="12">
        <f>IF(AGG17=0,0,IF(AFF17=1,SUMPRODUCT(--(($AFG$5:$AFG17=$AFG17-1)*($AFF$5:$AFF17&gt;=10)*($AFF$5:$AFF17&lt;=12)),$AGI$5:$AGI17),IF(AFF17=4,SUMPRODUCT(--(($AFG$5:$AFG17=$AFG17)*($AFF$5:$AFF17&gt;=1)*($AFF$5:$AFF17&lt;=3)),$AGI$5:$AGI17),IF(AFF17=7,SUMPRODUCT(--(($AFG$5:$AFG17=$AFG17)*($AFF$5:$AFF17&gt;=4)*($AFF$5:$AFF17&lt;=6)),$AGI$5:$AGI17),IF(AFF17=10,SUMPRODUCT(--(($AFG$5:$AFG17=$AFG17)*($AFF$5:$AFF17&gt;=7)*($AFF$5:$AFF17&lt;=9)),$AGI$5:$AGI17),0)))))</f>
        <v/>
      </c>
      <c r="AGK17" s="12">
        <f>AGK16+AGI17-AGJ17</f>
        <v/>
      </c>
      <c r="AGL17" s="12">
        <f>IF(ProviderDelay&gt;=1,AGH16*ProviderShare,AGH17*ProviderShare)</f>
        <v/>
      </c>
      <c r="AGM17" s="12">
        <f>AGE17*PaymentFee</f>
        <v/>
      </c>
      <c r="AGN17" s="12">
        <f>AFY17*OpsAI</f>
        <v/>
      </c>
      <c r="AGO17" s="12">
        <f>MonthlyFixed</f>
        <v/>
      </c>
      <c r="AGP17" s="12">
        <f>AFM17*ReferralReward</f>
        <v/>
      </c>
      <c r="AGQ17" s="12">
        <f>AFK17</f>
        <v/>
      </c>
      <c r="AGR17" s="9">
        <f>AGH17-AGL17-AGM17-AGN17-AGO17-AGP17-AGQ17</f>
        <v/>
      </c>
      <c r="AGS17" s="9">
        <f>AGS16+AGE17-(AGL17+AGM17+AGN17+AGO17+AGP17+AGQ17+AGJ17)</f>
        <v/>
      </c>
      <c r="AGT17" s="12">
        <f>IF(AFY17&gt;0,AFZ17/AFY17,0)</f>
        <v/>
      </c>
      <c r="AGU17" s="11">
        <f>IF(AFY16&gt;0,MAX(0,(AFY16+AFN17-AFY17)/AFY16),0)</f>
        <v/>
      </c>
      <c r="AGW17" s="12" t="n">
        <v>13</v>
      </c>
      <c r="AGX17" s="12">
        <f>MOD(AGW17-1+LaunchMonth-1,12)+1</f>
        <v/>
      </c>
      <c r="AGY17" s="12">
        <f>INT((AGW17-1+LaunchMonth-1)/12)+1</f>
        <v/>
      </c>
      <c r="AGZ17" s="12">
        <f>VLOOKUP(AGX17,SeasonTable,2,FALSE)</f>
        <v/>
      </c>
      <c r="AHA17" s="12">
        <f>(1+InflationRate)^INT((AGW17-1)/12)</f>
        <v/>
      </c>
      <c r="AHB17" s="11">
        <f>MonthlyChurn*VLOOKUP(AGX17,ChurnSeasonTable,4,FALSE)</f>
        <v/>
      </c>
      <c r="AHC17" s="12">
        <f>MIN(MAX(MktMin13_18,AHW16*MktPct13_18),MAX(0,AIK16-CashBuffer))</f>
        <v/>
      </c>
      <c r="AHD17" s="12">
        <f>IF(AHC17&gt;0,MAX(1,ROUND(AHC17/'Sens - CAC &amp; Marketing'!$A$10*AGZ17,0)),0)</f>
        <v/>
      </c>
      <c r="AHE17" s="12">
        <f>IF(AHD17&gt;0,ROUND(AHD17*ReferralMix/(1-ReferralMix),0),0)</f>
        <v/>
      </c>
      <c r="AHF17" s="12">
        <f>AHD17+AHE17</f>
        <v/>
      </c>
      <c r="AHG17" s="12">
        <f>ROUND(AHF17*(1-AnnualMix),0)</f>
        <v/>
      </c>
      <c r="AHH17" s="12">
        <f>AHF17-AHG17</f>
        <v/>
      </c>
      <c r="AHI17" s="12">
        <f>ROUND(AHG17*EssentialMix,0)</f>
        <v/>
      </c>
      <c r="AHJ17" s="12">
        <f>AHG17-AHI17</f>
        <v/>
      </c>
      <c r="AHK17" s="12">
        <f>ROUND(AHH17*EssentialMix,0)</f>
        <v/>
      </c>
      <c r="AHL17" s="12">
        <f>AHH17-AHK17</f>
        <v/>
      </c>
      <c r="AHM17" s="12">
        <f>AHI17+AHI16+AHI15+MAX(0,AHM16-AHI16-AHI15)*(1-AHB17)</f>
        <v/>
      </c>
      <c r="AHN17" s="12">
        <f>AHJ17+AHJ16+AHJ15+MAX(0,AHN16-AHJ16-AHJ15)*(1-AHB17)</f>
        <v/>
      </c>
      <c r="AHO17" s="12">
        <f>AHO16+AHK17-AHK5*(AnnualChurn*VLOOKUP(AGX17,ChurnSeasonTable,4,FALSE))*POWER(1-(AnnualChurn*VLOOKUP(AGX17,ChurnSeasonTable,4,FALSE)),0)</f>
        <v/>
      </c>
      <c r="AHP17" s="12">
        <f>AHP16+AHL17-AHL5*(AnnualChurn*VLOOKUP(AGX17,ChurnSeasonTable,4,FALSE))*POWER(1-(AnnualChurn*VLOOKUP(AGX17,ChurnSeasonTable,4,FALSE)),0)</f>
        <v/>
      </c>
      <c r="AHQ17" s="12">
        <f>AHM17+AHN17+AHO17+AHP17</f>
        <v/>
      </c>
      <c r="AHR17" s="9">
        <f>AHM17*PriceEssMonthly*AHA17+AHN17*PricePremMonthly*AHA17+AHO17*PriceEssAnnual*AHA17/12+AHP17*PricePremAnnual*AHA17/12</f>
        <v/>
      </c>
      <c r="AHS17" s="9">
        <f>AHR17*12</f>
        <v/>
      </c>
      <c r="AHT17" s="12">
        <f>AHM17*PriceEssMonthly*AHA17+AHN17*PricePremMonthly*AHA17</f>
        <v/>
      </c>
      <c r="AHU17" s="12">
        <f>AHK17*PriceEssAnnual*AHA17+AHL17*PricePremAnnual*AHA17</f>
        <v/>
      </c>
      <c r="AHV17" s="12">
        <f>AHK5*POWER(1-(AnnualChurn*VLOOKUP(AGX17,ChurnSeasonTable,4,FALSE)),1)*PriceEssAnnual*AHA17+AHL5*POWER(1-(AnnualChurn*VLOOKUP(AGX17,ChurnSeasonTable,4,FALSE)),1)*PricePremAnnual*AHA17</f>
        <v/>
      </c>
      <c r="AHW17" s="9">
        <f>AHT17+AHU17+AHV17</f>
        <v/>
      </c>
      <c r="AHX17" s="12">
        <f>SUM(AHW6:AHW17)</f>
        <v/>
      </c>
      <c r="AHY17" s="12">
        <f>OR(AHY16,AHX17&gt;=VATThreshold)</f>
        <v/>
      </c>
      <c r="AHZ17" s="9">
        <f>IF(AHY17,AHW17/(1+VATRate),AHW17)</f>
        <v/>
      </c>
      <c r="AIA17" s="12">
        <f>AHW17-AHZ17</f>
        <v/>
      </c>
      <c r="AIB17" s="12">
        <f>IF(AHY17=0,0,IF(AGX17=1,SUMPRODUCT(--(($AGY$5:$AGY17=$AGY17-1)*($AGX$5:$AGX17&gt;=10)*($AGX$5:$AGX17&lt;=12)),$AIA$5:$AIA17),IF(AGX17=4,SUMPRODUCT(--(($AGY$5:$AGY17=$AGY17)*($AGX$5:$AGX17&gt;=1)*($AGX$5:$AGX17&lt;=3)),$AIA$5:$AIA17),IF(AGX17=7,SUMPRODUCT(--(($AGY$5:$AGY17=$AGY17)*($AGX$5:$AGX17&gt;=4)*($AGX$5:$AGX17&lt;=6)),$AIA$5:$AIA17),IF(AGX17=10,SUMPRODUCT(--(($AGY$5:$AGY17=$AGY17)*($AGX$5:$AGX17&gt;=7)*($AGX$5:$AGX17&lt;=9)),$AIA$5:$AIA17),0)))))</f>
        <v/>
      </c>
      <c r="AIC17" s="12">
        <f>AIC16+AIA17-AIB17</f>
        <v/>
      </c>
      <c r="AID17" s="12">
        <f>IF(ProviderDelay&gt;=1,AHZ16*ProviderShare,AHZ17*ProviderShare)</f>
        <v/>
      </c>
      <c r="AIE17" s="12">
        <f>AHW17*PaymentFee</f>
        <v/>
      </c>
      <c r="AIF17" s="12">
        <f>AHQ17*OpsAI</f>
        <v/>
      </c>
      <c r="AIG17" s="12">
        <f>MonthlyFixed</f>
        <v/>
      </c>
      <c r="AIH17" s="12">
        <f>AHE17*ReferralReward</f>
        <v/>
      </c>
      <c r="AII17" s="12">
        <f>AHC17</f>
        <v/>
      </c>
      <c r="AIJ17" s="9">
        <f>AHZ17-AID17-AIE17-AIF17-AIG17-AIH17-AII17</f>
        <v/>
      </c>
      <c r="AIK17" s="9">
        <f>AIK16+AHW17-(AID17+AIE17+AIF17+AIG17+AIH17+AII17+AIB17)</f>
        <v/>
      </c>
      <c r="AIL17" s="12">
        <f>IF(AHQ17&gt;0,AHR17/AHQ17,0)</f>
        <v/>
      </c>
      <c r="AIM17" s="11">
        <f>IF(AHQ16&gt;0,MAX(0,(AHQ16+AHF17-AHQ17)/AHQ16),0)</f>
        <v/>
      </c>
      <c r="AIO17" s="12" t="n">
        <v>13</v>
      </c>
      <c r="AIP17" s="12">
        <f>MOD(AIO17-1+LaunchMonth-1,12)+1</f>
        <v/>
      </c>
      <c r="AIQ17" s="12">
        <f>INT((AIO17-1+LaunchMonth-1)/12)+1</f>
        <v/>
      </c>
      <c r="AIR17" s="12">
        <f>VLOOKUP(AIP17,SeasonTable,2,FALSE)</f>
        <v/>
      </c>
      <c r="AIS17" s="12">
        <f>(1+InflationRate)^INT((AIO17-1)/12)</f>
        <v/>
      </c>
      <c r="AIT17" s="11">
        <f>MonthlyChurn*VLOOKUP(AIP17,ChurnSeasonTable,4,FALSE)</f>
        <v/>
      </c>
      <c r="AIU17" s="12">
        <f>MIN(MAX(MktMin13_18,AJO16*MktPct13_18),MAX(0,AKC16-CashBuffer))</f>
        <v/>
      </c>
      <c r="AIV17" s="12">
        <f>IF(AIU17&gt;0,MAX(1,ROUND(AIU17/'Sens - CAC &amp; Marketing'!$A$11*AIR17,0)),0)</f>
        <v/>
      </c>
      <c r="AIW17" s="12">
        <f>IF(AIV17&gt;0,ROUND(AIV17*ReferralMix/(1-ReferralMix),0),0)</f>
        <v/>
      </c>
      <c r="AIX17" s="12">
        <f>AIV17+AIW17</f>
        <v/>
      </c>
      <c r="AIY17" s="12">
        <f>ROUND(AIX17*(1-AnnualMix),0)</f>
        <v/>
      </c>
      <c r="AIZ17" s="12">
        <f>AIX17-AIY17</f>
        <v/>
      </c>
      <c r="AJA17" s="12">
        <f>ROUND(AIY17*EssentialMix,0)</f>
        <v/>
      </c>
      <c r="AJB17" s="12">
        <f>AIY17-AJA17</f>
        <v/>
      </c>
      <c r="AJC17" s="12">
        <f>ROUND(AIZ17*EssentialMix,0)</f>
        <v/>
      </c>
      <c r="AJD17" s="12">
        <f>AIZ17-AJC17</f>
        <v/>
      </c>
      <c r="AJE17" s="12">
        <f>AJA17+AJA16+AJA15+MAX(0,AJE16-AJA16-AJA15)*(1-AIT17)</f>
        <v/>
      </c>
      <c r="AJF17" s="12">
        <f>AJB17+AJB16+AJB15+MAX(0,AJF16-AJB16-AJB15)*(1-AIT17)</f>
        <v/>
      </c>
      <c r="AJG17" s="12">
        <f>AJG16+AJC17-AJC5*(AnnualChurn*VLOOKUP(AIP17,ChurnSeasonTable,4,FALSE))*POWER(1-(AnnualChurn*VLOOKUP(AIP17,ChurnSeasonTable,4,FALSE)),0)</f>
        <v/>
      </c>
      <c r="AJH17" s="12">
        <f>AJH16+AJD17-AJD5*(AnnualChurn*VLOOKUP(AIP17,ChurnSeasonTable,4,FALSE))*POWER(1-(AnnualChurn*VLOOKUP(AIP17,ChurnSeasonTable,4,FALSE)),0)</f>
        <v/>
      </c>
      <c r="AJI17" s="12">
        <f>AJE17+AJF17+AJG17+AJH17</f>
        <v/>
      </c>
      <c r="AJJ17" s="9">
        <f>AJE17*PriceEssMonthly*AIS17+AJF17*PricePremMonthly*AIS17+AJG17*PriceEssAnnual*AIS17/12+AJH17*PricePremAnnual*AIS17/12</f>
        <v/>
      </c>
      <c r="AJK17" s="9">
        <f>AJJ17*12</f>
        <v/>
      </c>
      <c r="AJL17" s="12">
        <f>AJE17*PriceEssMonthly*AIS17+AJF17*PricePremMonthly*AIS17</f>
        <v/>
      </c>
      <c r="AJM17" s="12">
        <f>AJC17*PriceEssAnnual*AIS17+AJD17*PricePremAnnual*AIS17</f>
        <v/>
      </c>
      <c r="AJN17" s="12">
        <f>AJC5*POWER(1-(AnnualChurn*VLOOKUP(AIP17,ChurnSeasonTable,4,FALSE)),1)*PriceEssAnnual*AIS17+AJD5*POWER(1-(AnnualChurn*VLOOKUP(AIP17,ChurnSeasonTable,4,FALSE)),1)*PricePremAnnual*AIS17</f>
        <v/>
      </c>
      <c r="AJO17" s="9">
        <f>AJL17+AJM17+AJN17</f>
        <v/>
      </c>
      <c r="AJP17" s="12">
        <f>SUM(AJO6:AJO17)</f>
        <v/>
      </c>
      <c r="AJQ17" s="12">
        <f>OR(AJQ16,AJP17&gt;=VATThreshold)</f>
        <v/>
      </c>
      <c r="AJR17" s="9">
        <f>IF(AJQ17,AJO17/(1+VATRate),AJO17)</f>
        <v/>
      </c>
      <c r="AJS17" s="12">
        <f>AJO17-AJR17</f>
        <v/>
      </c>
      <c r="AJT17" s="12">
        <f>IF(AJQ17=0,0,IF(AIP17=1,SUMPRODUCT(--(($AIQ$5:$AIQ17=$AIQ17-1)*($AIP$5:$AIP17&gt;=10)*($AIP$5:$AIP17&lt;=12)),$AJS$5:$AJS17),IF(AIP17=4,SUMPRODUCT(--(($AIQ$5:$AIQ17=$AIQ17)*($AIP$5:$AIP17&gt;=1)*($AIP$5:$AIP17&lt;=3)),$AJS$5:$AJS17),IF(AIP17=7,SUMPRODUCT(--(($AIQ$5:$AIQ17=$AIQ17)*($AIP$5:$AIP17&gt;=4)*($AIP$5:$AIP17&lt;=6)),$AJS$5:$AJS17),IF(AIP17=10,SUMPRODUCT(--(($AIQ$5:$AIQ17=$AIQ17)*($AIP$5:$AIP17&gt;=7)*($AIP$5:$AIP17&lt;=9)),$AJS$5:$AJS17),0)))))</f>
        <v/>
      </c>
      <c r="AJU17" s="12">
        <f>AJU16+AJS17-AJT17</f>
        <v/>
      </c>
      <c r="AJV17" s="12">
        <f>IF(ProviderDelay&gt;=1,AJR16*ProviderShare,AJR17*ProviderShare)</f>
        <v/>
      </c>
      <c r="AJW17" s="12">
        <f>AJO17*PaymentFee</f>
        <v/>
      </c>
      <c r="AJX17" s="12">
        <f>AJI17*OpsAI</f>
        <v/>
      </c>
      <c r="AJY17" s="12">
        <f>MonthlyFixed</f>
        <v/>
      </c>
      <c r="AJZ17" s="12">
        <f>AIW17*ReferralReward</f>
        <v/>
      </c>
      <c r="AKA17" s="12">
        <f>AIU17</f>
        <v/>
      </c>
      <c r="AKB17" s="9">
        <f>AJR17-AJV17-AJW17-AJX17-AJY17-AJZ17-AKA17</f>
        <v/>
      </c>
      <c r="AKC17" s="9">
        <f>AKC16+AJO17-(AJV17+AJW17+AJX17+AJY17+AJZ17+AKA17+AJT17)</f>
        <v/>
      </c>
      <c r="AKD17" s="12">
        <f>IF(AJI17&gt;0,AJJ17/AJI17,0)</f>
        <v/>
      </c>
      <c r="AKE17" s="11">
        <f>IF(AJI16&gt;0,MAX(0,(AJI16+AIX17-AJI17)/AJI16),0)</f>
        <v/>
      </c>
      <c r="AKG17" s="12" t="n">
        <v>13</v>
      </c>
      <c r="AKH17" s="12">
        <f>MOD(AKG17-1+LaunchMonth-1,12)+1</f>
        <v/>
      </c>
      <c r="AKI17" s="12">
        <f>INT((AKG17-1+LaunchMonth-1)/12)+1</f>
        <v/>
      </c>
      <c r="AKJ17" s="12">
        <f>VLOOKUP(AKH17,SeasonTable,2,FALSE)</f>
        <v/>
      </c>
      <c r="AKK17" s="12">
        <f>(1+InflationRate)^INT((AKG17-1)/12)</f>
        <v/>
      </c>
      <c r="AKL17" s="11">
        <f>MonthlyChurn*VLOOKUP(AKH17,ChurnSeasonTable,4,FALSE)</f>
        <v/>
      </c>
      <c r="AKM17" s="12">
        <f>MIN(MAX(MktMin13_18,ALG16*MktPct13_18),MAX(0,ALU16-CashBuffer))</f>
        <v/>
      </c>
      <c r="AKN17" s="12">
        <f>IF(AKM17&gt;0,MAX(1,ROUND(AKM17/'Sens - CAC &amp; Marketing'!$A$12*AKJ17,0)),0)</f>
        <v/>
      </c>
      <c r="AKO17" s="12">
        <f>IF(AKN17&gt;0,ROUND(AKN17*ReferralMix/(1-ReferralMix),0),0)</f>
        <v/>
      </c>
      <c r="AKP17" s="12">
        <f>AKN17+AKO17</f>
        <v/>
      </c>
      <c r="AKQ17" s="12">
        <f>ROUND(AKP17*(1-AnnualMix),0)</f>
        <v/>
      </c>
      <c r="AKR17" s="12">
        <f>AKP17-AKQ17</f>
        <v/>
      </c>
      <c r="AKS17" s="12">
        <f>ROUND(AKQ17*EssentialMix,0)</f>
        <v/>
      </c>
      <c r="AKT17" s="12">
        <f>AKQ17-AKS17</f>
        <v/>
      </c>
      <c r="AKU17" s="12">
        <f>ROUND(AKR17*EssentialMix,0)</f>
        <v/>
      </c>
      <c r="AKV17" s="12">
        <f>AKR17-AKU17</f>
        <v/>
      </c>
      <c r="AKW17" s="12">
        <f>AKS17+AKS16+AKS15+MAX(0,AKW16-AKS16-AKS15)*(1-AKL17)</f>
        <v/>
      </c>
      <c r="AKX17" s="12">
        <f>AKT17+AKT16+AKT15+MAX(0,AKX16-AKT16-AKT15)*(1-AKL17)</f>
        <v/>
      </c>
      <c r="AKY17" s="12">
        <f>AKY16+AKU17-AKU5*(AnnualChurn*VLOOKUP(AKH17,ChurnSeasonTable,4,FALSE))*POWER(1-(AnnualChurn*VLOOKUP(AKH17,ChurnSeasonTable,4,FALSE)),0)</f>
        <v/>
      </c>
      <c r="AKZ17" s="12">
        <f>AKZ16+AKV17-AKV5*(AnnualChurn*VLOOKUP(AKH17,ChurnSeasonTable,4,FALSE))*POWER(1-(AnnualChurn*VLOOKUP(AKH17,ChurnSeasonTable,4,FALSE)),0)</f>
        <v/>
      </c>
      <c r="ALA17" s="12">
        <f>AKW17+AKX17+AKY17+AKZ17</f>
        <v/>
      </c>
      <c r="ALB17" s="9">
        <f>AKW17*PriceEssMonthly*AKK17+AKX17*PricePremMonthly*AKK17+AKY17*PriceEssAnnual*AKK17/12+AKZ17*PricePremAnnual*AKK17/12</f>
        <v/>
      </c>
      <c r="ALC17" s="9">
        <f>ALB17*12</f>
        <v/>
      </c>
      <c r="ALD17" s="12">
        <f>AKW17*PriceEssMonthly*AKK17+AKX17*PricePremMonthly*AKK17</f>
        <v/>
      </c>
      <c r="ALE17" s="12">
        <f>AKU17*PriceEssAnnual*AKK17+AKV17*PricePremAnnual*AKK17</f>
        <v/>
      </c>
      <c r="ALF17" s="12">
        <f>AKU5*POWER(1-(AnnualChurn*VLOOKUP(AKH17,ChurnSeasonTable,4,FALSE)),1)*PriceEssAnnual*AKK17+AKV5*POWER(1-(AnnualChurn*VLOOKUP(AKH17,ChurnSeasonTable,4,FALSE)),1)*PricePremAnnual*AKK17</f>
        <v/>
      </c>
      <c r="ALG17" s="9">
        <f>ALD17+ALE17+ALF17</f>
        <v/>
      </c>
      <c r="ALH17" s="12">
        <f>SUM(ALG6:ALG17)</f>
        <v/>
      </c>
      <c r="ALI17" s="12">
        <f>OR(ALI16,ALH17&gt;=VATThreshold)</f>
        <v/>
      </c>
      <c r="ALJ17" s="9">
        <f>IF(ALI17,ALG17/(1+VATRate),ALG17)</f>
        <v/>
      </c>
      <c r="ALK17" s="12">
        <f>ALG17-ALJ17</f>
        <v/>
      </c>
      <c r="ALL17" s="12">
        <f>IF(ALI17=0,0,IF(AKH17=1,SUMPRODUCT(--(($AKI$5:$AKI17=$AKI17-1)*($AKH$5:$AKH17&gt;=10)*($AKH$5:$AKH17&lt;=12)),$ALK$5:$ALK17),IF(AKH17=4,SUMPRODUCT(--(($AKI$5:$AKI17=$AKI17)*($AKH$5:$AKH17&gt;=1)*($AKH$5:$AKH17&lt;=3)),$ALK$5:$ALK17),IF(AKH17=7,SUMPRODUCT(--(($AKI$5:$AKI17=$AKI17)*($AKH$5:$AKH17&gt;=4)*($AKH$5:$AKH17&lt;=6)),$ALK$5:$ALK17),IF(AKH17=10,SUMPRODUCT(--(($AKI$5:$AKI17=$AKI17)*($AKH$5:$AKH17&gt;=7)*($AKH$5:$AKH17&lt;=9)),$ALK$5:$ALK17),0)))))</f>
        <v/>
      </c>
      <c r="ALM17" s="12">
        <f>ALM16+ALK17-ALL17</f>
        <v/>
      </c>
      <c r="ALN17" s="12">
        <f>IF(ProviderDelay&gt;=1,ALJ16*ProviderShare,ALJ17*ProviderShare)</f>
        <v/>
      </c>
      <c r="ALO17" s="12">
        <f>ALG17*PaymentFee</f>
        <v/>
      </c>
      <c r="ALP17" s="12">
        <f>ALA17*OpsAI</f>
        <v/>
      </c>
      <c r="ALQ17" s="12">
        <f>MonthlyFixed</f>
        <v/>
      </c>
      <c r="ALR17" s="12">
        <f>AKO17*ReferralReward</f>
        <v/>
      </c>
      <c r="ALS17" s="12">
        <f>AKM17</f>
        <v/>
      </c>
      <c r="ALT17" s="9">
        <f>ALJ17-ALN17-ALO17-ALP17-ALQ17-ALR17-ALS17</f>
        <v/>
      </c>
      <c r="ALU17" s="9">
        <f>ALU16+ALG17-(ALN17+ALO17+ALP17+ALQ17+ALR17+ALS17+ALL17)</f>
        <v/>
      </c>
      <c r="ALV17" s="12">
        <f>IF(ALA17&gt;0,ALB17/ALA17,0)</f>
        <v/>
      </c>
      <c r="ALW17" s="11">
        <f>IF(ALA16&gt;0,MAX(0,(ALA16+AKP17-ALA17)/ALA16),0)</f>
        <v/>
      </c>
      <c r="ALY17" s="12" t="n">
        <v>13</v>
      </c>
      <c r="ALZ17" s="12">
        <f>MOD(ALY17-1+LaunchMonth-1,12)+1</f>
        <v/>
      </c>
      <c r="AMA17" s="12">
        <f>INT((ALY17-1+LaunchMonth-1)/12)+1</f>
        <v/>
      </c>
      <c r="AMB17" s="12">
        <f>VLOOKUP(ALZ17,SeasonTable,2,FALSE)</f>
        <v/>
      </c>
      <c r="AMC17" s="12">
        <f>(1+InflationRate)^INT((ALY17-1)/12)</f>
        <v/>
      </c>
      <c r="AMD17" s="11">
        <f>MonthlyChurn*VLOOKUP(ALZ17,ChurnSeasonTable,4,FALSE)</f>
        <v/>
      </c>
      <c r="AME17" s="12">
        <f>MIN(MAX(MktMin13_18,AMY16*MktPct13_18),MAX(0,ANM16-CashBuffer))</f>
        <v/>
      </c>
      <c r="AMF17" s="12">
        <f>IF(AME17&gt;0,MAX(1,ROUND(AME17/'Sens - CAC &amp; Marketing'!$A$13*AMB17,0)),0)</f>
        <v/>
      </c>
      <c r="AMG17" s="12">
        <f>IF(AMF17&gt;0,ROUND(AMF17*ReferralMix/(1-ReferralMix),0),0)</f>
        <v/>
      </c>
      <c r="AMH17" s="12">
        <f>AMF17+AMG17</f>
        <v/>
      </c>
      <c r="AMI17" s="12">
        <f>ROUND(AMH17*(1-AnnualMix),0)</f>
        <v/>
      </c>
      <c r="AMJ17" s="12">
        <f>AMH17-AMI17</f>
        <v/>
      </c>
      <c r="AMK17" s="12">
        <f>ROUND(AMI17*EssentialMix,0)</f>
        <v/>
      </c>
      <c r="AML17" s="12">
        <f>AMI17-AMK17</f>
        <v/>
      </c>
      <c r="AMM17" s="12">
        <f>ROUND(AMJ17*EssentialMix,0)</f>
        <v/>
      </c>
      <c r="AMN17" s="12">
        <f>AMJ17-AMM17</f>
        <v/>
      </c>
      <c r="AMO17" s="12">
        <f>AMK17+AMK16+AMK15+MAX(0,AMO16-AMK16-AMK15)*(1-AMD17)</f>
        <v/>
      </c>
      <c r="AMP17" s="12">
        <f>AML17+AML16+AML15+MAX(0,AMP16-AML16-AML15)*(1-AMD17)</f>
        <v/>
      </c>
      <c r="AMQ17" s="12">
        <f>AMQ16+AMM17-AMM5*(AnnualChurn*VLOOKUP(ALZ17,ChurnSeasonTable,4,FALSE))*POWER(1-(AnnualChurn*VLOOKUP(ALZ17,ChurnSeasonTable,4,FALSE)),0)</f>
        <v/>
      </c>
      <c r="AMR17" s="12">
        <f>AMR16+AMN17-AMN5*(AnnualChurn*VLOOKUP(ALZ17,ChurnSeasonTable,4,FALSE))*POWER(1-(AnnualChurn*VLOOKUP(ALZ17,ChurnSeasonTable,4,FALSE)),0)</f>
        <v/>
      </c>
      <c r="AMS17" s="12">
        <f>AMO17+AMP17+AMQ17+AMR17</f>
        <v/>
      </c>
      <c r="AMT17" s="9">
        <f>AMO17*PriceEssMonthly*AMC17+AMP17*PricePremMonthly*AMC17+AMQ17*PriceEssAnnual*AMC17/12+AMR17*PricePremAnnual*AMC17/12</f>
        <v/>
      </c>
      <c r="AMU17" s="9">
        <f>AMT17*12</f>
        <v/>
      </c>
      <c r="AMV17" s="12">
        <f>AMO17*PriceEssMonthly*AMC17+AMP17*PricePremMonthly*AMC17</f>
        <v/>
      </c>
      <c r="AMW17" s="12">
        <f>AMM17*PriceEssAnnual*AMC17+AMN17*PricePremAnnual*AMC17</f>
        <v/>
      </c>
      <c r="AMX17" s="12">
        <f>AMM5*POWER(1-(AnnualChurn*VLOOKUP(ALZ17,ChurnSeasonTable,4,FALSE)),1)*PriceEssAnnual*AMC17+AMN5*POWER(1-(AnnualChurn*VLOOKUP(ALZ17,ChurnSeasonTable,4,FALSE)),1)*PricePremAnnual*AMC17</f>
        <v/>
      </c>
      <c r="AMY17" s="9">
        <f>AMV17+AMW17+AMX17</f>
        <v/>
      </c>
      <c r="AMZ17" s="12">
        <f>SUM(AMY6:AMY17)</f>
        <v/>
      </c>
      <c r="ANA17" s="12">
        <f>OR(ANA16,AMZ17&gt;=VATThreshold)</f>
        <v/>
      </c>
      <c r="ANB17" s="9">
        <f>IF(ANA17,AMY17/(1+VATRate),AMY17)</f>
        <v/>
      </c>
      <c r="ANC17" s="12">
        <f>AMY17-ANB17</f>
        <v/>
      </c>
      <c r="AND17" s="12">
        <f>IF(ANA17=0,0,IF(ALZ17=1,SUMPRODUCT(--(($AMA$5:$AMA17=$AMA17-1)*($ALZ$5:$ALZ17&gt;=10)*($ALZ$5:$ALZ17&lt;=12)),$ANC$5:$ANC17),IF(ALZ17=4,SUMPRODUCT(--(($AMA$5:$AMA17=$AMA17)*($ALZ$5:$ALZ17&gt;=1)*($ALZ$5:$ALZ17&lt;=3)),$ANC$5:$ANC17),IF(ALZ17=7,SUMPRODUCT(--(($AMA$5:$AMA17=$AMA17)*($ALZ$5:$ALZ17&gt;=4)*($ALZ$5:$ALZ17&lt;=6)),$ANC$5:$ANC17),IF(ALZ17=10,SUMPRODUCT(--(($AMA$5:$AMA17=$AMA17)*($ALZ$5:$ALZ17&gt;=7)*($ALZ$5:$ALZ17&lt;=9)),$ANC$5:$ANC17),0)))))</f>
        <v/>
      </c>
      <c r="ANE17" s="12">
        <f>ANE16+ANC17-AND17</f>
        <v/>
      </c>
      <c r="ANF17" s="12">
        <f>IF(ProviderDelay&gt;=1,ANB16*ProviderShare,ANB17*ProviderShare)</f>
        <v/>
      </c>
      <c r="ANG17" s="12">
        <f>AMY17*PaymentFee</f>
        <v/>
      </c>
      <c r="ANH17" s="12">
        <f>AMS17*OpsAI</f>
        <v/>
      </c>
      <c r="ANI17" s="12">
        <f>MonthlyFixed</f>
        <v/>
      </c>
      <c r="ANJ17" s="12">
        <f>AMG17*ReferralReward</f>
        <v/>
      </c>
      <c r="ANK17" s="12">
        <f>AME17</f>
        <v/>
      </c>
      <c r="ANL17" s="9">
        <f>ANB17-ANF17-ANG17-ANH17-ANI17-ANJ17-ANK17</f>
        <v/>
      </c>
      <c r="ANM17" s="9">
        <f>ANM16+AMY17-(ANF17+ANG17+ANH17+ANI17+ANJ17+ANK17+AND17)</f>
        <v/>
      </c>
      <c r="ANN17" s="12">
        <f>IF(AMS17&gt;0,AMT17/AMS17,0)</f>
        <v/>
      </c>
      <c r="ANO17" s="11">
        <f>IF(AMS16&gt;0,MAX(0,(AMS16+AMH17-AMS17)/AMS16),0)</f>
        <v/>
      </c>
      <c r="ANQ17" s="12" t="n">
        <v>13</v>
      </c>
      <c r="ANR17" s="12">
        <f>MOD(ANQ17-1+LaunchMonth-1,12)+1</f>
        <v/>
      </c>
      <c r="ANS17" s="12">
        <f>INT((ANQ17-1+LaunchMonth-1)/12)+1</f>
        <v/>
      </c>
      <c r="ANT17" s="12">
        <f>VLOOKUP(ANR17,SeasonTable,2,FALSE)</f>
        <v/>
      </c>
      <c r="ANU17" s="12">
        <f>(1+InflationRate)^INT((ANQ17-1)/12)</f>
        <v/>
      </c>
      <c r="ANV17" s="11">
        <f>MonthlyChurn*VLOOKUP(ANR17,ChurnSeasonTable,4,FALSE)</f>
        <v/>
      </c>
      <c r="ANW17" s="12">
        <f>MIN(MAX(MktMin13_18,AOQ16*MktPct13_18),MAX(0,APE16-CashBuffer))</f>
        <v/>
      </c>
      <c r="ANX17" s="12">
        <f>IF(ANW17&gt;0,MAX(1,ROUND(ANW17/'Sens - CAC &amp; Marketing'!$A$14*ANT17,0)),0)</f>
        <v/>
      </c>
      <c r="ANY17" s="12">
        <f>IF(ANX17&gt;0,ROUND(ANX17*ReferralMix/(1-ReferralMix),0),0)</f>
        <v/>
      </c>
      <c r="ANZ17" s="12">
        <f>ANX17+ANY17</f>
        <v/>
      </c>
      <c r="AOA17" s="12">
        <f>ROUND(ANZ17*(1-AnnualMix),0)</f>
        <v/>
      </c>
      <c r="AOB17" s="12">
        <f>ANZ17-AOA17</f>
        <v/>
      </c>
      <c r="AOC17" s="12">
        <f>ROUND(AOA17*EssentialMix,0)</f>
        <v/>
      </c>
      <c r="AOD17" s="12">
        <f>AOA17-AOC17</f>
        <v/>
      </c>
      <c r="AOE17" s="12">
        <f>ROUND(AOB17*EssentialMix,0)</f>
        <v/>
      </c>
      <c r="AOF17" s="12">
        <f>AOB17-AOE17</f>
        <v/>
      </c>
      <c r="AOG17" s="12">
        <f>AOC17+AOC16+AOC15+MAX(0,AOG16-AOC16-AOC15)*(1-ANV17)</f>
        <v/>
      </c>
      <c r="AOH17" s="12">
        <f>AOD17+AOD16+AOD15+MAX(0,AOH16-AOD16-AOD15)*(1-ANV17)</f>
        <v/>
      </c>
      <c r="AOI17" s="12">
        <f>AOI16+AOE17-AOE5*(AnnualChurn*VLOOKUP(ANR17,ChurnSeasonTable,4,FALSE))*POWER(1-(AnnualChurn*VLOOKUP(ANR17,ChurnSeasonTable,4,FALSE)),0)</f>
        <v/>
      </c>
      <c r="AOJ17" s="12">
        <f>AOJ16+AOF17-AOF5*(AnnualChurn*VLOOKUP(ANR17,ChurnSeasonTable,4,FALSE))*POWER(1-(AnnualChurn*VLOOKUP(ANR17,ChurnSeasonTable,4,FALSE)),0)</f>
        <v/>
      </c>
      <c r="AOK17" s="12">
        <f>AOG17+AOH17+AOI17+AOJ17</f>
        <v/>
      </c>
      <c r="AOL17" s="9">
        <f>AOG17*PriceEssMonthly*ANU17+AOH17*PricePremMonthly*ANU17+AOI17*PriceEssAnnual*ANU17/12+AOJ17*PricePremAnnual*ANU17/12</f>
        <v/>
      </c>
      <c r="AOM17" s="9">
        <f>AOL17*12</f>
        <v/>
      </c>
      <c r="AON17" s="12">
        <f>AOG17*PriceEssMonthly*ANU17+AOH17*PricePremMonthly*ANU17</f>
        <v/>
      </c>
      <c r="AOO17" s="12">
        <f>AOE17*PriceEssAnnual*ANU17+AOF17*PricePremAnnual*ANU17</f>
        <v/>
      </c>
      <c r="AOP17" s="12">
        <f>AOE5*POWER(1-(AnnualChurn*VLOOKUP(ANR17,ChurnSeasonTable,4,FALSE)),1)*PriceEssAnnual*ANU17+AOF5*POWER(1-(AnnualChurn*VLOOKUP(ANR17,ChurnSeasonTable,4,FALSE)),1)*PricePremAnnual*ANU17</f>
        <v/>
      </c>
      <c r="AOQ17" s="9">
        <f>AON17+AOO17+AOP17</f>
        <v/>
      </c>
      <c r="AOR17" s="12">
        <f>SUM(AOQ6:AOQ17)</f>
        <v/>
      </c>
      <c r="AOS17" s="12">
        <f>OR(AOS16,AOR17&gt;=VATThreshold)</f>
        <v/>
      </c>
      <c r="AOT17" s="9">
        <f>IF(AOS17,AOQ17/(1+VATRate),AOQ17)</f>
        <v/>
      </c>
      <c r="AOU17" s="12">
        <f>AOQ17-AOT17</f>
        <v/>
      </c>
      <c r="AOV17" s="12">
        <f>IF(AOS17=0,0,IF(ANR17=1,SUMPRODUCT(--(($ANS$5:$ANS17=$ANS17-1)*($ANR$5:$ANR17&gt;=10)*($ANR$5:$ANR17&lt;=12)),$AOU$5:$AOU17),IF(ANR17=4,SUMPRODUCT(--(($ANS$5:$ANS17=$ANS17)*($ANR$5:$ANR17&gt;=1)*($ANR$5:$ANR17&lt;=3)),$AOU$5:$AOU17),IF(ANR17=7,SUMPRODUCT(--(($ANS$5:$ANS17=$ANS17)*($ANR$5:$ANR17&gt;=4)*($ANR$5:$ANR17&lt;=6)),$AOU$5:$AOU17),IF(ANR17=10,SUMPRODUCT(--(($ANS$5:$ANS17=$ANS17)*($ANR$5:$ANR17&gt;=7)*($ANR$5:$ANR17&lt;=9)),$AOU$5:$AOU17),0)))))</f>
        <v/>
      </c>
      <c r="AOW17" s="12">
        <f>AOW16+AOU17-AOV17</f>
        <v/>
      </c>
      <c r="AOX17" s="12">
        <f>IF(ProviderDelay&gt;=1,AOT16*ProviderShare,AOT17*ProviderShare)</f>
        <v/>
      </c>
      <c r="AOY17" s="12">
        <f>AOQ17*PaymentFee</f>
        <v/>
      </c>
      <c r="AOZ17" s="12">
        <f>AOK17*OpsAI</f>
        <v/>
      </c>
      <c r="APA17" s="12">
        <f>MonthlyFixed</f>
        <v/>
      </c>
      <c r="APB17" s="12">
        <f>ANY17*ReferralReward</f>
        <v/>
      </c>
      <c r="APC17" s="12">
        <f>ANW17</f>
        <v/>
      </c>
      <c r="APD17" s="9">
        <f>AOT17-AOX17-AOY17-AOZ17-APA17-APB17-APC17</f>
        <v/>
      </c>
      <c r="APE17" s="9">
        <f>APE16+AOQ17-(AOX17+AOY17+AOZ17+APA17+APB17+APC17+AOV17)</f>
        <v/>
      </c>
      <c r="APF17" s="12">
        <f>IF(AOK17&gt;0,AOL17/AOK17,0)</f>
        <v/>
      </c>
      <c r="APG17" s="11">
        <f>IF(AOK16&gt;0,MAX(0,(AOK16+ANZ17-AOK17)/AOK16),0)</f>
        <v/>
      </c>
      <c r="API17" s="12" t="n">
        <v>13</v>
      </c>
      <c r="APJ17" s="12">
        <f>MOD(API17-1+LaunchMonth-1,12)+1</f>
        <v/>
      </c>
      <c r="APK17" s="12">
        <f>INT((API17-1+LaunchMonth-1)/12)+1</f>
        <v/>
      </c>
      <c r="APL17" s="12">
        <f>VLOOKUP(APJ17,SeasonTable,2,FALSE)</f>
        <v/>
      </c>
      <c r="APM17" s="12">
        <f>(1+InflationRate)^INT((API17-1)/12)</f>
        <v/>
      </c>
      <c r="APN17" s="11">
        <f>MonthlyChurn*VLOOKUP(APJ17,ChurnSeasonTable,4,FALSE)</f>
        <v/>
      </c>
      <c r="APO17" s="12">
        <f>MIN(MAX(MktMin13_18,AQI16*MktPct13_18),MAX(0,AQW16-CashBuffer))</f>
        <v/>
      </c>
      <c r="APP17" s="12">
        <f>IF(APO17&gt;0,MAX(1,ROUND(APO17/'Sens - CAC &amp; Marketing'!$A$15*APL17,0)),0)</f>
        <v/>
      </c>
      <c r="APQ17" s="12">
        <f>IF(APP17&gt;0,ROUND(APP17*ReferralMix/(1-ReferralMix),0),0)</f>
        <v/>
      </c>
      <c r="APR17" s="12">
        <f>APP17+APQ17</f>
        <v/>
      </c>
      <c r="APS17" s="12">
        <f>ROUND(APR17*(1-AnnualMix),0)</f>
        <v/>
      </c>
      <c r="APT17" s="12">
        <f>APR17-APS17</f>
        <v/>
      </c>
      <c r="APU17" s="12">
        <f>ROUND(APS17*EssentialMix,0)</f>
        <v/>
      </c>
      <c r="APV17" s="12">
        <f>APS17-APU17</f>
        <v/>
      </c>
      <c r="APW17" s="12">
        <f>ROUND(APT17*EssentialMix,0)</f>
        <v/>
      </c>
      <c r="APX17" s="12">
        <f>APT17-APW17</f>
        <v/>
      </c>
      <c r="APY17" s="12">
        <f>APU17+APU16+APU15+MAX(0,APY16-APU16-APU15)*(1-APN17)</f>
        <v/>
      </c>
      <c r="APZ17" s="12">
        <f>APV17+APV16+APV15+MAX(0,APZ16-APV16-APV15)*(1-APN17)</f>
        <v/>
      </c>
      <c r="AQA17" s="12">
        <f>AQA16+APW17-APW5*(AnnualChurn*VLOOKUP(APJ17,ChurnSeasonTable,4,FALSE))*POWER(1-(AnnualChurn*VLOOKUP(APJ17,ChurnSeasonTable,4,FALSE)),0)</f>
        <v/>
      </c>
      <c r="AQB17" s="12">
        <f>AQB16+APX17-APX5*(AnnualChurn*VLOOKUP(APJ17,ChurnSeasonTable,4,FALSE))*POWER(1-(AnnualChurn*VLOOKUP(APJ17,ChurnSeasonTable,4,FALSE)),0)</f>
        <v/>
      </c>
      <c r="AQC17" s="12">
        <f>APY17+APZ17+AQA17+AQB17</f>
        <v/>
      </c>
      <c r="AQD17" s="9">
        <f>APY17*PriceEssMonthly*APM17+APZ17*PricePremMonthly*APM17+AQA17*PriceEssAnnual*APM17/12+AQB17*PricePremAnnual*APM17/12</f>
        <v/>
      </c>
      <c r="AQE17" s="9">
        <f>AQD17*12</f>
        <v/>
      </c>
      <c r="AQF17" s="12">
        <f>APY17*PriceEssMonthly*APM17+APZ17*PricePremMonthly*APM17</f>
        <v/>
      </c>
      <c r="AQG17" s="12">
        <f>APW17*PriceEssAnnual*APM17+APX17*PricePremAnnual*APM17</f>
        <v/>
      </c>
      <c r="AQH17" s="12">
        <f>APW5*POWER(1-(AnnualChurn*VLOOKUP(APJ17,ChurnSeasonTable,4,FALSE)),1)*PriceEssAnnual*APM17+APX5*POWER(1-(AnnualChurn*VLOOKUP(APJ17,ChurnSeasonTable,4,FALSE)),1)*PricePremAnnual*APM17</f>
        <v/>
      </c>
      <c r="AQI17" s="9">
        <f>AQF17+AQG17+AQH17</f>
        <v/>
      </c>
      <c r="AQJ17" s="12">
        <f>SUM(AQI6:AQI17)</f>
        <v/>
      </c>
      <c r="AQK17" s="12">
        <f>OR(AQK16,AQJ17&gt;=VATThreshold)</f>
        <v/>
      </c>
      <c r="AQL17" s="9">
        <f>IF(AQK17,AQI17/(1+VATRate),AQI17)</f>
        <v/>
      </c>
      <c r="AQM17" s="12">
        <f>AQI17-AQL17</f>
        <v/>
      </c>
      <c r="AQN17" s="12">
        <f>IF(AQK17=0,0,IF(APJ17=1,SUMPRODUCT(--(($APK$5:$APK17=$APK17-1)*($APJ$5:$APJ17&gt;=10)*($APJ$5:$APJ17&lt;=12)),$AQM$5:$AQM17),IF(APJ17=4,SUMPRODUCT(--(($APK$5:$APK17=$APK17)*($APJ$5:$APJ17&gt;=1)*($APJ$5:$APJ17&lt;=3)),$AQM$5:$AQM17),IF(APJ17=7,SUMPRODUCT(--(($APK$5:$APK17=$APK17)*($APJ$5:$APJ17&gt;=4)*($APJ$5:$APJ17&lt;=6)),$AQM$5:$AQM17),IF(APJ17=10,SUMPRODUCT(--(($APK$5:$APK17=$APK17)*($APJ$5:$APJ17&gt;=7)*($APJ$5:$APJ17&lt;=9)),$AQM$5:$AQM17),0)))))</f>
        <v/>
      </c>
      <c r="AQO17" s="12">
        <f>AQO16+AQM17-AQN17</f>
        <v/>
      </c>
      <c r="AQP17" s="12">
        <f>IF(ProviderDelay&gt;=1,AQL16*ProviderShare,AQL17*ProviderShare)</f>
        <v/>
      </c>
      <c r="AQQ17" s="12">
        <f>AQI17*PaymentFee</f>
        <v/>
      </c>
      <c r="AQR17" s="12">
        <f>AQC17*OpsAI</f>
        <v/>
      </c>
      <c r="AQS17" s="12">
        <f>MonthlyFixed</f>
        <v/>
      </c>
      <c r="AQT17" s="12">
        <f>APQ17*ReferralReward</f>
        <v/>
      </c>
      <c r="AQU17" s="12">
        <f>APO17</f>
        <v/>
      </c>
      <c r="AQV17" s="9">
        <f>AQL17-AQP17-AQQ17-AQR17-AQS17-AQT17-AQU17</f>
        <v/>
      </c>
      <c r="AQW17" s="9">
        <f>AQW16+AQI17-(AQP17+AQQ17+AQR17+AQS17+AQT17+AQU17+AQN17)</f>
        <v/>
      </c>
      <c r="AQX17" s="12">
        <f>IF(AQC17&gt;0,AQD17/AQC17,0)</f>
        <v/>
      </c>
      <c r="AQY17" s="11">
        <f>IF(AQC16&gt;0,MAX(0,(AQC16+APR17-AQC17)/AQC16),0)</f>
        <v/>
      </c>
      <c r="ARA17" s="12" t="n">
        <v>13</v>
      </c>
      <c r="ARB17" s="12">
        <f>MOD(ARA17-1+LaunchMonth-1,12)+1</f>
        <v/>
      </c>
      <c r="ARC17" s="12">
        <f>INT((ARA17-1+LaunchMonth-1)/12)+1</f>
        <v/>
      </c>
      <c r="ARD17" s="12">
        <f>VLOOKUP(ARB17,WinterPivotSeasonTable,5,FALSE)</f>
        <v/>
      </c>
      <c r="ARE17" s="12">
        <f>(1+InflationRate)^INT((ARA17-1)/12)</f>
        <v/>
      </c>
      <c r="ARF17" s="11">
        <f>MonthlyChurn*VLOOKUP(ARB17,WinterPivotChurnTable,6,FALSE)</f>
        <v/>
      </c>
      <c r="ARG17" s="12">
        <f>MIN(MAX(MktMin13_18,ASA16*MktPct13_18),MAX(0,ASO16-CashBuffer))</f>
        <v/>
      </c>
      <c r="ARH17" s="12">
        <f>IF(ARG17&gt;0,MAX(1,ROUND(ARG17/CAC*ARD17,0)),0)</f>
        <v/>
      </c>
      <c r="ARI17" s="12">
        <f>IF(ARH17&gt;0,ROUND(ARH17*ReferralMix/(1-ReferralMix),0),0)</f>
        <v/>
      </c>
      <c r="ARJ17" s="12">
        <f>ARH17+ARI17</f>
        <v/>
      </c>
      <c r="ARK17" s="12">
        <f>ROUND(ARJ17*(1-AnnualMix),0)</f>
        <v/>
      </c>
      <c r="ARL17" s="12">
        <f>ARJ17-ARK17</f>
        <v/>
      </c>
      <c r="ARM17" s="12">
        <f>ROUND(ARK17*'Sens - Winter Pivot'!$B$6,0)</f>
        <v/>
      </c>
      <c r="ARN17" s="12">
        <f>ARK17-ARM17</f>
        <v/>
      </c>
      <c r="ARO17" s="12">
        <f>ROUND(ARL17*'Sens - Winter Pivot'!$B$6,0)</f>
        <v/>
      </c>
      <c r="ARP17" s="12">
        <f>ARL17-ARO17</f>
        <v/>
      </c>
      <c r="ARQ17" s="12">
        <f>ARM17+ARM16+ARM15+MAX(0,ARQ16-ARM16-ARM15)*(1-ARF17)</f>
        <v/>
      </c>
      <c r="ARR17" s="12">
        <f>ARN17+ARN16+ARN15+MAX(0,ARR16-ARN16-ARN15)*(1-ARF17)</f>
        <v/>
      </c>
      <c r="ARS17" s="12">
        <f>ARS16+ARO17-ARO5*(AnnualChurn*VLOOKUP(ARB17,WinterPivotChurnTable,6,FALSE))*POWER(1-(AnnualChurn*VLOOKUP(ARB17,WinterPivotChurnTable,6,FALSE)),0)</f>
        <v/>
      </c>
      <c r="ART17" s="12">
        <f>ART16+ARP17-ARP5*(AnnualChurn*VLOOKUP(ARB17,WinterPivotChurnTable,6,FALSE))*POWER(1-(AnnualChurn*VLOOKUP(ARB17,WinterPivotChurnTable,6,FALSE)),0)</f>
        <v/>
      </c>
      <c r="ARU17" s="12">
        <f>ARQ17+ARR17+ARS17+ART17</f>
        <v/>
      </c>
      <c r="ARV17" s="9">
        <f>ARQ17*PriceEssMonthly*ARE17+ARR17*(PricePremMonthly+'Sens - Winter Pivot'!$B$7)*ARE17+ARS17*PriceEssAnnual*ARE17/12+ART17*(PricePremAnnual+'Sens - Winter Pivot'!$B$7*12)*ARE17/12</f>
        <v/>
      </c>
      <c r="ARW17" s="9">
        <f>ARV17*12</f>
        <v/>
      </c>
      <c r="ARX17" s="12">
        <f>ARQ17*PriceEssMonthly*ARE17+ARR17*(PricePremMonthly+'Sens - Winter Pivot'!$B$7)*ARE17</f>
        <v/>
      </c>
      <c r="ARY17" s="12">
        <f>ARO17*PriceEssAnnual*ARE17+ARP17*(PricePremAnnual+'Sens - Winter Pivot'!$B$7*12)*ARE17</f>
        <v/>
      </c>
      <c r="ARZ17" s="12">
        <f>ARO5*POWER(1-(AnnualChurn*VLOOKUP(ARB17,WinterPivotChurnTable,6,FALSE)),1)*PriceEssAnnual*ARE17+ARP5*POWER(1-(AnnualChurn*VLOOKUP(ARB17,WinterPivotChurnTable,6,FALSE)),1)*PricePremAnnual*ARE17</f>
        <v/>
      </c>
      <c r="ASA17" s="9">
        <f>ARX17+ARY17+ARZ17</f>
        <v/>
      </c>
      <c r="ASB17" s="12">
        <f>SUM(ASA6:ASA17)</f>
        <v/>
      </c>
      <c r="ASC17" s="12">
        <f>OR(ASC16,ASB17&gt;=VATThreshold)</f>
        <v/>
      </c>
      <c r="ASD17" s="9">
        <f>IF(ASC17,ASA17/(1+VATRate),ASA17)</f>
        <v/>
      </c>
      <c r="ASE17" s="12">
        <f>ASA17-ASD17</f>
        <v/>
      </c>
      <c r="ASF17" s="12">
        <f>IF(ASC17=0,0,IF(ARB17=1,SUMPRODUCT(--(($ARC$5:$ARC17=$ARC17-1)*($ARB$5:$ARB17&gt;=10)*($ARB$5:$ARB17&lt;=12)),$ASE$5:$ASE17),IF(ARB17=4,SUMPRODUCT(--(($ARC$5:$ARC17=$ARC17)*($ARB$5:$ARB17&gt;=1)*($ARB$5:$ARB17&lt;=3)),$ASE$5:$ASE17),IF(ARB17=7,SUMPRODUCT(--(($ARC$5:$ARC17=$ARC17)*($ARB$5:$ARB17&gt;=4)*($ARB$5:$ARB17&lt;=6)),$ASE$5:$ASE17),IF(ARB17=10,SUMPRODUCT(--(($ARC$5:$ARC17=$ARC17)*($ARB$5:$ARB17&gt;=7)*($ARB$5:$ARB17&lt;=9)),$ASE$5:$ASE17),0)))))</f>
        <v/>
      </c>
      <c r="ASG17" s="12">
        <f>ASG16+ASE17-ASF17</f>
        <v/>
      </c>
      <c r="ASH17" s="12">
        <f>IF(ProviderDelay&gt;=1,ASD16*ProviderShare,ASD17*ProviderShare)</f>
        <v/>
      </c>
      <c r="ASI17" s="12">
        <f>ASA17*PaymentFee</f>
        <v/>
      </c>
      <c r="ASJ17" s="12">
        <f>ARU17*OpsAI</f>
        <v/>
      </c>
      <c r="ASK17" s="12">
        <f>MonthlyFixed</f>
        <v/>
      </c>
      <c r="ASL17" s="12">
        <f>ARI17*ReferralReward</f>
        <v/>
      </c>
      <c r="ASM17" s="12">
        <f>ARG17</f>
        <v/>
      </c>
      <c r="ASN17" s="9">
        <f>ASD17-ASH17-ASI17-ASJ17-ASK17-ASL17-ASM17</f>
        <v/>
      </c>
      <c r="ASO17" s="9">
        <f>ASO16+ASA17-(ASH17+ASI17+ASJ17+ASK17+ASL17+ASM17+ASF17)</f>
        <v/>
      </c>
      <c r="ASP17" s="12">
        <f>IF(ARU17&gt;0,ARV17/ARU17,0)</f>
        <v/>
      </c>
      <c r="ASQ17" s="11">
        <f>IF(ARU16&gt;0,MAX(0,(ARU16+ARJ17-ARU17)/ARU16),0)</f>
        <v/>
      </c>
    </row>
    <row r="18">
      <c r="A18" s="12" t="n">
        <v>14</v>
      </c>
      <c r="B18" s="12">
        <f>MOD(A18-1+LaunchMonth-1,12)+1</f>
        <v/>
      </c>
      <c r="C18" s="12">
        <f>INT((A18-1+LaunchMonth-1)/12)+1</f>
        <v/>
      </c>
      <c r="D18" s="12">
        <f>VLOOKUP(B18,SeasonTable,2,FALSE)</f>
        <v/>
      </c>
      <c r="E18" s="12">
        <f>(1+InflationRate)^INT((A18-1)/12)</f>
        <v/>
      </c>
      <c r="F18" s="11">
        <f>'Sens - Scenarios'!$B$5*VLOOKUP(B18,ChurnSeasonTable,4,FALSE)</f>
        <v/>
      </c>
      <c r="G18" s="12">
        <f>MIN(MAX(MktMin13_18,AA17*MktPct13_18),MAX(0,AO17-CashBuffer))</f>
        <v/>
      </c>
      <c r="H18" s="12">
        <f>IF(G18&gt;0,MAX(1,ROUND(G18/'Sens - Scenarios'!$B$8*D18,0)),0)</f>
        <v/>
      </c>
      <c r="I18" s="12">
        <f>IF(H18&gt;0,ROUND(H18*ReferralMix/(1-ReferralMix),0),0)</f>
        <v/>
      </c>
      <c r="J18" s="12">
        <f>H18+I18</f>
        <v/>
      </c>
      <c r="K18" s="12">
        <f>ROUND(J18*(1-'Sens - Scenarios'!$B$7),0)</f>
        <v/>
      </c>
      <c r="L18" s="12">
        <f>J18-K18</f>
        <v/>
      </c>
      <c r="M18" s="12">
        <f>ROUND(K18*EssentialMix,0)</f>
        <v/>
      </c>
      <c r="N18" s="12">
        <f>K18-M18</f>
        <v/>
      </c>
      <c r="O18" s="12">
        <f>ROUND(L18*EssentialMix,0)</f>
        <v/>
      </c>
      <c r="P18" s="12">
        <f>L18-O18</f>
        <v/>
      </c>
      <c r="Q18" s="12">
        <f>M18+M17+M16+MAX(0,Q17-M17-M16)*(1-F18)</f>
        <v/>
      </c>
      <c r="R18" s="12">
        <f>N18+N17+N16+MAX(0,R17-N17-N16)*(1-F18)</f>
        <v/>
      </c>
      <c r="S18" s="12">
        <f>S17+O18-O6*('Sens - Scenarios'!$B$6*VLOOKUP(B18,ChurnSeasonTable,4,FALSE))*POWER(1-('Sens - Scenarios'!$B$6*VLOOKUP(B18,ChurnSeasonTable,4,FALSE)),0)</f>
        <v/>
      </c>
      <c r="T18" s="12">
        <f>T17+P18-P6*('Sens - Scenarios'!$B$6*VLOOKUP(B18,ChurnSeasonTable,4,FALSE))*POWER(1-('Sens - Scenarios'!$B$6*VLOOKUP(B18,ChurnSeasonTable,4,FALSE)),0)</f>
        <v/>
      </c>
      <c r="U18" s="12">
        <f>Q18+R18+S18+T18</f>
        <v/>
      </c>
      <c r="V18" s="9">
        <f>Q18*PriceEssMonthly*E18+R18*PricePremMonthly*E18+S18*PriceEssAnnual*E18/12+T18*PricePremAnnual*E18/12</f>
        <v/>
      </c>
      <c r="W18" s="9">
        <f>V18*12</f>
        <v/>
      </c>
      <c r="X18" s="12">
        <f>Q18*PriceEssMonthly*E18+R18*PricePremMonthly*E18</f>
        <v/>
      </c>
      <c r="Y18" s="12">
        <f>O18*PriceEssAnnual*E18+P18*PricePremAnnual*E18</f>
        <v/>
      </c>
      <c r="Z18" s="12">
        <f>O6*POWER(1-('Sens - Scenarios'!$B$6*VLOOKUP(B18,ChurnSeasonTable,4,FALSE)),1)*PriceEssAnnual*E18+P6*POWER(1-('Sens - Scenarios'!$B$6*VLOOKUP(B18,ChurnSeasonTable,4,FALSE)),1)*PricePremAnnual*E18</f>
        <v/>
      </c>
      <c r="AA18" s="9">
        <f>X18+Y18+Z18</f>
        <v/>
      </c>
      <c r="AB18" s="12">
        <f>SUM(AA7:AA18)</f>
        <v/>
      </c>
      <c r="AC18" s="12">
        <f>OR(AC17,AB18&gt;=VATThreshold)</f>
        <v/>
      </c>
      <c r="AD18" s="9">
        <f>IF(AC18,AA18/(1+VATRate),AA18)</f>
        <v/>
      </c>
      <c r="AE18" s="12">
        <f>AA18-AD18</f>
        <v/>
      </c>
      <c r="AF18" s="12">
        <f>IF(AC18=0,0,IF(B18=1,SUMPRODUCT(--(($C$5:$C18=$C18-1)*($B$5:$B18&gt;=10)*($B$5:$B18&lt;=12)),$AE$5:$AE18),IF(B18=4,SUMPRODUCT(--(($C$5:$C18=$C18)*($B$5:$B18&gt;=1)*($B$5:$B18&lt;=3)),$AE$5:$AE18),IF(B18=7,SUMPRODUCT(--(($C$5:$C18=$C18)*($B$5:$B18&gt;=4)*($B$5:$B18&lt;=6)),$AE$5:$AE18),IF(B18=10,SUMPRODUCT(--(($C$5:$C18=$C18)*($B$5:$B18&gt;=7)*($B$5:$B18&lt;=9)),$AE$5:$AE18),0)))))</f>
        <v/>
      </c>
      <c r="AG18" s="12">
        <f>AG17+AE18-AF18</f>
        <v/>
      </c>
      <c r="AH18" s="12">
        <f>IF(ProviderDelay&gt;=1,AD17*ProviderShare,AD18*ProviderShare)</f>
        <v/>
      </c>
      <c r="AI18" s="12">
        <f>AA18*PaymentFee</f>
        <v/>
      </c>
      <c r="AJ18" s="12">
        <f>U18*OpsAI</f>
        <v/>
      </c>
      <c r="AK18" s="12">
        <f>MonthlyFixed</f>
        <v/>
      </c>
      <c r="AL18" s="12">
        <f>I18*ReferralReward</f>
        <v/>
      </c>
      <c r="AM18" s="12">
        <f>G18</f>
        <v/>
      </c>
      <c r="AN18" s="9">
        <f>AD18-AH18-AI18-AJ18-AK18-AL18-AM18</f>
        <v/>
      </c>
      <c r="AO18" s="9">
        <f>AO17+AA18-(AH18+AI18+AJ18+AK18+AL18+AM18+AF18)</f>
        <v/>
      </c>
      <c r="AP18" s="12">
        <f>IF(U18&gt;0,V18/U18,0)</f>
        <v/>
      </c>
      <c r="AQ18" s="11">
        <f>IF(U17&gt;0,MAX(0,(U17+J18-U18)/U17),0)</f>
        <v/>
      </c>
      <c r="AS18" s="12" t="n">
        <v>14</v>
      </c>
      <c r="AT18" s="12">
        <f>MOD(AS18-1+LaunchMonth-1,12)+1</f>
        <v/>
      </c>
      <c r="AU18" s="12">
        <f>INT((AS18-1+LaunchMonth-1)/12)+1</f>
        <v/>
      </c>
      <c r="AV18" s="12">
        <f>VLOOKUP(AT18,SeasonTable,2,FALSE)</f>
        <v/>
      </c>
      <c r="AW18" s="12">
        <f>(1+InflationRate)^INT((AS18-1)/12)</f>
        <v/>
      </c>
      <c r="AX18" s="11">
        <f>MonthlyChurn*VLOOKUP(AT18,ChurnSeasonTable,4,FALSE)</f>
        <v/>
      </c>
      <c r="AY18" s="12">
        <f>MIN(MAX(MktMin13_18,BS17*MktPct13_18),MAX(0,CG17-CashBuffer))</f>
        <v/>
      </c>
      <c r="AZ18" s="12">
        <f>IF(AY18&gt;0,MAX(1,ROUND(AY18/CAC*AV18,0)),0)</f>
        <v/>
      </c>
      <c r="BA18" s="12">
        <f>IF(AZ18&gt;0,ROUND(AZ18*ReferralMix/(1-ReferralMix),0),0)</f>
        <v/>
      </c>
      <c r="BB18" s="12">
        <f>AZ18+BA18</f>
        <v/>
      </c>
      <c r="BC18" s="12">
        <f>ROUND(BB18*(1-AnnualMix),0)</f>
        <v/>
      </c>
      <c r="BD18" s="12">
        <f>BB18-BC18</f>
        <v/>
      </c>
      <c r="BE18" s="12">
        <f>ROUND(BC18*EssentialMix,0)</f>
        <v/>
      </c>
      <c r="BF18" s="12">
        <f>BC18-BE18</f>
        <v/>
      </c>
      <c r="BG18" s="12">
        <f>ROUND(BD18*EssentialMix,0)</f>
        <v/>
      </c>
      <c r="BH18" s="12">
        <f>BD18-BG18</f>
        <v/>
      </c>
      <c r="BI18" s="12">
        <f>BE18+BE17+BE16+MAX(0,BI17-BE17-BE16)*(1-AX18)</f>
        <v/>
      </c>
      <c r="BJ18" s="12">
        <f>BF18+BF17+BF16+MAX(0,BJ17-BF17-BF16)*(1-AX18)</f>
        <v/>
      </c>
      <c r="BK18" s="12">
        <f>BK17+BG18-BG6*(AnnualChurn*VLOOKUP(AT18,ChurnSeasonTable,4,FALSE))*POWER(1-(AnnualChurn*VLOOKUP(AT18,ChurnSeasonTable,4,FALSE)),0)</f>
        <v/>
      </c>
      <c r="BL18" s="12">
        <f>BL17+BH18-BH6*(AnnualChurn*VLOOKUP(AT18,ChurnSeasonTable,4,FALSE))*POWER(1-(AnnualChurn*VLOOKUP(AT18,ChurnSeasonTable,4,FALSE)),0)</f>
        <v/>
      </c>
      <c r="BM18" s="12">
        <f>BI18+BJ18+BK18+BL18</f>
        <v/>
      </c>
      <c r="BN18" s="9">
        <f>BI18*PriceEssMonthly*AW18+BJ18*PricePremMonthly*AW18+BK18*PriceEssAnnual*AW18/12+BL18*PricePremAnnual*AW18/12</f>
        <v/>
      </c>
      <c r="BO18" s="9">
        <f>BN18*12</f>
        <v/>
      </c>
      <c r="BP18" s="12">
        <f>BI18*PriceEssMonthly*AW18+BJ18*PricePremMonthly*AW18</f>
        <v/>
      </c>
      <c r="BQ18" s="12">
        <f>BG18*PriceEssAnnual*AW18+BH18*PricePremAnnual*AW18</f>
        <v/>
      </c>
      <c r="BR18" s="12">
        <f>BG6*POWER(1-(AnnualChurn*VLOOKUP(AT18,ChurnSeasonTable,4,FALSE)),1)*PriceEssAnnual*AW18+BH6*POWER(1-(AnnualChurn*VLOOKUP(AT18,ChurnSeasonTable,4,FALSE)),1)*PricePremAnnual*AW18</f>
        <v/>
      </c>
      <c r="BS18" s="9">
        <f>BP18+BQ18+BR18</f>
        <v/>
      </c>
      <c r="BT18" s="12">
        <f>SUM(BS7:BS18)</f>
        <v/>
      </c>
      <c r="BU18" s="12">
        <f>OR(BU17,BT18&gt;=VATThreshold)</f>
        <v/>
      </c>
      <c r="BV18" s="9">
        <f>IF(BU18,BS18/(1+VATRate),BS18)</f>
        <v/>
      </c>
      <c r="BW18" s="12">
        <f>BS18-BV18</f>
        <v/>
      </c>
      <c r="BX18" s="12">
        <f>IF(BU18=0,0,IF(AT18=1,SUMPRODUCT(--(($AU$5:$AU18=$AU18-1)*($AT$5:$AT18&gt;=10)*($AT$5:$AT18&lt;=12)),$BW$5:$BW18),IF(AT18=4,SUMPRODUCT(--(($AU$5:$AU18=$AU18)*($AT$5:$AT18&gt;=1)*($AT$5:$AT18&lt;=3)),$BW$5:$BW18),IF(AT18=7,SUMPRODUCT(--(($AU$5:$AU18=$AU18)*($AT$5:$AT18&gt;=4)*($AT$5:$AT18&lt;=6)),$BW$5:$BW18),IF(AT18=10,SUMPRODUCT(--(($AU$5:$AU18=$AU18)*($AT$5:$AT18&gt;=7)*($AT$5:$AT18&lt;=9)),$BW$5:$BW18),0)))))</f>
        <v/>
      </c>
      <c r="BY18" s="12">
        <f>BY17+BW18-BX18</f>
        <v/>
      </c>
      <c r="BZ18" s="12">
        <f>IF(ProviderDelay&gt;=1,BV17*ProviderShare,BV18*ProviderShare)</f>
        <v/>
      </c>
      <c r="CA18" s="12">
        <f>BS18*PaymentFee</f>
        <v/>
      </c>
      <c r="CB18" s="12">
        <f>BM18*OpsAI</f>
        <v/>
      </c>
      <c r="CC18" s="12">
        <f>MonthlyFixed</f>
        <v/>
      </c>
      <c r="CD18" s="12">
        <f>BA18*ReferralReward</f>
        <v/>
      </c>
      <c r="CE18" s="12">
        <f>AY18</f>
        <v/>
      </c>
      <c r="CF18" s="9">
        <f>BV18-BZ18-CA18-CB18-CC18-CD18-CE18</f>
        <v/>
      </c>
      <c r="CG18" s="9">
        <f>CG17+BS18-(BZ18+CA18+CB18+CC18+CD18+CE18+BX18)</f>
        <v/>
      </c>
      <c r="CH18" s="12">
        <f>IF(BM18&gt;0,BN18/BM18,0)</f>
        <v/>
      </c>
      <c r="CI18" s="11">
        <f>IF(BM17&gt;0,MAX(0,(BM17+BB18-BM18)/BM17),0)</f>
        <v/>
      </c>
      <c r="CK18" s="12" t="n">
        <v>14</v>
      </c>
      <c r="CL18" s="12">
        <f>MOD(CK18-1+LaunchMonth-1,12)+1</f>
        <v/>
      </c>
      <c r="CM18" s="12">
        <f>INT((CK18-1+LaunchMonth-1)/12)+1</f>
        <v/>
      </c>
      <c r="CN18" s="12">
        <f>VLOOKUP(CL18,SeasonTable,2,FALSE)</f>
        <v/>
      </c>
      <c r="CO18" s="12">
        <f>(1+InflationRate)^INT((CK18-1)/12)</f>
        <v/>
      </c>
      <c r="CP18" s="11">
        <f>'Sens - Scenarios'!$D$5*VLOOKUP(CL18,ChurnSeasonTable,4,FALSE)</f>
        <v/>
      </c>
      <c r="CQ18" s="12">
        <f>MIN(MAX(MktMin13_18,DK17*MktPct13_18),MAX(0,DY17-CashBuffer))</f>
        <v/>
      </c>
      <c r="CR18" s="12">
        <f>IF(CQ18&gt;0,MAX(1,ROUND(CQ18/'Sens - Scenarios'!$D$8*CN18,0)),0)</f>
        <v/>
      </c>
      <c r="CS18" s="12">
        <f>IF(CR18&gt;0,ROUND(CR18*ReferralMix/(1-ReferralMix),0),0)</f>
        <v/>
      </c>
      <c r="CT18" s="12">
        <f>CR18+CS18</f>
        <v/>
      </c>
      <c r="CU18" s="12">
        <f>ROUND(CT18*(1-'Sens - Scenarios'!$D$7),0)</f>
        <v/>
      </c>
      <c r="CV18" s="12">
        <f>CT18-CU18</f>
        <v/>
      </c>
      <c r="CW18" s="12">
        <f>ROUND(CU18*EssentialMix,0)</f>
        <v/>
      </c>
      <c r="CX18" s="12">
        <f>CU18-CW18</f>
        <v/>
      </c>
      <c r="CY18" s="12">
        <f>ROUND(CV18*EssentialMix,0)</f>
        <v/>
      </c>
      <c r="CZ18" s="12">
        <f>CV18-CY18</f>
        <v/>
      </c>
      <c r="DA18" s="12">
        <f>CW18+CW17+CW16+MAX(0,DA17-CW17-CW16)*(1-CP18)</f>
        <v/>
      </c>
      <c r="DB18" s="12">
        <f>CX18+CX17+CX16+MAX(0,DB17-CX17-CX16)*(1-CP18)</f>
        <v/>
      </c>
      <c r="DC18" s="12">
        <f>DC17+CY18-CY6*('Sens - Scenarios'!$D$6*VLOOKUP(CL18,ChurnSeasonTable,4,FALSE))*POWER(1-('Sens - Scenarios'!$D$6*VLOOKUP(CL18,ChurnSeasonTable,4,FALSE)),0)</f>
        <v/>
      </c>
      <c r="DD18" s="12">
        <f>DD17+CZ18-CZ6*('Sens - Scenarios'!$D$6*VLOOKUP(CL18,ChurnSeasonTable,4,FALSE))*POWER(1-('Sens - Scenarios'!$D$6*VLOOKUP(CL18,ChurnSeasonTable,4,FALSE)),0)</f>
        <v/>
      </c>
      <c r="DE18" s="12">
        <f>DA18+DB18+DC18+DD18</f>
        <v/>
      </c>
      <c r="DF18" s="9">
        <f>DA18*PriceEssMonthly*CO18+DB18*PricePremMonthly*CO18+DC18*PriceEssAnnual*CO18/12+DD18*PricePremAnnual*CO18/12</f>
        <v/>
      </c>
      <c r="DG18" s="9">
        <f>DF18*12</f>
        <v/>
      </c>
      <c r="DH18" s="12">
        <f>DA18*PriceEssMonthly*CO18+DB18*PricePremMonthly*CO18</f>
        <v/>
      </c>
      <c r="DI18" s="12">
        <f>CY18*PriceEssAnnual*CO18+CZ18*PricePremAnnual*CO18</f>
        <v/>
      </c>
      <c r="DJ18" s="12">
        <f>CY6*POWER(1-('Sens - Scenarios'!$D$6*VLOOKUP(CL18,ChurnSeasonTable,4,FALSE)),1)*PriceEssAnnual*CO18+CZ6*POWER(1-('Sens - Scenarios'!$D$6*VLOOKUP(CL18,ChurnSeasonTable,4,FALSE)),1)*PricePremAnnual*CO18</f>
        <v/>
      </c>
      <c r="DK18" s="9">
        <f>DH18+DI18+DJ18</f>
        <v/>
      </c>
      <c r="DL18" s="12">
        <f>SUM(DK7:DK18)</f>
        <v/>
      </c>
      <c r="DM18" s="12">
        <f>OR(DM17,DL18&gt;=VATThreshold)</f>
        <v/>
      </c>
      <c r="DN18" s="9">
        <f>IF(DM18,DK18/(1+VATRate),DK18)</f>
        <v/>
      </c>
      <c r="DO18" s="12">
        <f>DK18-DN18</f>
        <v/>
      </c>
      <c r="DP18" s="12">
        <f>IF(DM18=0,0,IF(CL18=1,SUMPRODUCT(--(($CM$5:$CM18=$CM18-1)*($CL$5:$CL18&gt;=10)*($CL$5:$CL18&lt;=12)),$DO$5:$DO18),IF(CL18=4,SUMPRODUCT(--(($CM$5:$CM18=$CM18)*($CL$5:$CL18&gt;=1)*($CL$5:$CL18&lt;=3)),$DO$5:$DO18),IF(CL18=7,SUMPRODUCT(--(($CM$5:$CM18=$CM18)*($CL$5:$CL18&gt;=4)*($CL$5:$CL18&lt;=6)),$DO$5:$DO18),IF(CL18=10,SUMPRODUCT(--(($CM$5:$CM18=$CM18)*($CL$5:$CL18&gt;=7)*($CL$5:$CL18&lt;=9)),$DO$5:$DO18),0)))))</f>
        <v/>
      </c>
      <c r="DQ18" s="12">
        <f>DQ17+DO18-DP18</f>
        <v/>
      </c>
      <c r="DR18" s="12">
        <f>IF(ProviderDelay&gt;=1,DN17*ProviderShare,DN18*ProviderShare)</f>
        <v/>
      </c>
      <c r="DS18" s="12">
        <f>DK18*PaymentFee</f>
        <v/>
      </c>
      <c r="DT18" s="12">
        <f>DE18*OpsAI</f>
        <v/>
      </c>
      <c r="DU18" s="12">
        <f>MonthlyFixed</f>
        <v/>
      </c>
      <c r="DV18" s="12">
        <f>CS18*ReferralReward</f>
        <v/>
      </c>
      <c r="DW18" s="12">
        <f>CQ18</f>
        <v/>
      </c>
      <c r="DX18" s="9">
        <f>DN18-DR18-DS18-DT18-DU18-DV18-DW18</f>
        <v/>
      </c>
      <c r="DY18" s="9">
        <f>DY17+DK18-(DR18+DS18+DT18+DU18+DV18+DW18+DP18)</f>
        <v/>
      </c>
      <c r="DZ18" s="12">
        <f>IF(DE18&gt;0,DF18/DE18,0)</f>
        <v/>
      </c>
      <c r="EA18" s="11">
        <f>IF(DE17&gt;0,MAX(0,(DE17+CT18-DE18)/DE17),0)</f>
        <v/>
      </c>
      <c r="EC18" s="12" t="n">
        <v>14</v>
      </c>
      <c r="ED18" s="12">
        <f>MOD(EC18-1+LaunchMonth-1,12)+1</f>
        <v/>
      </c>
      <c r="EE18" s="12">
        <f>INT((EC18-1+LaunchMonth-1)/12)+1</f>
        <v/>
      </c>
      <c r="EF18" s="12">
        <f>VLOOKUP(ED18,SeasonTable,2,FALSE)</f>
        <v/>
      </c>
      <c r="EG18" s="12">
        <f>(1+InflationRate)^INT((EC18-1)/12)</f>
        <v/>
      </c>
      <c r="EH18" s="11">
        <f>'Sens - Churn'!$A$13*VLOOKUP(ED18,ChurnSeasonTable,4,FALSE)</f>
        <v/>
      </c>
      <c r="EI18" s="12">
        <f>MIN(MAX(MktMin13_18,FC17*MktPct13_18),MAX(0,FQ17-CashBuffer))</f>
        <v/>
      </c>
      <c r="EJ18" s="12">
        <f>IF(EI18&gt;0,MAX(1,ROUND(EI18/CAC*EF18,0)),0)</f>
        <v/>
      </c>
      <c r="EK18" s="12">
        <f>IF(EJ18&gt;0,ROUND(EJ18*ReferralMix/(1-ReferralMix),0),0)</f>
        <v/>
      </c>
      <c r="EL18" s="12">
        <f>EJ18+EK18</f>
        <v/>
      </c>
      <c r="EM18" s="12">
        <f>ROUND(EL18*(1-AnnualMix),0)</f>
        <v/>
      </c>
      <c r="EN18" s="12">
        <f>EL18-EM18</f>
        <v/>
      </c>
      <c r="EO18" s="12">
        <f>ROUND(EM18*EssentialMix,0)</f>
        <v/>
      </c>
      <c r="EP18" s="12">
        <f>EM18-EO18</f>
        <v/>
      </c>
      <c r="EQ18" s="12">
        <f>ROUND(EN18*EssentialMix,0)</f>
        <v/>
      </c>
      <c r="ER18" s="12">
        <f>EN18-EQ18</f>
        <v/>
      </c>
      <c r="ES18" s="12">
        <f>EO18+EO17+EO16+MAX(0,ES17-EO17-EO16)*(1-EH18)</f>
        <v/>
      </c>
      <c r="ET18" s="12">
        <f>EP18+EP17+EP16+MAX(0,ET17-EP17-EP16)*(1-EH18)</f>
        <v/>
      </c>
      <c r="EU18" s="12">
        <f>EU17+EQ18-EQ6*(AnnualChurn*VLOOKUP(ED18,ChurnSeasonTable,4,FALSE))*POWER(1-(AnnualChurn*VLOOKUP(ED18,ChurnSeasonTable,4,FALSE)),0)</f>
        <v/>
      </c>
      <c r="EV18" s="12">
        <f>EV17+ER18-ER6*(AnnualChurn*VLOOKUP(ED18,ChurnSeasonTable,4,FALSE))*POWER(1-(AnnualChurn*VLOOKUP(ED18,ChurnSeasonTable,4,FALSE)),0)</f>
        <v/>
      </c>
      <c r="EW18" s="12">
        <f>ES18+ET18+EU18+EV18</f>
        <v/>
      </c>
      <c r="EX18" s="9">
        <f>ES18*PriceEssMonthly*EG18+ET18*PricePremMonthly*EG18+EU18*PriceEssAnnual*EG18/12+EV18*PricePremAnnual*EG18/12</f>
        <v/>
      </c>
      <c r="EY18" s="9">
        <f>EX18*12</f>
        <v/>
      </c>
      <c r="EZ18" s="12">
        <f>ES18*PriceEssMonthly*EG18+ET18*PricePremMonthly*EG18</f>
        <v/>
      </c>
      <c r="FA18" s="12">
        <f>EQ18*PriceEssAnnual*EG18+ER18*PricePremAnnual*EG18</f>
        <v/>
      </c>
      <c r="FB18" s="12">
        <f>EQ6*POWER(1-(AnnualChurn*VLOOKUP(ED18,ChurnSeasonTable,4,FALSE)),1)*PriceEssAnnual*EG18+ER6*POWER(1-(AnnualChurn*VLOOKUP(ED18,ChurnSeasonTable,4,FALSE)),1)*PricePremAnnual*EG18</f>
        <v/>
      </c>
      <c r="FC18" s="9">
        <f>EZ18+FA18+FB18</f>
        <v/>
      </c>
      <c r="FD18" s="12">
        <f>SUM(FC7:FC18)</f>
        <v/>
      </c>
      <c r="FE18" s="12">
        <f>OR(FE17,FD18&gt;=VATThreshold)</f>
        <v/>
      </c>
      <c r="FF18" s="9">
        <f>IF(FE18,FC18/(1+VATRate),FC18)</f>
        <v/>
      </c>
      <c r="FG18" s="12">
        <f>FC18-FF18</f>
        <v/>
      </c>
      <c r="FH18" s="12">
        <f>IF(FE18=0,0,IF(ED18=1,SUMPRODUCT(--(($EE$5:$EE18=$EE18-1)*($ED$5:$ED18&gt;=10)*($ED$5:$ED18&lt;=12)),$FG$5:$FG18),IF(ED18=4,SUMPRODUCT(--(($EE$5:$EE18=$EE18)*($ED$5:$ED18&gt;=1)*($ED$5:$ED18&lt;=3)),$FG$5:$FG18),IF(ED18=7,SUMPRODUCT(--(($EE$5:$EE18=$EE18)*($ED$5:$ED18&gt;=4)*($ED$5:$ED18&lt;=6)),$FG$5:$FG18),IF(ED18=10,SUMPRODUCT(--(($EE$5:$EE18=$EE18)*($ED$5:$ED18&gt;=7)*($ED$5:$ED18&lt;=9)),$FG$5:$FG18),0)))))</f>
        <v/>
      </c>
      <c r="FI18" s="12">
        <f>FI17+FG18-FH18</f>
        <v/>
      </c>
      <c r="FJ18" s="12">
        <f>IF(ProviderDelay&gt;=1,FF17*ProviderShare,FF18*ProviderShare)</f>
        <v/>
      </c>
      <c r="FK18" s="12">
        <f>FC18*PaymentFee</f>
        <v/>
      </c>
      <c r="FL18" s="12">
        <f>EW18*OpsAI</f>
        <v/>
      </c>
      <c r="FM18" s="12">
        <f>MonthlyFixed</f>
        <v/>
      </c>
      <c r="FN18" s="12">
        <f>EK18*ReferralReward</f>
        <v/>
      </c>
      <c r="FO18" s="12">
        <f>EI18</f>
        <v/>
      </c>
      <c r="FP18" s="9">
        <f>FF18-FJ18-FK18-FL18-FM18-FN18-FO18</f>
        <v/>
      </c>
      <c r="FQ18" s="9">
        <f>FQ17+FC18-(FJ18+FK18+FL18+FM18+FN18+FO18+FH18)</f>
        <v/>
      </c>
      <c r="FR18" s="12">
        <f>IF(EW18&gt;0,EX18/EW18,0)</f>
        <v/>
      </c>
      <c r="FS18" s="11">
        <f>IF(EW17&gt;0,MAX(0,(EW17+EL18-EW18)/EW17),0)</f>
        <v/>
      </c>
      <c r="FU18" s="12" t="n">
        <v>14</v>
      </c>
      <c r="FV18" s="12">
        <f>MOD(FU18-1+LaunchMonth-1,12)+1</f>
        <v/>
      </c>
      <c r="FW18" s="12">
        <f>INT((FU18-1+LaunchMonth-1)/12)+1</f>
        <v/>
      </c>
      <c r="FX18" s="12">
        <f>VLOOKUP(FV18,SeasonTable,2,FALSE)</f>
        <v/>
      </c>
      <c r="FY18" s="12">
        <f>(1+InflationRate)^INT((FU18-1)/12)</f>
        <v/>
      </c>
      <c r="FZ18" s="11">
        <f>'Sens - Churn'!$A$14*VLOOKUP(FV18,ChurnSeasonTable,4,FALSE)</f>
        <v/>
      </c>
      <c r="GA18" s="12">
        <f>MIN(MAX(MktMin13_18,GU17*MktPct13_18),MAX(0,HI17-CashBuffer))</f>
        <v/>
      </c>
      <c r="GB18" s="12">
        <f>IF(GA18&gt;0,MAX(1,ROUND(GA18/CAC*FX18,0)),0)</f>
        <v/>
      </c>
      <c r="GC18" s="12">
        <f>IF(GB18&gt;0,ROUND(GB18*ReferralMix/(1-ReferralMix),0),0)</f>
        <v/>
      </c>
      <c r="GD18" s="12">
        <f>GB18+GC18</f>
        <v/>
      </c>
      <c r="GE18" s="12">
        <f>ROUND(GD18*(1-AnnualMix),0)</f>
        <v/>
      </c>
      <c r="GF18" s="12">
        <f>GD18-GE18</f>
        <v/>
      </c>
      <c r="GG18" s="12">
        <f>ROUND(GE18*EssentialMix,0)</f>
        <v/>
      </c>
      <c r="GH18" s="12">
        <f>GE18-GG18</f>
        <v/>
      </c>
      <c r="GI18" s="12">
        <f>ROUND(GF18*EssentialMix,0)</f>
        <v/>
      </c>
      <c r="GJ18" s="12">
        <f>GF18-GI18</f>
        <v/>
      </c>
      <c r="GK18" s="12">
        <f>GG18+GG17+GG16+MAX(0,GK17-GG17-GG16)*(1-FZ18)</f>
        <v/>
      </c>
      <c r="GL18" s="12">
        <f>GH18+GH17+GH16+MAX(0,GL17-GH17-GH16)*(1-FZ18)</f>
        <v/>
      </c>
      <c r="GM18" s="12">
        <f>GM17+GI18-GI6*(AnnualChurn*VLOOKUP(FV18,ChurnSeasonTable,4,FALSE))*POWER(1-(AnnualChurn*VLOOKUP(FV18,ChurnSeasonTable,4,FALSE)),0)</f>
        <v/>
      </c>
      <c r="GN18" s="12">
        <f>GN17+GJ18-GJ6*(AnnualChurn*VLOOKUP(FV18,ChurnSeasonTable,4,FALSE))*POWER(1-(AnnualChurn*VLOOKUP(FV18,ChurnSeasonTable,4,FALSE)),0)</f>
        <v/>
      </c>
      <c r="GO18" s="12">
        <f>GK18+GL18+GM18+GN18</f>
        <v/>
      </c>
      <c r="GP18" s="9">
        <f>GK18*PriceEssMonthly*FY18+GL18*PricePremMonthly*FY18+GM18*PriceEssAnnual*FY18/12+GN18*PricePremAnnual*FY18/12</f>
        <v/>
      </c>
      <c r="GQ18" s="9">
        <f>GP18*12</f>
        <v/>
      </c>
      <c r="GR18" s="12">
        <f>GK18*PriceEssMonthly*FY18+GL18*PricePremMonthly*FY18</f>
        <v/>
      </c>
      <c r="GS18" s="12">
        <f>GI18*PriceEssAnnual*FY18+GJ18*PricePremAnnual*FY18</f>
        <v/>
      </c>
      <c r="GT18" s="12">
        <f>GI6*POWER(1-(AnnualChurn*VLOOKUP(FV18,ChurnSeasonTable,4,FALSE)),1)*PriceEssAnnual*FY18+GJ6*POWER(1-(AnnualChurn*VLOOKUP(FV18,ChurnSeasonTable,4,FALSE)),1)*PricePremAnnual*FY18</f>
        <v/>
      </c>
      <c r="GU18" s="9">
        <f>GR18+GS18+GT18</f>
        <v/>
      </c>
      <c r="GV18" s="12">
        <f>SUM(GU7:GU18)</f>
        <v/>
      </c>
      <c r="GW18" s="12">
        <f>OR(GW17,GV18&gt;=VATThreshold)</f>
        <v/>
      </c>
      <c r="GX18" s="9">
        <f>IF(GW18,GU18/(1+VATRate),GU18)</f>
        <v/>
      </c>
      <c r="GY18" s="12">
        <f>GU18-GX18</f>
        <v/>
      </c>
      <c r="GZ18" s="12">
        <f>IF(GW18=0,0,IF(FV18=1,SUMPRODUCT(--(($FW$5:$FW18=$FW18-1)*($FV$5:$FV18&gt;=10)*($FV$5:$FV18&lt;=12)),$GY$5:$GY18),IF(FV18=4,SUMPRODUCT(--(($FW$5:$FW18=$FW18)*($FV$5:$FV18&gt;=1)*($FV$5:$FV18&lt;=3)),$GY$5:$GY18),IF(FV18=7,SUMPRODUCT(--(($FW$5:$FW18=$FW18)*($FV$5:$FV18&gt;=4)*($FV$5:$FV18&lt;=6)),$GY$5:$GY18),IF(FV18=10,SUMPRODUCT(--(($FW$5:$FW18=$FW18)*($FV$5:$FV18&gt;=7)*($FV$5:$FV18&lt;=9)),$GY$5:$GY18),0)))))</f>
        <v/>
      </c>
      <c r="HA18" s="12">
        <f>HA17+GY18-GZ18</f>
        <v/>
      </c>
      <c r="HB18" s="12">
        <f>IF(ProviderDelay&gt;=1,GX17*ProviderShare,GX18*ProviderShare)</f>
        <v/>
      </c>
      <c r="HC18" s="12">
        <f>GU18*PaymentFee</f>
        <v/>
      </c>
      <c r="HD18" s="12">
        <f>GO18*OpsAI</f>
        <v/>
      </c>
      <c r="HE18" s="12">
        <f>MonthlyFixed</f>
        <v/>
      </c>
      <c r="HF18" s="12">
        <f>GC18*ReferralReward</f>
        <v/>
      </c>
      <c r="HG18" s="12">
        <f>GA18</f>
        <v/>
      </c>
      <c r="HH18" s="9">
        <f>GX18-HB18-HC18-HD18-HE18-HF18-HG18</f>
        <v/>
      </c>
      <c r="HI18" s="9">
        <f>HI17+GU18-(HB18+HC18+HD18+HE18+HF18+HG18+GZ18)</f>
        <v/>
      </c>
      <c r="HJ18" s="12">
        <f>IF(GO18&gt;0,GP18/GO18,0)</f>
        <v/>
      </c>
      <c r="HK18" s="11">
        <f>IF(GO17&gt;0,MAX(0,(GO17+GD18-GO18)/GO17),0)</f>
        <v/>
      </c>
      <c r="HM18" s="12" t="n">
        <v>14</v>
      </c>
      <c r="HN18" s="12">
        <f>MOD(HM18-1+LaunchMonth-1,12)+1</f>
        <v/>
      </c>
      <c r="HO18" s="12">
        <f>INT((HM18-1+LaunchMonth-1)/12)+1</f>
        <v/>
      </c>
      <c r="HP18" s="12">
        <f>VLOOKUP(HN18,SeasonTable,2,FALSE)</f>
        <v/>
      </c>
      <c r="HQ18" s="12">
        <f>(1+InflationRate)^INT((HM18-1)/12)</f>
        <v/>
      </c>
      <c r="HR18" s="11">
        <f>'Sens - Churn'!$A$15*VLOOKUP(HN18,ChurnSeasonTable,4,FALSE)</f>
        <v/>
      </c>
      <c r="HS18" s="12">
        <f>MIN(MAX(MktMin13_18,IM17*MktPct13_18),MAX(0,JA17-CashBuffer))</f>
        <v/>
      </c>
      <c r="HT18" s="12">
        <f>IF(HS18&gt;0,MAX(1,ROUND(HS18/CAC*HP18,0)),0)</f>
        <v/>
      </c>
      <c r="HU18" s="12">
        <f>IF(HT18&gt;0,ROUND(HT18*ReferralMix/(1-ReferralMix),0),0)</f>
        <v/>
      </c>
      <c r="HV18" s="12">
        <f>HT18+HU18</f>
        <v/>
      </c>
      <c r="HW18" s="12">
        <f>ROUND(HV18*(1-AnnualMix),0)</f>
        <v/>
      </c>
      <c r="HX18" s="12">
        <f>HV18-HW18</f>
        <v/>
      </c>
      <c r="HY18" s="12">
        <f>ROUND(HW18*EssentialMix,0)</f>
        <v/>
      </c>
      <c r="HZ18" s="12">
        <f>HW18-HY18</f>
        <v/>
      </c>
      <c r="IA18" s="12">
        <f>ROUND(HX18*EssentialMix,0)</f>
        <v/>
      </c>
      <c r="IB18" s="12">
        <f>HX18-IA18</f>
        <v/>
      </c>
      <c r="IC18" s="12">
        <f>HY18+HY17+HY16+MAX(0,IC17-HY17-HY16)*(1-HR18)</f>
        <v/>
      </c>
      <c r="ID18" s="12">
        <f>HZ18+HZ17+HZ16+MAX(0,ID17-HZ17-HZ16)*(1-HR18)</f>
        <v/>
      </c>
      <c r="IE18" s="12">
        <f>IE17+IA18-IA6*(AnnualChurn*VLOOKUP(HN18,ChurnSeasonTable,4,FALSE))*POWER(1-(AnnualChurn*VLOOKUP(HN18,ChurnSeasonTable,4,FALSE)),0)</f>
        <v/>
      </c>
      <c r="IF18" s="12">
        <f>IF17+IB18-IB6*(AnnualChurn*VLOOKUP(HN18,ChurnSeasonTable,4,FALSE))*POWER(1-(AnnualChurn*VLOOKUP(HN18,ChurnSeasonTable,4,FALSE)),0)</f>
        <v/>
      </c>
      <c r="IG18" s="12">
        <f>IC18+ID18+IE18+IF18</f>
        <v/>
      </c>
      <c r="IH18" s="9">
        <f>IC18*PriceEssMonthly*HQ18+ID18*PricePremMonthly*HQ18+IE18*PriceEssAnnual*HQ18/12+IF18*PricePremAnnual*HQ18/12</f>
        <v/>
      </c>
      <c r="II18" s="9">
        <f>IH18*12</f>
        <v/>
      </c>
      <c r="IJ18" s="12">
        <f>IC18*PriceEssMonthly*HQ18+ID18*PricePremMonthly*HQ18</f>
        <v/>
      </c>
      <c r="IK18" s="12">
        <f>IA18*PriceEssAnnual*HQ18+IB18*PricePremAnnual*HQ18</f>
        <v/>
      </c>
      <c r="IL18" s="12">
        <f>IA6*POWER(1-(AnnualChurn*VLOOKUP(HN18,ChurnSeasonTable,4,FALSE)),1)*PriceEssAnnual*HQ18+IB6*POWER(1-(AnnualChurn*VLOOKUP(HN18,ChurnSeasonTable,4,FALSE)),1)*PricePremAnnual*HQ18</f>
        <v/>
      </c>
      <c r="IM18" s="9">
        <f>IJ18+IK18+IL18</f>
        <v/>
      </c>
      <c r="IN18" s="12">
        <f>SUM(IM7:IM18)</f>
        <v/>
      </c>
      <c r="IO18" s="12">
        <f>OR(IO17,IN18&gt;=VATThreshold)</f>
        <v/>
      </c>
      <c r="IP18" s="9">
        <f>IF(IO18,IM18/(1+VATRate),IM18)</f>
        <v/>
      </c>
      <c r="IQ18" s="12">
        <f>IM18-IP18</f>
        <v/>
      </c>
      <c r="IR18" s="12">
        <f>IF(IO18=0,0,IF(HN18=1,SUMPRODUCT(--(($HO$5:$HO18=$HO18-1)*($HN$5:$HN18&gt;=10)*($HN$5:$HN18&lt;=12)),$IQ$5:$IQ18),IF(HN18=4,SUMPRODUCT(--(($HO$5:$HO18=$HO18)*($HN$5:$HN18&gt;=1)*($HN$5:$HN18&lt;=3)),$IQ$5:$IQ18),IF(HN18=7,SUMPRODUCT(--(($HO$5:$HO18=$HO18)*($HN$5:$HN18&gt;=4)*($HN$5:$HN18&lt;=6)),$IQ$5:$IQ18),IF(HN18=10,SUMPRODUCT(--(($HO$5:$HO18=$HO18)*($HN$5:$HN18&gt;=7)*($HN$5:$HN18&lt;=9)),$IQ$5:$IQ18),0)))))</f>
        <v/>
      </c>
      <c r="IS18" s="12">
        <f>IS17+IQ18-IR18</f>
        <v/>
      </c>
      <c r="IT18" s="12">
        <f>IF(ProviderDelay&gt;=1,IP17*ProviderShare,IP18*ProviderShare)</f>
        <v/>
      </c>
      <c r="IU18" s="12">
        <f>IM18*PaymentFee</f>
        <v/>
      </c>
      <c r="IV18" s="12">
        <f>IG18*OpsAI</f>
        <v/>
      </c>
      <c r="IW18" s="12">
        <f>MonthlyFixed</f>
        <v/>
      </c>
      <c r="IX18" s="12">
        <f>HU18*ReferralReward</f>
        <v/>
      </c>
      <c r="IY18" s="12">
        <f>HS18</f>
        <v/>
      </c>
      <c r="IZ18" s="9">
        <f>IP18-IT18-IU18-IV18-IW18-IX18-IY18</f>
        <v/>
      </c>
      <c r="JA18" s="9">
        <f>JA17+IM18-(IT18+IU18+IV18+IW18+IX18+IY18+IR18)</f>
        <v/>
      </c>
      <c r="JB18" s="12">
        <f>IF(IG18&gt;0,IH18/IG18,0)</f>
        <v/>
      </c>
      <c r="JC18" s="11">
        <f>IF(IG17&gt;0,MAX(0,(IG17+HV18-IG18)/IG17),0)</f>
        <v/>
      </c>
      <c r="JE18" s="12" t="n">
        <v>14</v>
      </c>
      <c r="JF18" s="12">
        <f>MOD(JE18-1+LaunchMonth-1,12)+1</f>
        <v/>
      </c>
      <c r="JG18" s="12">
        <f>INT((JE18-1+LaunchMonth-1)/12)+1</f>
        <v/>
      </c>
      <c r="JH18" s="12">
        <f>VLOOKUP(JF18,SeasonTable,2,FALSE)</f>
        <v/>
      </c>
      <c r="JI18" s="12">
        <f>(1+InflationRate)^INT((JE18-1)/12)</f>
        <v/>
      </c>
      <c r="JJ18" s="11">
        <f>'Sens - Churn'!$A$16*VLOOKUP(JF18,ChurnSeasonTable,4,FALSE)</f>
        <v/>
      </c>
      <c r="JK18" s="12">
        <f>MIN(MAX(MktMin13_18,KE17*MktPct13_18),MAX(0,KS17-CashBuffer))</f>
        <v/>
      </c>
      <c r="JL18" s="12">
        <f>IF(JK18&gt;0,MAX(1,ROUND(JK18/CAC*JH18,0)),0)</f>
        <v/>
      </c>
      <c r="JM18" s="12">
        <f>IF(JL18&gt;0,ROUND(JL18*ReferralMix/(1-ReferralMix),0),0)</f>
        <v/>
      </c>
      <c r="JN18" s="12">
        <f>JL18+JM18</f>
        <v/>
      </c>
      <c r="JO18" s="12">
        <f>ROUND(JN18*(1-AnnualMix),0)</f>
        <v/>
      </c>
      <c r="JP18" s="12">
        <f>JN18-JO18</f>
        <v/>
      </c>
      <c r="JQ18" s="12">
        <f>ROUND(JO18*EssentialMix,0)</f>
        <v/>
      </c>
      <c r="JR18" s="12">
        <f>JO18-JQ18</f>
        <v/>
      </c>
      <c r="JS18" s="12">
        <f>ROUND(JP18*EssentialMix,0)</f>
        <v/>
      </c>
      <c r="JT18" s="12">
        <f>JP18-JS18</f>
        <v/>
      </c>
      <c r="JU18" s="12">
        <f>JQ18+JQ17+JQ16+MAX(0,JU17-JQ17-JQ16)*(1-JJ18)</f>
        <v/>
      </c>
      <c r="JV18" s="12">
        <f>JR18+JR17+JR16+MAX(0,JV17-JR17-JR16)*(1-JJ18)</f>
        <v/>
      </c>
      <c r="JW18" s="12">
        <f>JW17+JS18-JS6*(AnnualChurn*VLOOKUP(JF18,ChurnSeasonTable,4,FALSE))*POWER(1-(AnnualChurn*VLOOKUP(JF18,ChurnSeasonTable,4,FALSE)),0)</f>
        <v/>
      </c>
      <c r="JX18" s="12">
        <f>JX17+JT18-JT6*(AnnualChurn*VLOOKUP(JF18,ChurnSeasonTable,4,FALSE))*POWER(1-(AnnualChurn*VLOOKUP(JF18,ChurnSeasonTable,4,FALSE)),0)</f>
        <v/>
      </c>
      <c r="JY18" s="12">
        <f>JU18+JV18+JW18+JX18</f>
        <v/>
      </c>
      <c r="JZ18" s="9">
        <f>JU18*PriceEssMonthly*JI18+JV18*PricePremMonthly*JI18+JW18*PriceEssAnnual*JI18/12+JX18*PricePremAnnual*JI18/12</f>
        <v/>
      </c>
      <c r="KA18" s="9">
        <f>JZ18*12</f>
        <v/>
      </c>
      <c r="KB18" s="12">
        <f>JU18*PriceEssMonthly*JI18+JV18*PricePremMonthly*JI18</f>
        <v/>
      </c>
      <c r="KC18" s="12">
        <f>JS18*PriceEssAnnual*JI18+JT18*PricePremAnnual*JI18</f>
        <v/>
      </c>
      <c r="KD18" s="12">
        <f>JS6*POWER(1-(AnnualChurn*VLOOKUP(JF18,ChurnSeasonTable,4,FALSE)),1)*PriceEssAnnual*JI18+JT6*POWER(1-(AnnualChurn*VLOOKUP(JF18,ChurnSeasonTable,4,FALSE)),1)*PricePremAnnual*JI18</f>
        <v/>
      </c>
      <c r="KE18" s="9">
        <f>KB18+KC18+KD18</f>
        <v/>
      </c>
      <c r="KF18" s="12">
        <f>SUM(KE7:KE18)</f>
        <v/>
      </c>
      <c r="KG18" s="12">
        <f>OR(KG17,KF18&gt;=VATThreshold)</f>
        <v/>
      </c>
      <c r="KH18" s="9">
        <f>IF(KG18,KE18/(1+VATRate),KE18)</f>
        <v/>
      </c>
      <c r="KI18" s="12">
        <f>KE18-KH18</f>
        <v/>
      </c>
      <c r="KJ18" s="12">
        <f>IF(KG18=0,0,IF(JF18=1,SUMPRODUCT(--(($JG$5:$JG18=$JG18-1)*($JF$5:$JF18&gt;=10)*($JF$5:$JF18&lt;=12)),$KI$5:$KI18),IF(JF18=4,SUMPRODUCT(--(($JG$5:$JG18=$JG18)*($JF$5:$JF18&gt;=1)*($JF$5:$JF18&lt;=3)),$KI$5:$KI18),IF(JF18=7,SUMPRODUCT(--(($JG$5:$JG18=$JG18)*($JF$5:$JF18&gt;=4)*($JF$5:$JF18&lt;=6)),$KI$5:$KI18),IF(JF18=10,SUMPRODUCT(--(($JG$5:$JG18=$JG18)*($JF$5:$JF18&gt;=7)*($JF$5:$JF18&lt;=9)),$KI$5:$KI18),0)))))</f>
        <v/>
      </c>
      <c r="KK18" s="12">
        <f>KK17+KI18-KJ18</f>
        <v/>
      </c>
      <c r="KL18" s="12">
        <f>IF(ProviderDelay&gt;=1,KH17*ProviderShare,KH18*ProviderShare)</f>
        <v/>
      </c>
      <c r="KM18" s="12">
        <f>KE18*PaymentFee</f>
        <v/>
      </c>
      <c r="KN18" s="12">
        <f>JY18*OpsAI</f>
        <v/>
      </c>
      <c r="KO18" s="12">
        <f>MonthlyFixed</f>
        <v/>
      </c>
      <c r="KP18" s="12">
        <f>JM18*ReferralReward</f>
        <v/>
      </c>
      <c r="KQ18" s="12">
        <f>JK18</f>
        <v/>
      </c>
      <c r="KR18" s="9">
        <f>KH18-KL18-KM18-KN18-KO18-KP18-KQ18</f>
        <v/>
      </c>
      <c r="KS18" s="9">
        <f>KS17+KE18-(KL18+KM18+KN18+KO18+KP18+KQ18+KJ18)</f>
        <v/>
      </c>
      <c r="KT18" s="12">
        <f>IF(JY18&gt;0,JZ18/JY18,0)</f>
        <v/>
      </c>
      <c r="KU18" s="11">
        <f>IF(JY17&gt;0,MAX(0,(JY17+JN18-JY18)/JY17),0)</f>
        <v/>
      </c>
      <c r="KW18" s="12" t="n">
        <v>14</v>
      </c>
      <c r="KX18" s="12">
        <f>MOD(KW18-1+LaunchMonth-1,12)+1</f>
        <v/>
      </c>
      <c r="KY18" s="12">
        <f>INT((KW18-1+LaunchMonth-1)/12)+1</f>
        <v/>
      </c>
      <c r="KZ18" s="12">
        <f>VLOOKUP(KX18,SeasonTable,2,FALSE)</f>
        <v/>
      </c>
      <c r="LA18" s="12">
        <f>(1+InflationRate)^INT((KW18-1)/12)</f>
        <v/>
      </c>
      <c r="LB18" s="11">
        <f>'Sens - Churn'!$A$17*VLOOKUP(KX18,ChurnSeasonTable,4,FALSE)</f>
        <v/>
      </c>
      <c r="LC18" s="12">
        <f>MIN(MAX(MktMin13_18,LW17*MktPct13_18),MAX(0,MK17-CashBuffer))</f>
        <v/>
      </c>
      <c r="LD18" s="12">
        <f>IF(LC18&gt;0,MAX(1,ROUND(LC18/CAC*KZ18,0)),0)</f>
        <v/>
      </c>
      <c r="LE18" s="12">
        <f>IF(LD18&gt;0,ROUND(LD18*ReferralMix/(1-ReferralMix),0),0)</f>
        <v/>
      </c>
      <c r="LF18" s="12">
        <f>LD18+LE18</f>
        <v/>
      </c>
      <c r="LG18" s="12">
        <f>ROUND(LF18*(1-AnnualMix),0)</f>
        <v/>
      </c>
      <c r="LH18" s="12">
        <f>LF18-LG18</f>
        <v/>
      </c>
      <c r="LI18" s="12">
        <f>ROUND(LG18*EssentialMix,0)</f>
        <v/>
      </c>
      <c r="LJ18" s="12">
        <f>LG18-LI18</f>
        <v/>
      </c>
      <c r="LK18" s="12">
        <f>ROUND(LH18*EssentialMix,0)</f>
        <v/>
      </c>
      <c r="LL18" s="12">
        <f>LH18-LK18</f>
        <v/>
      </c>
      <c r="LM18" s="12">
        <f>LI18+LI17+LI16+MAX(0,LM17-LI17-LI16)*(1-LB18)</f>
        <v/>
      </c>
      <c r="LN18" s="12">
        <f>LJ18+LJ17+LJ16+MAX(0,LN17-LJ17-LJ16)*(1-LB18)</f>
        <v/>
      </c>
      <c r="LO18" s="12">
        <f>LO17+LK18-LK6*(AnnualChurn*VLOOKUP(KX18,ChurnSeasonTable,4,FALSE))*POWER(1-(AnnualChurn*VLOOKUP(KX18,ChurnSeasonTable,4,FALSE)),0)</f>
        <v/>
      </c>
      <c r="LP18" s="12">
        <f>LP17+LL18-LL6*(AnnualChurn*VLOOKUP(KX18,ChurnSeasonTable,4,FALSE))*POWER(1-(AnnualChurn*VLOOKUP(KX18,ChurnSeasonTable,4,FALSE)),0)</f>
        <v/>
      </c>
      <c r="LQ18" s="12">
        <f>LM18+LN18+LO18+LP18</f>
        <v/>
      </c>
      <c r="LR18" s="9">
        <f>LM18*PriceEssMonthly*LA18+LN18*PricePremMonthly*LA18+LO18*PriceEssAnnual*LA18/12+LP18*PricePremAnnual*LA18/12</f>
        <v/>
      </c>
      <c r="LS18" s="9">
        <f>LR18*12</f>
        <v/>
      </c>
      <c r="LT18" s="12">
        <f>LM18*PriceEssMonthly*LA18+LN18*PricePremMonthly*LA18</f>
        <v/>
      </c>
      <c r="LU18" s="12">
        <f>LK18*PriceEssAnnual*LA18+LL18*PricePremAnnual*LA18</f>
        <v/>
      </c>
      <c r="LV18" s="12">
        <f>LK6*POWER(1-(AnnualChurn*VLOOKUP(KX18,ChurnSeasonTable,4,FALSE)),1)*PriceEssAnnual*LA18+LL6*POWER(1-(AnnualChurn*VLOOKUP(KX18,ChurnSeasonTable,4,FALSE)),1)*PricePremAnnual*LA18</f>
        <v/>
      </c>
      <c r="LW18" s="9">
        <f>LT18+LU18+LV18</f>
        <v/>
      </c>
      <c r="LX18" s="12">
        <f>SUM(LW7:LW18)</f>
        <v/>
      </c>
      <c r="LY18" s="12">
        <f>OR(LY17,LX18&gt;=VATThreshold)</f>
        <v/>
      </c>
      <c r="LZ18" s="9">
        <f>IF(LY18,LW18/(1+VATRate),LW18)</f>
        <v/>
      </c>
      <c r="MA18" s="12">
        <f>LW18-LZ18</f>
        <v/>
      </c>
      <c r="MB18" s="12">
        <f>IF(LY18=0,0,IF(KX18=1,SUMPRODUCT(--(($KY$5:$KY18=$KY18-1)*($KX$5:$KX18&gt;=10)*($KX$5:$KX18&lt;=12)),$MA$5:$MA18),IF(KX18=4,SUMPRODUCT(--(($KY$5:$KY18=$KY18)*($KX$5:$KX18&gt;=1)*($KX$5:$KX18&lt;=3)),$MA$5:$MA18),IF(KX18=7,SUMPRODUCT(--(($KY$5:$KY18=$KY18)*($KX$5:$KX18&gt;=4)*($KX$5:$KX18&lt;=6)),$MA$5:$MA18),IF(KX18=10,SUMPRODUCT(--(($KY$5:$KY18=$KY18)*($KX$5:$KX18&gt;=7)*($KX$5:$KX18&lt;=9)),$MA$5:$MA18),0)))))</f>
        <v/>
      </c>
      <c r="MC18" s="12">
        <f>MC17+MA18-MB18</f>
        <v/>
      </c>
      <c r="MD18" s="12">
        <f>IF(ProviderDelay&gt;=1,LZ17*ProviderShare,LZ18*ProviderShare)</f>
        <v/>
      </c>
      <c r="ME18" s="12">
        <f>LW18*PaymentFee</f>
        <v/>
      </c>
      <c r="MF18" s="12">
        <f>LQ18*OpsAI</f>
        <v/>
      </c>
      <c r="MG18" s="12">
        <f>MonthlyFixed</f>
        <v/>
      </c>
      <c r="MH18" s="12">
        <f>LE18*ReferralReward</f>
        <v/>
      </c>
      <c r="MI18" s="12">
        <f>LC18</f>
        <v/>
      </c>
      <c r="MJ18" s="9">
        <f>LZ18-MD18-ME18-MF18-MG18-MH18-MI18</f>
        <v/>
      </c>
      <c r="MK18" s="9">
        <f>MK17+LW18-(MD18+ME18+MF18+MG18+MH18+MI18+MB18)</f>
        <v/>
      </c>
      <c r="ML18" s="12">
        <f>IF(LQ18&gt;0,LR18/LQ18,0)</f>
        <v/>
      </c>
      <c r="MM18" s="11">
        <f>IF(LQ17&gt;0,MAX(0,(LQ17+LF18-LQ18)/LQ17),0)</f>
        <v/>
      </c>
      <c r="MO18" s="12" t="n">
        <v>14</v>
      </c>
      <c r="MP18" s="12">
        <f>MOD(MO18-1+LaunchMonth-1,12)+1</f>
        <v/>
      </c>
      <c r="MQ18" s="12">
        <f>INT((MO18-1+LaunchMonth-1)/12)+1</f>
        <v/>
      </c>
      <c r="MR18" s="12">
        <f>VLOOKUP(MP18,SeasonTable,2,FALSE)</f>
        <v/>
      </c>
      <c r="MS18" s="12">
        <f>(1+InflationRate)^INT((MO18-1)/12)</f>
        <v/>
      </c>
      <c r="MT18" s="11">
        <f>'Sens - Churn'!$A$18*VLOOKUP(MP18,ChurnSeasonTable,4,FALSE)</f>
        <v/>
      </c>
      <c r="MU18" s="12">
        <f>MIN(MAX(MktMin13_18,NO17*MktPct13_18),MAX(0,OC17-CashBuffer))</f>
        <v/>
      </c>
      <c r="MV18" s="12">
        <f>IF(MU18&gt;0,MAX(1,ROUND(MU18/CAC*MR18,0)),0)</f>
        <v/>
      </c>
      <c r="MW18" s="12">
        <f>IF(MV18&gt;0,ROUND(MV18*ReferralMix/(1-ReferralMix),0),0)</f>
        <v/>
      </c>
      <c r="MX18" s="12">
        <f>MV18+MW18</f>
        <v/>
      </c>
      <c r="MY18" s="12">
        <f>ROUND(MX18*(1-AnnualMix),0)</f>
        <v/>
      </c>
      <c r="MZ18" s="12">
        <f>MX18-MY18</f>
        <v/>
      </c>
      <c r="NA18" s="12">
        <f>ROUND(MY18*EssentialMix,0)</f>
        <v/>
      </c>
      <c r="NB18" s="12">
        <f>MY18-NA18</f>
        <v/>
      </c>
      <c r="NC18" s="12">
        <f>ROUND(MZ18*EssentialMix,0)</f>
        <v/>
      </c>
      <c r="ND18" s="12">
        <f>MZ18-NC18</f>
        <v/>
      </c>
      <c r="NE18" s="12">
        <f>NA18+NA17+NA16+MAX(0,NE17-NA17-NA16)*(1-MT18)</f>
        <v/>
      </c>
      <c r="NF18" s="12">
        <f>NB18+NB17+NB16+MAX(0,NF17-NB17-NB16)*(1-MT18)</f>
        <v/>
      </c>
      <c r="NG18" s="12">
        <f>NG17+NC18-NC6*(AnnualChurn*VLOOKUP(MP18,ChurnSeasonTable,4,FALSE))*POWER(1-(AnnualChurn*VLOOKUP(MP18,ChurnSeasonTable,4,FALSE)),0)</f>
        <v/>
      </c>
      <c r="NH18" s="12">
        <f>NH17+ND18-ND6*(AnnualChurn*VLOOKUP(MP18,ChurnSeasonTable,4,FALSE))*POWER(1-(AnnualChurn*VLOOKUP(MP18,ChurnSeasonTable,4,FALSE)),0)</f>
        <v/>
      </c>
      <c r="NI18" s="12">
        <f>NE18+NF18+NG18+NH18</f>
        <v/>
      </c>
      <c r="NJ18" s="9">
        <f>NE18*PriceEssMonthly*MS18+NF18*PricePremMonthly*MS18+NG18*PriceEssAnnual*MS18/12+NH18*PricePremAnnual*MS18/12</f>
        <v/>
      </c>
      <c r="NK18" s="9">
        <f>NJ18*12</f>
        <v/>
      </c>
      <c r="NL18" s="12">
        <f>NE18*PriceEssMonthly*MS18+NF18*PricePremMonthly*MS18</f>
        <v/>
      </c>
      <c r="NM18" s="12">
        <f>NC18*PriceEssAnnual*MS18+ND18*PricePremAnnual*MS18</f>
        <v/>
      </c>
      <c r="NN18" s="12">
        <f>NC6*POWER(1-(AnnualChurn*VLOOKUP(MP18,ChurnSeasonTable,4,FALSE)),1)*PriceEssAnnual*MS18+ND6*POWER(1-(AnnualChurn*VLOOKUP(MP18,ChurnSeasonTable,4,FALSE)),1)*PricePremAnnual*MS18</f>
        <v/>
      </c>
      <c r="NO18" s="9">
        <f>NL18+NM18+NN18</f>
        <v/>
      </c>
      <c r="NP18" s="12">
        <f>SUM(NO7:NO18)</f>
        <v/>
      </c>
      <c r="NQ18" s="12">
        <f>OR(NQ17,NP18&gt;=VATThreshold)</f>
        <v/>
      </c>
      <c r="NR18" s="9">
        <f>IF(NQ18,NO18/(1+VATRate),NO18)</f>
        <v/>
      </c>
      <c r="NS18" s="12">
        <f>NO18-NR18</f>
        <v/>
      </c>
      <c r="NT18" s="12">
        <f>IF(NQ18=0,0,IF(MP18=1,SUMPRODUCT(--(($MQ$5:$MQ18=$MQ18-1)*($MP$5:$MP18&gt;=10)*($MP$5:$MP18&lt;=12)),$NS$5:$NS18),IF(MP18=4,SUMPRODUCT(--(($MQ$5:$MQ18=$MQ18)*($MP$5:$MP18&gt;=1)*($MP$5:$MP18&lt;=3)),$NS$5:$NS18),IF(MP18=7,SUMPRODUCT(--(($MQ$5:$MQ18=$MQ18)*($MP$5:$MP18&gt;=4)*($MP$5:$MP18&lt;=6)),$NS$5:$NS18),IF(MP18=10,SUMPRODUCT(--(($MQ$5:$MQ18=$MQ18)*($MP$5:$MP18&gt;=7)*($MP$5:$MP18&lt;=9)),$NS$5:$NS18),0)))))</f>
        <v/>
      </c>
      <c r="NU18" s="12">
        <f>NU17+NS18-NT18</f>
        <v/>
      </c>
      <c r="NV18" s="12">
        <f>IF(ProviderDelay&gt;=1,NR17*ProviderShare,NR18*ProviderShare)</f>
        <v/>
      </c>
      <c r="NW18" s="12">
        <f>NO18*PaymentFee</f>
        <v/>
      </c>
      <c r="NX18" s="12">
        <f>NI18*OpsAI</f>
        <v/>
      </c>
      <c r="NY18" s="12">
        <f>MonthlyFixed</f>
        <v/>
      </c>
      <c r="NZ18" s="12">
        <f>MW18*ReferralReward</f>
        <v/>
      </c>
      <c r="OA18" s="12">
        <f>MU18</f>
        <v/>
      </c>
      <c r="OB18" s="9">
        <f>NR18-NV18-NW18-NX18-NY18-NZ18-OA18</f>
        <v/>
      </c>
      <c r="OC18" s="9">
        <f>OC17+NO18-(NV18+NW18+NX18+NY18+NZ18+OA18+NT18)</f>
        <v/>
      </c>
      <c r="OD18" s="12">
        <f>IF(NI18&gt;0,NJ18/NI18,0)</f>
        <v/>
      </c>
      <c r="OE18" s="11">
        <f>IF(NI17&gt;0,MAX(0,(NI17+MX18-NI18)/NI17),0)</f>
        <v/>
      </c>
      <c r="OG18" s="12" t="n">
        <v>14</v>
      </c>
      <c r="OH18" s="12">
        <f>MOD(OG18-1+LaunchMonth-1,12)+1</f>
        <v/>
      </c>
      <c r="OI18" s="12">
        <f>INT((OG18-1+LaunchMonth-1)/12)+1</f>
        <v/>
      </c>
      <c r="OJ18" s="12">
        <f>VLOOKUP(OH18,SeasonTable,2,FALSE)</f>
        <v/>
      </c>
      <c r="OK18" s="12">
        <f>(1+InflationRate)^INT((OG18-1)/12)</f>
        <v/>
      </c>
      <c r="OL18" s="11">
        <f>'Sens - Churn'!$A$19*VLOOKUP(OH18,ChurnSeasonTable,4,FALSE)</f>
        <v/>
      </c>
      <c r="OM18" s="12">
        <f>MIN(MAX(MktMin13_18,PG17*MktPct13_18),MAX(0,PU17-CashBuffer))</f>
        <v/>
      </c>
      <c r="ON18" s="12">
        <f>IF(OM18&gt;0,MAX(1,ROUND(OM18/CAC*OJ18,0)),0)</f>
        <v/>
      </c>
      <c r="OO18" s="12">
        <f>IF(ON18&gt;0,ROUND(ON18*ReferralMix/(1-ReferralMix),0),0)</f>
        <v/>
      </c>
      <c r="OP18" s="12">
        <f>ON18+OO18</f>
        <v/>
      </c>
      <c r="OQ18" s="12">
        <f>ROUND(OP18*(1-AnnualMix),0)</f>
        <v/>
      </c>
      <c r="OR18" s="12">
        <f>OP18-OQ18</f>
        <v/>
      </c>
      <c r="OS18" s="12">
        <f>ROUND(OQ18*EssentialMix,0)</f>
        <v/>
      </c>
      <c r="OT18" s="12">
        <f>OQ18-OS18</f>
        <v/>
      </c>
      <c r="OU18" s="12">
        <f>ROUND(OR18*EssentialMix,0)</f>
        <v/>
      </c>
      <c r="OV18" s="12">
        <f>OR18-OU18</f>
        <v/>
      </c>
      <c r="OW18" s="12">
        <f>OS18+OS17+OS16+MAX(0,OW17-OS17-OS16)*(1-OL18)</f>
        <v/>
      </c>
      <c r="OX18" s="12">
        <f>OT18+OT17+OT16+MAX(0,OX17-OT17-OT16)*(1-OL18)</f>
        <v/>
      </c>
      <c r="OY18" s="12">
        <f>OY17+OU18-OU6*(AnnualChurn*VLOOKUP(OH18,ChurnSeasonTable,4,FALSE))*POWER(1-(AnnualChurn*VLOOKUP(OH18,ChurnSeasonTable,4,FALSE)),0)</f>
        <v/>
      </c>
      <c r="OZ18" s="12">
        <f>OZ17+OV18-OV6*(AnnualChurn*VLOOKUP(OH18,ChurnSeasonTable,4,FALSE))*POWER(1-(AnnualChurn*VLOOKUP(OH18,ChurnSeasonTable,4,FALSE)),0)</f>
        <v/>
      </c>
      <c r="PA18" s="12">
        <f>OW18+OX18+OY18+OZ18</f>
        <v/>
      </c>
      <c r="PB18" s="9">
        <f>OW18*PriceEssMonthly*OK18+OX18*PricePremMonthly*OK18+OY18*PriceEssAnnual*OK18/12+OZ18*PricePremAnnual*OK18/12</f>
        <v/>
      </c>
      <c r="PC18" s="9">
        <f>PB18*12</f>
        <v/>
      </c>
      <c r="PD18" s="12">
        <f>OW18*PriceEssMonthly*OK18+OX18*PricePremMonthly*OK18</f>
        <v/>
      </c>
      <c r="PE18" s="12">
        <f>OU18*PriceEssAnnual*OK18+OV18*PricePremAnnual*OK18</f>
        <v/>
      </c>
      <c r="PF18" s="12">
        <f>OU6*POWER(1-(AnnualChurn*VLOOKUP(OH18,ChurnSeasonTable,4,FALSE)),1)*PriceEssAnnual*OK18+OV6*POWER(1-(AnnualChurn*VLOOKUP(OH18,ChurnSeasonTable,4,FALSE)),1)*PricePremAnnual*OK18</f>
        <v/>
      </c>
      <c r="PG18" s="9">
        <f>PD18+PE18+PF18</f>
        <v/>
      </c>
      <c r="PH18" s="12">
        <f>SUM(PG7:PG18)</f>
        <v/>
      </c>
      <c r="PI18" s="12">
        <f>OR(PI17,PH18&gt;=VATThreshold)</f>
        <v/>
      </c>
      <c r="PJ18" s="9">
        <f>IF(PI18,PG18/(1+VATRate),PG18)</f>
        <v/>
      </c>
      <c r="PK18" s="12">
        <f>PG18-PJ18</f>
        <v/>
      </c>
      <c r="PL18" s="12">
        <f>IF(PI18=0,0,IF(OH18=1,SUMPRODUCT(--(($OI$5:$OI18=$OI18-1)*($OH$5:$OH18&gt;=10)*($OH$5:$OH18&lt;=12)),$PK$5:$PK18),IF(OH18=4,SUMPRODUCT(--(($OI$5:$OI18=$OI18)*($OH$5:$OH18&gt;=1)*($OH$5:$OH18&lt;=3)),$PK$5:$PK18),IF(OH18=7,SUMPRODUCT(--(($OI$5:$OI18=$OI18)*($OH$5:$OH18&gt;=4)*($OH$5:$OH18&lt;=6)),$PK$5:$PK18),IF(OH18=10,SUMPRODUCT(--(($OI$5:$OI18=$OI18)*($OH$5:$OH18&gt;=7)*($OH$5:$OH18&lt;=9)),$PK$5:$PK18),0)))))</f>
        <v/>
      </c>
      <c r="PM18" s="12">
        <f>PM17+PK18-PL18</f>
        <v/>
      </c>
      <c r="PN18" s="12">
        <f>IF(ProviderDelay&gt;=1,PJ17*ProviderShare,PJ18*ProviderShare)</f>
        <v/>
      </c>
      <c r="PO18" s="12">
        <f>PG18*PaymentFee</f>
        <v/>
      </c>
      <c r="PP18" s="12">
        <f>PA18*OpsAI</f>
        <v/>
      </c>
      <c r="PQ18" s="12">
        <f>MonthlyFixed</f>
        <v/>
      </c>
      <c r="PR18" s="12">
        <f>OO18*ReferralReward</f>
        <v/>
      </c>
      <c r="PS18" s="12">
        <f>OM18</f>
        <v/>
      </c>
      <c r="PT18" s="9">
        <f>PJ18-PN18-PO18-PP18-PQ18-PR18-PS18</f>
        <v/>
      </c>
      <c r="PU18" s="9">
        <f>PU17+PG18-(PN18+PO18+PP18+PQ18+PR18+PS18+PL18)</f>
        <v/>
      </c>
      <c r="PV18" s="12">
        <f>IF(PA18&gt;0,PB18/PA18,0)</f>
        <v/>
      </c>
      <c r="PW18" s="11">
        <f>IF(PA17&gt;0,MAX(0,(PA17+OP18-PA18)/PA17),0)</f>
        <v/>
      </c>
      <c r="PY18" s="12" t="n">
        <v>14</v>
      </c>
      <c r="PZ18" s="12">
        <f>MOD(PY18-1+LaunchMonth-1,12)+1</f>
        <v/>
      </c>
      <c r="QA18" s="12">
        <f>INT((PY18-1+LaunchMonth-1)/12)+1</f>
        <v/>
      </c>
      <c r="QB18" s="12">
        <f>VLOOKUP(PZ18,SeasonTable,2,FALSE)</f>
        <v/>
      </c>
      <c r="QC18" s="12">
        <f>(1+InflationRate)^INT((PY18-1)/12)</f>
        <v/>
      </c>
      <c r="QD18" s="11">
        <f>'Sens - Churn'!$A$20*VLOOKUP(PZ18,ChurnSeasonTable,4,FALSE)</f>
        <v/>
      </c>
      <c r="QE18" s="12">
        <f>MIN(MAX(MktMin13_18,QY17*MktPct13_18),MAX(0,RM17-CashBuffer))</f>
        <v/>
      </c>
      <c r="QF18" s="12">
        <f>IF(QE18&gt;0,MAX(1,ROUND(QE18/CAC*QB18,0)),0)</f>
        <v/>
      </c>
      <c r="QG18" s="12">
        <f>IF(QF18&gt;0,ROUND(QF18*ReferralMix/(1-ReferralMix),0),0)</f>
        <v/>
      </c>
      <c r="QH18" s="12">
        <f>QF18+QG18</f>
        <v/>
      </c>
      <c r="QI18" s="12">
        <f>ROUND(QH18*(1-AnnualMix),0)</f>
        <v/>
      </c>
      <c r="QJ18" s="12">
        <f>QH18-QI18</f>
        <v/>
      </c>
      <c r="QK18" s="12">
        <f>ROUND(QI18*EssentialMix,0)</f>
        <v/>
      </c>
      <c r="QL18" s="12">
        <f>QI18-QK18</f>
        <v/>
      </c>
      <c r="QM18" s="12">
        <f>ROUND(QJ18*EssentialMix,0)</f>
        <v/>
      </c>
      <c r="QN18" s="12">
        <f>QJ18-QM18</f>
        <v/>
      </c>
      <c r="QO18" s="12">
        <f>QK18+QK17+QK16+MAX(0,QO17-QK17-QK16)*(1-QD18)</f>
        <v/>
      </c>
      <c r="QP18" s="12">
        <f>QL18+QL17+QL16+MAX(0,QP17-QL17-QL16)*(1-QD18)</f>
        <v/>
      </c>
      <c r="QQ18" s="12">
        <f>QQ17+QM18-QM6*(AnnualChurn*VLOOKUP(PZ18,ChurnSeasonTable,4,FALSE))*POWER(1-(AnnualChurn*VLOOKUP(PZ18,ChurnSeasonTable,4,FALSE)),0)</f>
        <v/>
      </c>
      <c r="QR18" s="12">
        <f>QR17+QN18-QN6*(AnnualChurn*VLOOKUP(PZ18,ChurnSeasonTable,4,FALSE))*POWER(1-(AnnualChurn*VLOOKUP(PZ18,ChurnSeasonTable,4,FALSE)),0)</f>
        <v/>
      </c>
      <c r="QS18" s="12">
        <f>QO18+QP18+QQ18+QR18</f>
        <v/>
      </c>
      <c r="QT18" s="9">
        <f>QO18*PriceEssMonthly*QC18+QP18*PricePremMonthly*QC18+QQ18*PriceEssAnnual*QC18/12+QR18*PricePremAnnual*QC18/12</f>
        <v/>
      </c>
      <c r="QU18" s="9">
        <f>QT18*12</f>
        <v/>
      </c>
      <c r="QV18" s="12">
        <f>QO18*PriceEssMonthly*QC18+QP18*PricePremMonthly*QC18</f>
        <v/>
      </c>
      <c r="QW18" s="12">
        <f>QM18*PriceEssAnnual*QC18+QN18*PricePremAnnual*QC18</f>
        <v/>
      </c>
      <c r="QX18" s="12">
        <f>QM6*POWER(1-(AnnualChurn*VLOOKUP(PZ18,ChurnSeasonTable,4,FALSE)),1)*PriceEssAnnual*QC18+QN6*POWER(1-(AnnualChurn*VLOOKUP(PZ18,ChurnSeasonTable,4,FALSE)),1)*PricePremAnnual*QC18</f>
        <v/>
      </c>
      <c r="QY18" s="9">
        <f>QV18+QW18+QX18</f>
        <v/>
      </c>
      <c r="QZ18" s="12">
        <f>SUM(QY7:QY18)</f>
        <v/>
      </c>
      <c r="RA18" s="12">
        <f>OR(RA17,QZ18&gt;=VATThreshold)</f>
        <v/>
      </c>
      <c r="RB18" s="9">
        <f>IF(RA18,QY18/(1+VATRate),QY18)</f>
        <v/>
      </c>
      <c r="RC18" s="12">
        <f>QY18-RB18</f>
        <v/>
      </c>
      <c r="RD18" s="12">
        <f>IF(RA18=0,0,IF(PZ18=1,SUMPRODUCT(--(($QA$5:$QA18=$QA18-1)*($PZ$5:$PZ18&gt;=10)*($PZ$5:$PZ18&lt;=12)),$RC$5:$RC18),IF(PZ18=4,SUMPRODUCT(--(($QA$5:$QA18=$QA18)*($PZ$5:$PZ18&gt;=1)*($PZ$5:$PZ18&lt;=3)),$RC$5:$RC18),IF(PZ18=7,SUMPRODUCT(--(($QA$5:$QA18=$QA18)*($PZ$5:$PZ18&gt;=4)*($PZ$5:$PZ18&lt;=6)),$RC$5:$RC18),IF(PZ18=10,SUMPRODUCT(--(($QA$5:$QA18=$QA18)*($PZ$5:$PZ18&gt;=7)*($PZ$5:$PZ18&lt;=9)),$RC$5:$RC18),0)))))</f>
        <v/>
      </c>
      <c r="RE18" s="12">
        <f>RE17+RC18-RD18</f>
        <v/>
      </c>
      <c r="RF18" s="12">
        <f>IF(ProviderDelay&gt;=1,RB17*ProviderShare,RB18*ProviderShare)</f>
        <v/>
      </c>
      <c r="RG18" s="12">
        <f>QY18*PaymentFee</f>
        <v/>
      </c>
      <c r="RH18" s="12">
        <f>QS18*OpsAI</f>
        <v/>
      </c>
      <c r="RI18" s="12">
        <f>MonthlyFixed</f>
        <v/>
      </c>
      <c r="RJ18" s="12">
        <f>QG18*ReferralReward</f>
        <v/>
      </c>
      <c r="RK18" s="12">
        <f>QE18</f>
        <v/>
      </c>
      <c r="RL18" s="9">
        <f>RB18-RF18-RG18-RH18-RI18-RJ18-RK18</f>
        <v/>
      </c>
      <c r="RM18" s="9">
        <f>RM17+QY18-(RF18+RG18+RH18+RI18+RJ18+RK18+RD18)</f>
        <v/>
      </c>
      <c r="RN18" s="12">
        <f>IF(QS18&gt;0,QT18/QS18,0)</f>
        <v/>
      </c>
      <c r="RO18" s="11">
        <f>IF(QS17&gt;0,MAX(0,(QS17+QH18-QS18)/QS17),0)</f>
        <v/>
      </c>
      <c r="RQ18" s="12" t="n">
        <v>14</v>
      </c>
      <c r="RR18" s="12">
        <f>MOD(RQ18-1+LaunchMonth-1,12)+1</f>
        <v/>
      </c>
      <c r="RS18" s="12">
        <f>INT((RQ18-1+LaunchMonth-1)/12)+1</f>
        <v/>
      </c>
      <c r="RT18" s="12">
        <f>VLOOKUP(RR18,SeasonTable,2,FALSE)</f>
        <v/>
      </c>
      <c r="RU18" s="12">
        <f>(1+InflationRate)^INT((RQ18-1)/12)</f>
        <v/>
      </c>
      <c r="RV18" s="11">
        <f>'Sens - Churn'!$A$21*VLOOKUP(RR18,ChurnSeasonTable,4,FALSE)</f>
        <v/>
      </c>
      <c r="RW18" s="12">
        <f>MIN(MAX(MktMin13_18,SQ17*MktPct13_18),MAX(0,TE17-CashBuffer))</f>
        <v/>
      </c>
      <c r="RX18" s="12">
        <f>IF(RW18&gt;0,MAX(1,ROUND(RW18/CAC*RT18,0)),0)</f>
        <v/>
      </c>
      <c r="RY18" s="12">
        <f>IF(RX18&gt;0,ROUND(RX18*ReferralMix/(1-ReferralMix),0),0)</f>
        <v/>
      </c>
      <c r="RZ18" s="12">
        <f>RX18+RY18</f>
        <v/>
      </c>
      <c r="SA18" s="12">
        <f>ROUND(RZ18*(1-AnnualMix),0)</f>
        <v/>
      </c>
      <c r="SB18" s="12">
        <f>RZ18-SA18</f>
        <v/>
      </c>
      <c r="SC18" s="12">
        <f>ROUND(SA18*EssentialMix,0)</f>
        <v/>
      </c>
      <c r="SD18" s="12">
        <f>SA18-SC18</f>
        <v/>
      </c>
      <c r="SE18" s="12">
        <f>ROUND(SB18*EssentialMix,0)</f>
        <v/>
      </c>
      <c r="SF18" s="12">
        <f>SB18-SE18</f>
        <v/>
      </c>
      <c r="SG18" s="12">
        <f>SC18+SC17+SC16+MAX(0,SG17-SC17-SC16)*(1-RV18)</f>
        <v/>
      </c>
      <c r="SH18" s="12">
        <f>SD18+SD17+SD16+MAX(0,SH17-SD17-SD16)*(1-RV18)</f>
        <v/>
      </c>
      <c r="SI18" s="12">
        <f>SI17+SE18-SE6*(AnnualChurn*VLOOKUP(RR18,ChurnSeasonTable,4,FALSE))*POWER(1-(AnnualChurn*VLOOKUP(RR18,ChurnSeasonTable,4,FALSE)),0)</f>
        <v/>
      </c>
      <c r="SJ18" s="12">
        <f>SJ17+SF18-SF6*(AnnualChurn*VLOOKUP(RR18,ChurnSeasonTable,4,FALSE))*POWER(1-(AnnualChurn*VLOOKUP(RR18,ChurnSeasonTable,4,FALSE)),0)</f>
        <v/>
      </c>
      <c r="SK18" s="12">
        <f>SG18+SH18+SI18+SJ18</f>
        <v/>
      </c>
      <c r="SL18" s="9">
        <f>SG18*PriceEssMonthly*RU18+SH18*PricePremMonthly*RU18+SI18*PriceEssAnnual*RU18/12+SJ18*PricePremAnnual*RU18/12</f>
        <v/>
      </c>
      <c r="SM18" s="9">
        <f>SL18*12</f>
        <v/>
      </c>
      <c r="SN18" s="12">
        <f>SG18*PriceEssMonthly*RU18+SH18*PricePremMonthly*RU18</f>
        <v/>
      </c>
      <c r="SO18" s="12">
        <f>SE18*PriceEssAnnual*RU18+SF18*PricePremAnnual*RU18</f>
        <v/>
      </c>
      <c r="SP18" s="12">
        <f>SE6*POWER(1-(AnnualChurn*VLOOKUP(RR18,ChurnSeasonTable,4,FALSE)),1)*PriceEssAnnual*RU18+SF6*POWER(1-(AnnualChurn*VLOOKUP(RR18,ChurnSeasonTable,4,FALSE)),1)*PricePremAnnual*RU18</f>
        <v/>
      </c>
      <c r="SQ18" s="9">
        <f>SN18+SO18+SP18</f>
        <v/>
      </c>
      <c r="SR18" s="12">
        <f>SUM(SQ7:SQ18)</f>
        <v/>
      </c>
      <c r="SS18" s="12">
        <f>OR(SS17,SR18&gt;=VATThreshold)</f>
        <v/>
      </c>
      <c r="ST18" s="9">
        <f>IF(SS18,SQ18/(1+VATRate),SQ18)</f>
        <v/>
      </c>
      <c r="SU18" s="12">
        <f>SQ18-ST18</f>
        <v/>
      </c>
      <c r="SV18" s="12">
        <f>IF(SS18=0,0,IF(RR18=1,SUMPRODUCT(--(($RS$5:$RS18=$RS18-1)*($RR$5:$RR18&gt;=10)*($RR$5:$RR18&lt;=12)),$SU$5:$SU18),IF(RR18=4,SUMPRODUCT(--(($RS$5:$RS18=$RS18)*($RR$5:$RR18&gt;=1)*($RR$5:$RR18&lt;=3)),$SU$5:$SU18),IF(RR18=7,SUMPRODUCT(--(($RS$5:$RS18=$RS18)*($RR$5:$RR18&gt;=4)*($RR$5:$RR18&lt;=6)),$SU$5:$SU18),IF(RR18=10,SUMPRODUCT(--(($RS$5:$RS18=$RS18)*($RR$5:$RR18&gt;=7)*($RR$5:$RR18&lt;=9)),$SU$5:$SU18),0)))))</f>
        <v/>
      </c>
      <c r="SW18" s="12">
        <f>SW17+SU18-SV18</f>
        <v/>
      </c>
      <c r="SX18" s="12">
        <f>IF(ProviderDelay&gt;=1,ST17*ProviderShare,ST18*ProviderShare)</f>
        <v/>
      </c>
      <c r="SY18" s="12">
        <f>SQ18*PaymentFee</f>
        <v/>
      </c>
      <c r="SZ18" s="12">
        <f>SK18*OpsAI</f>
        <v/>
      </c>
      <c r="TA18" s="12">
        <f>MonthlyFixed</f>
        <v/>
      </c>
      <c r="TB18" s="12">
        <f>RY18*ReferralReward</f>
        <v/>
      </c>
      <c r="TC18" s="12">
        <f>RW18</f>
        <v/>
      </c>
      <c r="TD18" s="9">
        <f>ST18-SX18-SY18-SZ18-TA18-TB18-TC18</f>
        <v/>
      </c>
      <c r="TE18" s="9">
        <f>TE17+SQ18-(SX18+SY18+SZ18+TA18+TB18+TC18+SV18)</f>
        <v/>
      </c>
      <c r="TF18" s="12">
        <f>IF(SK18&gt;0,SL18/SK18,0)</f>
        <v/>
      </c>
      <c r="TG18" s="11">
        <f>IF(SK17&gt;0,MAX(0,(SK17+RZ18-SK18)/SK17),0)</f>
        <v/>
      </c>
      <c r="TI18" s="12" t="n">
        <v>14</v>
      </c>
      <c r="TJ18" s="12">
        <f>MOD(TI18-1+LaunchMonth-1,12)+1</f>
        <v/>
      </c>
      <c r="TK18" s="12">
        <f>INT((TI18-1+LaunchMonth-1)/12)+1</f>
        <v/>
      </c>
      <c r="TL18" s="12">
        <f>VLOOKUP(TJ18,SeasonTable,2,FALSE)</f>
        <v/>
      </c>
      <c r="TM18" s="12">
        <f>(1+InflationRate)^INT((TI18-1)/12)</f>
        <v/>
      </c>
      <c r="TN18" s="11">
        <f>MonthlyChurn*VLOOKUP(TJ18,ChurnSeasonTable,4,FALSE)</f>
        <v/>
      </c>
      <c r="TO18" s="12">
        <f>MIN(MAX(MktMin13_18,UI17*MktPct13_18),MAX(0,UW17-CashBuffer))</f>
        <v/>
      </c>
      <c r="TP18" s="12">
        <f>IF(TO18&gt;0,MAX(1,ROUND(TO18/CAC*TL18,0)),0)</f>
        <v/>
      </c>
      <c r="TQ18" s="12">
        <f>IF(TP18&gt;0,ROUND(TP18*ReferralMix/(1-ReferralMix),0),0)</f>
        <v/>
      </c>
      <c r="TR18" s="12">
        <f>TP18+TQ18</f>
        <v/>
      </c>
      <c r="TS18" s="12">
        <f>ROUND(TR18*(1-'Sens - Annual Mix'!$A$9),0)</f>
        <v/>
      </c>
      <c r="TT18" s="12">
        <f>TR18-TS18</f>
        <v/>
      </c>
      <c r="TU18" s="12">
        <f>ROUND(TS18*EssentialMix,0)</f>
        <v/>
      </c>
      <c r="TV18" s="12">
        <f>TS18-TU18</f>
        <v/>
      </c>
      <c r="TW18" s="12">
        <f>ROUND(TT18*EssentialMix,0)</f>
        <v/>
      </c>
      <c r="TX18" s="12">
        <f>TT18-TW18</f>
        <v/>
      </c>
      <c r="TY18" s="12">
        <f>TU18+TU17+TU16+MAX(0,TY17-TU17-TU16)*(1-TN18)</f>
        <v/>
      </c>
      <c r="TZ18" s="12">
        <f>TV18+TV17+TV16+MAX(0,TZ17-TV17-TV16)*(1-TN18)</f>
        <v/>
      </c>
      <c r="UA18" s="12">
        <f>UA17+TW18-TW6*(AnnualChurn*VLOOKUP(TJ18,ChurnSeasonTable,4,FALSE))*POWER(1-(AnnualChurn*VLOOKUP(TJ18,ChurnSeasonTable,4,FALSE)),0)</f>
        <v/>
      </c>
      <c r="UB18" s="12">
        <f>UB17+TX18-TX6*(AnnualChurn*VLOOKUP(TJ18,ChurnSeasonTable,4,FALSE))*POWER(1-(AnnualChurn*VLOOKUP(TJ18,ChurnSeasonTable,4,FALSE)),0)</f>
        <v/>
      </c>
      <c r="UC18" s="12">
        <f>TY18+TZ18+UA18+UB18</f>
        <v/>
      </c>
      <c r="UD18" s="9">
        <f>TY18*PriceEssMonthly*TM18+TZ18*PricePremMonthly*TM18+UA18*PriceEssAnnual*TM18/12+UB18*PricePremAnnual*TM18/12</f>
        <v/>
      </c>
      <c r="UE18" s="9">
        <f>UD18*12</f>
        <v/>
      </c>
      <c r="UF18" s="12">
        <f>TY18*PriceEssMonthly*TM18+TZ18*PricePremMonthly*TM18</f>
        <v/>
      </c>
      <c r="UG18" s="12">
        <f>TW18*PriceEssAnnual*TM18+TX18*PricePremAnnual*TM18</f>
        <v/>
      </c>
      <c r="UH18" s="12">
        <f>TW6*POWER(1-(AnnualChurn*VLOOKUP(TJ18,ChurnSeasonTable,4,FALSE)),1)*PriceEssAnnual*TM18+TX6*POWER(1-(AnnualChurn*VLOOKUP(TJ18,ChurnSeasonTable,4,FALSE)),1)*PricePremAnnual*TM18</f>
        <v/>
      </c>
      <c r="UI18" s="9">
        <f>UF18+UG18+UH18</f>
        <v/>
      </c>
      <c r="UJ18" s="12">
        <f>SUM(UI7:UI18)</f>
        <v/>
      </c>
      <c r="UK18" s="12">
        <f>OR(UK17,UJ18&gt;=VATThreshold)</f>
        <v/>
      </c>
      <c r="UL18" s="9">
        <f>IF(UK18,UI18/(1+VATRate),UI18)</f>
        <v/>
      </c>
      <c r="UM18" s="12">
        <f>UI18-UL18</f>
        <v/>
      </c>
      <c r="UN18" s="12">
        <f>IF(UK18=0,0,IF(TJ18=1,SUMPRODUCT(--(($TK$5:$TK18=$TK18-1)*($TJ$5:$TJ18&gt;=10)*($TJ$5:$TJ18&lt;=12)),$UM$5:$UM18),IF(TJ18=4,SUMPRODUCT(--(($TK$5:$TK18=$TK18)*($TJ$5:$TJ18&gt;=1)*($TJ$5:$TJ18&lt;=3)),$UM$5:$UM18),IF(TJ18=7,SUMPRODUCT(--(($TK$5:$TK18=$TK18)*($TJ$5:$TJ18&gt;=4)*($TJ$5:$TJ18&lt;=6)),$UM$5:$UM18),IF(TJ18=10,SUMPRODUCT(--(($TK$5:$TK18=$TK18)*($TJ$5:$TJ18&gt;=7)*($TJ$5:$TJ18&lt;=9)),$UM$5:$UM18),0)))))</f>
        <v/>
      </c>
      <c r="UO18" s="12">
        <f>UO17+UM18-UN18</f>
        <v/>
      </c>
      <c r="UP18" s="12">
        <f>IF(ProviderDelay&gt;=1,UL17*ProviderShare,UL18*ProviderShare)</f>
        <v/>
      </c>
      <c r="UQ18" s="12">
        <f>UI18*PaymentFee</f>
        <v/>
      </c>
      <c r="UR18" s="12">
        <f>UC18*OpsAI</f>
        <v/>
      </c>
      <c r="US18" s="12">
        <f>MonthlyFixed</f>
        <v/>
      </c>
      <c r="UT18" s="12">
        <f>TQ18*ReferralReward</f>
        <v/>
      </c>
      <c r="UU18" s="12">
        <f>TO18</f>
        <v/>
      </c>
      <c r="UV18" s="9">
        <f>UL18-UP18-UQ18-UR18-US18-UT18-UU18</f>
        <v/>
      </c>
      <c r="UW18" s="9">
        <f>UW17+UI18-(UP18+UQ18+UR18+US18+UT18+UU18+UN18)</f>
        <v/>
      </c>
      <c r="UX18" s="12">
        <f>IF(UC18&gt;0,UD18/UC18,0)</f>
        <v/>
      </c>
      <c r="UY18" s="11">
        <f>IF(UC17&gt;0,MAX(0,(UC17+TR18-UC18)/UC17),0)</f>
        <v/>
      </c>
      <c r="VA18" s="12" t="n">
        <v>14</v>
      </c>
      <c r="VB18" s="12">
        <f>MOD(VA18-1+LaunchMonth-1,12)+1</f>
        <v/>
      </c>
      <c r="VC18" s="12">
        <f>INT((VA18-1+LaunchMonth-1)/12)+1</f>
        <v/>
      </c>
      <c r="VD18" s="12">
        <f>VLOOKUP(VB18,SeasonTable,2,FALSE)</f>
        <v/>
      </c>
      <c r="VE18" s="12">
        <f>(1+InflationRate)^INT((VA18-1)/12)</f>
        <v/>
      </c>
      <c r="VF18" s="11">
        <f>MonthlyChurn*VLOOKUP(VB18,ChurnSeasonTable,4,FALSE)</f>
        <v/>
      </c>
      <c r="VG18" s="12">
        <f>MIN(MAX(MktMin13_18,WA17*MktPct13_18),MAX(0,WO17-CashBuffer))</f>
        <v/>
      </c>
      <c r="VH18" s="12">
        <f>IF(VG18&gt;0,MAX(1,ROUND(VG18/CAC*VD18,0)),0)</f>
        <v/>
      </c>
      <c r="VI18" s="12">
        <f>IF(VH18&gt;0,ROUND(VH18*ReferralMix/(1-ReferralMix),0),0)</f>
        <v/>
      </c>
      <c r="VJ18" s="12">
        <f>VH18+VI18</f>
        <v/>
      </c>
      <c r="VK18" s="12">
        <f>ROUND(VJ18*(1-'Sens - Annual Mix'!$A$10),0)</f>
        <v/>
      </c>
      <c r="VL18" s="12">
        <f>VJ18-VK18</f>
        <v/>
      </c>
      <c r="VM18" s="12">
        <f>ROUND(VK18*EssentialMix,0)</f>
        <v/>
      </c>
      <c r="VN18" s="12">
        <f>VK18-VM18</f>
        <v/>
      </c>
      <c r="VO18" s="12">
        <f>ROUND(VL18*EssentialMix,0)</f>
        <v/>
      </c>
      <c r="VP18" s="12">
        <f>VL18-VO18</f>
        <v/>
      </c>
      <c r="VQ18" s="12">
        <f>VM18+VM17+VM16+MAX(0,VQ17-VM17-VM16)*(1-VF18)</f>
        <v/>
      </c>
      <c r="VR18" s="12">
        <f>VN18+VN17+VN16+MAX(0,VR17-VN17-VN16)*(1-VF18)</f>
        <v/>
      </c>
      <c r="VS18" s="12">
        <f>VS17+VO18-VO6*(AnnualChurn*VLOOKUP(VB18,ChurnSeasonTable,4,FALSE))*POWER(1-(AnnualChurn*VLOOKUP(VB18,ChurnSeasonTable,4,FALSE)),0)</f>
        <v/>
      </c>
      <c r="VT18" s="12">
        <f>VT17+VP18-VP6*(AnnualChurn*VLOOKUP(VB18,ChurnSeasonTable,4,FALSE))*POWER(1-(AnnualChurn*VLOOKUP(VB18,ChurnSeasonTable,4,FALSE)),0)</f>
        <v/>
      </c>
      <c r="VU18" s="12">
        <f>VQ18+VR18+VS18+VT18</f>
        <v/>
      </c>
      <c r="VV18" s="9">
        <f>VQ18*PriceEssMonthly*VE18+VR18*PricePremMonthly*VE18+VS18*PriceEssAnnual*VE18/12+VT18*PricePremAnnual*VE18/12</f>
        <v/>
      </c>
      <c r="VW18" s="9">
        <f>VV18*12</f>
        <v/>
      </c>
      <c r="VX18" s="12">
        <f>VQ18*PriceEssMonthly*VE18+VR18*PricePremMonthly*VE18</f>
        <v/>
      </c>
      <c r="VY18" s="12">
        <f>VO18*PriceEssAnnual*VE18+VP18*PricePremAnnual*VE18</f>
        <v/>
      </c>
      <c r="VZ18" s="12">
        <f>VO6*POWER(1-(AnnualChurn*VLOOKUP(VB18,ChurnSeasonTable,4,FALSE)),1)*PriceEssAnnual*VE18+VP6*POWER(1-(AnnualChurn*VLOOKUP(VB18,ChurnSeasonTable,4,FALSE)),1)*PricePremAnnual*VE18</f>
        <v/>
      </c>
      <c r="WA18" s="9">
        <f>VX18+VY18+VZ18</f>
        <v/>
      </c>
      <c r="WB18" s="12">
        <f>SUM(WA7:WA18)</f>
        <v/>
      </c>
      <c r="WC18" s="12">
        <f>OR(WC17,WB18&gt;=VATThreshold)</f>
        <v/>
      </c>
      <c r="WD18" s="9">
        <f>IF(WC18,WA18/(1+VATRate),WA18)</f>
        <v/>
      </c>
      <c r="WE18" s="12">
        <f>WA18-WD18</f>
        <v/>
      </c>
      <c r="WF18" s="12">
        <f>IF(WC18=0,0,IF(VB18=1,SUMPRODUCT(--(($VC$5:$VC18=$VC18-1)*($VB$5:$VB18&gt;=10)*($VB$5:$VB18&lt;=12)),$WE$5:$WE18),IF(VB18=4,SUMPRODUCT(--(($VC$5:$VC18=$VC18)*($VB$5:$VB18&gt;=1)*($VB$5:$VB18&lt;=3)),$WE$5:$WE18),IF(VB18=7,SUMPRODUCT(--(($VC$5:$VC18=$VC18)*($VB$5:$VB18&gt;=4)*($VB$5:$VB18&lt;=6)),$WE$5:$WE18),IF(VB18=10,SUMPRODUCT(--(($VC$5:$VC18=$VC18)*($VB$5:$VB18&gt;=7)*($VB$5:$VB18&lt;=9)),$WE$5:$WE18),0)))))</f>
        <v/>
      </c>
      <c r="WG18" s="12">
        <f>WG17+WE18-WF18</f>
        <v/>
      </c>
      <c r="WH18" s="12">
        <f>IF(ProviderDelay&gt;=1,WD17*ProviderShare,WD18*ProviderShare)</f>
        <v/>
      </c>
      <c r="WI18" s="12">
        <f>WA18*PaymentFee</f>
        <v/>
      </c>
      <c r="WJ18" s="12">
        <f>VU18*OpsAI</f>
        <v/>
      </c>
      <c r="WK18" s="12">
        <f>MonthlyFixed</f>
        <v/>
      </c>
      <c r="WL18" s="12">
        <f>VI18*ReferralReward</f>
        <v/>
      </c>
      <c r="WM18" s="12">
        <f>VG18</f>
        <v/>
      </c>
      <c r="WN18" s="9">
        <f>WD18-WH18-WI18-WJ18-WK18-WL18-WM18</f>
        <v/>
      </c>
      <c r="WO18" s="9">
        <f>WO17+WA18-(WH18+WI18+WJ18+WK18+WL18+WM18+WF18)</f>
        <v/>
      </c>
      <c r="WP18" s="12">
        <f>IF(VU18&gt;0,VV18/VU18,0)</f>
        <v/>
      </c>
      <c r="WQ18" s="11">
        <f>IF(VU17&gt;0,MAX(0,(VU17+VJ18-VU18)/VU17),0)</f>
        <v/>
      </c>
      <c r="WS18" s="12" t="n">
        <v>14</v>
      </c>
      <c r="WT18" s="12">
        <f>MOD(WS18-1+LaunchMonth-1,12)+1</f>
        <v/>
      </c>
      <c r="WU18" s="12">
        <f>INT((WS18-1+LaunchMonth-1)/12)+1</f>
        <v/>
      </c>
      <c r="WV18" s="12">
        <f>VLOOKUP(WT18,SeasonTable,2,FALSE)</f>
        <v/>
      </c>
      <c r="WW18" s="12">
        <f>(1+InflationRate)^INT((WS18-1)/12)</f>
        <v/>
      </c>
      <c r="WX18" s="11">
        <f>MonthlyChurn*VLOOKUP(WT18,ChurnSeasonTable,4,FALSE)</f>
        <v/>
      </c>
      <c r="WY18" s="12">
        <f>MIN(MAX(MktMin13_18,XS17*MktPct13_18),MAX(0,YG17-CashBuffer))</f>
        <v/>
      </c>
      <c r="WZ18" s="12">
        <f>IF(WY18&gt;0,MAX(1,ROUND(WY18/CAC*WV18,0)),0)</f>
        <v/>
      </c>
      <c r="XA18" s="12">
        <f>IF(WZ18&gt;0,ROUND(WZ18*ReferralMix/(1-ReferralMix),0),0)</f>
        <v/>
      </c>
      <c r="XB18" s="12">
        <f>WZ18+XA18</f>
        <v/>
      </c>
      <c r="XC18" s="12">
        <f>ROUND(XB18*(1-'Sens - Annual Mix'!$A$11),0)</f>
        <v/>
      </c>
      <c r="XD18" s="12">
        <f>XB18-XC18</f>
        <v/>
      </c>
      <c r="XE18" s="12">
        <f>ROUND(XC18*EssentialMix,0)</f>
        <v/>
      </c>
      <c r="XF18" s="12">
        <f>XC18-XE18</f>
        <v/>
      </c>
      <c r="XG18" s="12">
        <f>ROUND(XD18*EssentialMix,0)</f>
        <v/>
      </c>
      <c r="XH18" s="12">
        <f>XD18-XG18</f>
        <v/>
      </c>
      <c r="XI18" s="12">
        <f>XE18+XE17+XE16+MAX(0,XI17-XE17-XE16)*(1-WX18)</f>
        <v/>
      </c>
      <c r="XJ18" s="12">
        <f>XF18+XF17+XF16+MAX(0,XJ17-XF17-XF16)*(1-WX18)</f>
        <v/>
      </c>
      <c r="XK18" s="12">
        <f>XK17+XG18-XG6*(AnnualChurn*VLOOKUP(WT18,ChurnSeasonTable,4,FALSE))*POWER(1-(AnnualChurn*VLOOKUP(WT18,ChurnSeasonTable,4,FALSE)),0)</f>
        <v/>
      </c>
      <c r="XL18" s="12">
        <f>XL17+XH18-XH6*(AnnualChurn*VLOOKUP(WT18,ChurnSeasonTable,4,FALSE))*POWER(1-(AnnualChurn*VLOOKUP(WT18,ChurnSeasonTable,4,FALSE)),0)</f>
        <v/>
      </c>
      <c r="XM18" s="12">
        <f>XI18+XJ18+XK18+XL18</f>
        <v/>
      </c>
      <c r="XN18" s="9">
        <f>XI18*PriceEssMonthly*WW18+XJ18*PricePremMonthly*WW18+XK18*PriceEssAnnual*WW18/12+XL18*PricePremAnnual*WW18/12</f>
        <v/>
      </c>
      <c r="XO18" s="9">
        <f>XN18*12</f>
        <v/>
      </c>
      <c r="XP18" s="12">
        <f>XI18*PriceEssMonthly*WW18+XJ18*PricePremMonthly*WW18</f>
        <v/>
      </c>
      <c r="XQ18" s="12">
        <f>XG18*PriceEssAnnual*WW18+XH18*PricePremAnnual*WW18</f>
        <v/>
      </c>
      <c r="XR18" s="12">
        <f>XG6*POWER(1-(AnnualChurn*VLOOKUP(WT18,ChurnSeasonTable,4,FALSE)),1)*PriceEssAnnual*WW18+XH6*POWER(1-(AnnualChurn*VLOOKUP(WT18,ChurnSeasonTable,4,FALSE)),1)*PricePremAnnual*WW18</f>
        <v/>
      </c>
      <c r="XS18" s="9">
        <f>XP18+XQ18+XR18</f>
        <v/>
      </c>
      <c r="XT18" s="12">
        <f>SUM(XS7:XS18)</f>
        <v/>
      </c>
      <c r="XU18" s="12">
        <f>OR(XU17,XT18&gt;=VATThreshold)</f>
        <v/>
      </c>
      <c r="XV18" s="9">
        <f>IF(XU18,XS18/(1+VATRate),XS18)</f>
        <v/>
      </c>
      <c r="XW18" s="12">
        <f>XS18-XV18</f>
        <v/>
      </c>
      <c r="XX18" s="12">
        <f>IF(XU18=0,0,IF(WT18=1,SUMPRODUCT(--(($WU$5:$WU18=$WU18-1)*($WT$5:$WT18&gt;=10)*($WT$5:$WT18&lt;=12)),$XW$5:$XW18),IF(WT18=4,SUMPRODUCT(--(($WU$5:$WU18=$WU18)*($WT$5:$WT18&gt;=1)*($WT$5:$WT18&lt;=3)),$XW$5:$XW18),IF(WT18=7,SUMPRODUCT(--(($WU$5:$WU18=$WU18)*($WT$5:$WT18&gt;=4)*($WT$5:$WT18&lt;=6)),$XW$5:$XW18),IF(WT18=10,SUMPRODUCT(--(($WU$5:$WU18=$WU18)*($WT$5:$WT18&gt;=7)*($WT$5:$WT18&lt;=9)),$XW$5:$XW18),0)))))</f>
        <v/>
      </c>
      <c r="XY18" s="12">
        <f>XY17+XW18-XX18</f>
        <v/>
      </c>
      <c r="XZ18" s="12">
        <f>IF(ProviderDelay&gt;=1,XV17*ProviderShare,XV18*ProviderShare)</f>
        <v/>
      </c>
      <c r="YA18" s="12">
        <f>XS18*PaymentFee</f>
        <v/>
      </c>
      <c r="YB18" s="12">
        <f>XM18*OpsAI</f>
        <v/>
      </c>
      <c r="YC18" s="12">
        <f>MonthlyFixed</f>
        <v/>
      </c>
      <c r="YD18" s="12">
        <f>XA18*ReferralReward</f>
        <v/>
      </c>
      <c r="YE18" s="12">
        <f>WY18</f>
        <v/>
      </c>
      <c r="YF18" s="9">
        <f>XV18-XZ18-YA18-YB18-YC18-YD18-YE18</f>
        <v/>
      </c>
      <c r="YG18" s="9">
        <f>YG17+XS18-(XZ18+YA18+YB18+YC18+YD18+YE18+XX18)</f>
        <v/>
      </c>
      <c r="YH18" s="12">
        <f>IF(XM18&gt;0,XN18/XM18,0)</f>
        <v/>
      </c>
      <c r="YI18" s="11">
        <f>IF(XM17&gt;0,MAX(0,(XM17+XB18-XM18)/XM17),0)</f>
        <v/>
      </c>
      <c r="YK18" s="12" t="n">
        <v>14</v>
      </c>
      <c r="YL18" s="12">
        <f>MOD(YK18-1+LaunchMonth-1,12)+1</f>
        <v/>
      </c>
      <c r="YM18" s="12">
        <f>INT((YK18-1+LaunchMonth-1)/12)+1</f>
        <v/>
      </c>
      <c r="YN18" s="12">
        <f>VLOOKUP(YL18,SeasonTable,2,FALSE)</f>
        <v/>
      </c>
      <c r="YO18" s="12">
        <f>(1+InflationRate)^INT((YK18-1)/12)</f>
        <v/>
      </c>
      <c r="YP18" s="11">
        <f>MonthlyChurn*VLOOKUP(YL18,ChurnSeasonTable,4,FALSE)</f>
        <v/>
      </c>
      <c r="YQ18" s="12">
        <f>MIN(MAX(MktMin13_18,ZK17*MktPct13_18),MAX(0,ZY17-CashBuffer))</f>
        <v/>
      </c>
      <c r="YR18" s="12">
        <f>IF(YQ18&gt;0,MAX(1,ROUND(YQ18/CAC*YN18,0)),0)</f>
        <v/>
      </c>
      <c r="YS18" s="12">
        <f>IF(YR18&gt;0,ROUND(YR18*ReferralMix/(1-ReferralMix),0),0)</f>
        <v/>
      </c>
      <c r="YT18" s="12">
        <f>YR18+YS18</f>
        <v/>
      </c>
      <c r="YU18" s="12">
        <f>ROUND(YT18*(1-'Sens - Annual Mix'!$A$12),0)</f>
        <v/>
      </c>
      <c r="YV18" s="12">
        <f>YT18-YU18</f>
        <v/>
      </c>
      <c r="YW18" s="12">
        <f>ROUND(YU18*EssentialMix,0)</f>
        <v/>
      </c>
      <c r="YX18" s="12">
        <f>YU18-YW18</f>
        <v/>
      </c>
      <c r="YY18" s="12">
        <f>ROUND(YV18*EssentialMix,0)</f>
        <v/>
      </c>
      <c r="YZ18" s="12">
        <f>YV18-YY18</f>
        <v/>
      </c>
      <c r="ZA18" s="12">
        <f>YW18+YW17+YW16+MAX(0,ZA17-YW17-YW16)*(1-YP18)</f>
        <v/>
      </c>
      <c r="ZB18" s="12">
        <f>YX18+YX17+YX16+MAX(0,ZB17-YX17-YX16)*(1-YP18)</f>
        <v/>
      </c>
      <c r="ZC18" s="12">
        <f>ZC17+YY18-YY6*(AnnualChurn*VLOOKUP(YL18,ChurnSeasonTable,4,FALSE))*POWER(1-(AnnualChurn*VLOOKUP(YL18,ChurnSeasonTable,4,FALSE)),0)</f>
        <v/>
      </c>
      <c r="ZD18" s="12">
        <f>ZD17+YZ18-YZ6*(AnnualChurn*VLOOKUP(YL18,ChurnSeasonTable,4,FALSE))*POWER(1-(AnnualChurn*VLOOKUP(YL18,ChurnSeasonTable,4,FALSE)),0)</f>
        <v/>
      </c>
      <c r="ZE18" s="12">
        <f>ZA18+ZB18+ZC18+ZD18</f>
        <v/>
      </c>
      <c r="ZF18" s="9">
        <f>ZA18*PriceEssMonthly*YO18+ZB18*PricePremMonthly*YO18+ZC18*PriceEssAnnual*YO18/12+ZD18*PricePremAnnual*YO18/12</f>
        <v/>
      </c>
      <c r="ZG18" s="9">
        <f>ZF18*12</f>
        <v/>
      </c>
      <c r="ZH18" s="12">
        <f>ZA18*PriceEssMonthly*YO18+ZB18*PricePremMonthly*YO18</f>
        <v/>
      </c>
      <c r="ZI18" s="12">
        <f>YY18*PriceEssAnnual*YO18+YZ18*PricePremAnnual*YO18</f>
        <v/>
      </c>
      <c r="ZJ18" s="12">
        <f>YY6*POWER(1-(AnnualChurn*VLOOKUP(YL18,ChurnSeasonTable,4,FALSE)),1)*PriceEssAnnual*YO18+YZ6*POWER(1-(AnnualChurn*VLOOKUP(YL18,ChurnSeasonTable,4,FALSE)),1)*PricePremAnnual*YO18</f>
        <v/>
      </c>
      <c r="ZK18" s="9">
        <f>ZH18+ZI18+ZJ18</f>
        <v/>
      </c>
      <c r="ZL18" s="12">
        <f>SUM(ZK7:ZK18)</f>
        <v/>
      </c>
      <c r="ZM18" s="12">
        <f>OR(ZM17,ZL18&gt;=VATThreshold)</f>
        <v/>
      </c>
      <c r="ZN18" s="9">
        <f>IF(ZM18,ZK18/(1+VATRate),ZK18)</f>
        <v/>
      </c>
      <c r="ZO18" s="12">
        <f>ZK18-ZN18</f>
        <v/>
      </c>
      <c r="ZP18" s="12">
        <f>IF(ZM18=0,0,IF(YL18=1,SUMPRODUCT(--(($YM$5:$YM18=$YM18-1)*($YL$5:$YL18&gt;=10)*($YL$5:$YL18&lt;=12)),$ZO$5:$ZO18),IF(YL18=4,SUMPRODUCT(--(($YM$5:$YM18=$YM18)*($YL$5:$YL18&gt;=1)*($YL$5:$YL18&lt;=3)),$ZO$5:$ZO18),IF(YL18=7,SUMPRODUCT(--(($YM$5:$YM18=$YM18)*($YL$5:$YL18&gt;=4)*($YL$5:$YL18&lt;=6)),$ZO$5:$ZO18),IF(YL18=10,SUMPRODUCT(--(($YM$5:$YM18=$YM18)*($YL$5:$YL18&gt;=7)*($YL$5:$YL18&lt;=9)),$ZO$5:$ZO18),0)))))</f>
        <v/>
      </c>
      <c r="ZQ18" s="12">
        <f>ZQ17+ZO18-ZP18</f>
        <v/>
      </c>
      <c r="ZR18" s="12">
        <f>IF(ProviderDelay&gt;=1,ZN17*ProviderShare,ZN18*ProviderShare)</f>
        <v/>
      </c>
      <c r="ZS18" s="12">
        <f>ZK18*PaymentFee</f>
        <v/>
      </c>
      <c r="ZT18" s="12">
        <f>ZE18*OpsAI</f>
        <v/>
      </c>
      <c r="ZU18" s="12">
        <f>MonthlyFixed</f>
        <v/>
      </c>
      <c r="ZV18" s="12">
        <f>YS18*ReferralReward</f>
        <v/>
      </c>
      <c r="ZW18" s="12">
        <f>YQ18</f>
        <v/>
      </c>
      <c r="ZX18" s="9">
        <f>ZN18-ZR18-ZS18-ZT18-ZU18-ZV18-ZW18</f>
        <v/>
      </c>
      <c r="ZY18" s="9">
        <f>ZY17+ZK18-(ZR18+ZS18+ZT18+ZU18+ZV18+ZW18+ZP18)</f>
        <v/>
      </c>
      <c r="ZZ18" s="12">
        <f>IF(ZE18&gt;0,ZF18/ZE18,0)</f>
        <v/>
      </c>
      <c r="AAA18" s="11">
        <f>IF(ZE17&gt;0,MAX(0,(ZE17+YT18-ZE18)/ZE17),0)</f>
        <v/>
      </c>
      <c r="AAC18" s="12" t="n">
        <v>14</v>
      </c>
      <c r="AAD18" s="12">
        <f>MOD(AAC18-1+LaunchMonth-1,12)+1</f>
        <v/>
      </c>
      <c r="AAE18" s="12">
        <f>INT((AAC18-1+LaunchMonth-1)/12)+1</f>
        <v/>
      </c>
      <c r="AAF18" s="12">
        <f>VLOOKUP(AAD18,SeasonTable,2,FALSE)</f>
        <v/>
      </c>
      <c r="AAG18" s="12">
        <f>(1+InflationRate)^INT((AAC18-1)/12)</f>
        <v/>
      </c>
      <c r="AAH18" s="11">
        <f>MonthlyChurn*VLOOKUP(AAD18,ChurnSeasonTable,4,FALSE)</f>
        <v/>
      </c>
      <c r="AAI18" s="12">
        <f>MIN(MAX(MktMin13_18,ABC17*MktPct13_18),MAX(0,ABQ17-CashBuffer))</f>
        <v/>
      </c>
      <c r="AAJ18" s="12">
        <f>IF(AAI18&gt;0,MAX(1,ROUND(AAI18/CAC*AAF18,0)),0)</f>
        <v/>
      </c>
      <c r="AAK18" s="12">
        <f>IF(AAJ18&gt;0,ROUND(AAJ18*ReferralMix/(1-ReferralMix),0),0)</f>
        <v/>
      </c>
      <c r="AAL18" s="12">
        <f>AAJ18+AAK18</f>
        <v/>
      </c>
      <c r="AAM18" s="12">
        <f>ROUND(AAL18*(1-'Sens - Annual Mix'!$A$13),0)</f>
        <v/>
      </c>
      <c r="AAN18" s="12">
        <f>AAL18-AAM18</f>
        <v/>
      </c>
      <c r="AAO18" s="12">
        <f>ROUND(AAM18*EssentialMix,0)</f>
        <v/>
      </c>
      <c r="AAP18" s="12">
        <f>AAM18-AAO18</f>
        <v/>
      </c>
      <c r="AAQ18" s="12">
        <f>ROUND(AAN18*EssentialMix,0)</f>
        <v/>
      </c>
      <c r="AAR18" s="12">
        <f>AAN18-AAQ18</f>
        <v/>
      </c>
      <c r="AAS18" s="12">
        <f>AAO18+AAO17+AAO16+MAX(0,AAS17-AAO17-AAO16)*(1-AAH18)</f>
        <v/>
      </c>
      <c r="AAT18" s="12">
        <f>AAP18+AAP17+AAP16+MAX(0,AAT17-AAP17-AAP16)*(1-AAH18)</f>
        <v/>
      </c>
      <c r="AAU18" s="12">
        <f>AAU17+AAQ18-AAQ6*(AnnualChurn*VLOOKUP(AAD18,ChurnSeasonTable,4,FALSE))*POWER(1-(AnnualChurn*VLOOKUP(AAD18,ChurnSeasonTable,4,FALSE)),0)</f>
        <v/>
      </c>
      <c r="AAV18" s="12">
        <f>AAV17+AAR18-AAR6*(AnnualChurn*VLOOKUP(AAD18,ChurnSeasonTable,4,FALSE))*POWER(1-(AnnualChurn*VLOOKUP(AAD18,ChurnSeasonTable,4,FALSE)),0)</f>
        <v/>
      </c>
      <c r="AAW18" s="12">
        <f>AAS18+AAT18+AAU18+AAV18</f>
        <v/>
      </c>
      <c r="AAX18" s="9">
        <f>AAS18*PriceEssMonthly*AAG18+AAT18*PricePremMonthly*AAG18+AAU18*PriceEssAnnual*AAG18/12+AAV18*PricePremAnnual*AAG18/12</f>
        <v/>
      </c>
      <c r="AAY18" s="9">
        <f>AAX18*12</f>
        <v/>
      </c>
      <c r="AAZ18" s="12">
        <f>AAS18*PriceEssMonthly*AAG18+AAT18*PricePremMonthly*AAG18</f>
        <v/>
      </c>
      <c r="ABA18" s="12">
        <f>AAQ18*PriceEssAnnual*AAG18+AAR18*PricePremAnnual*AAG18</f>
        <v/>
      </c>
      <c r="ABB18" s="12">
        <f>AAQ6*POWER(1-(AnnualChurn*VLOOKUP(AAD18,ChurnSeasonTable,4,FALSE)),1)*PriceEssAnnual*AAG18+AAR6*POWER(1-(AnnualChurn*VLOOKUP(AAD18,ChurnSeasonTable,4,FALSE)),1)*PricePremAnnual*AAG18</f>
        <v/>
      </c>
      <c r="ABC18" s="9">
        <f>AAZ18+ABA18+ABB18</f>
        <v/>
      </c>
      <c r="ABD18" s="12">
        <f>SUM(ABC7:ABC18)</f>
        <v/>
      </c>
      <c r="ABE18" s="12">
        <f>OR(ABE17,ABD18&gt;=VATThreshold)</f>
        <v/>
      </c>
      <c r="ABF18" s="9">
        <f>IF(ABE18,ABC18/(1+VATRate),ABC18)</f>
        <v/>
      </c>
      <c r="ABG18" s="12">
        <f>ABC18-ABF18</f>
        <v/>
      </c>
      <c r="ABH18" s="12">
        <f>IF(ABE18=0,0,IF(AAD18=1,SUMPRODUCT(--(($AAE$5:$AAE18=$AAE18-1)*($AAD$5:$AAD18&gt;=10)*($AAD$5:$AAD18&lt;=12)),$ABG$5:$ABG18),IF(AAD18=4,SUMPRODUCT(--(($AAE$5:$AAE18=$AAE18)*($AAD$5:$AAD18&gt;=1)*($AAD$5:$AAD18&lt;=3)),$ABG$5:$ABG18),IF(AAD18=7,SUMPRODUCT(--(($AAE$5:$AAE18=$AAE18)*($AAD$5:$AAD18&gt;=4)*($AAD$5:$AAD18&lt;=6)),$ABG$5:$ABG18),IF(AAD18=10,SUMPRODUCT(--(($AAE$5:$AAE18=$AAE18)*($AAD$5:$AAD18&gt;=7)*($AAD$5:$AAD18&lt;=9)),$ABG$5:$ABG18),0)))))</f>
        <v/>
      </c>
      <c r="ABI18" s="12">
        <f>ABI17+ABG18-ABH18</f>
        <v/>
      </c>
      <c r="ABJ18" s="12">
        <f>IF(ProviderDelay&gt;=1,ABF17*ProviderShare,ABF18*ProviderShare)</f>
        <v/>
      </c>
      <c r="ABK18" s="12">
        <f>ABC18*PaymentFee</f>
        <v/>
      </c>
      <c r="ABL18" s="12">
        <f>AAW18*OpsAI</f>
        <v/>
      </c>
      <c r="ABM18" s="12">
        <f>MonthlyFixed</f>
        <v/>
      </c>
      <c r="ABN18" s="12">
        <f>AAK18*ReferralReward</f>
        <v/>
      </c>
      <c r="ABO18" s="12">
        <f>AAI18</f>
        <v/>
      </c>
      <c r="ABP18" s="9">
        <f>ABF18-ABJ18-ABK18-ABL18-ABM18-ABN18-ABO18</f>
        <v/>
      </c>
      <c r="ABQ18" s="9">
        <f>ABQ17+ABC18-(ABJ18+ABK18+ABL18+ABM18+ABN18+ABO18+ABH18)</f>
        <v/>
      </c>
      <c r="ABR18" s="12">
        <f>IF(AAW18&gt;0,AAX18/AAW18,0)</f>
        <v/>
      </c>
      <c r="ABS18" s="11">
        <f>IF(AAW17&gt;0,MAX(0,(AAW17+AAL18-AAW18)/AAW17),0)</f>
        <v/>
      </c>
      <c r="ABU18" s="12" t="n">
        <v>14</v>
      </c>
      <c r="ABV18" s="12">
        <f>MOD(ABU18-1+LaunchMonth-1,12)+1</f>
        <v/>
      </c>
      <c r="ABW18" s="12">
        <f>INT((ABU18-1+LaunchMonth-1)/12)+1</f>
        <v/>
      </c>
      <c r="ABX18" s="12">
        <f>VLOOKUP(ABV18,SeasonTable,2,FALSE)</f>
        <v/>
      </c>
      <c r="ABY18" s="12">
        <f>(1+InflationRate)^INT((ABU18-1)/12)</f>
        <v/>
      </c>
      <c r="ABZ18" s="11">
        <f>MonthlyChurn*VLOOKUP(ABV18,ChurnSeasonTable,4,FALSE)</f>
        <v/>
      </c>
      <c r="ACA18" s="12">
        <f>MIN(MAX(MktMin13_18,ACU17*MktPct13_18),MAX(0,ADI17-CashBuffer))</f>
        <v/>
      </c>
      <c r="ACB18" s="12">
        <f>IF(ACA18&gt;0,MAX(1,ROUND(ACA18/CAC*ABX18,0)),0)</f>
        <v/>
      </c>
      <c r="ACC18" s="12">
        <f>IF(ACB18&gt;0,ROUND(ACB18*ReferralMix/(1-ReferralMix),0),0)</f>
        <v/>
      </c>
      <c r="ACD18" s="12">
        <f>ACB18+ACC18</f>
        <v/>
      </c>
      <c r="ACE18" s="12">
        <f>ROUND(ACD18*(1-'Sens - Annual Mix'!$A$14),0)</f>
        <v/>
      </c>
      <c r="ACF18" s="12">
        <f>ACD18-ACE18</f>
        <v/>
      </c>
      <c r="ACG18" s="12">
        <f>ROUND(ACE18*EssentialMix,0)</f>
        <v/>
      </c>
      <c r="ACH18" s="12">
        <f>ACE18-ACG18</f>
        <v/>
      </c>
      <c r="ACI18" s="12">
        <f>ROUND(ACF18*EssentialMix,0)</f>
        <v/>
      </c>
      <c r="ACJ18" s="12">
        <f>ACF18-ACI18</f>
        <v/>
      </c>
      <c r="ACK18" s="12">
        <f>ACG18+ACG17+ACG16+MAX(0,ACK17-ACG17-ACG16)*(1-ABZ18)</f>
        <v/>
      </c>
      <c r="ACL18" s="12">
        <f>ACH18+ACH17+ACH16+MAX(0,ACL17-ACH17-ACH16)*(1-ABZ18)</f>
        <v/>
      </c>
      <c r="ACM18" s="12">
        <f>ACM17+ACI18-ACI6*(AnnualChurn*VLOOKUP(ABV18,ChurnSeasonTable,4,FALSE))*POWER(1-(AnnualChurn*VLOOKUP(ABV18,ChurnSeasonTable,4,FALSE)),0)</f>
        <v/>
      </c>
      <c r="ACN18" s="12">
        <f>ACN17+ACJ18-ACJ6*(AnnualChurn*VLOOKUP(ABV18,ChurnSeasonTable,4,FALSE))*POWER(1-(AnnualChurn*VLOOKUP(ABV18,ChurnSeasonTable,4,FALSE)),0)</f>
        <v/>
      </c>
      <c r="ACO18" s="12">
        <f>ACK18+ACL18+ACM18+ACN18</f>
        <v/>
      </c>
      <c r="ACP18" s="9">
        <f>ACK18*PriceEssMonthly*ABY18+ACL18*PricePremMonthly*ABY18+ACM18*PriceEssAnnual*ABY18/12+ACN18*PricePremAnnual*ABY18/12</f>
        <v/>
      </c>
      <c r="ACQ18" s="9">
        <f>ACP18*12</f>
        <v/>
      </c>
      <c r="ACR18" s="12">
        <f>ACK18*PriceEssMonthly*ABY18+ACL18*PricePremMonthly*ABY18</f>
        <v/>
      </c>
      <c r="ACS18" s="12">
        <f>ACI18*PriceEssAnnual*ABY18+ACJ18*PricePremAnnual*ABY18</f>
        <v/>
      </c>
      <c r="ACT18" s="12">
        <f>ACI6*POWER(1-(AnnualChurn*VLOOKUP(ABV18,ChurnSeasonTable,4,FALSE)),1)*PriceEssAnnual*ABY18+ACJ6*POWER(1-(AnnualChurn*VLOOKUP(ABV18,ChurnSeasonTable,4,FALSE)),1)*PricePremAnnual*ABY18</f>
        <v/>
      </c>
      <c r="ACU18" s="9">
        <f>ACR18+ACS18+ACT18</f>
        <v/>
      </c>
      <c r="ACV18" s="12">
        <f>SUM(ACU7:ACU18)</f>
        <v/>
      </c>
      <c r="ACW18" s="12">
        <f>OR(ACW17,ACV18&gt;=VATThreshold)</f>
        <v/>
      </c>
      <c r="ACX18" s="9">
        <f>IF(ACW18,ACU18/(1+VATRate),ACU18)</f>
        <v/>
      </c>
      <c r="ACY18" s="12">
        <f>ACU18-ACX18</f>
        <v/>
      </c>
      <c r="ACZ18" s="12">
        <f>IF(ACW18=0,0,IF(ABV18=1,SUMPRODUCT(--(($ABW$5:$ABW18=$ABW18-1)*($ABV$5:$ABV18&gt;=10)*($ABV$5:$ABV18&lt;=12)),$ACY$5:$ACY18),IF(ABV18=4,SUMPRODUCT(--(($ABW$5:$ABW18=$ABW18)*($ABV$5:$ABV18&gt;=1)*($ABV$5:$ABV18&lt;=3)),$ACY$5:$ACY18),IF(ABV18=7,SUMPRODUCT(--(($ABW$5:$ABW18=$ABW18)*($ABV$5:$ABV18&gt;=4)*($ABV$5:$ABV18&lt;=6)),$ACY$5:$ACY18),IF(ABV18=10,SUMPRODUCT(--(($ABW$5:$ABW18=$ABW18)*($ABV$5:$ABV18&gt;=7)*($ABV$5:$ABV18&lt;=9)),$ACY$5:$ACY18),0)))))</f>
        <v/>
      </c>
      <c r="ADA18" s="12">
        <f>ADA17+ACY18-ACZ18</f>
        <v/>
      </c>
      <c r="ADB18" s="12">
        <f>IF(ProviderDelay&gt;=1,ACX17*ProviderShare,ACX18*ProviderShare)</f>
        <v/>
      </c>
      <c r="ADC18" s="12">
        <f>ACU18*PaymentFee</f>
        <v/>
      </c>
      <c r="ADD18" s="12">
        <f>ACO18*OpsAI</f>
        <v/>
      </c>
      <c r="ADE18" s="12">
        <f>MonthlyFixed</f>
        <v/>
      </c>
      <c r="ADF18" s="12">
        <f>ACC18*ReferralReward</f>
        <v/>
      </c>
      <c r="ADG18" s="12">
        <f>ACA18</f>
        <v/>
      </c>
      <c r="ADH18" s="9">
        <f>ACX18-ADB18-ADC18-ADD18-ADE18-ADF18-ADG18</f>
        <v/>
      </c>
      <c r="ADI18" s="9">
        <f>ADI17+ACU18-(ADB18+ADC18+ADD18+ADE18+ADF18+ADG18+ACZ18)</f>
        <v/>
      </c>
      <c r="ADJ18" s="12">
        <f>IF(ACO18&gt;0,ACP18/ACO18,0)</f>
        <v/>
      </c>
      <c r="ADK18" s="11">
        <f>IF(ACO17&gt;0,MAX(0,(ACO17+ACD18-ACO18)/ACO17),0)</f>
        <v/>
      </c>
      <c r="ADM18" s="12" t="n">
        <v>14</v>
      </c>
      <c r="ADN18" s="12">
        <f>MOD(ADM18-1+LaunchMonth-1,12)+1</f>
        <v/>
      </c>
      <c r="ADO18" s="12">
        <f>INT((ADM18-1+LaunchMonth-1)/12)+1</f>
        <v/>
      </c>
      <c r="ADP18" s="12">
        <f>VLOOKUP(ADN18,SeasonTable,2,FALSE)</f>
        <v/>
      </c>
      <c r="ADQ18" s="12">
        <f>(1+InflationRate)^INT((ADM18-1)/12)</f>
        <v/>
      </c>
      <c r="ADR18" s="11">
        <f>MonthlyChurn*VLOOKUP(ADN18,ChurnSeasonTable,4,FALSE)</f>
        <v/>
      </c>
      <c r="ADS18" s="12">
        <f>MIN(MAX(MktMin13_18,AEM17*MktPct13_18),MAX(0,AFA17-CashBuffer))</f>
        <v/>
      </c>
      <c r="ADT18" s="12">
        <f>IF(ADS18&gt;0,MAX(1,ROUND(ADS18/CAC*ADP18,0)),0)</f>
        <v/>
      </c>
      <c r="ADU18" s="12">
        <f>IF(ADT18&gt;0,ROUND(ADT18*ReferralMix/(1-ReferralMix),0),0)</f>
        <v/>
      </c>
      <c r="ADV18" s="12">
        <f>ADT18+ADU18</f>
        <v/>
      </c>
      <c r="ADW18" s="12">
        <f>ROUND(ADV18*(1-'Sens - Annual Mix'!$A$15),0)</f>
        <v/>
      </c>
      <c r="ADX18" s="12">
        <f>ADV18-ADW18</f>
        <v/>
      </c>
      <c r="ADY18" s="12">
        <f>ROUND(ADW18*EssentialMix,0)</f>
        <v/>
      </c>
      <c r="ADZ18" s="12">
        <f>ADW18-ADY18</f>
        <v/>
      </c>
      <c r="AEA18" s="12">
        <f>ROUND(ADX18*EssentialMix,0)</f>
        <v/>
      </c>
      <c r="AEB18" s="12">
        <f>ADX18-AEA18</f>
        <v/>
      </c>
      <c r="AEC18" s="12">
        <f>ADY18+ADY17+ADY16+MAX(0,AEC17-ADY17-ADY16)*(1-ADR18)</f>
        <v/>
      </c>
      <c r="AED18" s="12">
        <f>ADZ18+ADZ17+ADZ16+MAX(0,AED17-ADZ17-ADZ16)*(1-ADR18)</f>
        <v/>
      </c>
      <c r="AEE18" s="12">
        <f>AEE17+AEA18-AEA6*(AnnualChurn*VLOOKUP(ADN18,ChurnSeasonTable,4,FALSE))*POWER(1-(AnnualChurn*VLOOKUP(ADN18,ChurnSeasonTable,4,FALSE)),0)</f>
        <v/>
      </c>
      <c r="AEF18" s="12">
        <f>AEF17+AEB18-AEB6*(AnnualChurn*VLOOKUP(ADN18,ChurnSeasonTable,4,FALSE))*POWER(1-(AnnualChurn*VLOOKUP(ADN18,ChurnSeasonTable,4,FALSE)),0)</f>
        <v/>
      </c>
      <c r="AEG18" s="12">
        <f>AEC18+AED18+AEE18+AEF18</f>
        <v/>
      </c>
      <c r="AEH18" s="9">
        <f>AEC18*PriceEssMonthly*ADQ18+AED18*PricePremMonthly*ADQ18+AEE18*PriceEssAnnual*ADQ18/12+AEF18*PricePremAnnual*ADQ18/12</f>
        <v/>
      </c>
      <c r="AEI18" s="9">
        <f>AEH18*12</f>
        <v/>
      </c>
      <c r="AEJ18" s="12">
        <f>AEC18*PriceEssMonthly*ADQ18+AED18*PricePremMonthly*ADQ18</f>
        <v/>
      </c>
      <c r="AEK18" s="12">
        <f>AEA18*PriceEssAnnual*ADQ18+AEB18*PricePremAnnual*ADQ18</f>
        <v/>
      </c>
      <c r="AEL18" s="12">
        <f>AEA6*POWER(1-(AnnualChurn*VLOOKUP(ADN18,ChurnSeasonTable,4,FALSE)),1)*PriceEssAnnual*ADQ18+AEB6*POWER(1-(AnnualChurn*VLOOKUP(ADN18,ChurnSeasonTable,4,FALSE)),1)*PricePremAnnual*ADQ18</f>
        <v/>
      </c>
      <c r="AEM18" s="9">
        <f>AEJ18+AEK18+AEL18</f>
        <v/>
      </c>
      <c r="AEN18" s="12">
        <f>SUM(AEM7:AEM18)</f>
        <v/>
      </c>
      <c r="AEO18" s="12">
        <f>OR(AEO17,AEN18&gt;=VATThreshold)</f>
        <v/>
      </c>
      <c r="AEP18" s="9">
        <f>IF(AEO18,AEM18/(1+VATRate),AEM18)</f>
        <v/>
      </c>
      <c r="AEQ18" s="12">
        <f>AEM18-AEP18</f>
        <v/>
      </c>
      <c r="AER18" s="12">
        <f>IF(AEO18=0,0,IF(ADN18=1,SUMPRODUCT(--(($ADO$5:$ADO18=$ADO18-1)*($ADN$5:$ADN18&gt;=10)*($ADN$5:$ADN18&lt;=12)),$AEQ$5:$AEQ18),IF(ADN18=4,SUMPRODUCT(--(($ADO$5:$ADO18=$ADO18)*($ADN$5:$ADN18&gt;=1)*($ADN$5:$ADN18&lt;=3)),$AEQ$5:$AEQ18),IF(ADN18=7,SUMPRODUCT(--(($ADO$5:$ADO18=$ADO18)*($ADN$5:$ADN18&gt;=4)*($ADN$5:$ADN18&lt;=6)),$AEQ$5:$AEQ18),IF(ADN18=10,SUMPRODUCT(--(($ADO$5:$ADO18=$ADO18)*($ADN$5:$ADN18&gt;=7)*($ADN$5:$ADN18&lt;=9)),$AEQ$5:$AEQ18),0)))))</f>
        <v/>
      </c>
      <c r="AES18" s="12">
        <f>AES17+AEQ18-AER18</f>
        <v/>
      </c>
      <c r="AET18" s="12">
        <f>IF(ProviderDelay&gt;=1,AEP17*ProviderShare,AEP18*ProviderShare)</f>
        <v/>
      </c>
      <c r="AEU18" s="12">
        <f>AEM18*PaymentFee</f>
        <v/>
      </c>
      <c r="AEV18" s="12">
        <f>AEG18*OpsAI</f>
        <v/>
      </c>
      <c r="AEW18" s="12">
        <f>MonthlyFixed</f>
        <v/>
      </c>
      <c r="AEX18" s="12">
        <f>ADU18*ReferralReward</f>
        <v/>
      </c>
      <c r="AEY18" s="12">
        <f>ADS18</f>
        <v/>
      </c>
      <c r="AEZ18" s="9">
        <f>AEP18-AET18-AEU18-AEV18-AEW18-AEX18-AEY18</f>
        <v/>
      </c>
      <c r="AFA18" s="9">
        <f>AFA17+AEM18-(AET18+AEU18+AEV18+AEW18+AEX18+AEY18+AER18)</f>
        <v/>
      </c>
      <c r="AFB18" s="12">
        <f>IF(AEG18&gt;0,AEH18/AEG18,0)</f>
        <v/>
      </c>
      <c r="AFC18" s="11">
        <f>IF(AEG17&gt;0,MAX(0,(AEG17+ADV18-AEG18)/AEG17),0)</f>
        <v/>
      </c>
      <c r="AFE18" s="12" t="n">
        <v>14</v>
      </c>
      <c r="AFF18" s="12">
        <f>MOD(AFE18-1+LaunchMonth-1,12)+1</f>
        <v/>
      </c>
      <c r="AFG18" s="12">
        <f>INT((AFE18-1+LaunchMonth-1)/12)+1</f>
        <v/>
      </c>
      <c r="AFH18" s="12">
        <f>VLOOKUP(AFF18,SeasonTable,2,FALSE)</f>
        <v/>
      </c>
      <c r="AFI18" s="12">
        <f>(1+InflationRate)^INT((AFE18-1)/12)</f>
        <v/>
      </c>
      <c r="AFJ18" s="11">
        <f>MonthlyChurn*VLOOKUP(AFF18,ChurnSeasonTable,4,FALSE)</f>
        <v/>
      </c>
      <c r="AFK18" s="12">
        <f>MIN(MAX(MktMin13_18,AGE17*MktPct13_18),MAX(0,AGS17-CashBuffer))</f>
        <v/>
      </c>
      <c r="AFL18" s="12">
        <f>IF(AFK18&gt;0,MAX(1,ROUND(AFK18/'Sens - CAC &amp; Marketing'!$A$9*AFH18,0)),0)</f>
        <v/>
      </c>
      <c r="AFM18" s="12">
        <f>IF(AFL18&gt;0,ROUND(AFL18*ReferralMix/(1-ReferralMix),0),0)</f>
        <v/>
      </c>
      <c r="AFN18" s="12">
        <f>AFL18+AFM18</f>
        <v/>
      </c>
      <c r="AFO18" s="12">
        <f>ROUND(AFN18*(1-AnnualMix),0)</f>
        <v/>
      </c>
      <c r="AFP18" s="12">
        <f>AFN18-AFO18</f>
        <v/>
      </c>
      <c r="AFQ18" s="12">
        <f>ROUND(AFO18*EssentialMix,0)</f>
        <v/>
      </c>
      <c r="AFR18" s="12">
        <f>AFO18-AFQ18</f>
        <v/>
      </c>
      <c r="AFS18" s="12">
        <f>ROUND(AFP18*EssentialMix,0)</f>
        <v/>
      </c>
      <c r="AFT18" s="12">
        <f>AFP18-AFS18</f>
        <v/>
      </c>
      <c r="AFU18" s="12">
        <f>AFQ18+AFQ17+AFQ16+MAX(0,AFU17-AFQ17-AFQ16)*(1-AFJ18)</f>
        <v/>
      </c>
      <c r="AFV18" s="12">
        <f>AFR18+AFR17+AFR16+MAX(0,AFV17-AFR17-AFR16)*(1-AFJ18)</f>
        <v/>
      </c>
      <c r="AFW18" s="12">
        <f>AFW17+AFS18-AFS6*(AnnualChurn*VLOOKUP(AFF18,ChurnSeasonTable,4,FALSE))*POWER(1-(AnnualChurn*VLOOKUP(AFF18,ChurnSeasonTable,4,FALSE)),0)</f>
        <v/>
      </c>
      <c r="AFX18" s="12">
        <f>AFX17+AFT18-AFT6*(AnnualChurn*VLOOKUP(AFF18,ChurnSeasonTable,4,FALSE))*POWER(1-(AnnualChurn*VLOOKUP(AFF18,ChurnSeasonTable,4,FALSE)),0)</f>
        <v/>
      </c>
      <c r="AFY18" s="12">
        <f>AFU18+AFV18+AFW18+AFX18</f>
        <v/>
      </c>
      <c r="AFZ18" s="9">
        <f>AFU18*PriceEssMonthly*AFI18+AFV18*PricePremMonthly*AFI18+AFW18*PriceEssAnnual*AFI18/12+AFX18*PricePremAnnual*AFI18/12</f>
        <v/>
      </c>
      <c r="AGA18" s="9">
        <f>AFZ18*12</f>
        <v/>
      </c>
      <c r="AGB18" s="12">
        <f>AFU18*PriceEssMonthly*AFI18+AFV18*PricePremMonthly*AFI18</f>
        <v/>
      </c>
      <c r="AGC18" s="12">
        <f>AFS18*PriceEssAnnual*AFI18+AFT18*PricePremAnnual*AFI18</f>
        <v/>
      </c>
      <c r="AGD18" s="12">
        <f>AFS6*POWER(1-(AnnualChurn*VLOOKUP(AFF18,ChurnSeasonTable,4,FALSE)),1)*PriceEssAnnual*AFI18+AFT6*POWER(1-(AnnualChurn*VLOOKUP(AFF18,ChurnSeasonTable,4,FALSE)),1)*PricePremAnnual*AFI18</f>
        <v/>
      </c>
      <c r="AGE18" s="9">
        <f>AGB18+AGC18+AGD18</f>
        <v/>
      </c>
      <c r="AGF18" s="12">
        <f>SUM(AGE7:AGE18)</f>
        <v/>
      </c>
      <c r="AGG18" s="12">
        <f>OR(AGG17,AGF18&gt;=VATThreshold)</f>
        <v/>
      </c>
      <c r="AGH18" s="9">
        <f>IF(AGG18,AGE18/(1+VATRate),AGE18)</f>
        <v/>
      </c>
      <c r="AGI18" s="12">
        <f>AGE18-AGH18</f>
        <v/>
      </c>
      <c r="AGJ18" s="12">
        <f>IF(AGG18=0,0,IF(AFF18=1,SUMPRODUCT(--(($AFG$5:$AFG18=$AFG18-1)*($AFF$5:$AFF18&gt;=10)*($AFF$5:$AFF18&lt;=12)),$AGI$5:$AGI18),IF(AFF18=4,SUMPRODUCT(--(($AFG$5:$AFG18=$AFG18)*($AFF$5:$AFF18&gt;=1)*($AFF$5:$AFF18&lt;=3)),$AGI$5:$AGI18),IF(AFF18=7,SUMPRODUCT(--(($AFG$5:$AFG18=$AFG18)*($AFF$5:$AFF18&gt;=4)*($AFF$5:$AFF18&lt;=6)),$AGI$5:$AGI18),IF(AFF18=10,SUMPRODUCT(--(($AFG$5:$AFG18=$AFG18)*($AFF$5:$AFF18&gt;=7)*($AFF$5:$AFF18&lt;=9)),$AGI$5:$AGI18),0)))))</f>
        <v/>
      </c>
      <c r="AGK18" s="12">
        <f>AGK17+AGI18-AGJ18</f>
        <v/>
      </c>
      <c r="AGL18" s="12">
        <f>IF(ProviderDelay&gt;=1,AGH17*ProviderShare,AGH18*ProviderShare)</f>
        <v/>
      </c>
      <c r="AGM18" s="12">
        <f>AGE18*PaymentFee</f>
        <v/>
      </c>
      <c r="AGN18" s="12">
        <f>AFY18*OpsAI</f>
        <v/>
      </c>
      <c r="AGO18" s="12">
        <f>MonthlyFixed</f>
        <v/>
      </c>
      <c r="AGP18" s="12">
        <f>AFM18*ReferralReward</f>
        <v/>
      </c>
      <c r="AGQ18" s="12">
        <f>AFK18</f>
        <v/>
      </c>
      <c r="AGR18" s="9">
        <f>AGH18-AGL18-AGM18-AGN18-AGO18-AGP18-AGQ18</f>
        <v/>
      </c>
      <c r="AGS18" s="9">
        <f>AGS17+AGE18-(AGL18+AGM18+AGN18+AGO18+AGP18+AGQ18+AGJ18)</f>
        <v/>
      </c>
      <c r="AGT18" s="12">
        <f>IF(AFY18&gt;0,AFZ18/AFY18,0)</f>
        <v/>
      </c>
      <c r="AGU18" s="11">
        <f>IF(AFY17&gt;0,MAX(0,(AFY17+AFN18-AFY18)/AFY17),0)</f>
        <v/>
      </c>
      <c r="AGW18" s="12" t="n">
        <v>14</v>
      </c>
      <c r="AGX18" s="12">
        <f>MOD(AGW18-1+LaunchMonth-1,12)+1</f>
        <v/>
      </c>
      <c r="AGY18" s="12">
        <f>INT((AGW18-1+LaunchMonth-1)/12)+1</f>
        <v/>
      </c>
      <c r="AGZ18" s="12">
        <f>VLOOKUP(AGX18,SeasonTable,2,FALSE)</f>
        <v/>
      </c>
      <c r="AHA18" s="12">
        <f>(1+InflationRate)^INT((AGW18-1)/12)</f>
        <v/>
      </c>
      <c r="AHB18" s="11">
        <f>MonthlyChurn*VLOOKUP(AGX18,ChurnSeasonTable,4,FALSE)</f>
        <v/>
      </c>
      <c r="AHC18" s="12">
        <f>MIN(MAX(MktMin13_18,AHW17*MktPct13_18),MAX(0,AIK17-CashBuffer))</f>
        <v/>
      </c>
      <c r="AHD18" s="12">
        <f>IF(AHC18&gt;0,MAX(1,ROUND(AHC18/'Sens - CAC &amp; Marketing'!$A$10*AGZ18,0)),0)</f>
        <v/>
      </c>
      <c r="AHE18" s="12">
        <f>IF(AHD18&gt;0,ROUND(AHD18*ReferralMix/(1-ReferralMix),0),0)</f>
        <v/>
      </c>
      <c r="AHF18" s="12">
        <f>AHD18+AHE18</f>
        <v/>
      </c>
      <c r="AHG18" s="12">
        <f>ROUND(AHF18*(1-AnnualMix),0)</f>
        <v/>
      </c>
      <c r="AHH18" s="12">
        <f>AHF18-AHG18</f>
        <v/>
      </c>
      <c r="AHI18" s="12">
        <f>ROUND(AHG18*EssentialMix,0)</f>
        <v/>
      </c>
      <c r="AHJ18" s="12">
        <f>AHG18-AHI18</f>
        <v/>
      </c>
      <c r="AHK18" s="12">
        <f>ROUND(AHH18*EssentialMix,0)</f>
        <v/>
      </c>
      <c r="AHL18" s="12">
        <f>AHH18-AHK18</f>
        <v/>
      </c>
      <c r="AHM18" s="12">
        <f>AHI18+AHI17+AHI16+MAX(0,AHM17-AHI17-AHI16)*(1-AHB18)</f>
        <v/>
      </c>
      <c r="AHN18" s="12">
        <f>AHJ18+AHJ17+AHJ16+MAX(0,AHN17-AHJ17-AHJ16)*(1-AHB18)</f>
        <v/>
      </c>
      <c r="AHO18" s="12">
        <f>AHO17+AHK18-AHK6*(AnnualChurn*VLOOKUP(AGX18,ChurnSeasonTable,4,FALSE))*POWER(1-(AnnualChurn*VLOOKUP(AGX18,ChurnSeasonTable,4,FALSE)),0)</f>
        <v/>
      </c>
      <c r="AHP18" s="12">
        <f>AHP17+AHL18-AHL6*(AnnualChurn*VLOOKUP(AGX18,ChurnSeasonTable,4,FALSE))*POWER(1-(AnnualChurn*VLOOKUP(AGX18,ChurnSeasonTable,4,FALSE)),0)</f>
        <v/>
      </c>
      <c r="AHQ18" s="12">
        <f>AHM18+AHN18+AHO18+AHP18</f>
        <v/>
      </c>
      <c r="AHR18" s="9">
        <f>AHM18*PriceEssMonthly*AHA18+AHN18*PricePremMonthly*AHA18+AHO18*PriceEssAnnual*AHA18/12+AHP18*PricePremAnnual*AHA18/12</f>
        <v/>
      </c>
      <c r="AHS18" s="9">
        <f>AHR18*12</f>
        <v/>
      </c>
      <c r="AHT18" s="12">
        <f>AHM18*PriceEssMonthly*AHA18+AHN18*PricePremMonthly*AHA18</f>
        <v/>
      </c>
      <c r="AHU18" s="12">
        <f>AHK18*PriceEssAnnual*AHA18+AHL18*PricePremAnnual*AHA18</f>
        <v/>
      </c>
      <c r="AHV18" s="12">
        <f>AHK6*POWER(1-(AnnualChurn*VLOOKUP(AGX18,ChurnSeasonTable,4,FALSE)),1)*PriceEssAnnual*AHA18+AHL6*POWER(1-(AnnualChurn*VLOOKUP(AGX18,ChurnSeasonTable,4,FALSE)),1)*PricePremAnnual*AHA18</f>
        <v/>
      </c>
      <c r="AHW18" s="9">
        <f>AHT18+AHU18+AHV18</f>
        <v/>
      </c>
      <c r="AHX18" s="12">
        <f>SUM(AHW7:AHW18)</f>
        <v/>
      </c>
      <c r="AHY18" s="12">
        <f>OR(AHY17,AHX18&gt;=VATThreshold)</f>
        <v/>
      </c>
      <c r="AHZ18" s="9">
        <f>IF(AHY18,AHW18/(1+VATRate),AHW18)</f>
        <v/>
      </c>
      <c r="AIA18" s="12">
        <f>AHW18-AHZ18</f>
        <v/>
      </c>
      <c r="AIB18" s="12">
        <f>IF(AHY18=0,0,IF(AGX18=1,SUMPRODUCT(--(($AGY$5:$AGY18=$AGY18-1)*($AGX$5:$AGX18&gt;=10)*($AGX$5:$AGX18&lt;=12)),$AIA$5:$AIA18),IF(AGX18=4,SUMPRODUCT(--(($AGY$5:$AGY18=$AGY18)*($AGX$5:$AGX18&gt;=1)*($AGX$5:$AGX18&lt;=3)),$AIA$5:$AIA18),IF(AGX18=7,SUMPRODUCT(--(($AGY$5:$AGY18=$AGY18)*($AGX$5:$AGX18&gt;=4)*($AGX$5:$AGX18&lt;=6)),$AIA$5:$AIA18),IF(AGX18=10,SUMPRODUCT(--(($AGY$5:$AGY18=$AGY18)*($AGX$5:$AGX18&gt;=7)*($AGX$5:$AGX18&lt;=9)),$AIA$5:$AIA18),0)))))</f>
        <v/>
      </c>
      <c r="AIC18" s="12">
        <f>AIC17+AIA18-AIB18</f>
        <v/>
      </c>
      <c r="AID18" s="12">
        <f>IF(ProviderDelay&gt;=1,AHZ17*ProviderShare,AHZ18*ProviderShare)</f>
        <v/>
      </c>
      <c r="AIE18" s="12">
        <f>AHW18*PaymentFee</f>
        <v/>
      </c>
      <c r="AIF18" s="12">
        <f>AHQ18*OpsAI</f>
        <v/>
      </c>
      <c r="AIG18" s="12">
        <f>MonthlyFixed</f>
        <v/>
      </c>
      <c r="AIH18" s="12">
        <f>AHE18*ReferralReward</f>
        <v/>
      </c>
      <c r="AII18" s="12">
        <f>AHC18</f>
        <v/>
      </c>
      <c r="AIJ18" s="9">
        <f>AHZ18-AID18-AIE18-AIF18-AIG18-AIH18-AII18</f>
        <v/>
      </c>
      <c r="AIK18" s="9">
        <f>AIK17+AHW18-(AID18+AIE18+AIF18+AIG18+AIH18+AII18+AIB18)</f>
        <v/>
      </c>
      <c r="AIL18" s="12">
        <f>IF(AHQ18&gt;0,AHR18/AHQ18,0)</f>
        <v/>
      </c>
      <c r="AIM18" s="11">
        <f>IF(AHQ17&gt;0,MAX(0,(AHQ17+AHF18-AHQ18)/AHQ17),0)</f>
        <v/>
      </c>
      <c r="AIO18" s="12" t="n">
        <v>14</v>
      </c>
      <c r="AIP18" s="12">
        <f>MOD(AIO18-1+LaunchMonth-1,12)+1</f>
        <v/>
      </c>
      <c r="AIQ18" s="12">
        <f>INT((AIO18-1+LaunchMonth-1)/12)+1</f>
        <v/>
      </c>
      <c r="AIR18" s="12">
        <f>VLOOKUP(AIP18,SeasonTable,2,FALSE)</f>
        <v/>
      </c>
      <c r="AIS18" s="12">
        <f>(1+InflationRate)^INT((AIO18-1)/12)</f>
        <v/>
      </c>
      <c r="AIT18" s="11">
        <f>MonthlyChurn*VLOOKUP(AIP18,ChurnSeasonTable,4,FALSE)</f>
        <v/>
      </c>
      <c r="AIU18" s="12">
        <f>MIN(MAX(MktMin13_18,AJO17*MktPct13_18),MAX(0,AKC17-CashBuffer))</f>
        <v/>
      </c>
      <c r="AIV18" s="12">
        <f>IF(AIU18&gt;0,MAX(1,ROUND(AIU18/'Sens - CAC &amp; Marketing'!$A$11*AIR18,0)),0)</f>
        <v/>
      </c>
      <c r="AIW18" s="12">
        <f>IF(AIV18&gt;0,ROUND(AIV18*ReferralMix/(1-ReferralMix),0),0)</f>
        <v/>
      </c>
      <c r="AIX18" s="12">
        <f>AIV18+AIW18</f>
        <v/>
      </c>
      <c r="AIY18" s="12">
        <f>ROUND(AIX18*(1-AnnualMix),0)</f>
        <v/>
      </c>
      <c r="AIZ18" s="12">
        <f>AIX18-AIY18</f>
        <v/>
      </c>
      <c r="AJA18" s="12">
        <f>ROUND(AIY18*EssentialMix,0)</f>
        <v/>
      </c>
      <c r="AJB18" s="12">
        <f>AIY18-AJA18</f>
        <v/>
      </c>
      <c r="AJC18" s="12">
        <f>ROUND(AIZ18*EssentialMix,0)</f>
        <v/>
      </c>
      <c r="AJD18" s="12">
        <f>AIZ18-AJC18</f>
        <v/>
      </c>
      <c r="AJE18" s="12">
        <f>AJA18+AJA17+AJA16+MAX(0,AJE17-AJA17-AJA16)*(1-AIT18)</f>
        <v/>
      </c>
      <c r="AJF18" s="12">
        <f>AJB18+AJB17+AJB16+MAX(0,AJF17-AJB17-AJB16)*(1-AIT18)</f>
        <v/>
      </c>
      <c r="AJG18" s="12">
        <f>AJG17+AJC18-AJC6*(AnnualChurn*VLOOKUP(AIP18,ChurnSeasonTable,4,FALSE))*POWER(1-(AnnualChurn*VLOOKUP(AIP18,ChurnSeasonTable,4,FALSE)),0)</f>
        <v/>
      </c>
      <c r="AJH18" s="12">
        <f>AJH17+AJD18-AJD6*(AnnualChurn*VLOOKUP(AIP18,ChurnSeasonTable,4,FALSE))*POWER(1-(AnnualChurn*VLOOKUP(AIP18,ChurnSeasonTable,4,FALSE)),0)</f>
        <v/>
      </c>
      <c r="AJI18" s="12">
        <f>AJE18+AJF18+AJG18+AJH18</f>
        <v/>
      </c>
      <c r="AJJ18" s="9">
        <f>AJE18*PriceEssMonthly*AIS18+AJF18*PricePremMonthly*AIS18+AJG18*PriceEssAnnual*AIS18/12+AJH18*PricePremAnnual*AIS18/12</f>
        <v/>
      </c>
      <c r="AJK18" s="9">
        <f>AJJ18*12</f>
        <v/>
      </c>
      <c r="AJL18" s="12">
        <f>AJE18*PriceEssMonthly*AIS18+AJF18*PricePremMonthly*AIS18</f>
        <v/>
      </c>
      <c r="AJM18" s="12">
        <f>AJC18*PriceEssAnnual*AIS18+AJD18*PricePremAnnual*AIS18</f>
        <v/>
      </c>
      <c r="AJN18" s="12">
        <f>AJC6*POWER(1-(AnnualChurn*VLOOKUP(AIP18,ChurnSeasonTable,4,FALSE)),1)*PriceEssAnnual*AIS18+AJD6*POWER(1-(AnnualChurn*VLOOKUP(AIP18,ChurnSeasonTable,4,FALSE)),1)*PricePremAnnual*AIS18</f>
        <v/>
      </c>
      <c r="AJO18" s="9">
        <f>AJL18+AJM18+AJN18</f>
        <v/>
      </c>
      <c r="AJP18" s="12">
        <f>SUM(AJO7:AJO18)</f>
        <v/>
      </c>
      <c r="AJQ18" s="12">
        <f>OR(AJQ17,AJP18&gt;=VATThreshold)</f>
        <v/>
      </c>
      <c r="AJR18" s="9">
        <f>IF(AJQ18,AJO18/(1+VATRate),AJO18)</f>
        <v/>
      </c>
      <c r="AJS18" s="12">
        <f>AJO18-AJR18</f>
        <v/>
      </c>
      <c r="AJT18" s="12">
        <f>IF(AJQ18=0,0,IF(AIP18=1,SUMPRODUCT(--(($AIQ$5:$AIQ18=$AIQ18-1)*($AIP$5:$AIP18&gt;=10)*($AIP$5:$AIP18&lt;=12)),$AJS$5:$AJS18),IF(AIP18=4,SUMPRODUCT(--(($AIQ$5:$AIQ18=$AIQ18)*($AIP$5:$AIP18&gt;=1)*($AIP$5:$AIP18&lt;=3)),$AJS$5:$AJS18),IF(AIP18=7,SUMPRODUCT(--(($AIQ$5:$AIQ18=$AIQ18)*($AIP$5:$AIP18&gt;=4)*($AIP$5:$AIP18&lt;=6)),$AJS$5:$AJS18),IF(AIP18=10,SUMPRODUCT(--(($AIQ$5:$AIQ18=$AIQ18)*($AIP$5:$AIP18&gt;=7)*($AIP$5:$AIP18&lt;=9)),$AJS$5:$AJS18),0)))))</f>
        <v/>
      </c>
      <c r="AJU18" s="12">
        <f>AJU17+AJS18-AJT18</f>
        <v/>
      </c>
      <c r="AJV18" s="12">
        <f>IF(ProviderDelay&gt;=1,AJR17*ProviderShare,AJR18*ProviderShare)</f>
        <v/>
      </c>
      <c r="AJW18" s="12">
        <f>AJO18*PaymentFee</f>
        <v/>
      </c>
      <c r="AJX18" s="12">
        <f>AJI18*OpsAI</f>
        <v/>
      </c>
      <c r="AJY18" s="12">
        <f>MonthlyFixed</f>
        <v/>
      </c>
      <c r="AJZ18" s="12">
        <f>AIW18*ReferralReward</f>
        <v/>
      </c>
      <c r="AKA18" s="12">
        <f>AIU18</f>
        <v/>
      </c>
      <c r="AKB18" s="9">
        <f>AJR18-AJV18-AJW18-AJX18-AJY18-AJZ18-AKA18</f>
        <v/>
      </c>
      <c r="AKC18" s="9">
        <f>AKC17+AJO18-(AJV18+AJW18+AJX18+AJY18+AJZ18+AKA18+AJT18)</f>
        <v/>
      </c>
      <c r="AKD18" s="12">
        <f>IF(AJI18&gt;0,AJJ18/AJI18,0)</f>
        <v/>
      </c>
      <c r="AKE18" s="11">
        <f>IF(AJI17&gt;0,MAX(0,(AJI17+AIX18-AJI18)/AJI17),0)</f>
        <v/>
      </c>
      <c r="AKG18" s="12" t="n">
        <v>14</v>
      </c>
      <c r="AKH18" s="12">
        <f>MOD(AKG18-1+LaunchMonth-1,12)+1</f>
        <v/>
      </c>
      <c r="AKI18" s="12">
        <f>INT((AKG18-1+LaunchMonth-1)/12)+1</f>
        <v/>
      </c>
      <c r="AKJ18" s="12">
        <f>VLOOKUP(AKH18,SeasonTable,2,FALSE)</f>
        <v/>
      </c>
      <c r="AKK18" s="12">
        <f>(1+InflationRate)^INT((AKG18-1)/12)</f>
        <v/>
      </c>
      <c r="AKL18" s="11">
        <f>MonthlyChurn*VLOOKUP(AKH18,ChurnSeasonTable,4,FALSE)</f>
        <v/>
      </c>
      <c r="AKM18" s="12">
        <f>MIN(MAX(MktMin13_18,ALG17*MktPct13_18),MAX(0,ALU17-CashBuffer))</f>
        <v/>
      </c>
      <c r="AKN18" s="12">
        <f>IF(AKM18&gt;0,MAX(1,ROUND(AKM18/'Sens - CAC &amp; Marketing'!$A$12*AKJ18,0)),0)</f>
        <v/>
      </c>
      <c r="AKO18" s="12">
        <f>IF(AKN18&gt;0,ROUND(AKN18*ReferralMix/(1-ReferralMix),0),0)</f>
        <v/>
      </c>
      <c r="AKP18" s="12">
        <f>AKN18+AKO18</f>
        <v/>
      </c>
      <c r="AKQ18" s="12">
        <f>ROUND(AKP18*(1-AnnualMix),0)</f>
        <v/>
      </c>
      <c r="AKR18" s="12">
        <f>AKP18-AKQ18</f>
        <v/>
      </c>
      <c r="AKS18" s="12">
        <f>ROUND(AKQ18*EssentialMix,0)</f>
        <v/>
      </c>
      <c r="AKT18" s="12">
        <f>AKQ18-AKS18</f>
        <v/>
      </c>
      <c r="AKU18" s="12">
        <f>ROUND(AKR18*EssentialMix,0)</f>
        <v/>
      </c>
      <c r="AKV18" s="12">
        <f>AKR18-AKU18</f>
        <v/>
      </c>
      <c r="AKW18" s="12">
        <f>AKS18+AKS17+AKS16+MAX(0,AKW17-AKS17-AKS16)*(1-AKL18)</f>
        <v/>
      </c>
      <c r="AKX18" s="12">
        <f>AKT18+AKT17+AKT16+MAX(0,AKX17-AKT17-AKT16)*(1-AKL18)</f>
        <v/>
      </c>
      <c r="AKY18" s="12">
        <f>AKY17+AKU18-AKU6*(AnnualChurn*VLOOKUP(AKH18,ChurnSeasonTable,4,FALSE))*POWER(1-(AnnualChurn*VLOOKUP(AKH18,ChurnSeasonTable,4,FALSE)),0)</f>
        <v/>
      </c>
      <c r="AKZ18" s="12">
        <f>AKZ17+AKV18-AKV6*(AnnualChurn*VLOOKUP(AKH18,ChurnSeasonTable,4,FALSE))*POWER(1-(AnnualChurn*VLOOKUP(AKH18,ChurnSeasonTable,4,FALSE)),0)</f>
        <v/>
      </c>
      <c r="ALA18" s="12">
        <f>AKW18+AKX18+AKY18+AKZ18</f>
        <v/>
      </c>
      <c r="ALB18" s="9">
        <f>AKW18*PriceEssMonthly*AKK18+AKX18*PricePremMonthly*AKK18+AKY18*PriceEssAnnual*AKK18/12+AKZ18*PricePremAnnual*AKK18/12</f>
        <v/>
      </c>
      <c r="ALC18" s="9">
        <f>ALB18*12</f>
        <v/>
      </c>
      <c r="ALD18" s="12">
        <f>AKW18*PriceEssMonthly*AKK18+AKX18*PricePremMonthly*AKK18</f>
        <v/>
      </c>
      <c r="ALE18" s="12">
        <f>AKU18*PriceEssAnnual*AKK18+AKV18*PricePremAnnual*AKK18</f>
        <v/>
      </c>
      <c r="ALF18" s="12">
        <f>AKU6*POWER(1-(AnnualChurn*VLOOKUP(AKH18,ChurnSeasonTable,4,FALSE)),1)*PriceEssAnnual*AKK18+AKV6*POWER(1-(AnnualChurn*VLOOKUP(AKH18,ChurnSeasonTable,4,FALSE)),1)*PricePremAnnual*AKK18</f>
        <v/>
      </c>
      <c r="ALG18" s="9">
        <f>ALD18+ALE18+ALF18</f>
        <v/>
      </c>
      <c r="ALH18" s="12">
        <f>SUM(ALG7:ALG18)</f>
        <v/>
      </c>
      <c r="ALI18" s="12">
        <f>OR(ALI17,ALH18&gt;=VATThreshold)</f>
        <v/>
      </c>
      <c r="ALJ18" s="9">
        <f>IF(ALI18,ALG18/(1+VATRate),ALG18)</f>
        <v/>
      </c>
      <c r="ALK18" s="12">
        <f>ALG18-ALJ18</f>
        <v/>
      </c>
      <c r="ALL18" s="12">
        <f>IF(ALI18=0,0,IF(AKH18=1,SUMPRODUCT(--(($AKI$5:$AKI18=$AKI18-1)*($AKH$5:$AKH18&gt;=10)*($AKH$5:$AKH18&lt;=12)),$ALK$5:$ALK18),IF(AKH18=4,SUMPRODUCT(--(($AKI$5:$AKI18=$AKI18)*($AKH$5:$AKH18&gt;=1)*($AKH$5:$AKH18&lt;=3)),$ALK$5:$ALK18),IF(AKH18=7,SUMPRODUCT(--(($AKI$5:$AKI18=$AKI18)*($AKH$5:$AKH18&gt;=4)*($AKH$5:$AKH18&lt;=6)),$ALK$5:$ALK18),IF(AKH18=10,SUMPRODUCT(--(($AKI$5:$AKI18=$AKI18)*($AKH$5:$AKH18&gt;=7)*($AKH$5:$AKH18&lt;=9)),$ALK$5:$ALK18),0)))))</f>
        <v/>
      </c>
      <c r="ALM18" s="12">
        <f>ALM17+ALK18-ALL18</f>
        <v/>
      </c>
      <c r="ALN18" s="12">
        <f>IF(ProviderDelay&gt;=1,ALJ17*ProviderShare,ALJ18*ProviderShare)</f>
        <v/>
      </c>
      <c r="ALO18" s="12">
        <f>ALG18*PaymentFee</f>
        <v/>
      </c>
      <c r="ALP18" s="12">
        <f>ALA18*OpsAI</f>
        <v/>
      </c>
      <c r="ALQ18" s="12">
        <f>MonthlyFixed</f>
        <v/>
      </c>
      <c r="ALR18" s="12">
        <f>AKO18*ReferralReward</f>
        <v/>
      </c>
      <c r="ALS18" s="12">
        <f>AKM18</f>
        <v/>
      </c>
      <c r="ALT18" s="9">
        <f>ALJ18-ALN18-ALO18-ALP18-ALQ18-ALR18-ALS18</f>
        <v/>
      </c>
      <c r="ALU18" s="9">
        <f>ALU17+ALG18-(ALN18+ALO18+ALP18+ALQ18+ALR18+ALS18+ALL18)</f>
        <v/>
      </c>
      <c r="ALV18" s="12">
        <f>IF(ALA18&gt;0,ALB18/ALA18,0)</f>
        <v/>
      </c>
      <c r="ALW18" s="11">
        <f>IF(ALA17&gt;0,MAX(0,(ALA17+AKP18-ALA18)/ALA17),0)</f>
        <v/>
      </c>
      <c r="ALY18" s="12" t="n">
        <v>14</v>
      </c>
      <c r="ALZ18" s="12">
        <f>MOD(ALY18-1+LaunchMonth-1,12)+1</f>
        <v/>
      </c>
      <c r="AMA18" s="12">
        <f>INT((ALY18-1+LaunchMonth-1)/12)+1</f>
        <v/>
      </c>
      <c r="AMB18" s="12">
        <f>VLOOKUP(ALZ18,SeasonTable,2,FALSE)</f>
        <v/>
      </c>
      <c r="AMC18" s="12">
        <f>(1+InflationRate)^INT((ALY18-1)/12)</f>
        <v/>
      </c>
      <c r="AMD18" s="11">
        <f>MonthlyChurn*VLOOKUP(ALZ18,ChurnSeasonTable,4,FALSE)</f>
        <v/>
      </c>
      <c r="AME18" s="12">
        <f>MIN(MAX(MktMin13_18,AMY17*MktPct13_18),MAX(0,ANM17-CashBuffer))</f>
        <v/>
      </c>
      <c r="AMF18" s="12">
        <f>IF(AME18&gt;0,MAX(1,ROUND(AME18/'Sens - CAC &amp; Marketing'!$A$13*AMB18,0)),0)</f>
        <v/>
      </c>
      <c r="AMG18" s="12">
        <f>IF(AMF18&gt;0,ROUND(AMF18*ReferralMix/(1-ReferralMix),0),0)</f>
        <v/>
      </c>
      <c r="AMH18" s="12">
        <f>AMF18+AMG18</f>
        <v/>
      </c>
      <c r="AMI18" s="12">
        <f>ROUND(AMH18*(1-AnnualMix),0)</f>
        <v/>
      </c>
      <c r="AMJ18" s="12">
        <f>AMH18-AMI18</f>
        <v/>
      </c>
      <c r="AMK18" s="12">
        <f>ROUND(AMI18*EssentialMix,0)</f>
        <v/>
      </c>
      <c r="AML18" s="12">
        <f>AMI18-AMK18</f>
        <v/>
      </c>
      <c r="AMM18" s="12">
        <f>ROUND(AMJ18*EssentialMix,0)</f>
        <v/>
      </c>
      <c r="AMN18" s="12">
        <f>AMJ18-AMM18</f>
        <v/>
      </c>
      <c r="AMO18" s="12">
        <f>AMK18+AMK17+AMK16+MAX(0,AMO17-AMK17-AMK16)*(1-AMD18)</f>
        <v/>
      </c>
      <c r="AMP18" s="12">
        <f>AML18+AML17+AML16+MAX(0,AMP17-AML17-AML16)*(1-AMD18)</f>
        <v/>
      </c>
      <c r="AMQ18" s="12">
        <f>AMQ17+AMM18-AMM6*(AnnualChurn*VLOOKUP(ALZ18,ChurnSeasonTable,4,FALSE))*POWER(1-(AnnualChurn*VLOOKUP(ALZ18,ChurnSeasonTable,4,FALSE)),0)</f>
        <v/>
      </c>
      <c r="AMR18" s="12">
        <f>AMR17+AMN18-AMN6*(AnnualChurn*VLOOKUP(ALZ18,ChurnSeasonTable,4,FALSE))*POWER(1-(AnnualChurn*VLOOKUP(ALZ18,ChurnSeasonTable,4,FALSE)),0)</f>
        <v/>
      </c>
      <c r="AMS18" s="12">
        <f>AMO18+AMP18+AMQ18+AMR18</f>
        <v/>
      </c>
      <c r="AMT18" s="9">
        <f>AMO18*PriceEssMonthly*AMC18+AMP18*PricePremMonthly*AMC18+AMQ18*PriceEssAnnual*AMC18/12+AMR18*PricePremAnnual*AMC18/12</f>
        <v/>
      </c>
      <c r="AMU18" s="9">
        <f>AMT18*12</f>
        <v/>
      </c>
      <c r="AMV18" s="12">
        <f>AMO18*PriceEssMonthly*AMC18+AMP18*PricePremMonthly*AMC18</f>
        <v/>
      </c>
      <c r="AMW18" s="12">
        <f>AMM18*PriceEssAnnual*AMC18+AMN18*PricePremAnnual*AMC18</f>
        <v/>
      </c>
      <c r="AMX18" s="12">
        <f>AMM6*POWER(1-(AnnualChurn*VLOOKUP(ALZ18,ChurnSeasonTable,4,FALSE)),1)*PriceEssAnnual*AMC18+AMN6*POWER(1-(AnnualChurn*VLOOKUP(ALZ18,ChurnSeasonTable,4,FALSE)),1)*PricePremAnnual*AMC18</f>
        <v/>
      </c>
      <c r="AMY18" s="9">
        <f>AMV18+AMW18+AMX18</f>
        <v/>
      </c>
      <c r="AMZ18" s="12">
        <f>SUM(AMY7:AMY18)</f>
        <v/>
      </c>
      <c r="ANA18" s="12">
        <f>OR(ANA17,AMZ18&gt;=VATThreshold)</f>
        <v/>
      </c>
      <c r="ANB18" s="9">
        <f>IF(ANA18,AMY18/(1+VATRate),AMY18)</f>
        <v/>
      </c>
      <c r="ANC18" s="12">
        <f>AMY18-ANB18</f>
        <v/>
      </c>
      <c r="AND18" s="12">
        <f>IF(ANA18=0,0,IF(ALZ18=1,SUMPRODUCT(--(($AMA$5:$AMA18=$AMA18-1)*($ALZ$5:$ALZ18&gt;=10)*($ALZ$5:$ALZ18&lt;=12)),$ANC$5:$ANC18),IF(ALZ18=4,SUMPRODUCT(--(($AMA$5:$AMA18=$AMA18)*($ALZ$5:$ALZ18&gt;=1)*($ALZ$5:$ALZ18&lt;=3)),$ANC$5:$ANC18),IF(ALZ18=7,SUMPRODUCT(--(($AMA$5:$AMA18=$AMA18)*($ALZ$5:$ALZ18&gt;=4)*($ALZ$5:$ALZ18&lt;=6)),$ANC$5:$ANC18),IF(ALZ18=10,SUMPRODUCT(--(($AMA$5:$AMA18=$AMA18)*($ALZ$5:$ALZ18&gt;=7)*($ALZ$5:$ALZ18&lt;=9)),$ANC$5:$ANC18),0)))))</f>
        <v/>
      </c>
      <c r="ANE18" s="12">
        <f>ANE17+ANC18-AND18</f>
        <v/>
      </c>
      <c r="ANF18" s="12">
        <f>IF(ProviderDelay&gt;=1,ANB17*ProviderShare,ANB18*ProviderShare)</f>
        <v/>
      </c>
      <c r="ANG18" s="12">
        <f>AMY18*PaymentFee</f>
        <v/>
      </c>
      <c r="ANH18" s="12">
        <f>AMS18*OpsAI</f>
        <v/>
      </c>
      <c r="ANI18" s="12">
        <f>MonthlyFixed</f>
        <v/>
      </c>
      <c r="ANJ18" s="12">
        <f>AMG18*ReferralReward</f>
        <v/>
      </c>
      <c r="ANK18" s="12">
        <f>AME18</f>
        <v/>
      </c>
      <c r="ANL18" s="9">
        <f>ANB18-ANF18-ANG18-ANH18-ANI18-ANJ18-ANK18</f>
        <v/>
      </c>
      <c r="ANM18" s="9">
        <f>ANM17+AMY18-(ANF18+ANG18+ANH18+ANI18+ANJ18+ANK18+AND18)</f>
        <v/>
      </c>
      <c r="ANN18" s="12">
        <f>IF(AMS18&gt;0,AMT18/AMS18,0)</f>
        <v/>
      </c>
      <c r="ANO18" s="11">
        <f>IF(AMS17&gt;0,MAX(0,(AMS17+AMH18-AMS18)/AMS17),0)</f>
        <v/>
      </c>
      <c r="ANQ18" s="12" t="n">
        <v>14</v>
      </c>
      <c r="ANR18" s="12">
        <f>MOD(ANQ18-1+LaunchMonth-1,12)+1</f>
        <v/>
      </c>
      <c r="ANS18" s="12">
        <f>INT((ANQ18-1+LaunchMonth-1)/12)+1</f>
        <v/>
      </c>
      <c r="ANT18" s="12">
        <f>VLOOKUP(ANR18,SeasonTable,2,FALSE)</f>
        <v/>
      </c>
      <c r="ANU18" s="12">
        <f>(1+InflationRate)^INT((ANQ18-1)/12)</f>
        <v/>
      </c>
      <c r="ANV18" s="11">
        <f>MonthlyChurn*VLOOKUP(ANR18,ChurnSeasonTable,4,FALSE)</f>
        <v/>
      </c>
      <c r="ANW18" s="12">
        <f>MIN(MAX(MktMin13_18,AOQ17*MktPct13_18),MAX(0,APE17-CashBuffer))</f>
        <v/>
      </c>
      <c r="ANX18" s="12">
        <f>IF(ANW18&gt;0,MAX(1,ROUND(ANW18/'Sens - CAC &amp; Marketing'!$A$14*ANT18,0)),0)</f>
        <v/>
      </c>
      <c r="ANY18" s="12">
        <f>IF(ANX18&gt;0,ROUND(ANX18*ReferralMix/(1-ReferralMix),0),0)</f>
        <v/>
      </c>
      <c r="ANZ18" s="12">
        <f>ANX18+ANY18</f>
        <v/>
      </c>
      <c r="AOA18" s="12">
        <f>ROUND(ANZ18*(1-AnnualMix),0)</f>
        <v/>
      </c>
      <c r="AOB18" s="12">
        <f>ANZ18-AOA18</f>
        <v/>
      </c>
      <c r="AOC18" s="12">
        <f>ROUND(AOA18*EssentialMix,0)</f>
        <v/>
      </c>
      <c r="AOD18" s="12">
        <f>AOA18-AOC18</f>
        <v/>
      </c>
      <c r="AOE18" s="12">
        <f>ROUND(AOB18*EssentialMix,0)</f>
        <v/>
      </c>
      <c r="AOF18" s="12">
        <f>AOB18-AOE18</f>
        <v/>
      </c>
      <c r="AOG18" s="12">
        <f>AOC18+AOC17+AOC16+MAX(0,AOG17-AOC17-AOC16)*(1-ANV18)</f>
        <v/>
      </c>
      <c r="AOH18" s="12">
        <f>AOD18+AOD17+AOD16+MAX(0,AOH17-AOD17-AOD16)*(1-ANV18)</f>
        <v/>
      </c>
      <c r="AOI18" s="12">
        <f>AOI17+AOE18-AOE6*(AnnualChurn*VLOOKUP(ANR18,ChurnSeasonTable,4,FALSE))*POWER(1-(AnnualChurn*VLOOKUP(ANR18,ChurnSeasonTable,4,FALSE)),0)</f>
        <v/>
      </c>
      <c r="AOJ18" s="12">
        <f>AOJ17+AOF18-AOF6*(AnnualChurn*VLOOKUP(ANR18,ChurnSeasonTable,4,FALSE))*POWER(1-(AnnualChurn*VLOOKUP(ANR18,ChurnSeasonTable,4,FALSE)),0)</f>
        <v/>
      </c>
      <c r="AOK18" s="12">
        <f>AOG18+AOH18+AOI18+AOJ18</f>
        <v/>
      </c>
      <c r="AOL18" s="9">
        <f>AOG18*PriceEssMonthly*ANU18+AOH18*PricePremMonthly*ANU18+AOI18*PriceEssAnnual*ANU18/12+AOJ18*PricePremAnnual*ANU18/12</f>
        <v/>
      </c>
      <c r="AOM18" s="9">
        <f>AOL18*12</f>
        <v/>
      </c>
      <c r="AON18" s="12">
        <f>AOG18*PriceEssMonthly*ANU18+AOH18*PricePremMonthly*ANU18</f>
        <v/>
      </c>
      <c r="AOO18" s="12">
        <f>AOE18*PriceEssAnnual*ANU18+AOF18*PricePremAnnual*ANU18</f>
        <v/>
      </c>
      <c r="AOP18" s="12">
        <f>AOE6*POWER(1-(AnnualChurn*VLOOKUP(ANR18,ChurnSeasonTable,4,FALSE)),1)*PriceEssAnnual*ANU18+AOF6*POWER(1-(AnnualChurn*VLOOKUP(ANR18,ChurnSeasonTable,4,FALSE)),1)*PricePremAnnual*ANU18</f>
        <v/>
      </c>
      <c r="AOQ18" s="9">
        <f>AON18+AOO18+AOP18</f>
        <v/>
      </c>
      <c r="AOR18" s="12">
        <f>SUM(AOQ7:AOQ18)</f>
        <v/>
      </c>
      <c r="AOS18" s="12">
        <f>OR(AOS17,AOR18&gt;=VATThreshold)</f>
        <v/>
      </c>
      <c r="AOT18" s="9">
        <f>IF(AOS18,AOQ18/(1+VATRate),AOQ18)</f>
        <v/>
      </c>
      <c r="AOU18" s="12">
        <f>AOQ18-AOT18</f>
        <v/>
      </c>
      <c r="AOV18" s="12">
        <f>IF(AOS18=0,0,IF(ANR18=1,SUMPRODUCT(--(($ANS$5:$ANS18=$ANS18-1)*($ANR$5:$ANR18&gt;=10)*($ANR$5:$ANR18&lt;=12)),$AOU$5:$AOU18),IF(ANR18=4,SUMPRODUCT(--(($ANS$5:$ANS18=$ANS18)*($ANR$5:$ANR18&gt;=1)*($ANR$5:$ANR18&lt;=3)),$AOU$5:$AOU18),IF(ANR18=7,SUMPRODUCT(--(($ANS$5:$ANS18=$ANS18)*($ANR$5:$ANR18&gt;=4)*($ANR$5:$ANR18&lt;=6)),$AOU$5:$AOU18),IF(ANR18=10,SUMPRODUCT(--(($ANS$5:$ANS18=$ANS18)*($ANR$5:$ANR18&gt;=7)*($ANR$5:$ANR18&lt;=9)),$AOU$5:$AOU18),0)))))</f>
        <v/>
      </c>
      <c r="AOW18" s="12">
        <f>AOW17+AOU18-AOV18</f>
        <v/>
      </c>
      <c r="AOX18" s="12">
        <f>IF(ProviderDelay&gt;=1,AOT17*ProviderShare,AOT18*ProviderShare)</f>
        <v/>
      </c>
      <c r="AOY18" s="12">
        <f>AOQ18*PaymentFee</f>
        <v/>
      </c>
      <c r="AOZ18" s="12">
        <f>AOK18*OpsAI</f>
        <v/>
      </c>
      <c r="APA18" s="12">
        <f>MonthlyFixed</f>
        <v/>
      </c>
      <c r="APB18" s="12">
        <f>ANY18*ReferralReward</f>
        <v/>
      </c>
      <c r="APC18" s="12">
        <f>ANW18</f>
        <v/>
      </c>
      <c r="APD18" s="9">
        <f>AOT18-AOX18-AOY18-AOZ18-APA18-APB18-APC18</f>
        <v/>
      </c>
      <c r="APE18" s="9">
        <f>APE17+AOQ18-(AOX18+AOY18+AOZ18+APA18+APB18+APC18+AOV18)</f>
        <v/>
      </c>
      <c r="APF18" s="12">
        <f>IF(AOK18&gt;0,AOL18/AOK18,0)</f>
        <v/>
      </c>
      <c r="APG18" s="11">
        <f>IF(AOK17&gt;0,MAX(0,(AOK17+ANZ18-AOK18)/AOK17),0)</f>
        <v/>
      </c>
      <c r="API18" s="12" t="n">
        <v>14</v>
      </c>
      <c r="APJ18" s="12">
        <f>MOD(API18-1+LaunchMonth-1,12)+1</f>
        <v/>
      </c>
      <c r="APK18" s="12">
        <f>INT((API18-1+LaunchMonth-1)/12)+1</f>
        <v/>
      </c>
      <c r="APL18" s="12">
        <f>VLOOKUP(APJ18,SeasonTable,2,FALSE)</f>
        <v/>
      </c>
      <c r="APM18" s="12">
        <f>(1+InflationRate)^INT((API18-1)/12)</f>
        <v/>
      </c>
      <c r="APN18" s="11">
        <f>MonthlyChurn*VLOOKUP(APJ18,ChurnSeasonTable,4,FALSE)</f>
        <v/>
      </c>
      <c r="APO18" s="12">
        <f>MIN(MAX(MktMin13_18,AQI17*MktPct13_18),MAX(0,AQW17-CashBuffer))</f>
        <v/>
      </c>
      <c r="APP18" s="12">
        <f>IF(APO18&gt;0,MAX(1,ROUND(APO18/'Sens - CAC &amp; Marketing'!$A$15*APL18,0)),0)</f>
        <v/>
      </c>
      <c r="APQ18" s="12">
        <f>IF(APP18&gt;0,ROUND(APP18*ReferralMix/(1-ReferralMix),0),0)</f>
        <v/>
      </c>
      <c r="APR18" s="12">
        <f>APP18+APQ18</f>
        <v/>
      </c>
      <c r="APS18" s="12">
        <f>ROUND(APR18*(1-AnnualMix),0)</f>
        <v/>
      </c>
      <c r="APT18" s="12">
        <f>APR18-APS18</f>
        <v/>
      </c>
      <c r="APU18" s="12">
        <f>ROUND(APS18*EssentialMix,0)</f>
        <v/>
      </c>
      <c r="APV18" s="12">
        <f>APS18-APU18</f>
        <v/>
      </c>
      <c r="APW18" s="12">
        <f>ROUND(APT18*EssentialMix,0)</f>
        <v/>
      </c>
      <c r="APX18" s="12">
        <f>APT18-APW18</f>
        <v/>
      </c>
      <c r="APY18" s="12">
        <f>APU18+APU17+APU16+MAX(0,APY17-APU17-APU16)*(1-APN18)</f>
        <v/>
      </c>
      <c r="APZ18" s="12">
        <f>APV18+APV17+APV16+MAX(0,APZ17-APV17-APV16)*(1-APN18)</f>
        <v/>
      </c>
      <c r="AQA18" s="12">
        <f>AQA17+APW18-APW6*(AnnualChurn*VLOOKUP(APJ18,ChurnSeasonTable,4,FALSE))*POWER(1-(AnnualChurn*VLOOKUP(APJ18,ChurnSeasonTable,4,FALSE)),0)</f>
        <v/>
      </c>
      <c r="AQB18" s="12">
        <f>AQB17+APX18-APX6*(AnnualChurn*VLOOKUP(APJ18,ChurnSeasonTable,4,FALSE))*POWER(1-(AnnualChurn*VLOOKUP(APJ18,ChurnSeasonTable,4,FALSE)),0)</f>
        <v/>
      </c>
      <c r="AQC18" s="12">
        <f>APY18+APZ18+AQA18+AQB18</f>
        <v/>
      </c>
      <c r="AQD18" s="9">
        <f>APY18*PriceEssMonthly*APM18+APZ18*PricePremMonthly*APM18+AQA18*PriceEssAnnual*APM18/12+AQB18*PricePremAnnual*APM18/12</f>
        <v/>
      </c>
      <c r="AQE18" s="9">
        <f>AQD18*12</f>
        <v/>
      </c>
      <c r="AQF18" s="12">
        <f>APY18*PriceEssMonthly*APM18+APZ18*PricePremMonthly*APM18</f>
        <v/>
      </c>
      <c r="AQG18" s="12">
        <f>APW18*PriceEssAnnual*APM18+APX18*PricePremAnnual*APM18</f>
        <v/>
      </c>
      <c r="AQH18" s="12">
        <f>APW6*POWER(1-(AnnualChurn*VLOOKUP(APJ18,ChurnSeasonTable,4,FALSE)),1)*PriceEssAnnual*APM18+APX6*POWER(1-(AnnualChurn*VLOOKUP(APJ18,ChurnSeasonTable,4,FALSE)),1)*PricePremAnnual*APM18</f>
        <v/>
      </c>
      <c r="AQI18" s="9">
        <f>AQF18+AQG18+AQH18</f>
        <v/>
      </c>
      <c r="AQJ18" s="12">
        <f>SUM(AQI7:AQI18)</f>
        <v/>
      </c>
      <c r="AQK18" s="12">
        <f>OR(AQK17,AQJ18&gt;=VATThreshold)</f>
        <v/>
      </c>
      <c r="AQL18" s="9">
        <f>IF(AQK18,AQI18/(1+VATRate),AQI18)</f>
        <v/>
      </c>
      <c r="AQM18" s="12">
        <f>AQI18-AQL18</f>
        <v/>
      </c>
      <c r="AQN18" s="12">
        <f>IF(AQK18=0,0,IF(APJ18=1,SUMPRODUCT(--(($APK$5:$APK18=$APK18-1)*($APJ$5:$APJ18&gt;=10)*($APJ$5:$APJ18&lt;=12)),$AQM$5:$AQM18),IF(APJ18=4,SUMPRODUCT(--(($APK$5:$APK18=$APK18)*($APJ$5:$APJ18&gt;=1)*($APJ$5:$APJ18&lt;=3)),$AQM$5:$AQM18),IF(APJ18=7,SUMPRODUCT(--(($APK$5:$APK18=$APK18)*($APJ$5:$APJ18&gt;=4)*($APJ$5:$APJ18&lt;=6)),$AQM$5:$AQM18),IF(APJ18=10,SUMPRODUCT(--(($APK$5:$APK18=$APK18)*($APJ$5:$APJ18&gt;=7)*($APJ$5:$APJ18&lt;=9)),$AQM$5:$AQM18),0)))))</f>
        <v/>
      </c>
      <c r="AQO18" s="12">
        <f>AQO17+AQM18-AQN18</f>
        <v/>
      </c>
      <c r="AQP18" s="12">
        <f>IF(ProviderDelay&gt;=1,AQL17*ProviderShare,AQL18*ProviderShare)</f>
        <v/>
      </c>
      <c r="AQQ18" s="12">
        <f>AQI18*PaymentFee</f>
        <v/>
      </c>
      <c r="AQR18" s="12">
        <f>AQC18*OpsAI</f>
        <v/>
      </c>
      <c r="AQS18" s="12">
        <f>MonthlyFixed</f>
        <v/>
      </c>
      <c r="AQT18" s="12">
        <f>APQ18*ReferralReward</f>
        <v/>
      </c>
      <c r="AQU18" s="12">
        <f>APO18</f>
        <v/>
      </c>
      <c r="AQV18" s="9">
        <f>AQL18-AQP18-AQQ18-AQR18-AQS18-AQT18-AQU18</f>
        <v/>
      </c>
      <c r="AQW18" s="9">
        <f>AQW17+AQI18-(AQP18+AQQ18+AQR18+AQS18+AQT18+AQU18+AQN18)</f>
        <v/>
      </c>
      <c r="AQX18" s="12">
        <f>IF(AQC18&gt;0,AQD18/AQC18,0)</f>
        <v/>
      </c>
      <c r="AQY18" s="11">
        <f>IF(AQC17&gt;0,MAX(0,(AQC17+APR18-AQC18)/AQC17),0)</f>
        <v/>
      </c>
      <c r="ARA18" s="12" t="n">
        <v>14</v>
      </c>
      <c r="ARB18" s="12">
        <f>MOD(ARA18-1+LaunchMonth-1,12)+1</f>
        <v/>
      </c>
      <c r="ARC18" s="12">
        <f>INT((ARA18-1+LaunchMonth-1)/12)+1</f>
        <v/>
      </c>
      <c r="ARD18" s="12">
        <f>VLOOKUP(ARB18,WinterPivotSeasonTable,5,FALSE)</f>
        <v/>
      </c>
      <c r="ARE18" s="12">
        <f>(1+InflationRate)^INT((ARA18-1)/12)</f>
        <v/>
      </c>
      <c r="ARF18" s="11">
        <f>MonthlyChurn*VLOOKUP(ARB18,WinterPivotChurnTable,6,FALSE)</f>
        <v/>
      </c>
      <c r="ARG18" s="12">
        <f>MIN(MAX(MktMin13_18,ASA17*MktPct13_18),MAX(0,ASO17-CashBuffer))</f>
        <v/>
      </c>
      <c r="ARH18" s="12">
        <f>IF(ARG18&gt;0,MAX(1,ROUND(ARG18/CAC*ARD18,0)),0)</f>
        <v/>
      </c>
      <c r="ARI18" s="12">
        <f>IF(ARH18&gt;0,ROUND(ARH18*ReferralMix/(1-ReferralMix),0),0)</f>
        <v/>
      </c>
      <c r="ARJ18" s="12">
        <f>ARH18+ARI18</f>
        <v/>
      </c>
      <c r="ARK18" s="12">
        <f>ROUND(ARJ18*(1-AnnualMix),0)</f>
        <v/>
      </c>
      <c r="ARL18" s="12">
        <f>ARJ18-ARK18</f>
        <v/>
      </c>
      <c r="ARM18" s="12">
        <f>ROUND(ARK18*'Sens - Winter Pivot'!$B$6,0)</f>
        <v/>
      </c>
      <c r="ARN18" s="12">
        <f>ARK18-ARM18</f>
        <v/>
      </c>
      <c r="ARO18" s="12">
        <f>ROUND(ARL18*'Sens - Winter Pivot'!$B$6,0)</f>
        <v/>
      </c>
      <c r="ARP18" s="12">
        <f>ARL18-ARO18</f>
        <v/>
      </c>
      <c r="ARQ18" s="12">
        <f>ARM18+ARM17+ARM16+MAX(0,ARQ17-ARM17-ARM16)*(1-ARF18)</f>
        <v/>
      </c>
      <c r="ARR18" s="12">
        <f>ARN18+ARN17+ARN16+MAX(0,ARR17-ARN17-ARN16)*(1-ARF18)</f>
        <v/>
      </c>
      <c r="ARS18" s="12">
        <f>ARS17+ARO18-ARO6*(AnnualChurn*VLOOKUP(ARB18,WinterPivotChurnTable,6,FALSE))*POWER(1-(AnnualChurn*VLOOKUP(ARB18,WinterPivotChurnTable,6,FALSE)),0)</f>
        <v/>
      </c>
      <c r="ART18" s="12">
        <f>ART17+ARP18-ARP6*(AnnualChurn*VLOOKUP(ARB18,WinterPivotChurnTable,6,FALSE))*POWER(1-(AnnualChurn*VLOOKUP(ARB18,WinterPivotChurnTable,6,FALSE)),0)</f>
        <v/>
      </c>
      <c r="ARU18" s="12">
        <f>ARQ18+ARR18+ARS18+ART18</f>
        <v/>
      </c>
      <c r="ARV18" s="9">
        <f>ARQ18*PriceEssMonthly*ARE18+ARR18*(PricePremMonthly+'Sens - Winter Pivot'!$B$7)*ARE18+ARS18*PriceEssAnnual*ARE18/12+ART18*(PricePremAnnual+'Sens - Winter Pivot'!$B$7*12)*ARE18/12</f>
        <v/>
      </c>
      <c r="ARW18" s="9">
        <f>ARV18*12</f>
        <v/>
      </c>
      <c r="ARX18" s="12">
        <f>ARQ18*PriceEssMonthly*ARE18+ARR18*(PricePremMonthly+'Sens - Winter Pivot'!$B$7)*ARE18</f>
        <v/>
      </c>
      <c r="ARY18" s="12">
        <f>ARO18*PriceEssAnnual*ARE18+ARP18*(PricePremAnnual+'Sens - Winter Pivot'!$B$7*12)*ARE18</f>
        <v/>
      </c>
      <c r="ARZ18" s="12">
        <f>ARO6*POWER(1-(AnnualChurn*VLOOKUP(ARB18,WinterPivotChurnTable,6,FALSE)),1)*PriceEssAnnual*ARE18+ARP6*POWER(1-(AnnualChurn*VLOOKUP(ARB18,WinterPivotChurnTable,6,FALSE)),1)*PricePremAnnual*ARE18</f>
        <v/>
      </c>
      <c r="ASA18" s="9">
        <f>ARX18+ARY18+ARZ18</f>
        <v/>
      </c>
      <c r="ASB18" s="12">
        <f>SUM(ASA7:ASA18)</f>
        <v/>
      </c>
      <c r="ASC18" s="12">
        <f>OR(ASC17,ASB18&gt;=VATThreshold)</f>
        <v/>
      </c>
      <c r="ASD18" s="9">
        <f>IF(ASC18,ASA18/(1+VATRate),ASA18)</f>
        <v/>
      </c>
      <c r="ASE18" s="12">
        <f>ASA18-ASD18</f>
        <v/>
      </c>
      <c r="ASF18" s="12">
        <f>IF(ASC18=0,0,IF(ARB18=1,SUMPRODUCT(--(($ARC$5:$ARC18=$ARC18-1)*($ARB$5:$ARB18&gt;=10)*($ARB$5:$ARB18&lt;=12)),$ASE$5:$ASE18),IF(ARB18=4,SUMPRODUCT(--(($ARC$5:$ARC18=$ARC18)*($ARB$5:$ARB18&gt;=1)*($ARB$5:$ARB18&lt;=3)),$ASE$5:$ASE18),IF(ARB18=7,SUMPRODUCT(--(($ARC$5:$ARC18=$ARC18)*($ARB$5:$ARB18&gt;=4)*($ARB$5:$ARB18&lt;=6)),$ASE$5:$ASE18),IF(ARB18=10,SUMPRODUCT(--(($ARC$5:$ARC18=$ARC18)*($ARB$5:$ARB18&gt;=7)*($ARB$5:$ARB18&lt;=9)),$ASE$5:$ASE18),0)))))</f>
        <v/>
      </c>
      <c r="ASG18" s="12">
        <f>ASG17+ASE18-ASF18</f>
        <v/>
      </c>
      <c r="ASH18" s="12">
        <f>IF(ProviderDelay&gt;=1,ASD17*ProviderShare,ASD18*ProviderShare)</f>
        <v/>
      </c>
      <c r="ASI18" s="12">
        <f>ASA18*PaymentFee</f>
        <v/>
      </c>
      <c r="ASJ18" s="12">
        <f>ARU18*OpsAI</f>
        <v/>
      </c>
      <c r="ASK18" s="12">
        <f>MonthlyFixed</f>
        <v/>
      </c>
      <c r="ASL18" s="12">
        <f>ARI18*ReferralReward</f>
        <v/>
      </c>
      <c r="ASM18" s="12">
        <f>ARG18</f>
        <v/>
      </c>
      <c r="ASN18" s="9">
        <f>ASD18-ASH18-ASI18-ASJ18-ASK18-ASL18-ASM18</f>
        <v/>
      </c>
      <c r="ASO18" s="9">
        <f>ASO17+ASA18-(ASH18+ASI18+ASJ18+ASK18+ASL18+ASM18+ASF18)</f>
        <v/>
      </c>
      <c r="ASP18" s="12">
        <f>IF(ARU18&gt;0,ARV18/ARU18,0)</f>
        <v/>
      </c>
      <c r="ASQ18" s="11">
        <f>IF(ARU17&gt;0,MAX(0,(ARU17+ARJ18-ARU18)/ARU17),0)</f>
        <v/>
      </c>
    </row>
    <row r="19">
      <c r="A19" s="12" t="n">
        <v>15</v>
      </c>
      <c r="B19" s="12">
        <f>MOD(A19-1+LaunchMonth-1,12)+1</f>
        <v/>
      </c>
      <c r="C19" s="12">
        <f>INT((A19-1+LaunchMonth-1)/12)+1</f>
        <v/>
      </c>
      <c r="D19" s="12">
        <f>VLOOKUP(B19,SeasonTable,2,FALSE)</f>
        <v/>
      </c>
      <c r="E19" s="12">
        <f>(1+InflationRate)^INT((A19-1)/12)</f>
        <v/>
      </c>
      <c r="F19" s="11">
        <f>'Sens - Scenarios'!$B$5*VLOOKUP(B19,ChurnSeasonTable,4,FALSE)</f>
        <v/>
      </c>
      <c r="G19" s="12">
        <f>MIN(MAX(MktMin13_18,AA18*MktPct13_18),MAX(0,AO18-CashBuffer))</f>
        <v/>
      </c>
      <c r="H19" s="12">
        <f>IF(G19&gt;0,MAX(1,ROUND(G19/'Sens - Scenarios'!$B$8*D19,0)),0)</f>
        <v/>
      </c>
      <c r="I19" s="12">
        <f>IF(H19&gt;0,ROUND(H19*ReferralMix/(1-ReferralMix),0),0)</f>
        <v/>
      </c>
      <c r="J19" s="12">
        <f>H19+I19</f>
        <v/>
      </c>
      <c r="K19" s="12">
        <f>ROUND(J19*(1-'Sens - Scenarios'!$B$7),0)</f>
        <v/>
      </c>
      <c r="L19" s="12">
        <f>J19-K19</f>
        <v/>
      </c>
      <c r="M19" s="12">
        <f>ROUND(K19*EssentialMix,0)</f>
        <v/>
      </c>
      <c r="N19" s="12">
        <f>K19-M19</f>
        <v/>
      </c>
      <c r="O19" s="12">
        <f>ROUND(L19*EssentialMix,0)</f>
        <v/>
      </c>
      <c r="P19" s="12">
        <f>L19-O19</f>
        <v/>
      </c>
      <c r="Q19" s="12">
        <f>M19+M18+M17+MAX(0,Q18-M18-M17)*(1-F19)</f>
        <v/>
      </c>
      <c r="R19" s="12">
        <f>N19+N18+N17+MAX(0,R18-N18-N17)*(1-F19)</f>
        <v/>
      </c>
      <c r="S19" s="12">
        <f>S18+O19-O7*('Sens - Scenarios'!$B$6*VLOOKUP(B19,ChurnSeasonTable,4,FALSE))*POWER(1-('Sens - Scenarios'!$B$6*VLOOKUP(B19,ChurnSeasonTable,4,FALSE)),0)</f>
        <v/>
      </c>
      <c r="T19" s="12">
        <f>T18+P19-P7*('Sens - Scenarios'!$B$6*VLOOKUP(B19,ChurnSeasonTable,4,FALSE))*POWER(1-('Sens - Scenarios'!$B$6*VLOOKUP(B19,ChurnSeasonTable,4,FALSE)),0)</f>
        <v/>
      </c>
      <c r="U19" s="12">
        <f>Q19+R19+S19+T19</f>
        <v/>
      </c>
      <c r="V19" s="9">
        <f>Q19*PriceEssMonthly*E19+R19*PricePremMonthly*E19+S19*PriceEssAnnual*E19/12+T19*PricePremAnnual*E19/12</f>
        <v/>
      </c>
      <c r="W19" s="9">
        <f>V19*12</f>
        <v/>
      </c>
      <c r="X19" s="12">
        <f>Q19*PriceEssMonthly*E19+R19*PricePremMonthly*E19</f>
        <v/>
      </c>
      <c r="Y19" s="12">
        <f>O19*PriceEssAnnual*E19+P19*PricePremAnnual*E19</f>
        <v/>
      </c>
      <c r="Z19" s="12">
        <f>O7*POWER(1-('Sens - Scenarios'!$B$6*VLOOKUP(B19,ChurnSeasonTable,4,FALSE)),1)*PriceEssAnnual*E19+P7*POWER(1-('Sens - Scenarios'!$B$6*VLOOKUP(B19,ChurnSeasonTable,4,FALSE)),1)*PricePremAnnual*E19</f>
        <v/>
      </c>
      <c r="AA19" s="9">
        <f>X19+Y19+Z19</f>
        <v/>
      </c>
      <c r="AB19" s="12">
        <f>SUM(AA8:AA19)</f>
        <v/>
      </c>
      <c r="AC19" s="12">
        <f>OR(AC18,AB19&gt;=VATThreshold)</f>
        <v/>
      </c>
      <c r="AD19" s="9">
        <f>IF(AC19,AA19/(1+VATRate),AA19)</f>
        <v/>
      </c>
      <c r="AE19" s="12">
        <f>AA19-AD19</f>
        <v/>
      </c>
      <c r="AF19" s="12">
        <f>IF(AC19=0,0,IF(B19=1,SUMPRODUCT(--(($C$5:$C19=$C19-1)*($B$5:$B19&gt;=10)*($B$5:$B19&lt;=12)),$AE$5:$AE19),IF(B19=4,SUMPRODUCT(--(($C$5:$C19=$C19)*($B$5:$B19&gt;=1)*($B$5:$B19&lt;=3)),$AE$5:$AE19),IF(B19=7,SUMPRODUCT(--(($C$5:$C19=$C19)*($B$5:$B19&gt;=4)*($B$5:$B19&lt;=6)),$AE$5:$AE19),IF(B19=10,SUMPRODUCT(--(($C$5:$C19=$C19)*($B$5:$B19&gt;=7)*($B$5:$B19&lt;=9)),$AE$5:$AE19),0)))))</f>
        <v/>
      </c>
      <c r="AG19" s="12">
        <f>AG18+AE19-AF19</f>
        <v/>
      </c>
      <c r="AH19" s="12">
        <f>IF(ProviderDelay&gt;=1,AD18*ProviderShare,AD19*ProviderShare)</f>
        <v/>
      </c>
      <c r="AI19" s="12">
        <f>AA19*PaymentFee</f>
        <v/>
      </c>
      <c r="AJ19" s="12">
        <f>U19*OpsAI</f>
        <v/>
      </c>
      <c r="AK19" s="12">
        <f>MonthlyFixed</f>
        <v/>
      </c>
      <c r="AL19" s="12">
        <f>I19*ReferralReward</f>
        <v/>
      </c>
      <c r="AM19" s="12">
        <f>G19</f>
        <v/>
      </c>
      <c r="AN19" s="9">
        <f>AD19-AH19-AI19-AJ19-AK19-AL19-AM19</f>
        <v/>
      </c>
      <c r="AO19" s="9">
        <f>AO18+AA19-(AH19+AI19+AJ19+AK19+AL19+AM19+AF19)</f>
        <v/>
      </c>
      <c r="AP19" s="12">
        <f>IF(U19&gt;0,V19/U19,0)</f>
        <v/>
      </c>
      <c r="AQ19" s="11">
        <f>IF(U18&gt;0,MAX(0,(U18+J19-U19)/U18),0)</f>
        <v/>
      </c>
      <c r="AS19" s="12" t="n">
        <v>15</v>
      </c>
      <c r="AT19" s="12">
        <f>MOD(AS19-1+LaunchMonth-1,12)+1</f>
        <v/>
      </c>
      <c r="AU19" s="12">
        <f>INT((AS19-1+LaunchMonth-1)/12)+1</f>
        <v/>
      </c>
      <c r="AV19" s="12">
        <f>VLOOKUP(AT19,SeasonTable,2,FALSE)</f>
        <v/>
      </c>
      <c r="AW19" s="12">
        <f>(1+InflationRate)^INT((AS19-1)/12)</f>
        <v/>
      </c>
      <c r="AX19" s="11">
        <f>MonthlyChurn*VLOOKUP(AT19,ChurnSeasonTable,4,FALSE)</f>
        <v/>
      </c>
      <c r="AY19" s="12">
        <f>MIN(MAX(MktMin13_18,BS18*MktPct13_18),MAX(0,CG18-CashBuffer))</f>
        <v/>
      </c>
      <c r="AZ19" s="12">
        <f>IF(AY19&gt;0,MAX(1,ROUND(AY19/CAC*AV19,0)),0)</f>
        <v/>
      </c>
      <c r="BA19" s="12">
        <f>IF(AZ19&gt;0,ROUND(AZ19*ReferralMix/(1-ReferralMix),0),0)</f>
        <v/>
      </c>
      <c r="BB19" s="12">
        <f>AZ19+BA19</f>
        <v/>
      </c>
      <c r="BC19" s="12">
        <f>ROUND(BB19*(1-AnnualMix),0)</f>
        <v/>
      </c>
      <c r="BD19" s="12">
        <f>BB19-BC19</f>
        <v/>
      </c>
      <c r="BE19" s="12">
        <f>ROUND(BC19*EssentialMix,0)</f>
        <v/>
      </c>
      <c r="BF19" s="12">
        <f>BC19-BE19</f>
        <v/>
      </c>
      <c r="BG19" s="12">
        <f>ROUND(BD19*EssentialMix,0)</f>
        <v/>
      </c>
      <c r="BH19" s="12">
        <f>BD19-BG19</f>
        <v/>
      </c>
      <c r="BI19" s="12">
        <f>BE19+BE18+BE17+MAX(0,BI18-BE18-BE17)*(1-AX19)</f>
        <v/>
      </c>
      <c r="BJ19" s="12">
        <f>BF19+BF18+BF17+MAX(0,BJ18-BF18-BF17)*(1-AX19)</f>
        <v/>
      </c>
      <c r="BK19" s="12">
        <f>BK18+BG19-BG7*(AnnualChurn*VLOOKUP(AT19,ChurnSeasonTable,4,FALSE))*POWER(1-(AnnualChurn*VLOOKUP(AT19,ChurnSeasonTable,4,FALSE)),0)</f>
        <v/>
      </c>
      <c r="BL19" s="12">
        <f>BL18+BH19-BH7*(AnnualChurn*VLOOKUP(AT19,ChurnSeasonTable,4,FALSE))*POWER(1-(AnnualChurn*VLOOKUP(AT19,ChurnSeasonTable,4,FALSE)),0)</f>
        <v/>
      </c>
      <c r="BM19" s="12">
        <f>BI19+BJ19+BK19+BL19</f>
        <v/>
      </c>
      <c r="BN19" s="9">
        <f>BI19*PriceEssMonthly*AW19+BJ19*PricePremMonthly*AW19+BK19*PriceEssAnnual*AW19/12+BL19*PricePremAnnual*AW19/12</f>
        <v/>
      </c>
      <c r="BO19" s="9">
        <f>BN19*12</f>
        <v/>
      </c>
      <c r="BP19" s="12">
        <f>BI19*PriceEssMonthly*AW19+BJ19*PricePremMonthly*AW19</f>
        <v/>
      </c>
      <c r="BQ19" s="12">
        <f>BG19*PriceEssAnnual*AW19+BH19*PricePremAnnual*AW19</f>
        <v/>
      </c>
      <c r="BR19" s="12">
        <f>BG7*POWER(1-(AnnualChurn*VLOOKUP(AT19,ChurnSeasonTable,4,FALSE)),1)*PriceEssAnnual*AW19+BH7*POWER(1-(AnnualChurn*VLOOKUP(AT19,ChurnSeasonTable,4,FALSE)),1)*PricePremAnnual*AW19</f>
        <v/>
      </c>
      <c r="BS19" s="9">
        <f>BP19+BQ19+BR19</f>
        <v/>
      </c>
      <c r="BT19" s="12">
        <f>SUM(BS8:BS19)</f>
        <v/>
      </c>
      <c r="BU19" s="12">
        <f>OR(BU18,BT19&gt;=VATThreshold)</f>
        <v/>
      </c>
      <c r="BV19" s="9">
        <f>IF(BU19,BS19/(1+VATRate),BS19)</f>
        <v/>
      </c>
      <c r="BW19" s="12">
        <f>BS19-BV19</f>
        <v/>
      </c>
      <c r="BX19" s="12">
        <f>IF(BU19=0,0,IF(AT19=1,SUMPRODUCT(--(($AU$5:$AU19=$AU19-1)*($AT$5:$AT19&gt;=10)*($AT$5:$AT19&lt;=12)),$BW$5:$BW19),IF(AT19=4,SUMPRODUCT(--(($AU$5:$AU19=$AU19)*($AT$5:$AT19&gt;=1)*($AT$5:$AT19&lt;=3)),$BW$5:$BW19),IF(AT19=7,SUMPRODUCT(--(($AU$5:$AU19=$AU19)*($AT$5:$AT19&gt;=4)*($AT$5:$AT19&lt;=6)),$BW$5:$BW19),IF(AT19=10,SUMPRODUCT(--(($AU$5:$AU19=$AU19)*($AT$5:$AT19&gt;=7)*($AT$5:$AT19&lt;=9)),$BW$5:$BW19),0)))))</f>
        <v/>
      </c>
      <c r="BY19" s="12">
        <f>BY18+BW19-BX19</f>
        <v/>
      </c>
      <c r="BZ19" s="12">
        <f>IF(ProviderDelay&gt;=1,BV18*ProviderShare,BV19*ProviderShare)</f>
        <v/>
      </c>
      <c r="CA19" s="12">
        <f>BS19*PaymentFee</f>
        <v/>
      </c>
      <c r="CB19" s="12">
        <f>BM19*OpsAI</f>
        <v/>
      </c>
      <c r="CC19" s="12">
        <f>MonthlyFixed</f>
        <v/>
      </c>
      <c r="CD19" s="12">
        <f>BA19*ReferralReward</f>
        <v/>
      </c>
      <c r="CE19" s="12">
        <f>AY19</f>
        <v/>
      </c>
      <c r="CF19" s="9">
        <f>BV19-BZ19-CA19-CB19-CC19-CD19-CE19</f>
        <v/>
      </c>
      <c r="CG19" s="9">
        <f>CG18+BS19-(BZ19+CA19+CB19+CC19+CD19+CE19+BX19)</f>
        <v/>
      </c>
      <c r="CH19" s="12">
        <f>IF(BM19&gt;0,BN19/BM19,0)</f>
        <v/>
      </c>
      <c r="CI19" s="11">
        <f>IF(BM18&gt;0,MAX(0,(BM18+BB19-BM19)/BM18),0)</f>
        <v/>
      </c>
      <c r="CK19" s="12" t="n">
        <v>15</v>
      </c>
      <c r="CL19" s="12">
        <f>MOD(CK19-1+LaunchMonth-1,12)+1</f>
        <v/>
      </c>
      <c r="CM19" s="12">
        <f>INT((CK19-1+LaunchMonth-1)/12)+1</f>
        <v/>
      </c>
      <c r="CN19" s="12">
        <f>VLOOKUP(CL19,SeasonTable,2,FALSE)</f>
        <v/>
      </c>
      <c r="CO19" s="12">
        <f>(1+InflationRate)^INT((CK19-1)/12)</f>
        <v/>
      </c>
      <c r="CP19" s="11">
        <f>'Sens - Scenarios'!$D$5*VLOOKUP(CL19,ChurnSeasonTable,4,FALSE)</f>
        <v/>
      </c>
      <c r="CQ19" s="12">
        <f>MIN(MAX(MktMin13_18,DK18*MktPct13_18),MAX(0,DY18-CashBuffer))</f>
        <v/>
      </c>
      <c r="CR19" s="12">
        <f>IF(CQ19&gt;0,MAX(1,ROUND(CQ19/'Sens - Scenarios'!$D$8*CN19,0)),0)</f>
        <v/>
      </c>
      <c r="CS19" s="12">
        <f>IF(CR19&gt;0,ROUND(CR19*ReferralMix/(1-ReferralMix),0),0)</f>
        <v/>
      </c>
      <c r="CT19" s="12">
        <f>CR19+CS19</f>
        <v/>
      </c>
      <c r="CU19" s="12">
        <f>ROUND(CT19*(1-'Sens - Scenarios'!$D$7),0)</f>
        <v/>
      </c>
      <c r="CV19" s="12">
        <f>CT19-CU19</f>
        <v/>
      </c>
      <c r="CW19" s="12">
        <f>ROUND(CU19*EssentialMix,0)</f>
        <v/>
      </c>
      <c r="CX19" s="12">
        <f>CU19-CW19</f>
        <v/>
      </c>
      <c r="CY19" s="12">
        <f>ROUND(CV19*EssentialMix,0)</f>
        <v/>
      </c>
      <c r="CZ19" s="12">
        <f>CV19-CY19</f>
        <v/>
      </c>
      <c r="DA19" s="12">
        <f>CW19+CW18+CW17+MAX(0,DA18-CW18-CW17)*(1-CP19)</f>
        <v/>
      </c>
      <c r="DB19" s="12">
        <f>CX19+CX18+CX17+MAX(0,DB18-CX18-CX17)*(1-CP19)</f>
        <v/>
      </c>
      <c r="DC19" s="12">
        <f>DC18+CY19-CY7*('Sens - Scenarios'!$D$6*VLOOKUP(CL19,ChurnSeasonTable,4,FALSE))*POWER(1-('Sens - Scenarios'!$D$6*VLOOKUP(CL19,ChurnSeasonTable,4,FALSE)),0)</f>
        <v/>
      </c>
      <c r="DD19" s="12">
        <f>DD18+CZ19-CZ7*('Sens - Scenarios'!$D$6*VLOOKUP(CL19,ChurnSeasonTable,4,FALSE))*POWER(1-('Sens - Scenarios'!$D$6*VLOOKUP(CL19,ChurnSeasonTable,4,FALSE)),0)</f>
        <v/>
      </c>
      <c r="DE19" s="12">
        <f>DA19+DB19+DC19+DD19</f>
        <v/>
      </c>
      <c r="DF19" s="9">
        <f>DA19*PriceEssMonthly*CO19+DB19*PricePremMonthly*CO19+DC19*PriceEssAnnual*CO19/12+DD19*PricePremAnnual*CO19/12</f>
        <v/>
      </c>
      <c r="DG19" s="9">
        <f>DF19*12</f>
        <v/>
      </c>
      <c r="DH19" s="12">
        <f>DA19*PriceEssMonthly*CO19+DB19*PricePremMonthly*CO19</f>
        <v/>
      </c>
      <c r="DI19" s="12">
        <f>CY19*PriceEssAnnual*CO19+CZ19*PricePremAnnual*CO19</f>
        <v/>
      </c>
      <c r="DJ19" s="12">
        <f>CY7*POWER(1-('Sens - Scenarios'!$D$6*VLOOKUP(CL19,ChurnSeasonTable,4,FALSE)),1)*PriceEssAnnual*CO19+CZ7*POWER(1-('Sens - Scenarios'!$D$6*VLOOKUP(CL19,ChurnSeasonTable,4,FALSE)),1)*PricePremAnnual*CO19</f>
        <v/>
      </c>
      <c r="DK19" s="9">
        <f>DH19+DI19+DJ19</f>
        <v/>
      </c>
      <c r="DL19" s="12">
        <f>SUM(DK8:DK19)</f>
        <v/>
      </c>
      <c r="DM19" s="12">
        <f>OR(DM18,DL19&gt;=VATThreshold)</f>
        <v/>
      </c>
      <c r="DN19" s="9">
        <f>IF(DM19,DK19/(1+VATRate),DK19)</f>
        <v/>
      </c>
      <c r="DO19" s="12">
        <f>DK19-DN19</f>
        <v/>
      </c>
      <c r="DP19" s="12">
        <f>IF(DM19=0,0,IF(CL19=1,SUMPRODUCT(--(($CM$5:$CM19=$CM19-1)*($CL$5:$CL19&gt;=10)*($CL$5:$CL19&lt;=12)),$DO$5:$DO19),IF(CL19=4,SUMPRODUCT(--(($CM$5:$CM19=$CM19)*($CL$5:$CL19&gt;=1)*($CL$5:$CL19&lt;=3)),$DO$5:$DO19),IF(CL19=7,SUMPRODUCT(--(($CM$5:$CM19=$CM19)*($CL$5:$CL19&gt;=4)*($CL$5:$CL19&lt;=6)),$DO$5:$DO19),IF(CL19=10,SUMPRODUCT(--(($CM$5:$CM19=$CM19)*($CL$5:$CL19&gt;=7)*($CL$5:$CL19&lt;=9)),$DO$5:$DO19),0)))))</f>
        <v/>
      </c>
      <c r="DQ19" s="12">
        <f>DQ18+DO19-DP19</f>
        <v/>
      </c>
      <c r="DR19" s="12">
        <f>IF(ProviderDelay&gt;=1,DN18*ProviderShare,DN19*ProviderShare)</f>
        <v/>
      </c>
      <c r="DS19" s="12">
        <f>DK19*PaymentFee</f>
        <v/>
      </c>
      <c r="DT19" s="12">
        <f>DE19*OpsAI</f>
        <v/>
      </c>
      <c r="DU19" s="12">
        <f>MonthlyFixed</f>
        <v/>
      </c>
      <c r="DV19" s="12">
        <f>CS19*ReferralReward</f>
        <v/>
      </c>
      <c r="DW19" s="12">
        <f>CQ19</f>
        <v/>
      </c>
      <c r="DX19" s="9">
        <f>DN19-DR19-DS19-DT19-DU19-DV19-DW19</f>
        <v/>
      </c>
      <c r="DY19" s="9">
        <f>DY18+DK19-(DR19+DS19+DT19+DU19+DV19+DW19+DP19)</f>
        <v/>
      </c>
      <c r="DZ19" s="12">
        <f>IF(DE19&gt;0,DF19/DE19,0)</f>
        <v/>
      </c>
      <c r="EA19" s="11">
        <f>IF(DE18&gt;0,MAX(0,(DE18+CT19-DE19)/DE18),0)</f>
        <v/>
      </c>
      <c r="EC19" s="12" t="n">
        <v>15</v>
      </c>
      <c r="ED19" s="12">
        <f>MOD(EC19-1+LaunchMonth-1,12)+1</f>
        <v/>
      </c>
      <c r="EE19" s="12">
        <f>INT((EC19-1+LaunchMonth-1)/12)+1</f>
        <v/>
      </c>
      <c r="EF19" s="12">
        <f>VLOOKUP(ED19,SeasonTable,2,FALSE)</f>
        <v/>
      </c>
      <c r="EG19" s="12">
        <f>(1+InflationRate)^INT((EC19-1)/12)</f>
        <v/>
      </c>
      <c r="EH19" s="11">
        <f>'Sens - Churn'!$A$13*VLOOKUP(ED19,ChurnSeasonTable,4,FALSE)</f>
        <v/>
      </c>
      <c r="EI19" s="12">
        <f>MIN(MAX(MktMin13_18,FC18*MktPct13_18),MAX(0,FQ18-CashBuffer))</f>
        <v/>
      </c>
      <c r="EJ19" s="12">
        <f>IF(EI19&gt;0,MAX(1,ROUND(EI19/CAC*EF19,0)),0)</f>
        <v/>
      </c>
      <c r="EK19" s="12">
        <f>IF(EJ19&gt;0,ROUND(EJ19*ReferralMix/(1-ReferralMix),0),0)</f>
        <v/>
      </c>
      <c r="EL19" s="12">
        <f>EJ19+EK19</f>
        <v/>
      </c>
      <c r="EM19" s="12">
        <f>ROUND(EL19*(1-AnnualMix),0)</f>
        <v/>
      </c>
      <c r="EN19" s="12">
        <f>EL19-EM19</f>
        <v/>
      </c>
      <c r="EO19" s="12">
        <f>ROUND(EM19*EssentialMix,0)</f>
        <v/>
      </c>
      <c r="EP19" s="12">
        <f>EM19-EO19</f>
        <v/>
      </c>
      <c r="EQ19" s="12">
        <f>ROUND(EN19*EssentialMix,0)</f>
        <v/>
      </c>
      <c r="ER19" s="12">
        <f>EN19-EQ19</f>
        <v/>
      </c>
      <c r="ES19" s="12">
        <f>EO19+EO18+EO17+MAX(0,ES18-EO18-EO17)*(1-EH19)</f>
        <v/>
      </c>
      <c r="ET19" s="12">
        <f>EP19+EP18+EP17+MAX(0,ET18-EP18-EP17)*(1-EH19)</f>
        <v/>
      </c>
      <c r="EU19" s="12">
        <f>EU18+EQ19-EQ7*(AnnualChurn*VLOOKUP(ED19,ChurnSeasonTable,4,FALSE))*POWER(1-(AnnualChurn*VLOOKUP(ED19,ChurnSeasonTable,4,FALSE)),0)</f>
        <v/>
      </c>
      <c r="EV19" s="12">
        <f>EV18+ER19-ER7*(AnnualChurn*VLOOKUP(ED19,ChurnSeasonTable,4,FALSE))*POWER(1-(AnnualChurn*VLOOKUP(ED19,ChurnSeasonTable,4,FALSE)),0)</f>
        <v/>
      </c>
      <c r="EW19" s="12">
        <f>ES19+ET19+EU19+EV19</f>
        <v/>
      </c>
      <c r="EX19" s="9">
        <f>ES19*PriceEssMonthly*EG19+ET19*PricePremMonthly*EG19+EU19*PriceEssAnnual*EG19/12+EV19*PricePremAnnual*EG19/12</f>
        <v/>
      </c>
      <c r="EY19" s="9">
        <f>EX19*12</f>
        <v/>
      </c>
      <c r="EZ19" s="12">
        <f>ES19*PriceEssMonthly*EG19+ET19*PricePremMonthly*EG19</f>
        <v/>
      </c>
      <c r="FA19" s="12">
        <f>EQ19*PriceEssAnnual*EG19+ER19*PricePremAnnual*EG19</f>
        <v/>
      </c>
      <c r="FB19" s="12">
        <f>EQ7*POWER(1-(AnnualChurn*VLOOKUP(ED19,ChurnSeasonTable,4,FALSE)),1)*PriceEssAnnual*EG19+ER7*POWER(1-(AnnualChurn*VLOOKUP(ED19,ChurnSeasonTable,4,FALSE)),1)*PricePremAnnual*EG19</f>
        <v/>
      </c>
      <c r="FC19" s="9">
        <f>EZ19+FA19+FB19</f>
        <v/>
      </c>
      <c r="FD19" s="12">
        <f>SUM(FC8:FC19)</f>
        <v/>
      </c>
      <c r="FE19" s="12">
        <f>OR(FE18,FD19&gt;=VATThreshold)</f>
        <v/>
      </c>
      <c r="FF19" s="9">
        <f>IF(FE19,FC19/(1+VATRate),FC19)</f>
        <v/>
      </c>
      <c r="FG19" s="12">
        <f>FC19-FF19</f>
        <v/>
      </c>
      <c r="FH19" s="12">
        <f>IF(FE19=0,0,IF(ED19=1,SUMPRODUCT(--(($EE$5:$EE19=$EE19-1)*($ED$5:$ED19&gt;=10)*($ED$5:$ED19&lt;=12)),$FG$5:$FG19),IF(ED19=4,SUMPRODUCT(--(($EE$5:$EE19=$EE19)*($ED$5:$ED19&gt;=1)*($ED$5:$ED19&lt;=3)),$FG$5:$FG19),IF(ED19=7,SUMPRODUCT(--(($EE$5:$EE19=$EE19)*($ED$5:$ED19&gt;=4)*($ED$5:$ED19&lt;=6)),$FG$5:$FG19),IF(ED19=10,SUMPRODUCT(--(($EE$5:$EE19=$EE19)*($ED$5:$ED19&gt;=7)*($ED$5:$ED19&lt;=9)),$FG$5:$FG19),0)))))</f>
        <v/>
      </c>
      <c r="FI19" s="12">
        <f>FI18+FG19-FH19</f>
        <v/>
      </c>
      <c r="FJ19" s="12">
        <f>IF(ProviderDelay&gt;=1,FF18*ProviderShare,FF19*ProviderShare)</f>
        <v/>
      </c>
      <c r="FK19" s="12">
        <f>FC19*PaymentFee</f>
        <v/>
      </c>
      <c r="FL19" s="12">
        <f>EW19*OpsAI</f>
        <v/>
      </c>
      <c r="FM19" s="12">
        <f>MonthlyFixed</f>
        <v/>
      </c>
      <c r="FN19" s="12">
        <f>EK19*ReferralReward</f>
        <v/>
      </c>
      <c r="FO19" s="12">
        <f>EI19</f>
        <v/>
      </c>
      <c r="FP19" s="9">
        <f>FF19-FJ19-FK19-FL19-FM19-FN19-FO19</f>
        <v/>
      </c>
      <c r="FQ19" s="9">
        <f>FQ18+FC19-(FJ19+FK19+FL19+FM19+FN19+FO19+FH19)</f>
        <v/>
      </c>
      <c r="FR19" s="12">
        <f>IF(EW19&gt;0,EX19/EW19,0)</f>
        <v/>
      </c>
      <c r="FS19" s="11">
        <f>IF(EW18&gt;0,MAX(0,(EW18+EL19-EW19)/EW18),0)</f>
        <v/>
      </c>
      <c r="FU19" s="12" t="n">
        <v>15</v>
      </c>
      <c r="FV19" s="12">
        <f>MOD(FU19-1+LaunchMonth-1,12)+1</f>
        <v/>
      </c>
      <c r="FW19" s="12">
        <f>INT((FU19-1+LaunchMonth-1)/12)+1</f>
        <v/>
      </c>
      <c r="FX19" s="12">
        <f>VLOOKUP(FV19,SeasonTable,2,FALSE)</f>
        <v/>
      </c>
      <c r="FY19" s="12">
        <f>(1+InflationRate)^INT((FU19-1)/12)</f>
        <v/>
      </c>
      <c r="FZ19" s="11">
        <f>'Sens - Churn'!$A$14*VLOOKUP(FV19,ChurnSeasonTable,4,FALSE)</f>
        <v/>
      </c>
      <c r="GA19" s="12">
        <f>MIN(MAX(MktMin13_18,GU18*MktPct13_18),MAX(0,HI18-CashBuffer))</f>
        <v/>
      </c>
      <c r="GB19" s="12">
        <f>IF(GA19&gt;0,MAX(1,ROUND(GA19/CAC*FX19,0)),0)</f>
        <v/>
      </c>
      <c r="GC19" s="12">
        <f>IF(GB19&gt;0,ROUND(GB19*ReferralMix/(1-ReferralMix),0),0)</f>
        <v/>
      </c>
      <c r="GD19" s="12">
        <f>GB19+GC19</f>
        <v/>
      </c>
      <c r="GE19" s="12">
        <f>ROUND(GD19*(1-AnnualMix),0)</f>
        <v/>
      </c>
      <c r="GF19" s="12">
        <f>GD19-GE19</f>
        <v/>
      </c>
      <c r="GG19" s="12">
        <f>ROUND(GE19*EssentialMix,0)</f>
        <v/>
      </c>
      <c r="GH19" s="12">
        <f>GE19-GG19</f>
        <v/>
      </c>
      <c r="GI19" s="12">
        <f>ROUND(GF19*EssentialMix,0)</f>
        <v/>
      </c>
      <c r="GJ19" s="12">
        <f>GF19-GI19</f>
        <v/>
      </c>
      <c r="GK19" s="12">
        <f>GG19+GG18+GG17+MAX(0,GK18-GG18-GG17)*(1-FZ19)</f>
        <v/>
      </c>
      <c r="GL19" s="12">
        <f>GH19+GH18+GH17+MAX(0,GL18-GH18-GH17)*(1-FZ19)</f>
        <v/>
      </c>
      <c r="GM19" s="12">
        <f>GM18+GI19-GI7*(AnnualChurn*VLOOKUP(FV19,ChurnSeasonTable,4,FALSE))*POWER(1-(AnnualChurn*VLOOKUP(FV19,ChurnSeasonTable,4,FALSE)),0)</f>
        <v/>
      </c>
      <c r="GN19" s="12">
        <f>GN18+GJ19-GJ7*(AnnualChurn*VLOOKUP(FV19,ChurnSeasonTable,4,FALSE))*POWER(1-(AnnualChurn*VLOOKUP(FV19,ChurnSeasonTable,4,FALSE)),0)</f>
        <v/>
      </c>
      <c r="GO19" s="12">
        <f>GK19+GL19+GM19+GN19</f>
        <v/>
      </c>
      <c r="GP19" s="9">
        <f>GK19*PriceEssMonthly*FY19+GL19*PricePremMonthly*FY19+GM19*PriceEssAnnual*FY19/12+GN19*PricePremAnnual*FY19/12</f>
        <v/>
      </c>
      <c r="GQ19" s="9">
        <f>GP19*12</f>
        <v/>
      </c>
      <c r="GR19" s="12">
        <f>GK19*PriceEssMonthly*FY19+GL19*PricePremMonthly*FY19</f>
        <v/>
      </c>
      <c r="GS19" s="12">
        <f>GI19*PriceEssAnnual*FY19+GJ19*PricePremAnnual*FY19</f>
        <v/>
      </c>
      <c r="GT19" s="12">
        <f>GI7*POWER(1-(AnnualChurn*VLOOKUP(FV19,ChurnSeasonTable,4,FALSE)),1)*PriceEssAnnual*FY19+GJ7*POWER(1-(AnnualChurn*VLOOKUP(FV19,ChurnSeasonTable,4,FALSE)),1)*PricePremAnnual*FY19</f>
        <v/>
      </c>
      <c r="GU19" s="9">
        <f>GR19+GS19+GT19</f>
        <v/>
      </c>
      <c r="GV19" s="12">
        <f>SUM(GU8:GU19)</f>
        <v/>
      </c>
      <c r="GW19" s="12">
        <f>OR(GW18,GV19&gt;=VATThreshold)</f>
        <v/>
      </c>
      <c r="GX19" s="9">
        <f>IF(GW19,GU19/(1+VATRate),GU19)</f>
        <v/>
      </c>
      <c r="GY19" s="12">
        <f>GU19-GX19</f>
        <v/>
      </c>
      <c r="GZ19" s="12">
        <f>IF(GW19=0,0,IF(FV19=1,SUMPRODUCT(--(($FW$5:$FW19=$FW19-1)*($FV$5:$FV19&gt;=10)*($FV$5:$FV19&lt;=12)),$GY$5:$GY19),IF(FV19=4,SUMPRODUCT(--(($FW$5:$FW19=$FW19)*($FV$5:$FV19&gt;=1)*($FV$5:$FV19&lt;=3)),$GY$5:$GY19),IF(FV19=7,SUMPRODUCT(--(($FW$5:$FW19=$FW19)*($FV$5:$FV19&gt;=4)*($FV$5:$FV19&lt;=6)),$GY$5:$GY19),IF(FV19=10,SUMPRODUCT(--(($FW$5:$FW19=$FW19)*($FV$5:$FV19&gt;=7)*($FV$5:$FV19&lt;=9)),$GY$5:$GY19),0)))))</f>
        <v/>
      </c>
      <c r="HA19" s="12">
        <f>HA18+GY19-GZ19</f>
        <v/>
      </c>
      <c r="HB19" s="12">
        <f>IF(ProviderDelay&gt;=1,GX18*ProviderShare,GX19*ProviderShare)</f>
        <v/>
      </c>
      <c r="HC19" s="12">
        <f>GU19*PaymentFee</f>
        <v/>
      </c>
      <c r="HD19" s="12">
        <f>GO19*OpsAI</f>
        <v/>
      </c>
      <c r="HE19" s="12">
        <f>MonthlyFixed</f>
        <v/>
      </c>
      <c r="HF19" s="12">
        <f>GC19*ReferralReward</f>
        <v/>
      </c>
      <c r="HG19" s="12">
        <f>GA19</f>
        <v/>
      </c>
      <c r="HH19" s="9">
        <f>GX19-HB19-HC19-HD19-HE19-HF19-HG19</f>
        <v/>
      </c>
      <c r="HI19" s="9">
        <f>HI18+GU19-(HB19+HC19+HD19+HE19+HF19+HG19+GZ19)</f>
        <v/>
      </c>
      <c r="HJ19" s="12">
        <f>IF(GO19&gt;0,GP19/GO19,0)</f>
        <v/>
      </c>
      <c r="HK19" s="11">
        <f>IF(GO18&gt;0,MAX(0,(GO18+GD19-GO19)/GO18),0)</f>
        <v/>
      </c>
      <c r="HM19" s="12" t="n">
        <v>15</v>
      </c>
      <c r="HN19" s="12">
        <f>MOD(HM19-1+LaunchMonth-1,12)+1</f>
        <v/>
      </c>
      <c r="HO19" s="12">
        <f>INT((HM19-1+LaunchMonth-1)/12)+1</f>
        <v/>
      </c>
      <c r="HP19" s="12">
        <f>VLOOKUP(HN19,SeasonTable,2,FALSE)</f>
        <v/>
      </c>
      <c r="HQ19" s="12">
        <f>(1+InflationRate)^INT((HM19-1)/12)</f>
        <v/>
      </c>
      <c r="HR19" s="11">
        <f>'Sens - Churn'!$A$15*VLOOKUP(HN19,ChurnSeasonTable,4,FALSE)</f>
        <v/>
      </c>
      <c r="HS19" s="12">
        <f>MIN(MAX(MktMin13_18,IM18*MktPct13_18),MAX(0,JA18-CashBuffer))</f>
        <v/>
      </c>
      <c r="HT19" s="12">
        <f>IF(HS19&gt;0,MAX(1,ROUND(HS19/CAC*HP19,0)),0)</f>
        <v/>
      </c>
      <c r="HU19" s="12">
        <f>IF(HT19&gt;0,ROUND(HT19*ReferralMix/(1-ReferralMix),0),0)</f>
        <v/>
      </c>
      <c r="HV19" s="12">
        <f>HT19+HU19</f>
        <v/>
      </c>
      <c r="HW19" s="12">
        <f>ROUND(HV19*(1-AnnualMix),0)</f>
        <v/>
      </c>
      <c r="HX19" s="12">
        <f>HV19-HW19</f>
        <v/>
      </c>
      <c r="HY19" s="12">
        <f>ROUND(HW19*EssentialMix,0)</f>
        <v/>
      </c>
      <c r="HZ19" s="12">
        <f>HW19-HY19</f>
        <v/>
      </c>
      <c r="IA19" s="12">
        <f>ROUND(HX19*EssentialMix,0)</f>
        <v/>
      </c>
      <c r="IB19" s="12">
        <f>HX19-IA19</f>
        <v/>
      </c>
      <c r="IC19" s="12">
        <f>HY19+HY18+HY17+MAX(0,IC18-HY18-HY17)*(1-HR19)</f>
        <v/>
      </c>
      <c r="ID19" s="12">
        <f>HZ19+HZ18+HZ17+MAX(0,ID18-HZ18-HZ17)*(1-HR19)</f>
        <v/>
      </c>
      <c r="IE19" s="12">
        <f>IE18+IA19-IA7*(AnnualChurn*VLOOKUP(HN19,ChurnSeasonTable,4,FALSE))*POWER(1-(AnnualChurn*VLOOKUP(HN19,ChurnSeasonTable,4,FALSE)),0)</f>
        <v/>
      </c>
      <c r="IF19" s="12">
        <f>IF18+IB19-IB7*(AnnualChurn*VLOOKUP(HN19,ChurnSeasonTable,4,FALSE))*POWER(1-(AnnualChurn*VLOOKUP(HN19,ChurnSeasonTable,4,FALSE)),0)</f>
        <v/>
      </c>
      <c r="IG19" s="12">
        <f>IC19+ID19+IE19+IF19</f>
        <v/>
      </c>
      <c r="IH19" s="9">
        <f>IC19*PriceEssMonthly*HQ19+ID19*PricePremMonthly*HQ19+IE19*PriceEssAnnual*HQ19/12+IF19*PricePremAnnual*HQ19/12</f>
        <v/>
      </c>
      <c r="II19" s="9">
        <f>IH19*12</f>
        <v/>
      </c>
      <c r="IJ19" s="12">
        <f>IC19*PriceEssMonthly*HQ19+ID19*PricePremMonthly*HQ19</f>
        <v/>
      </c>
      <c r="IK19" s="12">
        <f>IA19*PriceEssAnnual*HQ19+IB19*PricePremAnnual*HQ19</f>
        <v/>
      </c>
      <c r="IL19" s="12">
        <f>IA7*POWER(1-(AnnualChurn*VLOOKUP(HN19,ChurnSeasonTable,4,FALSE)),1)*PriceEssAnnual*HQ19+IB7*POWER(1-(AnnualChurn*VLOOKUP(HN19,ChurnSeasonTable,4,FALSE)),1)*PricePremAnnual*HQ19</f>
        <v/>
      </c>
      <c r="IM19" s="9">
        <f>IJ19+IK19+IL19</f>
        <v/>
      </c>
      <c r="IN19" s="12">
        <f>SUM(IM8:IM19)</f>
        <v/>
      </c>
      <c r="IO19" s="12">
        <f>OR(IO18,IN19&gt;=VATThreshold)</f>
        <v/>
      </c>
      <c r="IP19" s="9">
        <f>IF(IO19,IM19/(1+VATRate),IM19)</f>
        <v/>
      </c>
      <c r="IQ19" s="12">
        <f>IM19-IP19</f>
        <v/>
      </c>
      <c r="IR19" s="12">
        <f>IF(IO19=0,0,IF(HN19=1,SUMPRODUCT(--(($HO$5:$HO19=$HO19-1)*($HN$5:$HN19&gt;=10)*($HN$5:$HN19&lt;=12)),$IQ$5:$IQ19),IF(HN19=4,SUMPRODUCT(--(($HO$5:$HO19=$HO19)*($HN$5:$HN19&gt;=1)*($HN$5:$HN19&lt;=3)),$IQ$5:$IQ19),IF(HN19=7,SUMPRODUCT(--(($HO$5:$HO19=$HO19)*($HN$5:$HN19&gt;=4)*($HN$5:$HN19&lt;=6)),$IQ$5:$IQ19),IF(HN19=10,SUMPRODUCT(--(($HO$5:$HO19=$HO19)*($HN$5:$HN19&gt;=7)*($HN$5:$HN19&lt;=9)),$IQ$5:$IQ19),0)))))</f>
        <v/>
      </c>
      <c r="IS19" s="12">
        <f>IS18+IQ19-IR19</f>
        <v/>
      </c>
      <c r="IT19" s="12">
        <f>IF(ProviderDelay&gt;=1,IP18*ProviderShare,IP19*ProviderShare)</f>
        <v/>
      </c>
      <c r="IU19" s="12">
        <f>IM19*PaymentFee</f>
        <v/>
      </c>
      <c r="IV19" s="12">
        <f>IG19*OpsAI</f>
        <v/>
      </c>
      <c r="IW19" s="12">
        <f>MonthlyFixed</f>
        <v/>
      </c>
      <c r="IX19" s="12">
        <f>HU19*ReferralReward</f>
        <v/>
      </c>
      <c r="IY19" s="12">
        <f>HS19</f>
        <v/>
      </c>
      <c r="IZ19" s="9">
        <f>IP19-IT19-IU19-IV19-IW19-IX19-IY19</f>
        <v/>
      </c>
      <c r="JA19" s="9">
        <f>JA18+IM19-(IT19+IU19+IV19+IW19+IX19+IY19+IR19)</f>
        <v/>
      </c>
      <c r="JB19" s="12">
        <f>IF(IG19&gt;0,IH19/IG19,0)</f>
        <v/>
      </c>
      <c r="JC19" s="11">
        <f>IF(IG18&gt;0,MAX(0,(IG18+HV19-IG19)/IG18),0)</f>
        <v/>
      </c>
      <c r="JE19" s="12" t="n">
        <v>15</v>
      </c>
      <c r="JF19" s="12">
        <f>MOD(JE19-1+LaunchMonth-1,12)+1</f>
        <v/>
      </c>
      <c r="JG19" s="12">
        <f>INT((JE19-1+LaunchMonth-1)/12)+1</f>
        <v/>
      </c>
      <c r="JH19" s="12">
        <f>VLOOKUP(JF19,SeasonTable,2,FALSE)</f>
        <v/>
      </c>
      <c r="JI19" s="12">
        <f>(1+InflationRate)^INT((JE19-1)/12)</f>
        <v/>
      </c>
      <c r="JJ19" s="11">
        <f>'Sens - Churn'!$A$16*VLOOKUP(JF19,ChurnSeasonTable,4,FALSE)</f>
        <v/>
      </c>
      <c r="JK19" s="12">
        <f>MIN(MAX(MktMin13_18,KE18*MktPct13_18),MAX(0,KS18-CashBuffer))</f>
        <v/>
      </c>
      <c r="JL19" s="12">
        <f>IF(JK19&gt;0,MAX(1,ROUND(JK19/CAC*JH19,0)),0)</f>
        <v/>
      </c>
      <c r="JM19" s="12">
        <f>IF(JL19&gt;0,ROUND(JL19*ReferralMix/(1-ReferralMix),0),0)</f>
        <v/>
      </c>
      <c r="JN19" s="12">
        <f>JL19+JM19</f>
        <v/>
      </c>
      <c r="JO19" s="12">
        <f>ROUND(JN19*(1-AnnualMix),0)</f>
        <v/>
      </c>
      <c r="JP19" s="12">
        <f>JN19-JO19</f>
        <v/>
      </c>
      <c r="JQ19" s="12">
        <f>ROUND(JO19*EssentialMix,0)</f>
        <v/>
      </c>
      <c r="JR19" s="12">
        <f>JO19-JQ19</f>
        <v/>
      </c>
      <c r="JS19" s="12">
        <f>ROUND(JP19*EssentialMix,0)</f>
        <v/>
      </c>
      <c r="JT19" s="12">
        <f>JP19-JS19</f>
        <v/>
      </c>
      <c r="JU19" s="12">
        <f>JQ19+JQ18+JQ17+MAX(0,JU18-JQ18-JQ17)*(1-JJ19)</f>
        <v/>
      </c>
      <c r="JV19" s="12">
        <f>JR19+JR18+JR17+MAX(0,JV18-JR18-JR17)*(1-JJ19)</f>
        <v/>
      </c>
      <c r="JW19" s="12">
        <f>JW18+JS19-JS7*(AnnualChurn*VLOOKUP(JF19,ChurnSeasonTable,4,FALSE))*POWER(1-(AnnualChurn*VLOOKUP(JF19,ChurnSeasonTable,4,FALSE)),0)</f>
        <v/>
      </c>
      <c r="JX19" s="12">
        <f>JX18+JT19-JT7*(AnnualChurn*VLOOKUP(JF19,ChurnSeasonTable,4,FALSE))*POWER(1-(AnnualChurn*VLOOKUP(JF19,ChurnSeasonTable,4,FALSE)),0)</f>
        <v/>
      </c>
      <c r="JY19" s="12">
        <f>JU19+JV19+JW19+JX19</f>
        <v/>
      </c>
      <c r="JZ19" s="9">
        <f>JU19*PriceEssMonthly*JI19+JV19*PricePremMonthly*JI19+JW19*PriceEssAnnual*JI19/12+JX19*PricePremAnnual*JI19/12</f>
        <v/>
      </c>
      <c r="KA19" s="9">
        <f>JZ19*12</f>
        <v/>
      </c>
      <c r="KB19" s="12">
        <f>JU19*PriceEssMonthly*JI19+JV19*PricePremMonthly*JI19</f>
        <v/>
      </c>
      <c r="KC19" s="12">
        <f>JS19*PriceEssAnnual*JI19+JT19*PricePremAnnual*JI19</f>
        <v/>
      </c>
      <c r="KD19" s="12">
        <f>JS7*POWER(1-(AnnualChurn*VLOOKUP(JF19,ChurnSeasonTable,4,FALSE)),1)*PriceEssAnnual*JI19+JT7*POWER(1-(AnnualChurn*VLOOKUP(JF19,ChurnSeasonTable,4,FALSE)),1)*PricePremAnnual*JI19</f>
        <v/>
      </c>
      <c r="KE19" s="9">
        <f>KB19+KC19+KD19</f>
        <v/>
      </c>
      <c r="KF19" s="12">
        <f>SUM(KE8:KE19)</f>
        <v/>
      </c>
      <c r="KG19" s="12">
        <f>OR(KG18,KF19&gt;=VATThreshold)</f>
        <v/>
      </c>
      <c r="KH19" s="9">
        <f>IF(KG19,KE19/(1+VATRate),KE19)</f>
        <v/>
      </c>
      <c r="KI19" s="12">
        <f>KE19-KH19</f>
        <v/>
      </c>
      <c r="KJ19" s="12">
        <f>IF(KG19=0,0,IF(JF19=1,SUMPRODUCT(--(($JG$5:$JG19=$JG19-1)*($JF$5:$JF19&gt;=10)*($JF$5:$JF19&lt;=12)),$KI$5:$KI19),IF(JF19=4,SUMPRODUCT(--(($JG$5:$JG19=$JG19)*($JF$5:$JF19&gt;=1)*($JF$5:$JF19&lt;=3)),$KI$5:$KI19),IF(JF19=7,SUMPRODUCT(--(($JG$5:$JG19=$JG19)*($JF$5:$JF19&gt;=4)*($JF$5:$JF19&lt;=6)),$KI$5:$KI19),IF(JF19=10,SUMPRODUCT(--(($JG$5:$JG19=$JG19)*($JF$5:$JF19&gt;=7)*($JF$5:$JF19&lt;=9)),$KI$5:$KI19),0)))))</f>
        <v/>
      </c>
      <c r="KK19" s="12">
        <f>KK18+KI19-KJ19</f>
        <v/>
      </c>
      <c r="KL19" s="12">
        <f>IF(ProviderDelay&gt;=1,KH18*ProviderShare,KH19*ProviderShare)</f>
        <v/>
      </c>
      <c r="KM19" s="12">
        <f>KE19*PaymentFee</f>
        <v/>
      </c>
      <c r="KN19" s="12">
        <f>JY19*OpsAI</f>
        <v/>
      </c>
      <c r="KO19" s="12">
        <f>MonthlyFixed</f>
        <v/>
      </c>
      <c r="KP19" s="12">
        <f>JM19*ReferralReward</f>
        <v/>
      </c>
      <c r="KQ19" s="12">
        <f>JK19</f>
        <v/>
      </c>
      <c r="KR19" s="9">
        <f>KH19-KL19-KM19-KN19-KO19-KP19-KQ19</f>
        <v/>
      </c>
      <c r="KS19" s="9">
        <f>KS18+KE19-(KL19+KM19+KN19+KO19+KP19+KQ19+KJ19)</f>
        <v/>
      </c>
      <c r="KT19" s="12">
        <f>IF(JY19&gt;0,JZ19/JY19,0)</f>
        <v/>
      </c>
      <c r="KU19" s="11">
        <f>IF(JY18&gt;0,MAX(0,(JY18+JN19-JY19)/JY18),0)</f>
        <v/>
      </c>
      <c r="KW19" s="12" t="n">
        <v>15</v>
      </c>
      <c r="KX19" s="12">
        <f>MOD(KW19-1+LaunchMonth-1,12)+1</f>
        <v/>
      </c>
      <c r="KY19" s="12">
        <f>INT((KW19-1+LaunchMonth-1)/12)+1</f>
        <v/>
      </c>
      <c r="KZ19" s="12">
        <f>VLOOKUP(KX19,SeasonTable,2,FALSE)</f>
        <v/>
      </c>
      <c r="LA19" s="12">
        <f>(1+InflationRate)^INT((KW19-1)/12)</f>
        <v/>
      </c>
      <c r="LB19" s="11">
        <f>'Sens - Churn'!$A$17*VLOOKUP(KX19,ChurnSeasonTable,4,FALSE)</f>
        <v/>
      </c>
      <c r="LC19" s="12">
        <f>MIN(MAX(MktMin13_18,LW18*MktPct13_18),MAX(0,MK18-CashBuffer))</f>
        <v/>
      </c>
      <c r="LD19" s="12">
        <f>IF(LC19&gt;0,MAX(1,ROUND(LC19/CAC*KZ19,0)),0)</f>
        <v/>
      </c>
      <c r="LE19" s="12">
        <f>IF(LD19&gt;0,ROUND(LD19*ReferralMix/(1-ReferralMix),0),0)</f>
        <v/>
      </c>
      <c r="LF19" s="12">
        <f>LD19+LE19</f>
        <v/>
      </c>
      <c r="LG19" s="12">
        <f>ROUND(LF19*(1-AnnualMix),0)</f>
        <v/>
      </c>
      <c r="LH19" s="12">
        <f>LF19-LG19</f>
        <v/>
      </c>
      <c r="LI19" s="12">
        <f>ROUND(LG19*EssentialMix,0)</f>
        <v/>
      </c>
      <c r="LJ19" s="12">
        <f>LG19-LI19</f>
        <v/>
      </c>
      <c r="LK19" s="12">
        <f>ROUND(LH19*EssentialMix,0)</f>
        <v/>
      </c>
      <c r="LL19" s="12">
        <f>LH19-LK19</f>
        <v/>
      </c>
      <c r="LM19" s="12">
        <f>LI19+LI18+LI17+MAX(0,LM18-LI18-LI17)*(1-LB19)</f>
        <v/>
      </c>
      <c r="LN19" s="12">
        <f>LJ19+LJ18+LJ17+MAX(0,LN18-LJ18-LJ17)*(1-LB19)</f>
        <v/>
      </c>
      <c r="LO19" s="12">
        <f>LO18+LK19-LK7*(AnnualChurn*VLOOKUP(KX19,ChurnSeasonTable,4,FALSE))*POWER(1-(AnnualChurn*VLOOKUP(KX19,ChurnSeasonTable,4,FALSE)),0)</f>
        <v/>
      </c>
      <c r="LP19" s="12">
        <f>LP18+LL19-LL7*(AnnualChurn*VLOOKUP(KX19,ChurnSeasonTable,4,FALSE))*POWER(1-(AnnualChurn*VLOOKUP(KX19,ChurnSeasonTable,4,FALSE)),0)</f>
        <v/>
      </c>
      <c r="LQ19" s="12">
        <f>LM19+LN19+LO19+LP19</f>
        <v/>
      </c>
      <c r="LR19" s="9">
        <f>LM19*PriceEssMonthly*LA19+LN19*PricePremMonthly*LA19+LO19*PriceEssAnnual*LA19/12+LP19*PricePremAnnual*LA19/12</f>
        <v/>
      </c>
      <c r="LS19" s="9">
        <f>LR19*12</f>
        <v/>
      </c>
      <c r="LT19" s="12">
        <f>LM19*PriceEssMonthly*LA19+LN19*PricePremMonthly*LA19</f>
        <v/>
      </c>
      <c r="LU19" s="12">
        <f>LK19*PriceEssAnnual*LA19+LL19*PricePremAnnual*LA19</f>
        <v/>
      </c>
      <c r="LV19" s="12">
        <f>LK7*POWER(1-(AnnualChurn*VLOOKUP(KX19,ChurnSeasonTable,4,FALSE)),1)*PriceEssAnnual*LA19+LL7*POWER(1-(AnnualChurn*VLOOKUP(KX19,ChurnSeasonTable,4,FALSE)),1)*PricePremAnnual*LA19</f>
        <v/>
      </c>
      <c r="LW19" s="9">
        <f>LT19+LU19+LV19</f>
        <v/>
      </c>
      <c r="LX19" s="12">
        <f>SUM(LW8:LW19)</f>
        <v/>
      </c>
      <c r="LY19" s="12">
        <f>OR(LY18,LX19&gt;=VATThreshold)</f>
        <v/>
      </c>
      <c r="LZ19" s="9">
        <f>IF(LY19,LW19/(1+VATRate),LW19)</f>
        <v/>
      </c>
      <c r="MA19" s="12">
        <f>LW19-LZ19</f>
        <v/>
      </c>
      <c r="MB19" s="12">
        <f>IF(LY19=0,0,IF(KX19=1,SUMPRODUCT(--(($KY$5:$KY19=$KY19-1)*($KX$5:$KX19&gt;=10)*($KX$5:$KX19&lt;=12)),$MA$5:$MA19),IF(KX19=4,SUMPRODUCT(--(($KY$5:$KY19=$KY19)*($KX$5:$KX19&gt;=1)*($KX$5:$KX19&lt;=3)),$MA$5:$MA19),IF(KX19=7,SUMPRODUCT(--(($KY$5:$KY19=$KY19)*($KX$5:$KX19&gt;=4)*($KX$5:$KX19&lt;=6)),$MA$5:$MA19),IF(KX19=10,SUMPRODUCT(--(($KY$5:$KY19=$KY19)*($KX$5:$KX19&gt;=7)*($KX$5:$KX19&lt;=9)),$MA$5:$MA19),0)))))</f>
        <v/>
      </c>
      <c r="MC19" s="12">
        <f>MC18+MA19-MB19</f>
        <v/>
      </c>
      <c r="MD19" s="12">
        <f>IF(ProviderDelay&gt;=1,LZ18*ProviderShare,LZ19*ProviderShare)</f>
        <v/>
      </c>
      <c r="ME19" s="12">
        <f>LW19*PaymentFee</f>
        <v/>
      </c>
      <c r="MF19" s="12">
        <f>LQ19*OpsAI</f>
        <v/>
      </c>
      <c r="MG19" s="12">
        <f>MonthlyFixed</f>
        <v/>
      </c>
      <c r="MH19" s="12">
        <f>LE19*ReferralReward</f>
        <v/>
      </c>
      <c r="MI19" s="12">
        <f>LC19</f>
        <v/>
      </c>
      <c r="MJ19" s="9">
        <f>LZ19-MD19-ME19-MF19-MG19-MH19-MI19</f>
        <v/>
      </c>
      <c r="MK19" s="9">
        <f>MK18+LW19-(MD19+ME19+MF19+MG19+MH19+MI19+MB19)</f>
        <v/>
      </c>
      <c r="ML19" s="12">
        <f>IF(LQ19&gt;0,LR19/LQ19,0)</f>
        <v/>
      </c>
      <c r="MM19" s="11">
        <f>IF(LQ18&gt;0,MAX(0,(LQ18+LF19-LQ19)/LQ18),0)</f>
        <v/>
      </c>
      <c r="MO19" s="12" t="n">
        <v>15</v>
      </c>
      <c r="MP19" s="12">
        <f>MOD(MO19-1+LaunchMonth-1,12)+1</f>
        <v/>
      </c>
      <c r="MQ19" s="12">
        <f>INT((MO19-1+LaunchMonth-1)/12)+1</f>
        <v/>
      </c>
      <c r="MR19" s="12">
        <f>VLOOKUP(MP19,SeasonTable,2,FALSE)</f>
        <v/>
      </c>
      <c r="MS19" s="12">
        <f>(1+InflationRate)^INT((MO19-1)/12)</f>
        <v/>
      </c>
      <c r="MT19" s="11">
        <f>'Sens - Churn'!$A$18*VLOOKUP(MP19,ChurnSeasonTable,4,FALSE)</f>
        <v/>
      </c>
      <c r="MU19" s="12">
        <f>MIN(MAX(MktMin13_18,NO18*MktPct13_18),MAX(0,OC18-CashBuffer))</f>
        <v/>
      </c>
      <c r="MV19" s="12">
        <f>IF(MU19&gt;0,MAX(1,ROUND(MU19/CAC*MR19,0)),0)</f>
        <v/>
      </c>
      <c r="MW19" s="12">
        <f>IF(MV19&gt;0,ROUND(MV19*ReferralMix/(1-ReferralMix),0),0)</f>
        <v/>
      </c>
      <c r="MX19" s="12">
        <f>MV19+MW19</f>
        <v/>
      </c>
      <c r="MY19" s="12">
        <f>ROUND(MX19*(1-AnnualMix),0)</f>
        <v/>
      </c>
      <c r="MZ19" s="12">
        <f>MX19-MY19</f>
        <v/>
      </c>
      <c r="NA19" s="12">
        <f>ROUND(MY19*EssentialMix,0)</f>
        <v/>
      </c>
      <c r="NB19" s="12">
        <f>MY19-NA19</f>
        <v/>
      </c>
      <c r="NC19" s="12">
        <f>ROUND(MZ19*EssentialMix,0)</f>
        <v/>
      </c>
      <c r="ND19" s="12">
        <f>MZ19-NC19</f>
        <v/>
      </c>
      <c r="NE19" s="12">
        <f>NA19+NA18+NA17+MAX(0,NE18-NA18-NA17)*(1-MT19)</f>
        <v/>
      </c>
      <c r="NF19" s="12">
        <f>NB19+NB18+NB17+MAX(0,NF18-NB18-NB17)*(1-MT19)</f>
        <v/>
      </c>
      <c r="NG19" s="12">
        <f>NG18+NC19-NC7*(AnnualChurn*VLOOKUP(MP19,ChurnSeasonTable,4,FALSE))*POWER(1-(AnnualChurn*VLOOKUP(MP19,ChurnSeasonTable,4,FALSE)),0)</f>
        <v/>
      </c>
      <c r="NH19" s="12">
        <f>NH18+ND19-ND7*(AnnualChurn*VLOOKUP(MP19,ChurnSeasonTable,4,FALSE))*POWER(1-(AnnualChurn*VLOOKUP(MP19,ChurnSeasonTable,4,FALSE)),0)</f>
        <v/>
      </c>
      <c r="NI19" s="12">
        <f>NE19+NF19+NG19+NH19</f>
        <v/>
      </c>
      <c r="NJ19" s="9">
        <f>NE19*PriceEssMonthly*MS19+NF19*PricePremMonthly*MS19+NG19*PriceEssAnnual*MS19/12+NH19*PricePremAnnual*MS19/12</f>
        <v/>
      </c>
      <c r="NK19" s="9">
        <f>NJ19*12</f>
        <v/>
      </c>
      <c r="NL19" s="12">
        <f>NE19*PriceEssMonthly*MS19+NF19*PricePremMonthly*MS19</f>
        <v/>
      </c>
      <c r="NM19" s="12">
        <f>NC19*PriceEssAnnual*MS19+ND19*PricePremAnnual*MS19</f>
        <v/>
      </c>
      <c r="NN19" s="12">
        <f>NC7*POWER(1-(AnnualChurn*VLOOKUP(MP19,ChurnSeasonTable,4,FALSE)),1)*PriceEssAnnual*MS19+ND7*POWER(1-(AnnualChurn*VLOOKUP(MP19,ChurnSeasonTable,4,FALSE)),1)*PricePremAnnual*MS19</f>
        <v/>
      </c>
      <c r="NO19" s="9">
        <f>NL19+NM19+NN19</f>
        <v/>
      </c>
      <c r="NP19" s="12">
        <f>SUM(NO8:NO19)</f>
        <v/>
      </c>
      <c r="NQ19" s="12">
        <f>OR(NQ18,NP19&gt;=VATThreshold)</f>
        <v/>
      </c>
      <c r="NR19" s="9">
        <f>IF(NQ19,NO19/(1+VATRate),NO19)</f>
        <v/>
      </c>
      <c r="NS19" s="12">
        <f>NO19-NR19</f>
        <v/>
      </c>
      <c r="NT19" s="12">
        <f>IF(NQ19=0,0,IF(MP19=1,SUMPRODUCT(--(($MQ$5:$MQ19=$MQ19-1)*($MP$5:$MP19&gt;=10)*($MP$5:$MP19&lt;=12)),$NS$5:$NS19),IF(MP19=4,SUMPRODUCT(--(($MQ$5:$MQ19=$MQ19)*($MP$5:$MP19&gt;=1)*($MP$5:$MP19&lt;=3)),$NS$5:$NS19),IF(MP19=7,SUMPRODUCT(--(($MQ$5:$MQ19=$MQ19)*($MP$5:$MP19&gt;=4)*($MP$5:$MP19&lt;=6)),$NS$5:$NS19),IF(MP19=10,SUMPRODUCT(--(($MQ$5:$MQ19=$MQ19)*($MP$5:$MP19&gt;=7)*($MP$5:$MP19&lt;=9)),$NS$5:$NS19),0)))))</f>
        <v/>
      </c>
      <c r="NU19" s="12">
        <f>NU18+NS19-NT19</f>
        <v/>
      </c>
      <c r="NV19" s="12">
        <f>IF(ProviderDelay&gt;=1,NR18*ProviderShare,NR19*ProviderShare)</f>
        <v/>
      </c>
      <c r="NW19" s="12">
        <f>NO19*PaymentFee</f>
        <v/>
      </c>
      <c r="NX19" s="12">
        <f>NI19*OpsAI</f>
        <v/>
      </c>
      <c r="NY19" s="12">
        <f>MonthlyFixed</f>
        <v/>
      </c>
      <c r="NZ19" s="12">
        <f>MW19*ReferralReward</f>
        <v/>
      </c>
      <c r="OA19" s="12">
        <f>MU19</f>
        <v/>
      </c>
      <c r="OB19" s="9">
        <f>NR19-NV19-NW19-NX19-NY19-NZ19-OA19</f>
        <v/>
      </c>
      <c r="OC19" s="9">
        <f>OC18+NO19-(NV19+NW19+NX19+NY19+NZ19+OA19+NT19)</f>
        <v/>
      </c>
      <c r="OD19" s="12">
        <f>IF(NI19&gt;0,NJ19/NI19,0)</f>
        <v/>
      </c>
      <c r="OE19" s="11">
        <f>IF(NI18&gt;0,MAX(0,(NI18+MX19-NI19)/NI18),0)</f>
        <v/>
      </c>
      <c r="OG19" s="12" t="n">
        <v>15</v>
      </c>
      <c r="OH19" s="12">
        <f>MOD(OG19-1+LaunchMonth-1,12)+1</f>
        <v/>
      </c>
      <c r="OI19" s="12">
        <f>INT((OG19-1+LaunchMonth-1)/12)+1</f>
        <v/>
      </c>
      <c r="OJ19" s="12">
        <f>VLOOKUP(OH19,SeasonTable,2,FALSE)</f>
        <v/>
      </c>
      <c r="OK19" s="12">
        <f>(1+InflationRate)^INT((OG19-1)/12)</f>
        <v/>
      </c>
      <c r="OL19" s="11">
        <f>'Sens - Churn'!$A$19*VLOOKUP(OH19,ChurnSeasonTable,4,FALSE)</f>
        <v/>
      </c>
      <c r="OM19" s="12">
        <f>MIN(MAX(MktMin13_18,PG18*MktPct13_18),MAX(0,PU18-CashBuffer))</f>
        <v/>
      </c>
      <c r="ON19" s="12">
        <f>IF(OM19&gt;0,MAX(1,ROUND(OM19/CAC*OJ19,0)),0)</f>
        <v/>
      </c>
      <c r="OO19" s="12">
        <f>IF(ON19&gt;0,ROUND(ON19*ReferralMix/(1-ReferralMix),0),0)</f>
        <v/>
      </c>
      <c r="OP19" s="12">
        <f>ON19+OO19</f>
        <v/>
      </c>
      <c r="OQ19" s="12">
        <f>ROUND(OP19*(1-AnnualMix),0)</f>
        <v/>
      </c>
      <c r="OR19" s="12">
        <f>OP19-OQ19</f>
        <v/>
      </c>
      <c r="OS19" s="12">
        <f>ROUND(OQ19*EssentialMix,0)</f>
        <v/>
      </c>
      <c r="OT19" s="12">
        <f>OQ19-OS19</f>
        <v/>
      </c>
      <c r="OU19" s="12">
        <f>ROUND(OR19*EssentialMix,0)</f>
        <v/>
      </c>
      <c r="OV19" s="12">
        <f>OR19-OU19</f>
        <v/>
      </c>
      <c r="OW19" s="12">
        <f>OS19+OS18+OS17+MAX(0,OW18-OS18-OS17)*(1-OL19)</f>
        <v/>
      </c>
      <c r="OX19" s="12">
        <f>OT19+OT18+OT17+MAX(0,OX18-OT18-OT17)*(1-OL19)</f>
        <v/>
      </c>
      <c r="OY19" s="12">
        <f>OY18+OU19-OU7*(AnnualChurn*VLOOKUP(OH19,ChurnSeasonTable,4,FALSE))*POWER(1-(AnnualChurn*VLOOKUP(OH19,ChurnSeasonTable,4,FALSE)),0)</f>
        <v/>
      </c>
      <c r="OZ19" s="12">
        <f>OZ18+OV19-OV7*(AnnualChurn*VLOOKUP(OH19,ChurnSeasonTable,4,FALSE))*POWER(1-(AnnualChurn*VLOOKUP(OH19,ChurnSeasonTable,4,FALSE)),0)</f>
        <v/>
      </c>
      <c r="PA19" s="12">
        <f>OW19+OX19+OY19+OZ19</f>
        <v/>
      </c>
      <c r="PB19" s="9">
        <f>OW19*PriceEssMonthly*OK19+OX19*PricePremMonthly*OK19+OY19*PriceEssAnnual*OK19/12+OZ19*PricePremAnnual*OK19/12</f>
        <v/>
      </c>
      <c r="PC19" s="9">
        <f>PB19*12</f>
        <v/>
      </c>
      <c r="PD19" s="12">
        <f>OW19*PriceEssMonthly*OK19+OX19*PricePremMonthly*OK19</f>
        <v/>
      </c>
      <c r="PE19" s="12">
        <f>OU19*PriceEssAnnual*OK19+OV19*PricePremAnnual*OK19</f>
        <v/>
      </c>
      <c r="PF19" s="12">
        <f>OU7*POWER(1-(AnnualChurn*VLOOKUP(OH19,ChurnSeasonTable,4,FALSE)),1)*PriceEssAnnual*OK19+OV7*POWER(1-(AnnualChurn*VLOOKUP(OH19,ChurnSeasonTable,4,FALSE)),1)*PricePremAnnual*OK19</f>
        <v/>
      </c>
      <c r="PG19" s="9">
        <f>PD19+PE19+PF19</f>
        <v/>
      </c>
      <c r="PH19" s="12">
        <f>SUM(PG8:PG19)</f>
        <v/>
      </c>
      <c r="PI19" s="12">
        <f>OR(PI18,PH19&gt;=VATThreshold)</f>
        <v/>
      </c>
      <c r="PJ19" s="9">
        <f>IF(PI19,PG19/(1+VATRate),PG19)</f>
        <v/>
      </c>
      <c r="PK19" s="12">
        <f>PG19-PJ19</f>
        <v/>
      </c>
      <c r="PL19" s="12">
        <f>IF(PI19=0,0,IF(OH19=1,SUMPRODUCT(--(($OI$5:$OI19=$OI19-1)*($OH$5:$OH19&gt;=10)*($OH$5:$OH19&lt;=12)),$PK$5:$PK19),IF(OH19=4,SUMPRODUCT(--(($OI$5:$OI19=$OI19)*($OH$5:$OH19&gt;=1)*($OH$5:$OH19&lt;=3)),$PK$5:$PK19),IF(OH19=7,SUMPRODUCT(--(($OI$5:$OI19=$OI19)*($OH$5:$OH19&gt;=4)*($OH$5:$OH19&lt;=6)),$PK$5:$PK19),IF(OH19=10,SUMPRODUCT(--(($OI$5:$OI19=$OI19)*($OH$5:$OH19&gt;=7)*($OH$5:$OH19&lt;=9)),$PK$5:$PK19),0)))))</f>
        <v/>
      </c>
      <c r="PM19" s="12">
        <f>PM18+PK19-PL19</f>
        <v/>
      </c>
      <c r="PN19" s="12">
        <f>IF(ProviderDelay&gt;=1,PJ18*ProviderShare,PJ19*ProviderShare)</f>
        <v/>
      </c>
      <c r="PO19" s="12">
        <f>PG19*PaymentFee</f>
        <v/>
      </c>
      <c r="PP19" s="12">
        <f>PA19*OpsAI</f>
        <v/>
      </c>
      <c r="PQ19" s="12">
        <f>MonthlyFixed</f>
        <v/>
      </c>
      <c r="PR19" s="12">
        <f>OO19*ReferralReward</f>
        <v/>
      </c>
      <c r="PS19" s="12">
        <f>OM19</f>
        <v/>
      </c>
      <c r="PT19" s="9">
        <f>PJ19-PN19-PO19-PP19-PQ19-PR19-PS19</f>
        <v/>
      </c>
      <c r="PU19" s="9">
        <f>PU18+PG19-(PN19+PO19+PP19+PQ19+PR19+PS19+PL19)</f>
        <v/>
      </c>
      <c r="PV19" s="12">
        <f>IF(PA19&gt;0,PB19/PA19,0)</f>
        <v/>
      </c>
      <c r="PW19" s="11">
        <f>IF(PA18&gt;0,MAX(0,(PA18+OP19-PA19)/PA18),0)</f>
        <v/>
      </c>
      <c r="PY19" s="12" t="n">
        <v>15</v>
      </c>
      <c r="PZ19" s="12">
        <f>MOD(PY19-1+LaunchMonth-1,12)+1</f>
        <v/>
      </c>
      <c r="QA19" s="12">
        <f>INT((PY19-1+LaunchMonth-1)/12)+1</f>
        <v/>
      </c>
      <c r="QB19" s="12">
        <f>VLOOKUP(PZ19,SeasonTable,2,FALSE)</f>
        <v/>
      </c>
      <c r="QC19" s="12">
        <f>(1+InflationRate)^INT((PY19-1)/12)</f>
        <v/>
      </c>
      <c r="QD19" s="11">
        <f>'Sens - Churn'!$A$20*VLOOKUP(PZ19,ChurnSeasonTable,4,FALSE)</f>
        <v/>
      </c>
      <c r="QE19" s="12">
        <f>MIN(MAX(MktMin13_18,QY18*MktPct13_18),MAX(0,RM18-CashBuffer))</f>
        <v/>
      </c>
      <c r="QF19" s="12">
        <f>IF(QE19&gt;0,MAX(1,ROUND(QE19/CAC*QB19,0)),0)</f>
        <v/>
      </c>
      <c r="QG19" s="12">
        <f>IF(QF19&gt;0,ROUND(QF19*ReferralMix/(1-ReferralMix),0),0)</f>
        <v/>
      </c>
      <c r="QH19" s="12">
        <f>QF19+QG19</f>
        <v/>
      </c>
      <c r="QI19" s="12">
        <f>ROUND(QH19*(1-AnnualMix),0)</f>
        <v/>
      </c>
      <c r="QJ19" s="12">
        <f>QH19-QI19</f>
        <v/>
      </c>
      <c r="QK19" s="12">
        <f>ROUND(QI19*EssentialMix,0)</f>
        <v/>
      </c>
      <c r="QL19" s="12">
        <f>QI19-QK19</f>
        <v/>
      </c>
      <c r="QM19" s="12">
        <f>ROUND(QJ19*EssentialMix,0)</f>
        <v/>
      </c>
      <c r="QN19" s="12">
        <f>QJ19-QM19</f>
        <v/>
      </c>
      <c r="QO19" s="12">
        <f>QK19+QK18+QK17+MAX(0,QO18-QK18-QK17)*(1-QD19)</f>
        <v/>
      </c>
      <c r="QP19" s="12">
        <f>QL19+QL18+QL17+MAX(0,QP18-QL18-QL17)*(1-QD19)</f>
        <v/>
      </c>
      <c r="QQ19" s="12">
        <f>QQ18+QM19-QM7*(AnnualChurn*VLOOKUP(PZ19,ChurnSeasonTable,4,FALSE))*POWER(1-(AnnualChurn*VLOOKUP(PZ19,ChurnSeasonTable,4,FALSE)),0)</f>
        <v/>
      </c>
      <c r="QR19" s="12">
        <f>QR18+QN19-QN7*(AnnualChurn*VLOOKUP(PZ19,ChurnSeasonTable,4,FALSE))*POWER(1-(AnnualChurn*VLOOKUP(PZ19,ChurnSeasonTable,4,FALSE)),0)</f>
        <v/>
      </c>
      <c r="QS19" s="12">
        <f>QO19+QP19+QQ19+QR19</f>
        <v/>
      </c>
      <c r="QT19" s="9">
        <f>QO19*PriceEssMonthly*QC19+QP19*PricePremMonthly*QC19+QQ19*PriceEssAnnual*QC19/12+QR19*PricePremAnnual*QC19/12</f>
        <v/>
      </c>
      <c r="QU19" s="9">
        <f>QT19*12</f>
        <v/>
      </c>
      <c r="QV19" s="12">
        <f>QO19*PriceEssMonthly*QC19+QP19*PricePremMonthly*QC19</f>
        <v/>
      </c>
      <c r="QW19" s="12">
        <f>QM19*PriceEssAnnual*QC19+QN19*PricePremAnnual*QC19</f>
        <v/>
      </c>
      <c r="QX19" s="12">
        <f>QM7*POWER(1-(AnnualChurn*VLOOKUP(PZ19,ChurnSeasonTable,4,FALSE)),1)*PriceEssAnnual*QC19+QN7*POWER(1-(AnnualChurn*VLOOKUP(PZ19,ChurnSeasonTable,4,FALSE)),1)*PricePremAnnual*QC19</f>
        <v/>
      </c>
      <c r="QY19" s="9">
        <f>QV19+QW19+QX19</f>
        <v/>
      </c>
      <c r="QZ19" s="12">
        <f>SUM(QY8:QY19)</f>
        <v/>
      </c>
      <c r="RA19" s="12">
        <f>OR(RA18,QZ19&gt;=VATThreshold)</f>
        <v/>
      </c>
      <c r="RB19" s="9">
        <f>IF(RA19,QY19/(1+VATRate),QY19)</f>
        <v/>
      </c>
      <c r="RC19" s="12">
        <f>QY19-RB19</f>
        <v/>
      </c>
      <c r="RD19" s="12">
        <f>IF(RA19=0,0,IF(PZ19=1,SUMPRODUCT(--(($QA$5:$QA19=$QA19-1)*($PZ$5:$PZ19&gt;=10)*($PZ$5:$PZ19&lt;=12)),$RC$5:$RC19),IF(PZ19=4,SUMPRODUCT(--(($QA$5:$QA19=$QA19)*($PZ$5:$PZ19&gt;=1)*($PZ$5:$PZ19&lt;=3)),$RC$5:$RC19),IF(PZ19=7,SUMPRODUCT(--(($QA$5:$QA19=$QA19)*($PZ$5:$PZ19&gt;=4)*($PZ$5:$PZ19&lt;=6)),$RC$5:$RC19),IF(PZ19=10,SUMPRODUCT(--(($QA$5:$QA19=$QA19)*($PZ$5:$PZ19&gt;=7)*($PZ$5:$PZ19&lt;=9)),$RC$5:$RC19),0)))))</f>
        <v/>
      </c>
      <c r="RE19" s="12">
        <f>RE18+RC19-RD19</f>
        <v/>
      </c>
      <c r="RF19" s="12">
        <f>IF(ProviderDelay&gt;=1,RB18*ProviderShare,RB19*ProviderShare)</f>
        <v/>
      </c>
      <c r="RG19" s="12">
        <f>QY19*PaymentFee</f>
        <v/>
      </c>
      <c r="RH19" s="12">
        <f>QS19*OpsAI</f>
        <v/>
      </c>
      <c r="RI19" s="12">
        <f>MonthlyFixed</f>
        <v/>
      </c>
      <c r="RJ19" s="12">
        <f>QG19*ReferralReward</f>
        <v/>
      </c>
      <c r="RK19" s="12">
        <f>QE19</f>
        <v/>
      </c>
      <c r="RL19" s="9">
        <f>RB19-RF19-RG19-RH19-RI19-RJ19-RK19</f>
        <v/>
      </c>
      <c r="RM19" s="9">
        <f>RM18+QY19-(RF19+RG19+RH19+RI19+RJ19+RK19+RD19)</f>
        <v/>
      </c>
      <c r="RN19" s="12">
        <f>IF(QS19&gt;0,QT19/QS19,0)</f>
        <v/>
      </c>
      <c r="RO19" s="11">
        <f>IF(QS18&gt;0,MAX(0,(QS18+QH19-QS19)/QS18),0)</f>
        <v/>
      </c>
      <c r="RQ19" s="12" t="n">
        <v>15</v>
      </c>
      <c r="RR19" s="12">
        <f>MOD(RQ19-1+LaunchMonth-1,12)+1</f>
        <v/>
      </c>
      <c r="RS19" s="12">
        <f>INT((RQ19-1+LaunchMonth-1)/12)+1</f>
        <v/>
      </c>
      <c r="RT19" s="12">
        <f>VLOOKUP(RR19,SeasonTable,2,FALSE)</f>
        <v/>
      </c>
      <c r="RU19" s="12">
        <f>(1+InflationRate)^INT((RQ19-1)/12)</f>
        <v/>
      </c>
      <c r="RV19" s="11">
        <f>'Sens - Churn'!$A$21*VLOOKUP(RR19,ChurnSeasonTable,4,FALSE)</f>
        <v/>
      </c>
      <c r="RW19" s="12">
        <f>MIN(MAX(MktMin13_18,SQ18*MktPct13_18),MAX(0,TE18-CashBuffer))</f>
        <v/>
      </c>
      <c r="RX19" s="12">
        <f>IF(RW19&gt;0,MAX(1,ROUND(RW19/CAC*RT19,0)),0)</f>
        <v/>
      </c>
      <c r="RY19" s="12">
        <f>IF(RX19&gt;0,ROUND(RX19*ReferralMix/(1-ReferralMix),0),0)</f>
        <v/>
      </c>
      <c r="RZ19" s="12">
        <f>RX19+RY19</f>
        <v/>
      </c>
      <c r="SA19" s="12">
        <f>ROUND(RZ19*(1-AnnualMix),0)</f>
        <v/>
      </c>
      <c r="SB19" s="12">
        <f>RZ19-SA19</f>
        <v/>
      </c>
      <c r="SC19" s="12">
        <f>ROUND(SA19*EssentialMix,0)</f>
        <v/>
      </c>
      <c r="SD19" s="12">
        <f>SA19-SC19</f>
        <v/>
      </c>
      <c r="SE19" s="12">
        <f>ROUND(SB19*EssentialMix,0)</f>
        <v/>
      </c>
      <c r="SF19" s="12">
        <f>SB19-SE19</f>
        <v/>
      </c>
      <c r="SG19" s="12">
        <f>SC19+SC18+SC17+MAX(0,SG18-SC18-SC17)*(1-RV19)</f>
        <v/>
      </c>
      <c r="SH19" s="12">
        <f>SD19+SD18+SD17+MAX(0,SH18-SD18-SD17)*(1-RV19)</f>
        <v/>
      </c>
      <c r="SI19" s="12">
        <f>SI18+SE19-SE7*(AnnualChurn*VLOOKUP(RR19,ChurnSeasonTable,4,FALSE))*POWER(1-(AnnualChurn*VLOOKUP(RR19,ChurnSeasonTable,4,FALSE)),0)</f>
        <v/>
      </c>
      <c r="SJ19" s="12">
        <f>SJ18+SF19-SF7*(AnnualChurn*VLOOKUP(RR19,ChurnSeasonTable,4,FALSE))*POWER(1-(AnnualChurn*VLOOKUP(RR19,ChurnSeasonTable,4,FALSE)),0)</f>
        <v/>
      </c>
      <c r="SK19" s="12">
        <f>SG19+SH19+SI19+SJ19</f>
        <v/>
      </c>
      <c r="SL19" s="9">
        <f>SG19*PriceEssMonthly*RU19+SH19*PricePremMonthly*RU19+SI19*PriceEssAnnual*RU19/12+SJ19*PricePremAnnual*RU19/12</f>
        <v/>
      </c>
      <c r="SM19" s="9">
        <f>SL19*12</f>
        <v/>
      </c>
      <c r="SN19" s="12">
        <f>SG19*PriceEssMonthly*RU19+SH19*PricePremMonthly*RU19</f>
        <v/>
      </c>
      <c r="SO19" s="12">
        <f>SE19*PriceEssAnnual*RU19+SF19*PricePremAnnual*RU19</f>
        <v/>
      </c>
      <c r="SP19" s="12">
        <f>SE7*POWER(1-(AnnualChurn*VLOOKUP(RR19,ChurnSeasonTable,4,FALSE)),1)*PriceEssAnnual*RU19+SF7*POWER(1-(AnnualChurn*VLOOKUP(RR19,ChurnSeasonTable,4,FALSE)),1)*PricePremAnnual*RU19</f>
        <v/>
      </c>
      <c r="SQ19" s="9">
        <f>SN19+SO19+SP19</f>
        <v/>
      </c>
      <c r="SR19" s="12">
        <f>SUM(SQ8:SQ19)</f>
        <v/>
      </c>
      <c r="SS19" s="12">
        <f>OR(SS18,SR19&gt;=VATThreshold)</f>
        <v/>
      </c>
      <c r="ST19" s="9">
        <f>IF(SS19,SQ19/(1+VATRate),SQ19)</f>
        <v/>
      </c>
      <c r="SU19" s="12">
        <f>SQ19-ST19</f>
        <v/>
      </c>
      <c r="SV19" s="12">
        <f>IF(SS19=0,0,IF(RR19=1,SUMPRODUCT(--(($RS$5:$RS19=$RS19-1)*($RR$5:$RR19&gt;=10)*($RR$5:$RR19&lt;=12)),$SU$5:$SU19),IF(RR19=4,SUMPRODUCT(--(($RS$5:$RS19=$RS19)*($RR$5:$RR19&gt;=1)*($RR$5:$RR19&lt;=3)),$SU$5:$SU19),IF(RR19=7,SUMPRODUCT(--(($RS$5:$RS19=$RS19)*($RR$5:$RR19&gt;=4)*($RR$5:$RR19&lt;=6)),$SU$5:$SU19),IF(RR19=10,SUMPRODUCT(--(($RS$5:$RS19=$RS19)*($RR$5:$RR19&gt;=7)*($RR$5:$RR19&lt;=9)),$SU$5:$SU19),0)))))</f>
        <v/>
      </c>
      <c r="SW19" s="12">
        <f>SW18+SU19-SV19</f>
        <v/>
      </c>
      <c r="SX19" s="12">
        <f>IF(ProviderDelay&gt;=1,ST18*ProviderShare,ST19*ProviderShare)</f>
        <v/>
      </c>
      <c r="SY19" s="12">
        <f>SQ19*PaymentFee</f>
        <v/>
      </c>
      <c r="SZ19" s="12">
        <f>SK19*OpsAI</f>
        <v/>
      </c>
      <c r="TA19" s="12">
        <f>MonthlyFixed</f>
        <v/>
      </c>
      <c r="TB19" s="12">
        <f>RY19*ReferralReward</f>
        <v/>
      </c>
      <c r="TC19" s="12">
        <f>RW19</f>
        <v/>
      </c>
      <c r="TD19" s="9">
        <f>ST19-SX19-SY19-SZ19-TA19-TB19-TC19</f>
        <v/>
      </c>
      <c r="TE19" s="9">
        <f>TE18+SQ19-(SX19+SY19+SZ19+TA19+TB19+TC19+SV19)</f>
        <v/>
      </c>
      <c r="TF19" s="12">
        <f>IF(SK19&gt;0,SL19/SK19,0)</f>
        <v/>
      </c>
      <c r="TG19" s="11">
        <f>IF(SK18&gt;0,MAX(0,(SK18+RZ19-SK19)/SK18),0)</f>
        <v/>
      </c>
      <c r="TI19" s="12" t="n">
        <v>15</v>
      </c>
      <c r="TJ19" s="12">
        <f>MOD(TI19-1+LaunchMonth-1,12)+1</f>
        <v/>
      </c>
      <c r="TK19" s="12">
        <f>INT((TI19-1+LaunchMonth-1)/12)+1</f>
        <v/>
      </c>
      <c r="TL19" s="12">
        <f>VLOOKUP(TJ19,SeasonTable,2,FALSE)</f>
        <v/>
      </c>
      <c r="TM19" s="12">
        <f>(1+InflationRate)^INT((TI19-1)/12)</f>
        <v/>
      </c>
      <c r="TN19" s="11">
        <f>MonthlyChurn*VLOOKUP(TJ19,ChurnSeasonTable,4,FALSE)</f>
        <v/>
      </c>
      <c r="TO19" s="12">
        <f>MIN(MAX(MktMin13_18,UI18*MktPct13_18),MAX(0,UW18-CashBuffer))</f>
        <v/>
      </c>
      <c r="TP19" s="12">
        <f>IF(TO19&gt;0,MAX(1,ROUND(TO19/CAC*TL19,0)),0)</f>
        <v/>
      </c>
      <c r="TQ19" s="12">
        <f>IF(TP19&gt;0,ROUND(TP19*ReferralMix/(1-ReferralMix),0),0)</f>
        <v/>
      </c>
      <c r="TR19" s="12">
        <f>TP19+TQ19</f>
        <v/>
      </c>
      <c r="TS19" s="12">
        <f>ROUND(TR19*(1-'Sens - Annual Mix'!$A$9),0)</f>
        <v/>
      </c>
      <c r="TT19" s="12">
        <f>TR19-TS19</f>
        <v/>
      </c>
      <c r="TU19" s="12">
        <f>ROUND(TS19*EssentialMix,0)</f>
        <v/>
      </c>
      <c r="TV19" s="12">
        <f>TS19-TU19</f>
        <v/>
      </c>
      <c r="TW19" s="12">
        <f>ROUND(TT19*EssentialMix,0)</f>
        <v/>
      </c>
      <c r="TX19" s="12">
        <f>TT19-TW19</f>
        <v/>
      </c>
      <c r="TY19" s="12">
        <f>TU19+TU18+TU17+MAX(0,TY18-TU18-TU17)*(1-TN19)</f>
        <v/>
      </c>
      <c r="TZ19" s="12">
        <f>TV19+TV18+TV17+MAX(0,TZ18-TV18-TV17)*(1-TN19)</f>
        <v/>
      </c>
      <c r="UA19" s="12">
        <f>UA18+TW19-TW7*(AnnualChurn*VLOOKUP(TJ19,ChurnSeasonTable,4,FALSE))*POWER(1-(AnnualChurn*VLOOKUP(TJ19,ChurnSeasonTable,4,FALSE)),0)</f>
        <v/>
      </c>
      <c r="UB19" s="12">
        <f>UB18+TX19-TX7*(AnnualChurn*VLOOKUP(TJ19,ChurnSeasonTable,4,FALSE))*POWER(1-(AnnualChurn*VLOOKUP(TJ19,ChurnSeasonTable,4,FALSE)),0)</f>
        <v/>
      </c>
      <c r="UC19" s="12">
        <f>TY19+TZ19+UA19+UB19</f>
        <v/>
      </c>
      <c r="UD19" s="9">
        <f>TY19*PriceEssMonthly*TM19+TZ19*PricePremMonthly*TM19+UA19*PriceEssAnnual*TM19/12+UB19*PricePremAnnual*TM19/12</f>
        <v/>
      </c>
      <c r="UE19" s="9">
        <f>UD19*12</f>
        <v/>
      </c>
      <c r="UF19" s="12">
        <f>TY19*PriceEssMonthly*TM19+TZ19*PricePremMonthly*TM19</f>
        <v/>
      </c>
      <c r="UG19" s="12">
        <f>TW19*PriceEssAnnual*TM19+TX19*PricePremAnnual*TM19</f>
        <v/>
      </c>
      <c r="UH19" s="12">
        <f>TW7*POWER(1-(AnnualChurn*VLOOKUP(TJ19,ChurnSeasonTable,4,FALSE)),1)*PriceEssAnnual*TM19+TX7*POWER(1-(AnnualChurn*VLOOKUP(TJ19,ChurnSeasonTable,4,FALSE)),1)*PricePremAnnual*TM19</f>
        <v/>
      </c>
      <c r="UI19" s="9">
        <f>UF19+UG19+UH19</f>
        <v/>
      </c>
      <c r="UJ19" s="12">
        <f>SUM(UI8:UI19)</f>
        <v/>
      </c>
      <c r="UK19" s="12">
        <f>OR(UK18,UJ19&gt;=VATThreshold)</f>
        <v/>
      </c>
      <c r="UL19" s="9">
        <f>IF(UK19,UI19/(1+VATRate),UI19)</f>
        <v/>
      </c>
      <c r="UM19" s="12">
        <f>UI19-UL19</f>
        <v/>
      </c>
      <c r="UN19" s="12">
        <f>IF(UK19=0,0,IF(TJ19=1,SUMPRODUCT(--(($TK$5:$TK19=$TK19-1)*($TJ$5:$TJ19&gt;=10)*($TJ$5:$TJ19&lt;=12)),$UM$5:$UM19),IF(TJ19=4,SUMPRODUCT(--(($TK$5:$TK19=$TK19)*($TJ$5:$TJ19&gt;=1)*($TJ$5:$TJ19&lt;=3)),$UM$5:$UM19),IF(TJ19=7,SUMPRODUCT(--(($TK$5:$TK19=$TK19)*($TJ$5:$TJ19&gt;=4)*($TJ$5:$TJ19&lt;=6)),$UM$5:$UM19),IF(TJ19=10,SUMPRODUCT(--(($TK$5:$TK19=$TK19)*($TJ$5:$TJ19&gt;=7)*($TJ$5:$TJ19&lt;=9)),$UM$5:$UM19),0)))))</f>
        <v/>
      </c>
      <c r="UO19" s="12">
        <f>UO18+UM19-UN19</f>
        <v/>
      </c>
      <c r="UP19" s="12">
        <f>IF(ProviderDelay&gt;=1,UL18*ProviderShare,UL19*ProviderShare)</f>
        <v/>
      </c>
      <c r="UQ19" s="12">
        <f>UI19*PaymentFee</f>
        <v/>
      </c>
      <c r="UR19" s="12">
        <f>UC19*OpsAI</f>
        <v/>
      </c>
      <c r="US19" s="12">
        <f>MonthlyFixed</f>
        <v/>
      </c>
      <c r="UT19" s="12">
        <f>TQ19*ReferralReward</f>
        <v/>
      </c>
      <c r="UU19" s="12">
        <f>TO19</f>
        <v/>
      </c>
      <c r="UV19" s="9">
        <f>UL19-UP19-UQ19-UR19-US19-UT19-UU19</f>
        <v/>
      </c>
      <c r="UW19" s="9">
        <f>UW18+UI19-(UP19+UQ19+UR19+US19+UT19+UU19+UN19)</f>
        <v/>
      </c>
      <c r="UX19" s="12">
        <f>IF(UC19&gt;0,UD19/UC19,0)</f>
        <v/>
      </c>
      <c r="UY19" s="11">
        <f>IF(UC18&gt;0,MAX(0,(UC18+TR19-UC19)/UC18),0)</f>
        <v/>
      </c>
      <c r="VA19" s="12" t="n">
        <v>15</v>
      </c>
      <c r="VB19" s="12">
        <f>MOD(VA19-1+LaunchMonth-1,12)+1</f>
        <v/>
      </c>
      <c r="VC19" s="12">
        <f>INT((VA19-1+LaunchMonth-1)/12)+1</f>
        <v/>
      </c>
      <c r="VD19" s="12">
        <f>VLOOKUP(VB19,SeasonTable,2,FALSE)</f>
        <v/>
      </c>
      <c r="VE19" s="12">
        <f>(1+InflationRate)^INT((VA19-1)/12)</f>
        <v/>
      </c>
      <c r="VF19" s="11">
        <f>MonthlyChurn*VLOOKUP(VB19,ChurnSeasonTable,4,FALSE)</f>
        <v/>
      </c>
      <c r="VG19" s="12">
        <f>MIN(MAX(MktMin13_18,WA18*MktPct13_18),MAX(0,WO18-CashBuffer))</f>
        <v/>
      </c>
      <c r="VH19" s="12">
        <f>IF(VG19&gt;0,MAX(1,ROUND(VG19/CAC*VD19,0)),0)</f>
        <v/>
      </c>
      <c r="VI19" s="12">
        <f>IF(VH19&gt;0,ROUND(VH19*ReferralMix/(1-ReferralMix),0),0)</f>
        <v/>
      </c>
      <c r="VJ19" s="12">
        <f>VH19+VI19</f>
        <v/>
      </c>
      <c r="VK19" s="12">
        <f>ROUND(VJ19*(1-'Sens - Annual Mix'!$A$10),0)</f>
        <v/>
      </c>
      <c r="VL19" s="12">
        <f>VJ19-VK19</f>
        <v/>
      </c>
      <c r="VM19" s="12">
        <f>ROUND(VK19*EssentialMix,0)</f>
        <v/>
      </c>
      <c r="VN19" s="12">
        <f>VK19-VM19</f>
        <v/>
      </c>
      <c r="VO19" s="12">
        <f>ROUND(VL19*EssentialMix,0)</f>
        <v/>
      </c>
      <c r="VP19" s="12">
        <f>VL19-VO19</f>
        <v/>
      </c>
      <c r="VQ19" s="12">
        <f>VM19+VM18+VM17+MAX(0,VQ18-VM18-VM17)*(1-VF19)</f>
        <v/>
      </c>
      <c r="VR19" s="12">
        <f>VN19+VN18+VN17+MAX(0,VR18-VN18-VN17)*(1-VF19)</f>
        <v/>
      </c>
      <c r="VS19" s="12">
        <f>VS18+VO19-VO7*(AnnualChurn*VLOOKUP(VB19,ChurnSeasonTable,4,FALSE))*POWER(1-(AnnualChurn*VLOOKUP(VB19,ChurnSeasonTable,4,FALSE)),0)</f>
        <v/>
      </c>
      <c r="VT19" s="12">
        <f>VT18+VP19-VP7*(AnnualChurn*VLOOKUP(VB19,ChurnSeasonTable,4,FALSE))*POWER(1-(AnnualChurn*VLOOKUP(VB19,ChurnSeasonTable,4,FALSE)),0)</f>
        <v/>
      </c>
      <c r="VU19" s="12">
        <f>VQ19+VR19+VS19+VT19</f>
        <v/>
      </c>
      <c r="VV19" s="9">
        <f>VQ19*PriceEssMonthly*VE19+VR19*PricePremMonthly*VE19+VS19*PriceEssAnnual*VE19/12+VT19*PricePremAnnual*VE19/12</f>
        <v/>
      </c>
      <c r="VW19" s="9">
        <f>VV19*12</f>
        <v/>
      </c>
      <c r="VX19" s="12">
        <f>VQ19*PriceEssMonthly*VE19+VR19*PricePremMonthly*VE19</f>
        <v/>
      </c>
      <c r="VY19" s="12">
        <f>VO19*PriceEssAnnual*VE19+VP19*PricePremAnnual*VE19</f>
        <v/>
      </c>
      <c r="VZ19" s="12">
        <f>VO7*POWER(1-(AnnualChurn*VLOOKUP(VB19,ChurnSeasonTable,4,FALSE)),1)*PriceEssAnnual*VE19+VP7*POWER(1-(AnnualChurn*VLOOKUP(VB19,ChurnSeasonTable,4,FALSE)),1)*PricePremAnnual*VE19</f>
        <v/>
      </c>
      <c r="WA19" s="9">
        <f>VX19+VY19+VZ19</f>
        <v/>
      </c>
      <c r="WB19" s="12">
        <f>SUM(WA8:WA19)</f>
        <v/>
      </c>
      <c r="WC19" s="12">
        <f>OR(WC18,WB19&gt;=VATThreshold)</f>
        <v/>
      </c>
      <c r="WD19" s="9">
        <f>IF(WC19,WA19/(1+VATRate),WA19)</f>
        <v/>
      </c>
      <c r="WE19" s="12">
        <f>WA19-WD19</f>
        <v/>
      </c>
      <c r="WF19" s="12">
        <f>IF(WC19=0,0,IF(VB19=1,SUMPRODUCT(--(($VC$5:$VC19=$VC19-1)*($VB$5:$VB19&gt;=10)*($VB$5:$VB19&lt;=12)),$WE$5:$WE19),IF(VB19=4,SUMPRODUCT(--(($VC$5:$VC19=$VC19)*($VB$5:$VB19&gt;=1)*($VB$5:$VB19&lt;=3)),$WE$5:$WE19),IF(VB19=7,SUMPRODUCT(--(($VC$5:$VC19=$VC19)*($VB$5:$VB19&gt;=4)*($VB$5:$VB19&lt;=6)),$WE$5:$WE19),IF(VB19=10,SUMPRODUCT(--(($VC$5:$VC19=$VC19)*($VB$5:$VB19&gt;=7)*($VB$5:$VB19&lt;=9)),$WE$5:$WE19),0)))))</f>
        <v/>
      </c>
      <c r="WG19" s="12">
        <f>WG18+WE19-WF19</f>
        <v/>
      </c>
      <c r="WH19" s="12">
        <f>IF(ProviderDelay&gt;=1,WD18*ProviderShare,WD19*ProviderShare)</f>
        <v/>
      </c>
      <c r="WI19" s="12">
        <f>WA19*PaymentFee</f>
        <v/>
      </c>
      <c r="WJ19" s="12">
        <f>VU19*OpsAI</f>
        <v/>
      </c>
      <c r="WK19" s="12">
        <f>MonthlyFixed</f>
        <v/>
      </c>
      <c r="WL19" s="12">
        <f>VI19*ReferralReward</f>
        <v/>
      </c>
      <c r="WM19" s="12">
        <f>VG19</f>
        <v/>
      </c>
      <c r="WN19" s="9">
        <f>WD19-WH19-WI19-WJ19-WK19-WL19-WM19</f>
        <v/>
      </c>
      <c r="WO19" s="9">
        <f>WO18+WA19-(WH19+WI19+WJ19+WK19+WL19+WM19+WF19)</f>
        <v/>
      </c>
      <c r="WP19" s="12">
        <f>IF(VU19&gt;0,VV19/VU19,0)</f>
        <v/>
      </c>
      <c r="WQ19" s="11">
        <f>IF(VU18&gt;0,MAX(0,(VU18+VJ19-VU19)/VU18),0)</f>
        <v/>
      </c>
      <c r="WS19" s="12" t="n">
        <v>15</v>
      </c>
      <c r="WT19" s="12">
        <f>MOD(WS19-1+LaunchMonth-1,12)+1</f>
        <v/>
      </c>
      <c r="WU19" s="12">
        <f>INT((WS19-1+LaunchMonth-1)/12)+1</f>
        <v/>
      </c>
      <c r="WV19" s="12">
        <f>VLOOKUP(WT19,SeasonTable,2,FALSE)</f>
        <v/>
      </c>
      <c r="WW19" s="12">
        <f>(1+InflationRate)^INT((WS19-1)/12)</f>
        <v/>
      </c>
      <c r="WX19" s="11">
        <f>MonthlyChurn*VLOOKUP(WT19,ChurnSeasonTable,4,FALSE)</f>
        <v/>
      </c>
      <c r="WY19" s="12">
        <f>MIN(MAX(MktMin13_18,XS18*MktPct13_18),MAX(0,YG18-CashBuffer))</f>
        <v/>
      </c>
      <c r="WZ19" s="12">
        <f>IF(WY19&gt;0,MAX(1,ROUND(WY19/CAC*WV19,0)),0)</f>
        <v/>
      </c>
      <c r="XA19" s="12">
        <f>IF(WZ19&gt;0,ROUND(WZ19*ReferralMix/(1-ReferralMix),0),0)</f>
        <v/>
      </c>
      <c r="XB19" s="12">
        <f>WZ19+XA19</f>
        <v/>
      </c>
      <c r="XC19" s="12">
        <f>ROUND(XB19*(1-'Sens - Annual Mix'!$A$11),0)</f>
        <v/>
      </c>
      <c r="XD19" s="12">
        <f>XB19-XC19</f>
        <v/>
      </c>
      <c r="XE19" s="12">
        <f>ROUND(XC19*EssentialMix,0)</f>
        <v/>
      </c>
      <c r="XF19" s="12">
        <f>XC19-XE19</f>
        <v/>
      </c>
      <c r="XG19" s="12">
        <f>ROUND(XD19*EssentialMix,0)</f>
        <v/>
      </c>
      <c r="XH19" s="12">
        <f>XD19-XG19</f>
        <v/>
      </c>
      <c r="XI19" s="12">
        <f>XE19+XE18+XE17+MAX(0,XI18-XE18-XE17)*(1-WX19)</f>
        <v/>
      </c>
      <c r="XJ19" s="12">
        <f>XF19+XF18+XF17+MAX(0,XJ18-XF18-XF17)*(1-WX19)</f>
        <v/>
      </c>
      <c r="XK19" s="12">
        <f>XK18+XG19-XG7*(AnnualChurn*VLOOKUP(WT19,ChurnSeasonTable,4,FALSE))*POWER(1-(AnnualChurn*VLOOKUP(WT19,ChurnSeasonTable,4,FALSE)),0)</f>
        <v/>
      </c>
      <c r="XL19" s="12">
        <f>XL18+XH19-XH7*(AnnualChurn*VLOOKUP(WT19,ChurnSeasonTable,4,FALSE))*POWER(1-(AnnualChurn*VLOOKUP(WT19,ChurnSeasonTable,4,FALSE)),0)</f>
        <v/>
      </c>
      <c r="XM19" s="12">
        <f>XI19+XJ19+XK19+XL19</f>
        <v/>
      </c>
      <c r="XN19" s="9">
        <f>XI19*PriceEssMonthly*WW19+XJ19*PricePremMonthly*WW19+XK19*PriceEssAnnual*WW19/12+XL19*PricePremAnnual*WW19/12</f>
        <v/>
      </c>
      <c r="XO19" s="9">
        <f>XN19*12</f>
        <v/>
      </c>
      <c r="XP19" s="12">
        <f>XI19*PriceEssMonthly*WW19+XJ19*PricePremMonthly*WW19</f>
        <v/>
      </c>
      <c r="XQ19" s="12">
        <f>XG19*PriceEssAnnual*WW19+XH19*PricePremAnnual*WW19</f>
        <v/>
      </c>
      <c r="XR19" s="12">
        <f>XG7*POWER(1-(AnnualChurn*VLOOKUP(WT19,ChurnSeasonTable,4,FALSE)),1)*PriceEssAnnual*WW19+XH7*POWER(1-(AnnualChurn*VLOOKUP(WT19,ChurnSeasonTable,4,FALSE)),1)*PricePremAnnual*WW19</f>
        <v/>
      </c>
      <c r="XS19" s="9">
        <f>XP19+XQ19+XR19</f>
        <v/>
      </c>
      <c r="XT19" s="12">
        <f>SUM(XS8:XS19)</f>
        <v/>
      </c>
      <c r="XU19" s="12">
        <f>OR(XU18,XT19&gt;=VATThreshold)</f>
        <v/>
      </c>
      <c r="XV19" s="9">
        <f>IF(XU19,XS19/(1+VATRate),XS19)</f>
        <v/>
      </c>
      <c r="XW19" s="12">
        <f>XS19-XV19</f>
        <v/>
      </c>
      <c r="XX19" s="12">
        <f>IF(XU19=0,0,IF(WT19=1,SUMPRODUCT(--(($WU$5:$WU19=$WU19-1)*($WT$5:$WT19&gt;=10)*($WT$5:$WT19&lt;=12)),$XW$5:$XW19),IF(WT19=4,SUMPRODUCT(--(($WU$5:$WU19=$WU19)*($WT$5:$WT19&gt;=1)*($WT$5:$WT19&lt;=3)),$XW$5:$XW19),IF(WT19=7,SUMPRODUCT(--(($WU$5:$WU19=$WU19)*($WT$5:$WT19&gt;=4)*($WT$5:$WT19&lt;=6)),$XW$5:$XW19),IF(WT19=10,SUMPRODUCT(--(($WU$5:$WU19=$WU19)*($WT$5:$WT19&gt;=7)*($WT$5:$WT19&lt;=9)),$XW$5:$XW19),0)))))</f>
        <v/>
      </c>
      <c r="XY19" s="12">
        <f>XY18+XW19-XX19</f>
        <v/>
      </c>
      <c r="XZ19" s="12">
        <f>IF(ProviderDelay&gt;=1,XV18*ProviderShare,XV19*ProviderShare)</f>
        <v/>
      </c>
      <c r="YA19" s="12">
        <f>XS19*PaymentFee</f>
        <v/>
      </c>
      <c r="YB19" s="12">
        <f>XM19*OpsAI</f>
        <v/>
      </c>
      <c r="YC19" s="12">
        <f>MonthlyFixed</f>
        <v/>
      </c>
      <c r="YD19" s="12">
        <f>XA19*ReferralReward</f>
        <v/>
      </c>
      <c r="YE19" s="12">
        <f>WY19</f>
        <v/>
      </c>
      <c r="YF19" s="9">
        <f>XV19-XZ19-YA19-YB19-YC19-YD19-YE19</f>
        <v/>
      </c>
      <c r="YG19" s="9">
        <f>YG18+XS19-(XZ19+YA19+YB19+YC19+YD19+YE19+XX19)</f>
        <v/>
      </c>
      <c r="YH19" s="12">
        <f>IF(XM19&gt;0,XN19/XM19,0)</f>
        <v/>
      </c>
      <c r="YI19" s="11">
        <f>IF(XM18&gt;0,MAX(0,(XM18+XB19-XM19)/XM18),0)</f>
        <v/>
      </c>
      <c r="YK19" s="12" t="n">
        <v>15</v>
      </c>
      <c r="YL19" s="12">
        <f>MOD(YK19-1+LaunchMonth-1,12)+1</f>
        <v/>
      </c>
      <c r="YM19" s="12">
        <f>INT((YK19-1+LaunchMonth-1)/12)+1</f>
        <v/>
      </c>
      <c r="YN19" s="12">
        <f>VLOOKUP(YL19,SeasonTable,2,FALSE)</f>
        <v/>
      </c>
      <c r="YO19" s="12">
        <f>(1+InflationRate)^INT((YK19-1)/12)</f>
        <v/>
      </c>
      <c r="YP19" s="11">
        <f>MonthlyChurn*VLOOKUP(YL19,ChurnSeasonTable,4,FALSE)</f>
        <v/>
      </c>
      <c r="YQ19" s="12">
        <f>MIN(MAX(MktMin13_18,ZK18*MktPct13_18),MAX(0,ZY18-CashBuffer))</f>
        <v/>
      </c>
      <c r="YR19" s="12">
        <f>IF(YQ19&gt;0,MAX(1,ROUND(YQ19/CAC*YN19,0)),0)</f>
        <v/>
      </c>
      <c r="YS19" s="12">
        <f>IF(YR19&gt;0,ROUND(YR19*ReferralMix/(1-ReferralMix),0),0)</f>
        <v/>
      </c>
      <c r="YT19" s="12">
        <f>YR19+YS19</f>
        <v/>
      </c>
      <c r="YU19" s="12">
        <f>ROUND(YT19*(1-'Sens - Annual Mix'!$A$12),0)</f>
        <v/>
      </c>
      <c r="YV19" s="12">
        <f>YT19-YU19</f>
        <v/>
      </c>
      <c r="YW19" s="12">
        <f>ROUND(YU19*EssentialMix,0)</f>
        <v/>
      </c>
      <c r="YX19" s="12">
        <f>YU19-YW19</f>
        <v/>
      </c>
      <c r="YY19" s="12">
        <f>ROUND(YV19*EssentialMix,0)</f>
        <v/>
      </c>
      <c r="YZ19" s="12">
        <f>YV19-YY19</f>
        <v/>
      </c>
      <c r="ZA19" s="12">
        <f>YW19+YW18+YW17+MAX(0,ZA18-YW18-YW17)*(1-YP19)</f>
        <v/>
      </c>
      <c r="ZB19" s="12">
        <f>YX19+YX18+YX17+MAX(0,ZB18-YX18-YX17)*(1-YP19)</f>
        <v/>
      </c>
      <c r="ZC19" s="12">
        <f>ZC18+YY19-YY7*(AnnualChurn*VLOOKUP(YL19,ChurnSeasonTable,4,FALSE))*POWER(1-(AnnualChurn*VLOOKUP(YL19,ChurnSeasonTable,4,FALSE)),0)</f>
        <v/>
      </c>
      <c r="ZD19" s="12">
        <f>ZD18+YZ19-YZ7*(AnnualChurn*VLOOKUP(YL19,ChurnSeasonTable,4,FALSE))*POWER(1-(AnnualChurn*VLOOKUP(YL19,ChurnSeasonTable,4,FALSE)),0)</f>
        <v/>
      </c>
      <c r="ZE19" s="12">
        <f>ZA19+ZB19+ZC19+ZD19</f>
        <v/>
      </c>
      <c r="ZF19" s="9">
        <f>ZA19*PriceEssMonthly*YO19+ZB19*PricePremMonthly*YO19+ZC19*PriceEssAnnual*YO19/12+ZD19*PricePremAnnual*YO19/12</f>
        <v/>
      </c>
      <c r="ZG19" s="9">
        <f>ZF19*12</f>
        <v/>
      </c>
      <c r="ZH19" s="12">
        <f>ZA19*PriceEssMonthly*YO19+ZB19*PricePremMonthly*YO19</f>
        <v/>
      </c>
      <c r="ZI19" s="12">
        <f>YY19*PriceEssAnnual*YO19+YZ19*PricePremAnnual*YO19</f>
        <v/>
      </c>
      <c r="ZJ19" s="12">
        <f>YY7*POWER(1-(AnnualChurn*VLOOKUP(YL19,ChurnSeasonTable,4,FALSE)),1)*PriceEssAnnual*YO19+YZ7*POWER(1-(AnnualChurn*VLOOKUP(YL19,ChurnSeasonTable,4,FALSE)),1)*PricePremAnnual*YO19</f>
        <v/>
      </c>
      <c r="ZK19" s="9">
        <f>ZH19+ZI19+ZJ19</f>
        <v/>
      </c>
      <c r="ZL19" s="12">
        <f>SUM(ZK8:ZK19)</f>
        <v/>
      </c>
      <c r="ZM19" s="12">
        <f>OR(ZM18,ZL19&gt;=VATThreshold)</f>
        <v/>
      </c>
      <c r="ZN19" s="9">
        <f>IF(ZM19,ZK19/(1+VATRate),ZK19)</f>
        <v/>
      </c>
      <c r="ZO19" s="12">
        <f>ZK19-ZN19</f>
        <v/>
      </c>
      <c r="ZP19" s="12">
        <f>IF(ZM19=0,0,IF(YL19=1,SUMPRODUCT(--(($YM$5:$YM19=$YM19-1)*($YL$5:$YL19&gt;=10)*($YL$5:$YL19&lt;=12)),$ZO$5:$ZO19),IF(YL19=4,SUMPRODUCT(--(($YM$5:$YM19=$YM19)*($YL$5:$YL19&gt;=1)*($YL$5:$YL19&lt;=3)),$ZO$5:$ZO19),IF(YL19=7,SUMPRODUCT(--(($YM$5:$YM19=$YM19)*($YL$5:$YL19&gt;=4)*($YL$5:$YL19&lt;=6)),$ZO$5:$ZO19),IF(YL19=10,SUMPRODUCT(--(($YM$5:$YM19=$YM19)*($YL$5:$YL19&gt;=7)*($YL$5:$YL19&lt;=9)),$ZO$5:$ZO19),0)))))</f>
        <v/>
      </c>
      <c r="ZQ19" s="12">
        <f>ZQ18+ZO19-ZP19</f>
        <v/>
      </c>
      <c r="ZR19" s="12">
        <f>IF(ProviderDelay&gt;=1,ZN18*ProviderShare,ZN19*ProviderShare)</f>
        <v/>
      </c>
      <c r="ZS19" s="12">
        <f>ZK19*PaymentFee</f>
        <v/>
      </c>
      <c r="ZT19" s="12">
        <f>ZE19*OpsAI</f>
        <v/>
      </c>
      <c r="ZU19" s="12">
        <f>MonthlyFixed</f>
        <v/>
      </c>
      <c r="ZV19" s="12">
        <f>YS19*ReferralReward</f>
        <v/>
      </c>
      <c r="ZW19" s="12">
        <f>YQ19</f>
        <v/>
      </c>
      <c r="ZX19" s="9">
        <f>ZN19-ZR19-ZS19-ZT19-ZU19-ZV19-ZW19</f>
        <v/>
      </c>
      <c r="ZY19" s="9">
        <f>ZY18+ZK19-(ZR19+ZS19+ZT19+ZU19+ZV19+ZW19+ZP19)</f>
        <v/>
      </c>
      <c r="ZZ19" s="12">
        <f>IF(ZE19&gt;0,ZF19/ZE19,0)</f>
        <v/>
      </c>
      <c r="AAA19" s="11">
        <f>IF(ZE18&gt;0,MAX(0,(ZE18+YT19-ZE19)/ZE18),0)</f>
        <v/>
      </c>
      <c r="AAC19" s="12" t="n">
        <v>15</v>
      </c>
      <c r="AAD19" s="12">
        <f>MOD(AAC19-1+LaunchMonth-1,12)+1</f>
        <v/>
      </c>
      <c r="AAE19" s="12">
        <f>INT((AAC19-1+LaunchMonth-1)/12)+1</f>
        <v/>
      </c>
      <c r="AAF19" s="12">
        <f>VLOOKUP(AAD19,SeasonTable,2,FALSE)</f>
        <v/>
      </c>
      <c r="AAG19" s="12">
        <f>(1+InflationRate)^INT((AAC19-1)/12)</f>
        <v/>
      </c>
      <c r="AAH19" s="11">
        <f>MonthlyChurn*VLOOKUP(AAD19,ChurnSeasonTable,4,FALSE)</f>
        <v/>
      </c>
      <c r="AAI19" s="12">
        <f>MIN(MAX(MktMin13_18,ABC18*MktPct13_18),MAX(0,ABQ18-CashBuffer))</f>
        <v/>
      </c>
      <c r="AAJ19" s="12">
        <f>IF(AAI19&gt;0,MAX(1,ROUND(AAI19/CAC*AAF19,0)),0)</f>
        <v/>
      </c>
      <c r="AAK19" s="12">
        <f>IF(AAJ19&gt;0,ROUND(AAJ19*ReferralMix/(1-ReferralMix),0),0)</f>
        <v/>
      </c>
      <c r="AAL19" s="12">
        <f>AAJ19+AAK19</f>
        <v/>
      </c>
      <c r="AAM19" s="12">
        <f>ROUND(AAL19*(1-'Sens - Annual Mix'!$A$13),0)</f>
        <v/>
      </c>
      <c r="AAN19" s="12">
        <f>AAL19-AAM19</f>
        <v/>
      </c>
      <c r="AAO19" s="12">
        <f>ROUND(AAM19*EssentialMix,0)</f>
        <v/>
      </c>
      <c r="AAP19" s="12">
        <f>AAM19-AAO19</f>
        <v/>
      </c>
      <c r="AAQ19" s="12">
        <f>ROUND(AAN19*EssentialMix,0)</f>
        <v/>
      </c>
      <c r="AAR19" s="12">
        <f>AAN19-AAQ19</f>
        <v/>
      </c>
      <c r="AAS19" s="12">
        <f>AAO19+AAO18+AAO17+MAX(0,AAS18-AAO18-AAO17)*(1-AAH19)</f>
        <v/>
      </c>
      <c r="AAT19" s="12">
        <f>AAP19+AAP18+AAP17+MAX(0,AAT18-AAP18-AAP17)*(1-AAH19)</f>
        <v/>
      </c>
      <c r="AAU19" s="12">
        <f>AAU18+AAQ19-AAQ7*(AnnualChurn*VLOOKUP(AAD19,ChurnSeasonTable,4,FALSE))*POWER(1-(AnnualChurn*VLOOKUP(AAD19,ChurnSeasonTable,4,FALSE)),0)</f>
        <v/>
      </c>
      <c r="AAV19" s="12">
        <f>AAV18+AAR19-AAR7*(AnnualChurn*VLOOKUP(AAD19,ChurnSeasonTable,4,FALSE))*POWER(1-(AnnualChurn*VLOOKUP(AAD19,ChurnSeasonTable,4,FALSE)),0)</f>
        <v/>
      </c>
      <c r="AAW19" s="12">
        <f>AAS19+AAT19+AAU19+AAV19</f>
        <v/>
      </c>
      <c r="AAX19" s="9">
        <f>AAS19*PriceEssMonthly*AAG19+AAT19*PricePremMonthly*AAG19+AAU19*PriceEssAnnual*AAG19/12+AAV19*PricePremAnnual*AAG19/12</f>
        <v/>
      </c>
      <c r="AAY19" s="9">
        <f>AAX19*12</f>
        <v/>
      </c>
      <c r="AAZ19" s="12">
        <f>AAS19*PriceEssMonthly*AAG19+AAT19*PricePremMonthly*AAG19</f>
        <v/>
      </c>
      <c r="ABA19" s="12">
        <f>AAQ19*PriceEssAnnual*AAG19+AAR19*PricePremAnnual*AAG19</f>
        <v/>
      </c>
      <c r="ABB19" s="12">
        <f>AAQ7*POWER(1-(AnnualChurn*VLOOKUP(AAD19,ChurnSeasonTable,4,FALSE)),1)*PriceEssAnnual*AAG19+AAR7*POWER(1-(AnnualChurn*VLOOKUP(AAD19,ChurnSeasonTable,4,FALSE)),1)*PricePremAnnual*AAG19</f>
        <v/>
      </c>
      <c r="ABC19" s="9">
        <f>AAZ19+ABA19+ABB19</f>
        <v/>
      </c>
      <c r="ABD19" s="12">
        <f>SUM(ABC8:ABC19)</f>
        <v/>
      </c>
      <c r="ABE19" s="12">
        <f>OR(ABE18,ABD19&gt;=VATThreshold)</f>
        <v/>
      </c>
      <c r="ABF19" s="9">
        <f>IF(ABE19,ABC19/(1+VATRate),ABC19)</f>
        <v/>
      </c>
      <c r="ABG19" s="12">
        <f>ABC19-ABF19</f>
        <v/>
      </c>
      <c r="ABH19" s="12">
        <f>IF(ABE19=0,0,IF(AAD19=1,SUMPRODUCT(--(($AAE$5:$AAE19=$AAE19-1)*($AAD$5:$AAD19&gt;=10)*($AAD$5:$AAD19&lt;=12)),$ABG$5:$ABG19),IF(AAD19=4,SUMPRODUCT(--(($AAE$5:$AAE19=$AAE19)*($AAD$5:$AAD19&gt;=1)*($AAD$5:$AAD19&lt;=3)),$ABG$5:$ABG19),IF(AAD19=7,SUMPRODUCT(--(($AAE$5:$AAE19=$AAE19)*($AAD$5:$AAD19&gt;=4)*($AAD$5:$AAD19&lt;=6)),$ABG$5:$ABG19),IF(AAD19=10,SUMPRODUCT(--(($AAE$5:$AAE19=$AAE19)*($AAD$5:$AAD19&gt;=7)*($AAD$5:$AAD19&lt;=9)),$ABG$5:$ABG19),0)))))</f>
        <v/>
      </c>
      <c r="ABI19" s="12">
        <f>ABI18+ABG19-ABH19</f>
        <v/>
      </c>
      <c r="ABJ19" s="12">
        <f>IF(ProviderDelay&gt;=1,ABF18*ProviderShare,ABF19*ProviderShare)</f>
        <v/>
      </c>
      <c r="ABK19" s="12">
        <f>ABC19*PaymentFee</f>
        <v/>
      </c>
      <c r="ABL19" s="12">
        <f>AAW19*OpsAI</f>
        <v/>
      </c>
      <c r="ABM19" s="12">
        <f>MonthlyFixed</f>
        <v/>
      </c>
      <c r="ABN19" s="12">
        <f>AAK19*ReferralReward</f>
        <v/>
      </c>
      <c r="ABO19" s="12">
        <f>AAI19</f>
        <v/>
      </c>
      <c r="ABP19" s="9">
        <f>ABF19-ABJ19-ABK19-ABL19-ABM19-ABN19-ABO19</f>
        <v/>
      </c>
      <c r="ABQ19" s="9">
        <f>ABQ18+ABC19-(ABJ19+ABK19+ABL19+ABM19+ABN19+ABO19+ABH19)</f>
        <v/>
      </c>
      <c r="ABR19" s="12">
        <f>IF(AAW19&gt;0,AAX19/AAW19,0)</f>
        <v/>
      </c>
      <c r="ABS19" s="11">
        <f>IF(AAW18&gt;0,MAX(0,(AAW18+AAL19-AAW19)/AAW18),0)</f>
        <v/>
      </c>
      <c r="ABU19" s="12" t="n">
        <v>15</v>
      </c>
      <c r="ABV19" s="12">
        <f>MOD(ABU19-1+LaunchMonth-1,12)+1</f>
        <v/>
      </c>
      <c r="ABW19" s="12">
        <f>INT((ABU19-1+LaunchMonth-1)/12)+1</f>
        <v/>
      </c>
      <c r="ABX19" s="12">
        <f>VLOOKUP(ABV19,SeasonTable,2,FALSE)</f>
        <v/>
      </c>
      <c r="ABY19" s="12">
        <f>(1+InflationRate)^INT((ABU19-1)/12)</f>
        <v/>
      </c>
      <c r="ABZ19" s="11">
        <f>MonthlyChurn*VLOOKUP(ABV19,ChurnSeasonTable,4,FALSE)</f>
        <v/>
      </c>
      <c r="ACA19" s="12">
        <f>MIN(MAX(MktMin13_18,ACU18*MktPct13_18),MAX(0,ADI18-CashBuffer))</f>
        <v/>
      </c>
      <c r="ACB19" s="12">
        <f>IF(ACA19&gt;0,MAX(1,ROUND(ACA19/CAC*ABX19,0)),0)</f>
        <v/>
      </c>
      <c r="ACC19" s="12">
        <f>IF(ACB19&gt;0,ROUND(ACB19*ReferralMix/(1-ReferralMix),0),0)</f>
        <v/>
      </c>
      <c r="ACD19" s="12">
        <f>ACB19+ACC19</f>
        <v/>
      </c>
      <c r="ACE19" s="12">
        <f>ROUND(ACD19*(1-'Sens - Annual Mix'!$A$14),0)</f>
        <v/>
      </c>
      <c r="ACF19" s="12">
        <f>ACD19-ACE19</f>
        <v/>
      </c>
      <c r="ACG19" s="12">
        <f>ROUND(ACE19*EssentialMix,0)</f>
        <v/>
      </c>
      <c r="ACH19" s="12">
        <f>ACE19-ACG19</f>
        <v/>
      </c>
      <c r="ACI19" s="12">
        <f>ROUND(ACF19*EssentialMix,0)</f>
        <v/>
      </c>
      <c r="ACJ19" s="12">
        <f>ACF19-ACI19</f>
        <v/>
      </c>
      <c r="ACK19" s="12">
        <f>ACG19+ACG18+ACG17+MAX(0,ACK18-ACG18-ACG17)*(1-ABZ19)</f>
        <v/>
      </c>
      <c r="ACL19" s="12">
        <f>ACH19+ACH18+ACH17+MAX(0,ACL18-ACH18-ACH17)*(1-ABZ19)</f>
        <v/>
      </c>
      <c r="ACM19" s="12">
        <f>ACM18+ACI19-ACI7*(AnnualChurn*VLOOKUP(ABV19,ChurnSeasonTable,4,FALSE))*POWER(1-(AnnualChurn*VLOOKUP(ABV19,ChurnSeasonTable,4,FALSE)),0)</f>
        <v/>
      </c>
      <c r="ACN19" s="12">
        <f>ACN18+ACJ19-ACJ7*(AnnualChurn*VLOOKUP(ABV19,ChurnSeasonTable,4,FALSE))*POWER(1-(AnnualChurn*VLOOKUP(ABV19,ChurnSeasonTable,4,FALSE)),0)</f>
        <v/>
      </c>
      <c r="ACO19" s="12">
        <f>ACK19+ACL19+ACM19+ACN19</f>
        <v/>
      </c>
      <c r="ACP19" s="9">
        <f>ACK19*PriceEssMonthly*ABY19+ACL19*PricePremMonthly*ABY19+ACM19*PriceEssAnnual*ABY19/12+ACN19*PricePremAnnual*ABY19/12</f>
        <v/>
      </c>
      <c r="ACQ19" s="9">
        <f>ACP19*12</f>
        <v/>
      </c>
      <c r="ACR19" s="12">
        <f>ACK19*PriceEssMonthly*ABY19+ACL19*PricePremMonthly*ABY19</f>
        <v/>
      </c>
      <c r="ACS19" s="12">
        <f>ACI19*PriceEssAnnual*ABY19+ACJ19*PricePremAnnual*ABY19</f>
        <v/>
      </c>
      <c r="ACT19" s="12">
        <f>ACI7*POWER(1-(AnnualChurn*VLOOKUP(ABV19,ChurnSeasonTable,4,FALSE)),1)*PriceEssAnnual*ABY19+ACJ7*POWER(1-(AnnualChurn*VLOOKUP(ABV19,ChurnSeasonTable,4,FALSE)),1)*PricePremAnnual*ABY19</f>
        <v/>
      </c>
      <c r="ACU19" s="9">
        <f>ACR19+ACS19+ACT19</f>
        <v/>
      </c>
      <c r="ACV19" s="12">
        <f>SUM(ACU8:ACU19)</f>
        <v/>
      </c>
      <c r="ACW19" s="12">
        <f>OR(ACW18,ACV19&gt;=VATThreshold)</f>
        <v/>
      </c>
      <c r="ACX19" s="9">
        <f>IF(ACW19,ACU19/(1+VATRate),ACU19)</f>
        <v/>
      </c>
      <c r="ACY19" s="12">
        <f>ACU19-ACX19</f>
        <v/>
      </c>
      <c r="ACZ19" s="12">
        <f>IF(ACW19=0,0,IF(ABV19=1,SUMPRODUCT(--(($ABW$5:$ABW19=$ABW19-1)*($ABV$5:$ABV19&gt;=10)*($ABV$5:$ABV19&lt;=12)),$ACY$5:$ACY19),IF(ABV19=4,SUMPRODUCT(--(($ABW$5:$ABW19=$ABW19)*($ABV$5:$ABV19&gt;=1)*($ABV$5:$ABV19&lt;=3)),$ACY$5:$ACY19),IF(ABV19=7,SUMPRODUCT(--(($ABW$5:$ABW19=$ABW19)*($ABV$5:$ABV19&gt;=4)*($ABV$5:$ABV19&lt;=6)),$ACY$5:$ACY19),IF(ABV19=10,SUMPRODUCT(--(($ABW$5:$ABW19=$ABW19)*($ABV$5:$ABV19&gt;=7)*($ABV$5:$ABV19&lt;=9)),$ACY$5:$ACY19),0)))))</f>
        <v/>
      </c>
      <c r="ADA19" s="12">
        <f>ADA18+ACY19-ACZ19</f>
        <v/>
      </c>
      <c r="ADB19" s="12">
        <f>IF(ProviderDelay&gt;=1,ACX18*ProviderShare,ACX19*ProviderShare)</f>
        <v/>
      </c>
      <c r="ADC19" s="12">
        <f>ACU19*PaymentFee</f>
        <v/>
      </c>
      <c r="ADD19" s="12">
        <f>ACO19*OpsAI</f>
        <v/>
      </c>
      <c r="ADE19" s="12">
        <f>MonthlyFixed</f>
        <v/>
      </c>
      <c r="ADF19" s="12">
        <f>ACC19*ReferralReward</f>
        <v/>
      </c>
      <c r="ADG19" s="12">
        <f>ACA19</f>
        <v/>
      </c>
      <c r="ADH19" s="9">
        <f>ACX19-ADB19-ADC19-ADD19-ADE19-ADF19-ADG19</f>
        <v/>
      </c>
      <c r="ADI19" s="9">
        <f>ADI18+ACU19-(ADB19+ADC19+ADD19+ADE19+ADF19+ADG19+ACZ19)</f>
        <v/>
      </c>
      <c r="ADJ19" s="12">
        <f>IF(ACO19&gt;0,ACP19/ACO19,0)</f>
        <v/>
      </c>
      <c r="ADK19" s="11">
        <f>IF(ACO18&gt;0,MAX(0,(ACO18+ACD19-ACO19)/ACO18),0)</f>
        <v/>
      </c>
      <c r="ADM19" s="12" t="n">
        <v>15</v>
      </c>
      <c r="ADN19" s="12">
        <f>MOD(ADM19-1+LaunchMonth-1,12)+1</f>
        <v/>
      </c>
      <c r="ADO19" s="12">
        <f>INT((ADM19-1+LaunchMonth-1)/12)+1</f>
        <v/>
      </c>
      <c r="ADP19" s="12">
        <f>VLOOKUP(ADN19,SeasonTable,2,FALSE)</f>
        <v/>
      </c>
      <c r="ADQ19" s="12">
        <f>(1+InflationRate)^INT((ADM19-1)/12)</f>
        <v/>
      </c>
      <c r="ADR19" s="11">
        <f>MonthlyChurn*VLOOKUP(ADN19,ChurnSeasonTable,4,FALSE)</f>
        <v/>
      </c>
      <c r="ADS19" s="12">
        <f>MIN(MAX(MktMin13_18,AEM18*MktPct13_18),MAX(0,AFA18-CashBuffer))</f>
        <v/>
      </c>
      <c r="ADT19" s="12">
        <f>IF(ADS19&gt;0,MAX(1,ROUND(ADS19/CAC*ADP19,0)),0)</f>
        <v/>
      </c>
      <c r="ADU19" s="12">
        <f>IF(ADT19&gt;0,ROUND(ADT19*ReferralMix/(1-ReferralMix),0),0)</f>
        <v/>
      </c>
      <c r="ADV19" s="12">
        <f>ADT19+ADU19</f>
        <v/>
      </c>
      <c r="ADW19" s="12">
        <f>ROUND(ADV19*(1-'Sens - Annual Mix'!$A$15),0)</f>
        <v/>
      </c>
      <c r="ADX19" s="12">
        <f>ADV19-ADW19</f>
        <v/>
      </c>
      <c r="ADY19" s="12">
        <f>ROUND(ADW19*EssentialMix,0)</f>
        <v/>
      </c>
      <c r="ADZ19" s="12">
        <f>ADW19-ADY19</f>
        <v/>
      </c>
      <c r="AEA19" s="12">
        <f>ROUND(ADX19*EssentialMix,0)</f>
        <v/>
      </c>
      <c r="AEB19" s="12">
        <f>ADX19-AEA19</f>
        <v/>
      </c>
      <c r="AEC19" s="12">
        <f>ADY19+ADY18+ADY17+MAX(0,AEC18-ADY18-ADY17)*(1-ADR19)</f>
        <v/>
      </c>
      <c r="AED19" s="12">
        <f>ADZ19+ADZ18+ADZ17+MAX(0,AED18-ADZ18-ADZ17)*(1-ADR19)</f>
        <v/>
      </c>
      <c r="AEE19" s="12">
        <f>AEE18+AEA19-AEA7*(AnnualChurn*VLOOKUP(ADN19,ChurnSeasonTable,4,FALSE))*POWER(1-(AnnualChurn*VLOOKUP(ADN19,ChurnSeasonTable,4,FALSE)),0)</f>
        <v/>
      </c>
      <c r="AEF19" s="12">
        <f>AEF18+AEB19-AEB7*(AnnualChurn*VLOOKUP(ADN19,ChurnSeasonTable,4,FALSE))*POWER(1-(AnnualChurn*VLOOKUP(ADN19,ChurnSeasonTable,4,FALSE)),0)</f>
        <v/>
      </c>
      <c r="AEG19" s="12">
        <f>AEC19+AED19+AEE19+AEF19</f>
        <v/>
      </c>
      <c r="AEH19" s="9">
        <f>AEC19*PriceEssMonthly*ADQ19+AED19*PricePremMonthly*ADQ19+AEE19*PriceEssAnnual*ADQ19/12+AEF19*PricePremAnnual*ADQ19/12</f>
        <v/>
      </c>
      <c r="AEI19" s="9">
        <f>AEH19*12</f>
        <v/>
      </c>
      <c r="AEJ19" s="12">
        <f>AEC19*PriceEssMonthly*ADQ19+AED19*PricePremMonthly*ADQ19</f>
        <v/>
      </c>
      <c r="AEK19" s="12">
        <f>AEA19*PriceEssAnnual*ADQ19+AEB19*PricePremAnnual*ADQ19</f>
        <v/>
      </c>
      <c r="AEL19" s="12">
        <f>AEA7*POWER(1-(AnnualChurn*VLOOKUP(ADN19,ChurnSeasonTable,4,FALSE)),1)*PriceEssAnnual*ADQ19+AEB7*POWER(1-(AnnualChurn*VLOOKUP(ADN19,ChurnSeasonTable,4,FALSE)),1)*PricePremAnnual*ADQ19</f>
        <v/>
      </c>
      <c r="AEM19" s="9">
        <f>AEJ19+AEK19+AEL19</f>
        <v/>
      </c>
      <c r="AEN19" s="12">
        <f>SUM(AEM8:AEM19)</f>
        <v/>
      </c>
      <c r="AEO19" s="12">
        <f>OR(AEO18,AEN19&gt;=VATThreshold)</f>
        <v/>
      </c>
      <c r="AEP19" s="9">
        <f>IF(AEO19,AEM19/(1+VATRate),AEM19)</f>
        <v/>
      </c>
      <c r="AEQ19" s="12">
        <f>AEM19-AEP19</f>
        <v/>
      </c>
      <c r="AER19" s="12">
        <f>IF(AEO19=0,0,IF(ADN19=1,SUMPRODUCT(--(($ADO$5:$ADO19=$ADO19-1)*($ADN$5:$ADN19&gt;=10)*($ADN$5:$ADN19&lt;=12)),$AEQ$5:$AEQ19),IF(ADN19=4,SUMPRODUCT(--(($ADO$5:$ADO19=$ADO19)*($ADN$5:$ADN19&gt;=1)*($ADN$5:$ADN19&lt;=3)),$AEQ$5:$AEQ19),IF(ADN19=7,SUMPRODUCT(--(($ADO$5:$ADO19=$ADO19)*($ADN$5:$ADN19&gt;=4)*($ADN$5:$ADN19&lt;=6)),$AEQ$5:$AEQ19),IF(ADN19=10,SUMPRODUCT(--(($ADO$5:$ADO19=$ADO19)*($ADN$5:$ADN19&gt;=7)*($ADN$5:$ADN19&lt;=9)),$AEQ$5:$AEQ19),0)))))</f>
        <v/>
      </c>
      <c r="AES19" s="12">
        <f>AES18+AEQ19-AER19</f>
        <v/>
      </c>
      <c r="AET19" s="12">
        <f>IF(ProviderDelay&gt;=1,AEP18*ProviderShare,AEP19*ProviderShare)</f>
        <v/>
      </c>
      <c r="AEU19" s="12">
        <f>AEM19*PaymentFee</f>
        <v/>
      </c>
      <c r="AEV19" s="12">
        <f>AEG19*OpsAI</f>
        <v/>
      </c>
      <c r="AEW19" s="12">
        <f>MonthlyFixed</f>
        <v/>
      </c>
      <c r="AEX19" s="12">
        <f>ADU19*ReferralReward</f>
        <v/>
      </c>
      <c r="AEY19" s="12">
        <f>ADS19</f>
        <v/>
      </c>
      <c r="AEZ19" s="9">
        <f>AEP19-AET19-AEU19-AEV19-AEW19-AEX19-AEY19</f>
        <v/>
      </c>
      <c r="AFA19" s="9">
        <f>AFA18+AEM19-(AET19+AEU19+AEV19+AEW19+AEX19+AEY19+AER19)</f>
        <v/>
      </c>
      <c r="AFB19" s="12">
        <f>IF(AEG19&gt;0,AEH19/AEG19,0)</f>
        <v/>
      </c>
      <c r="AFC19" s="11">
        <f>IF(AEG18&gt;0,MAX(0,(AEG18+ADV19-AEG19)/AEG18),0)</f>
        <v/>
      </c>
      <c r="AFE19" s="12" t="n">
        <v>15</v>
      </c>
      <c r="AFF19" s="12">
        <f>MOD(AFE19-1+LaunchMonth-1,12)+1</f>
        <v/>
      </c>
      <c r="AFG19" s="12">
        <f>INT((AFE19-1+LaunchMonth-1)/12)+1</f>
        <v/>
      </c>
      <c r="AFH19" s="12">
        <f>VLOOKUP(AFF19,SeasonTable,2,FALSE)</f>
        <v/>
      </c>
      <c r="AFI19" s="12">
        <f>(1+InflationRate)^INT((AFE19-1)/12)</f>
        <v/>
      </c>
      <c r="AFJ19" s="11">
        <f>MonthlyChurn*VLOOKUP(AFF19,ChurnSeasonTable,4,FALSE)</f>
        <v/>
      </c>
      <c r="AFK19" s="12">
        <f>MIN(MAX(MktMin13_18,AGE18*MktPct13_18),MAX(0,AGS18-CashBuffer))</f>
        <v/>
      </c>
      <c r="AFL19" s="12">
        <f>IF(AFK19&gt;0,MAX(1,ROUND(AFK19/'Sens - CAC &amp; Marketing'!$A$9*AFH19,0)),0)</f>
        <v/>
      </c>
      <c r="AFM19" s="12">
        <f>IF(AFL19&gt;0,ROUND(AFL19*ReferralMix/(1-ReferralMix),0),0)</f>
        <v/>
      </c>
      <c r="AFN19" s="12">
        <f>AFL19+AFM19</f>
        <v/>
      </c>
      <c r="AFO19" s="12">
        <f>ROUND(AFN19*(1-AnnualMix),0)</f>
        <v/>
      </c>
      <c r="AFP19" s="12">
        <f>AFN19-AFO19</f>
        <v/>
      </c>
      <c r="AFQ19" s="12">
        <f>ROUND(AFO19*EssentialMix,0)</f>
        <v/>
      </c>
      <c r="AFR19" s="12">
        <f>AFO19-AFQ19</f>
        <v/>
      </c>
      <c r="AFS19" s="12">
        <f>ROUND(AFP19*EssentialMix,0)</f>
        <v/>
      </c>
      <c r="AFT19" s="12">
        <f>AFP19-AFS19</f>
        <v/>
      </c>
      <c r="AFU19" s="12">
        <f>AFQ19+AFQ18+AFQ17+MAX(0,AFU18-AFQ18-AFQ17)*(1-AFJ19)</f>
        <v/>
      </c>
      <c r="AFV19" s="12">
        <f>AFR19+AFR18+AFR17+MAX(0,AFV18-AFR18-AFR17)*(1-AFJ19)</f>
        <v/>
      </c>
      <c r="AFW19" s="12">
        <f>AFW18+AFS19-AFS7*(AnnualChurn*VLOOKUP(AFF19,ChurnSeasonTable,4,FALSE))*POWER(1-(AnnualChurn*VLOOKUP(AFF19,ChurnSeasonTable,4,FALSE)),0)</f>
        <v/>
      </c>
      <c r="AFX19" s="12">
        <f>AFX18+AFT19-AFT7*(AnnualChurn*VLOOKUP(AFF19,ChurnSeasonTable,4,FALSE))*POWER(1-(AnnualChurn*VLOOKUP(AFF19,ChurnSeasonTable,4,FALSE)),0)</f>
        <v/>
      </c>
      <c r="AFY19" s="12">
        <f>AFU19+AFV19+AFW19+AFX19</f>
        <v/>
      </c>
      <c r="AFZ19" s="9">
        <f>AFU19*PriceEssMonthly*AFI19+AFV19*PricePremMonthly*AFI19+AFW19*PriceEssAnnual*AFI19/12+AFX19*PricePremAnnual*AFI19/12</f>
        <v/>
      </c>
      <c r="AGA19" s="9">
        <f>AFZ19*12</f>
        <v/>
      </c>
      <c r="AGB19" s="12">
        <f>AFU19*PriceEssMonthly*AFI19+AFV19*PricePremMonthly*AFI19</f>
        <v/>
      </c>
      <c r="AGC19" s="12">
        <f>AFS19*PriceEssAnnual*AFI19+AFT19*PricePremAnnual*AFI19</f>
        <v/>
      </c>
      <c r="AGD19" s="12">
        <f>AFS7*POWER(1-(AnnualChurn*VLOOKUP(AFF19,ChurnSeasonTable,4,FALSE)),1)*PriceEssAnnual*AFI19+AFT7*POWER(1-(AnnualChurn*VLOOKUP(AFF19,ChurnSeasonTable,4,FALSE)),1)*PricePremAnnual*AFI19</f>
        <v/>
      </c>
      <c r="AGE19" s="9">
        <f>AGB19+AGC19+AGD19</f>
        <v/>
      </c>
      <c r="AGF19" s="12">
        <f>SUM(AGE8:AGE19)</f>
        <v/>
      </c>
      <c r="AGG19" s="12">
        <f>OR(AGG18,AGF19&gt;=VATThreshold)</f>
        <v/>
      </c>
      <c r="AGH19" s="9">
        <f>IF(AGG19,AGE19/(1+VATRate),AGE19)</f>
        <v/>
      </c>
      <c r="AGI19" s="12">
        <f>AGE19-AGH19</f>
        <v/>
      </c>
      <c r="AGJ19" s="12">
        <f>IF(AGG19=0,0,IF(AFF19=1,SUMPRODUCT(--(($AFG$5:$AFG19=$AFG19-1)*($AFF$5:$AFF19&gt;=10)*($AFF$5:$AFF19&lt;=12)),$AGI$5:$AGI19),IF(AFF19=4,SUMPRODUCT(--(($AFG$5:$AFG19=$AFG19)*($AFF$5:$AFF19&gt;=1)*($AFF$5:$AFF19&lt;=3)),$AGI$5:$AGI19),IF(AFF19=7,SUMPRODUCT(--(($AFG$5:$AFG19=$AFG19)*($AFF$5:$AFF19&gt;=4)*($AFF$5:$AFF19&lt;=6)),$AGI$5:$AGI19),IF(AFF19=10,SUMPRODUCT(--(($AFG$5:$AFG19=$AFG19)*($AFF$5:$AFF19&gt;=7)*($AFF$5:$AFF19&lt;=9)),$AGI$5:$AGI19),0)))))</f>
        <v/>
      </c>
      <c r="AGK19" s="12">
        <f>AGK18+AGI19-AGJ19</f>
        <v/>
      </c>
      <c r="AGL19" s="12">
        <f>IF(ProviderDelay&gt;=1,AGH18*ProviderShare,AGH19*ProviderShare)</f>
        <v/>
      </c>
      <c r="AGM19" s="12">
        <f>AGE19*PaymentFee</f>
        <v/>
      </c>
      <c r="AGN19" s="12">
        <f>AFY19*OpsAI</f>
        <v/>
      </c>
      <c r="AGO19" s="12">
        <f>MonthlyFixed</f>
        <v/>
      </c>
      <c r="AGP19" s="12">
        <f>AFM19*ReferralReward</f>
        <v/>
      </c>
      <c r="AGQ19" s="12">
        <f>AFK19</f>
        <v/>
      </c>
      <c r="AGR19" s="9">
        <f>AGH19-AGL19-AGM19-AGN19-AGO19-AGP19-AGQ19</f>
        <v/>
      </c>
      <c r="AGS19" s="9">
        <f>AGS18+AGE19-(AGL19+AGM19+AGN19+AGO19+AGP19+AGQ19+AGJ19)</f>
        <v/>
      </c>
      <c r="AGT19" s="12">
        <f>IF(AFY19&gt;0,AFZ19/AFY19,0)</f>
        <v/>
      </c>
      <c r="AGU19" s="11">
        <f>IF(AFY18&gt;0,MAX(0,(AFY18+AFN19-AFY19)/AFY18),0)</f>
        <v/>
      </c>
      <c r="AGW19" s="12" t="n">
        <v>15</v>
      </c>
      <c r="AGX19" s="12">
        <f>MOD(AGW19-1+LaunchMonth-1,12)+1</f>
        <v/>
      </c>
      <c r="AGY19" s="12">
        <f>INT((AGW19-1+LaunchMonth-1)/12)+1</f>
        <v/>
      </c>
      <c r="AGZ19" s="12">
        <f>VLOOKUP(AGX19,SeasonTable,2,FALSE)</f>
        <v/>
      </c>
      <c r="AHA19" s="12">
        <f>(1+InflationRate)^INT((AGW19-1)/12)</f>
        <v/>
      </c>
      <c r="AHB19" s="11">
        <f>MonthlyChurn*VLOOKUP(AGX19,ChurnSeasonTable,4,FALSE)</f>
        <v/>
      </c>
      <c r="AHC19" s="12">
        <f>MIN(MAX(MktMin13_18,AHW18*MktPct13_18),MAX(0,AIK18-CashBuffer))</f>
        <v/>
      </c>
      <c r="AHD19" s="12">
        <f>IF(AHC19&gt;0,MAX(1,ROUND(AHC19/'Sens - CAC &amp; Marketing'!$A$10*AGZ19,0)),0)</f>
        <v/>
      </c>
      <c r="AHE19" s="12">
        <f>IF(AHD19&gt;0,ROUND(AHD19*ReferralMix/(1-ReferralMix),0),0)</f>
        <v/>
      </c>
      <c r="AHF19" s="12">
        <f>AHD19+AHE19</f>
        <v/>
      </c>
      <c r="AHG19" s="12">
        <f>ROUND(AHF19*(1-AnnualMix),0)</f>
        <v/>
      </c>
      <c r="AHH19" s="12">
        <f>AHF19-AHG19</f>
        <v/>
      </c>
      <c r="AHI19" s="12">
        <f>ROUND(AHG19*EssentialMix,0)</f>
        <v/>
      </c>
      <c r="AHJ19" s="12">
        <f>AHG19-AHI19</f>
        <v/>
      </c>
      <c r="AHK19" s="12">
        <f>ROUND(AHH19*EssentialMix,0)</f>
        <v/>
      </c>
      <c r="AHL19" s="12">
        <f>AHH19-AHK19</f>
        <v/>
      </c>
      <c r="AHM19" s="12">
        <f>AHI19+AHI18+AHI17+MAX(0,AHM18-AHI18-AHI17)*(1-AHB19)</f>
        <v/>
      </c>
      <c r="AHN19" s="12">
        <f>AHJ19+AHJ18+AHJ17+MAX(0,AHN18-AHJ18-AHJ17)*(1-AHB19)</f>
        <v/>
      </c>
      <c r="AHO19" s="12">
        <f>AHO18+AHK19-AHK7*(AnnualChurn*VLOOKUP(AGX19,ChurnSeasonTable,4,FALSE))*POWER(1-(AnnualChurn*VLOOKUP(AGX19,ChurnSeasonTable,4,FALSE)),0)</f>
        <v/>
      </c>
      <c r="AHP19" s="12">
        <f>AHP18+AHL19-AHL7*(AnnualChurn*VLOOKUP(AGX19,ChurnSeasonTable,4,FALSE))*POWER(1-(AnnualChurn*VLOOKUP(AGX19,ChurnSeasonTable,4,FALSE)),0)</f>
        <v/>
      </c>
      <c r="AHQ19" s="12">
        <f>AHM19+AHN19+AHO19+AHP19</f>
        <v/>
      </c>
      <c r="AHR19" s="9">
        <f>AHM19*PriceEssMonthly*AHA19+AHN19*PricePremMonthly*AHA19+AHO19*PriceEssAnnual*AHA19/12+AHP19*PricePremAnnual*AHA19/12</f>
        <v/>
      </c>
      <c r="AHS19" s="9">
        <f>AHR19*12</f>
        <v/>
      </c>
      <c r="AHT19" s="12">
        <f>AHM19*PriceEssMonthly*AHA19+AHN19*PricePremMonthly*AHA19</f>
        <v/>
      </c>
      <c r="AHU19" s="12">
        <f>AHK19*PriceEssAnnual*AHA19+AHL19*PricePremAnnual*AHA19</f>
        <v/>
      </c>
      <c r="AHV19" s="12">
        <f>AHK7*POWER(1-(AnnualChurn*VLOOKUP(AGX19,ChurnSeasonTable,4,FALSE)),1)*PriceEssAnnual*AHA19+AHL7*POWER(1-(AnnualChurn*VLOOKUP(AGX19,ChurnSeasonTable,4,FALSE)),1)*PricePremAnnual*AHA19</f>
        <v/>
      </c>
      <c r="AHW19" s="9">
        <f>AHT19+AHU19+AHV19</f>
        <v/>
      </c>
      <c r="AHX19" s="12">
        <f>SUM(AHW8:AHW19)</f>
        <v/>
      </c>
      <c r="AHY19" s="12">
        <f>OR(AHY18,AHX19&gt;=VATThreshold)</f>
        <v/>
      </c>
      <c r="AHZ19" s="9">
        <f>IF(AHY19,AHW19/(1+VATRate),AHW19)</f>
        <v/>
      </c>
      <c r="AIA19" s="12">
        <f>AHW19-AHZ19</f>
        <v/>
      </c>
      <c r="AIB19" s="12">
        <f>IF(AHY19=0,0,IF(AGX19=1,SUMPRODUCT(--(($AGY$5:$AGY19=$AGY19-1)*($AGX$5:$AGX19&gt;=10)*($AGX$5:$AGX19&lt;=12)),$AIA$5:$AIA19),IF(AGX19=4,SUMPRODUCT(--(($AGY$5:$AGY19=$AGY19)*($AGX$5:$AGX19&gt;=1)*($AGX$5:$AGX19&lt;=3)),$AIA$5:$AIA19),IF(AGX19=7,SUMPRODUCT(--(($AGY$5:$AGY19=$AGY19)*($AGX$5:$AGX19&gt;=4)*($AGX$5:$AGX19&lt;=6)),$AIA$5:$AIA19),IF(AGX19=10,SUMPRODUCT(--(($AGY$5:$AGY19=$AGY19)*($AGX$5:$AGX19&gt;=7)*($AGX$5:$AGX19&lt;=9)),$AIA$5:$AIA19),0)))))</f>
        <v/>
      </c>
      <c r="AIC19" s="12">
        <f>AIC18+AIA19-AIB19</f>
        <v/>
      </c>
      <c r="AID19" s="12">
        <f>IF(ProviderDelay&gt;=1,AHZ18*ProviderShare,AHZ19*ProviderShare)</f>
        <v/>
      </c>
      <c r="AIE19" s="12">
        <f>AHW19*PaymentFee</f>
        <v/>
      </c>
      <c r="AIF19" s="12">
        <f>AHQ19*OpsAI</f>
        <v/>
      </c>
      <c r="AIG19" s="12">
        <f>MonthlyFixed</f>
        <v/>
      </c>
      <c r="AIH19" s="12">
        <f>AHE19*ReferralReward</f>
        <v/>
      </c>
      <c r="AII19" s="12">
        <f>AHC19</f>
        <v/>
      </c>
      <c r="AIJ19" s="9">
        <f>AHZ19-AID19-AIE19-AIF19-AIG19-AIH19-AII19</f>
        <v/>
      </c>
      <c r="AIK19" s="9">
        <f>AIK18+AHW19-(AID19+AIE19+AIF19+AIG19+AIH19+AII19+AIB19)</f>
        <v/>
      </c>
      <c r="AIL19" s="12">
        <f>IF(AHQ19&gt;0,AHR19/AHQ19,0)</f>
        <v/>
      </c>
      <c r="AIM19" s="11">
        <f>IF(AHQ18&gt;0,MAX(0,(AHQ18+AHF19-AHQ19)/AHQ18),0)</f>
        <v/>
      </c>
      <c r="AIO19" s="12" t="n">
        <v>15</v>
      </c>
      <c r="AIP19" s="12">
        <f>MOD(AIO19-1+LaunchMonth-1,12)+1</f>
        <v/>
      </c>
      <c r="AIQ19" s="12">
        <f>INT((AIO19-1+LaunchMonth-1)/12)+1</f>
        <v/>
      </c>
      <c r="AIR19" s="12">
        <f>VLOOKUP(AIP19,SeasonTable,2,FALSE)</f>
        <v/>
      </c>
      <c r="AIS19" s="12">
        <f>(1+InflationRate)^INT((AIO19-1)/12)</f>
        <v/>
      </c>
      <c r="AIT19" s="11">
        <f>MonthlyChurn*VLOOKUP(AIP19,ChurnSeasonTable,4,FALSE)</f>
        <v/>
      </c>
      <c r="AIU19" s="12">
        <f>MIN(MAX(MktMin13_18,AJO18*MktPct13_18),MAX(0,AKC18-CashBuffer))</f>
        <v/>
      </c>
      <c r="AIV19" s="12">
        <f>IF(AIU19&gt;0,MAX(1,ROUND(AIU19/'Sens - CAC &amp; Marketing'!$A$11*AIR19,0)),0)</f>
        <v/>
      </c>
      <c r="AIW19" s="12">
        <f>IF(AIV19&gt;0,ROUND(AIV19*ReferralMix/(1-ReferralMix),0),0)</f>
        <v/>
      </c>
      <c r="AIX19" s="12">
        <f>AIV19+AIW19</f>
        <v/>
      </c>
      <c r="AIY19" s="12">
        <f>ROUND(AIX19*(1-AnnualMix),0)</f>
        <v/>
      </c>
      <c r="AIZ19" s="12">
        <f>AIX19-AIY19</f>
        <v/>
      </c>
      <c r="AJA19" s="12">
        <f>ROUND(AIY19*EssentialMix,0)</f>
        <v/>
      </c>
      <c r="AJB19" s="12">
        <f>AIY19-AJA19</f>
        <v/>
      </c>
      <c r="AJC19" s="12">
        <f>ROUND(AIZ19*EssentialMix,0)</f>
        <v/>
      </c>
      <c r="AJD19" s="12">
        <f>AIZ19-AJC19</f>
        <v/>
      </c>
      <c r="AJE19" s="12">
        <f>AJA19+AJA18+AJA17+MAX(0,AJE18-AJA18-AJA17)*(1-AIT19)</f>
        <v/>
      </c>
      <c r="AJF19" s="12">
        <f>AJB19+AJB18+AJB17+MAX(0,AJF18-AJB18-AJB17)*(1-AIT19)</f>
        <v/>
      </c>
      <c r="AJG19" s="12">
        <f>AJG18+AJC19-AJC7*(AnnualChurn*VLOOKUP(AIP19,ChurnSeasonTable,4,FALSE))*POWER(1-(AnnualChurn*VLOOKUP(AIP19,ChurnSeasonTable,4,FALSE)),0)</f>
        <v/>
      </c>
      <c r="AJH19" s="12">
        <f>AJH18+AJD19-AJD7*(AnnualChurn*VLOOKUP(AIP19,ChurnSeasonTable,4,FALSE))*POWER(1-(AnnualChurn*VLOOKUP(AIP19,ChurnSeasonTable,4,FALSE)),0)</f>
        <v/>
      </c>
      <c r="AJI19" s="12">
        <f>AJE19+AJF19+AJG19+AJH19</f>
        <v/>
      </c>
      <c r="AJJ19" s="9">
        <f>AJE19*PriceEssMonthly*AIS19+AJF19*PricePremMonthly*AIS19+AJG19*PriceEssAnnual*AIS19/12+AJH19*PricePremAnnual*AIS19/12</f>
        <v/>
      </c>
      <c r="AJK19" s="9">
        <f>AJJ19*12</f>
        <v/>
      </c>
      <c r="AJL19" s="12">
        <f>AJE19*PriceEssMonthly*AIS19+AJF19*PricePremMonthly*AIS19</f>
        <v/>
      </c>
      <c r="AJM19" s="12">
        <f>AJC19*PriceEssAnnual*AIS19+AJD19*PricePremAnnual*AIS19</f>
        <v/>
      </c>
      <c r="AJN19" s="12">
        <f>AJC7*POWER(1-(AnnualChurn*VLOOKUP(AIP19,ChurnSeasonTable,4,FALSE)),1)*PriceEssAnnual*AIS19+AJD7*POWER(1-(AnnualChurn*VLOOKUP(AIP19,ChurnSeasonTable,4,FALSE)),1)*PricePremAnnual*AIS19</f>
        <v/>
      </c>
      <c r="AJO19" s="9">
        <f>AJL19+AJM19+AJN19</f>
        <v/>
      </c>
      <c r="AJP19" s="12">
        <f>SUM(AJO8:AJO19)</f>
        <v/>
      </c>
      <c r="AJQ19" s="12">
        <f>OR(AJQ18,AJP19&gt;=VATThreshold)</f>
        <v/>
      </c>
      <c r="AJR19" s="9">
        <f>IF(AJQ19,AJO19/(1+VATRate),AJO19)</f>
        <v/>
      </c>
      <c r="AJS19" s="12">
        <f>AJO19-AJR19</f>
        <v/>
      </c>
      <c r="AJT19" s="12">
        <f>IF(AJQ19=0,0,IF(AIP19=1,SUMPRODUCT(--(($AIQ$5:$AIQ19=$AIQ19-1)*($AIP$5:$AIP19&gt;=10)*($AIP$5:$AIP19&lt;=12)),$AJS$5:$AJS19),IF(AIP19=4,SUMPRODUCT(--(($AIQ$5:$AIQ19=$AIQ19)*($AIP$5:$AIP19&gt;=1)*($AIP$5:$AIP19&lt;=3)),$AJS$5:$AJS19),IF(AIP19=7,SUMPRODUCT(--(($AIQ$5:$AIQ19=$AIQ19)*($AIP$5:$AIP19&gt;=4)*($AIP$5:$AIP19&lt;=6)),$AJS$5:$AJS19),IF(AIP19=10,SUMPRODUCT(--(($AIQ$5:$AIQ19=$AIQ19)*($AIP$5:$AIP19&gt;=7)*($AIP$5:$AIP19&lt;=9)),$AJS$5:$AJS19),0)))))</f>
        <v/>
      </c>
      <c r="AJU19" s="12">
        <f>AJU18+AJS19-AJT19</f>
        <v/>
      </c>
      <c r="AJV19" s="12">
        <f>IF(ProviderDelay&gt;=1,AJR18*ProviderShare,AJR19*ProviderShare)</f>
        <v/>
      </c>
      <c r="AJW19" s="12">
        <f>AJO19*PaymentFee</f>
        <v/>
      </c>
      <c r="AJX19" s="12">
        <f>AJI19*OpsAI</f>
        <v/>
      </c>
      <c r="AJY19" s="12">
        <f>MonthlyFixed</f>
        <v/>
      </c>
      <c r="AJZ19" s="12">
        <f>AIW19*ReferralReward</f>
        <v/>
      </c>
      <c r="AKA19" s="12">
        <f>AIU19</f>
        <v/>
      </c>
      <c r="AKB19" s="9">
        <f>AJR19-AJV19-AJW19-AJX19-AJY19-AJZ19-AKA19</f>
        <v/>
      </c>
      <c r="AKC19" s="9">
        <f>AKC18+AJO19-(AJV19+AJW19+AJX19+AJY19+AJZ19+AKA19+AJT19)</f>
        <v/>
      </c>
      <c r="AKD19" s="12">
        <f>IF(AJI19&gt;0,AJJ19/AJI19,0)</f>
        <v/>
      </c>
      <c r="AKE19" s="11">
        <f>IF(AJI18&gt;0,MAX(0,(AJI18+AIX19-AJI19)/AJI18),0)</f>
        <v/>
      </c>
      <c r="AKG19" s="12" t="n">
        <v>15</v>
      </c>
      <c r="AKH19" s="12">
        <f>MOD(AKG19-1+LaunchMonth-1,12)+1</f>
        <v/>
      </c>
      <c r="AKI19" s="12">
        <f>INT((AKG19-1+LaunchMonth-1)/12)+1</f>
        <v/>
      </c>
      <c r="AKJ19" s="12">
        <f>VLOOKUP(AKH19,SeasonTable,2,FALSE)</f>
        <v/>
      </c>
      <c r="AKK19" s="12">
        <f>(1+InflationRate)^INT((AKG19-1)/12)</f>
        <v/>
      </c>
      <c r="AKL19" s="11">
        <f>MonthlyChurn*VLOOKUP(AKH19,ChurnSeasonTable,4,FALSE)</f>
        <v/>
      </c>
      <c r="AKM19" s="12">
        <f>MIN(MAX(MktMin13_18,ALG18*MktPct13_18),MAX(0,ALU18-CashBuffer))</f>
        <v/>
      </c>
      <c r="AKN19" s="12">
        <f>IF(AKM19&gt;0,MAX(1,ROUND(AKM19/'Sens - CAC &amp; Marketing'!$A$12*AKJ19,0)),0)</f>
        <v/>
      </c>
      <c r="AKO19" s="12">
        <f>IF(AKN19&gt;0,ROUND(AKN19*ReferralMix/(1-ReferralMix),0),0)</f>
        <v/>
      </c>
      <c r="AKP19" s="12">
        <f>AKN19+AKO19</f>
        <v/>
      </c>
      <c r="AKQ19" s="12">
        <f>ROUND(AKP19*(1-AnnualMix),0)</f>
        <v/>
      </c>
      <c r="AKR19" s="12">
        <f>AKP19-AKQ19</f>
        <v/>
      </c>
      <c r="AKS19" s="12">
        <f>ROUND(AKQ19*EssentialMix,0)</f>
        <v/>
      </c>
      <c r="AKT19" s="12">
        <f>AKQ19-AKS19</f>
        <v/>
      </c>
      <c r="AKU19" s="12">
        <f>ROUND(AKR19*EssentialMix,0)</f>
        <v/>
      </c>
      <c r="AKV19" s="12">
        <f>AKR19-AKU19</f>
        <v/>
      </c>
      <c r="AKW19" s="12">
        <f>AKS19+AKS18+AKS17+MAX(0,AKW18-AKS18-AKS17)*(1-AKL19)</f>
        <v/>
      </c>
      <c r="AKX19" s="12">
        <f>AKT19+AKT18+AKT17+MAX(0,AKX18-AKT18-AKT17)*(1-AKL19)</f>
        <v/>
      </c>
      <c r="AKY19" s="12">
        <f>AKY18+AKU19-AKU7*(AnnualChurn*VLOOKUP(AKH19,ChurnSeasonTable,4,FALSE))*POWER(1-(AnnualChurn*VLOOKUP(AKH19,ChurnSeasonTable,4,FALSE)),0)</f>
        <v/>
      </c>
      <c r="AKZ19" s="12">
        <f>AKZ18+AKV19-AKV7*(AnnualChurn*VLOOKUP(AKH19,ChurnSeasonTable,4,FALSE))*POWER(1-(AnnualChurn*VLOOKUP(AKH19,ChurnSeasonTable,4,FALSE)),0)</f>
        <v/>
      </c>
      <c r="ALA19" s="12">
        <f>AKW19+AKX19+AKY19+AKZ19</f>
        <v/>
      </c>
      <c r="ALB19" s="9">
        <f>AKW19*PriceEssMonthly*AKK19+AKX19*PricePremMonthly*AKK19+AKY19*PriceEssAnnual*AKK19/12+AKZ19*PricePremAnnual*AKK19/12</f>
        <v/>
      </c>
      <c r="ALC19" s="9">
        <f>ALB19*12</f>
        <v/>
      </c>
      <c r="ALD19" s="12">
        <f>AKW19*PriceEssMonthly*AKK19+AKX19*PricePremMonthly*AKK19</f>
        <v/>
      </c>
      <c r="ALE19" s="12">
        <f>AKU19*PriceEssAnnual*AKK19+AKV19*PricePremAnnual*AKK19</f>
        <v/>
      </c>
      <c r="ALF19" s="12">
        <f>AKU7*POWER(1-(AnnualChurn*VLOOKUP(AKH19,ChurnSeasonTable,4,FALSE)),1)*PriceEssAnnual*AKK19+AKV7*POWER(1-(AnnualChurn*VLOOKUP(AKH19,ChurnSeasonTable,4,FALSE)),1)*PricePremAnnual*AKK19</f>
        <v/>
      </c>
      <c r="ALG19" s="9">
        <f>ALD19+ALE19+ALF19</f>
        <v/>
      </c>
      <c r="ALH19" s="12">
        <f>SUM(ALG8:ALG19)</f>
        <v/>
      </c>
      <c r="ALI19" s="12">
        <f>OR(ALI18,ALH19&gt;=VATThreshold)</f>
        <v/>
      </c>
      <c r="ALJ19" s="9">
        <f>IF(ALI19,ALG19/(1+VATRate),ALG19)</f>
        <v/>
      </c>
      <c r="ALK19" s="12">
        <f>ALG19-ALJ19</f>
        <v/>
      </c>
      <c r="ALL19" s="12">
        <f>IF(ALI19=0,0,IF(AKH19=1,SUMPRODUCT(--(($AKI$5:$AKI19=$AKI19-1)*($AKH$5:$AKH19&gt;=10)*($AKH$5:$AKH19&lt;=12)),$ALK$5:$ALK19),IF(AKH19=4,SUMPRODUCT(--(($AKI$5:$AKI19=$AKI19)*($AKH$5:$AKH19&gt;=1)*($AKH$5:$AKH19&lt;=3)),$ALK$5:$ALK19),IF(AKH19=7,SUMPRODUCT(--(($AKI$5:$AKI19=$AKI19)*($AKH$5:$AKH19&gt;=4)*($AKH$5:$AKH19&lt;=6)),$ALK$5:$ALK19),IF(AKH19=10,SUMPRODUCT(--(($AKI$5:$AKI19=$AKI19)*($AKH$5:$AKH19&gt;=7)*($AKH$5:$AKH19&lt;=9)),$ALK$5:$ALK19),0)))))</f>
        <v/>
      </c>
      <c r="ALM19" s="12">
        <f>ALM18+ALK19-ALL19</f>
        <v/>
      </c>
      <c r="ALN19" s="12">
        <f>IF(ProviderDelay&gt;=1,ALJ18*ProviderShare,ALJ19*ProviderShare)</f>
        <v/>
      </c>
      <c r="ALO19" s="12">
        <f>ALG19*PaymentFee</f>
        <v/>
      </c>
      <c r="ALP19" s="12">
        <f>ALA19*OpsAI</f>
        <v/>
      </c>
      <c r="ALQ19" s="12">
        <f>MonthlyFixed</f>
        <v/>
      </c>
      <c r="ALR19" s="12">
        <f>AKO19*ReferralReward</f>
        <v/>
      </c>
      <c r="ALS19" s="12">
        <f>AKM19</f>
        <v/>
      </c>
      <c r="ALT19" s="9">
        <f>ALJ19-ALN19-ALO19-ALP19-ALQ19-ALR19-ALS19</f>
        <v/>
      </c>
      <c r="ALU19" s="9">
        <f>ALU18+ALG19-(ALN19+ALO19+ALP19+ALQ19+ALR19+ALS19+ALL19)</f>
        <v/>
      </c>
      <c r="ALV19" s="12">
        <f>IF(ALA19&gt;0,ALB19/ALA19,0)</f>
        <v/>
      </c>
      <c r="ALW19" s="11">
        <f>IF(ALA18&gt;0,MAX(0,(ALA18+AKP19-ALA19)/ALA18),0)</f>
        <v/>
      </c>
      <c r="ALY19" s="12" t="n">
        <v>15</v>
      </c>
      <c r="ALZ19" s="12">
        <f>MOD(ALY19-1+LaunchMonth-1,12)+1</f>
        <v/>
      </c>
      <c r="AMA19" s="12">
        <f>INT((ALY19-1+LaunchMonth-1)/12)+1</f>
        <v/>
      </c>
      <c r="AMB19" s="12">
        <f>VLOOKUP(ALZ19,SeasonTable,2,FALSE)</f>
        <v/>
      </c>
      <c r="AMC19" s="12">
        <f>(1+InflationRate)^INT((ALY19-1)/12)</f>
        <v/>
      </c>
      <c r="AMD19" s="11">
        <f>MonthlyChurn*VLOOKUP(ALZ19,ChurnSeasonTable,4,FALSE)</f>
        <v/>
      </c>
      <c r="AME19" s="12">
        <f>MIN(MAX(MktMin13_18,AMY18*MktPct13_18),MAX(0,ANM18-CashBuffer))</f>
        <v/>
      </c>
      <c r="AMF19" s="12">
        <f>IF(AME19&gt;0,MAX(1,ROUND(AME19/'Sens - CAC &amp; Marketing'!$A$13*AMB19,0)),0)</f>
        <v/>
      </c>
      <c r="AMG19" s="12">
        <f>IF(AMF19&gt;0,ROUND(AMF19*ReferralMix/(1-ReferralMix),0),0)</f>
        <v/>
      </c>
      <c r="AMH19" s="12">
        <f>AMF19+AMG19</f>
        <v/>
      </c>
      <c r="AMI19" s="12">
        <f>ROUND(AMH19*(1-AnnualMix),0)</f>
        <v/>
      </c>
      <c r="AMJ19" s="12">
        <f>AMH19-AMI19</f>
        <v/>
      </c>
      <c r="AMK19" s="12">
        <f>ROUND(AMI19*EssentialMix,0)</f>
        <v/>
      </c>
      <c r="AML19" s="12">
        <f>AMI19-AMK19</f>
        <v/>
      </c>
      <c r="AMM19" s="12">
        <f>ROUND(AMJ19*EssentialMix,0)</f>
        <v/>
      </c>
      <c r="AMN19" s="12">
        <f>AMJ19-AMM19</f>
        <v/>
      </c>
      <c r="AMO19" s="12">
        <f>AMK19+AMK18+AMK17+MAX(0,AMO18-AMK18-AMK17)*(1-AMD19)</f>
        <v/>
      </c>
      <c r="AMP19" s="12">
        <f>AML19+AML18+AML17+MAX(0,AMP18-AML18-AML17)*(1-AMD19)</f>
        <v/>
      </c>
      <c r="AMQ19" s="12">
        <f>AMQ18+AMM19-AMM7*(AnnualChurn*VLOOKUP(ALZ19,ChurnSeasonTable,4,FALSE))*POWER(1-(AnnualChurn*VLOOKUP(ALZ19,ChurnSeasonTable,4,FALSE)),0)</f>
        <v/>
      </c>
      <c r="AMR19" s="12">
        <f>AMR18+AMN19-AMN7*(AnnualChurn*VLOOKUP(ALZ19,ChurnSeasonTable,4,FALSE))*POWER(1-(AnnualChurn*VLOOKUP(ALZ19,ChurnSeasonTable,4,FALSE)),0)</f>
        <v/>
      </c>
      <c r="AMS19" s="12">
        <f>AMO19+AMP19+AMQ19+AMR19</f>
        <v/>
      </c>
      <c r="AMT19" s="9">
        <f>AMO19*PriceEssMonthly*AMC19+AMP19*PricePremMonthly*AMC19+AMQ19*PriceEssAnnual*AMC19/12+AMR19*PricePremAnnual*AMC19/12</f>
        <v/>
      </c>
      <c r="AMU19" s="9">
        <f>AMT19*12</f>
        <v/>
      </c>
      <c r="AMV19" s="12">
        <f>AMO19*PriceEssMonthly*AMC19+AMP19*PricePremMonthly*AMC19</f>
        <v/>
      </c>
      <c r="AMW19" s="12">
        <f>AMM19*PriceEssAnnual*AMC19+AMN19*PricePremAnnual*AMC19</f>
        <v/>
      </c>
      <c r="AMX19" s="12">
        <f>AMM7*POWER(1-(AnnualChurn*VLOOKUP(ALZ19,ChurnSeasonTable,4,FALSE)),1)*PriceEssAnnual*AMC19+AMN7*POWER(1-(AnnualChurn*VLOOKUP(ALZ19,ChurnSeasonTable,4,FALSE)),1)*PricePremAnnual*AMC19</f>
        <v/>
      </c>
      <c r="AMY19" s="9">
        <f>AMV19+AMW19+AMX19</f>
        <v/>
      </c>
      <c r="AMZ19" s="12">
        <f>SUM(AMY8:AMY19)</f>
        <v/>
      </c>
      <c r="ANA19" s="12">
        <f>OR(ANA18,AMZ19&gt;=VATThreshold)</f>
        <v/>
      </c>
      <c r="ANB19" s="9">
        <f>IF(ANA19,AMY19/(1+VATRate),AMY19)</f>
        <v/>
      </c>
      <c r="ANC19" s="12">
        <f>AMY19-ANB19</f>
        <v/>
      </c>
      <c r="AND19" s="12">
        <f>IF(ANA19=0,0,IF(ALZ19=1,SUMPRODUCT(--(($AMA$5:$AMA19=$AMA19-1)*($ALZ$5:$ALZ19&gt;=10)*($ALZ$5:$ALZ19&lt;=12)),$ANC$5:$ANC19),IF(ALZ19=4,SUMPRODUCT(--(($AMA$5:$AMA19=$AMA19)*($ALZ$5:$ALZ19&gt;=1)*($ALZ$5:$ALZ19&lt;=3)),$ANC$5:$ANC19),IF(ALZ19=7,SUMPRODUCT(--(($AMA$5:$AMA19=$AMA19)*($ALZ$5:$ALZ19&gt;=4)*($ALZ$5:$ALZ19&lt;=6)),$ANC$5:$ANC19),IF(ALZ19=10,SUMPRODUCT(--(($AMA$5:$AMA19=$AMA19)*($ALZ$5:$ALZ19&gt;=7)*($ALZ$5:$ALZ19&lt;=9)),$ANC$5:$ANC19),0)))))</f>
        <v/>
      </c>
      <c r="ANE19" s="12">
        <f>ANE18+ANC19-AND19</f>
        <v/>
      </c>
      <c r="ANF19" s="12">
        <f>IF(ProviderDelay&gt;=1,ANB18*ProviderShare,ANB19*ProviderShare)</f>
        <v/>
      </c>
      <c r="ANG19" s="12">
        <f>AMY19*PaymentFee</f>
        <v/>
      </c>
      <c r="ANH19" s="12">
        <f>AMS19*OpsAI</f>
        <v/>
      </c>
      <c r="ANI19" s="12">
        <f>MonthlyFixed</f>
        <v/>
      </c>
      <c r="ANJ19" s="12">
        <f>AMG19*ReferralReward</f>
        <v/>
      </c>
      <c r="ANK19" s="12">
        <f>AME19</f>
        <v/>
      </c>
      <c r="ANL19" s="9">
        <f>ANB19-ANF19-ANG19-ANH19-ANI19-ANJ19-ANK19</f>
        <v/>
      </c>
      <c r="ANM19" s="9">
        <f>ANM18+AMY19-(ANF19+ANG19+ANH19+ANI19+ANJ19+ANK19+AND19)</f>
        <v/>
      </c>
      <c r="ANN19" s="12">
        <f>IF(AMS19&gt;0,AMT19/AMS19,0)</f>
        <v/>
      </c>
      <c r="ANO19" s="11">
        <f>IF(AMS18&gt;0,MAX(0,(AMS18+AMH19-AMS19)/AMS18),0)</f>
        <v/>
      </c>
      <c r="ANQ19" s="12" t="n">
        <v>15</v>
      </c>
      <c r="ANR19" s="12">
        <f>MOD(ANQ19-1+LaunchMonth-1,12)+1</f>
        <v/>
      </c>
      <c r="ANS19" s="12">
        <f>INT((ANQ19-1+LaunchMonth-1)/12)+1</f>
        <v/>
      </c>
      <c r="ANT19" s="12">
        <f>VLOOKUP(ANR19,SeasonTable,2,FALSE)</f>
        <v/>
      </c>
      <c r="ANU19" s="12">
        <f>(1+InflationRate)^INT((ANQ19-1)/12)</f>
        <v/>
      </c>
      <c r="ANV19" s="11">
        <f>MonthlyChurn*VLOOKUP(ANR19,ChurnSeasonTable,4,FALSE)</f>
        <v/>
      </c>
      <c r="ANW19" s="12">
        <f>MIN(MAX(MktMin13_18,AOQ18*MktPct13_18),MAX(0,APE18-CashBuffer))</f>
        <v/>
      </c>
      <c r="ANX19" s="12">
        <f>IF(ANW19&gt;0,MAX(1,ROUND(ANW19/'Sens - CAC &amp; Marketing'!$A$14*ANT19,0)),0)</f>
        <v/>
      </c>
      <c r="ANY19" s="12">
        <f>IF(ANX19&gt;0,ROUND(ANX19*ReferralMix/(1-ReferralMix),0),0)</f>
        <v/>
      </c>
      <c r="ANZ19" s="12">
        <f>ANX19+ANY19</f>
        <v/>
      </c>
      <c r="AOA19" s="12">
        <f>ROUND(ANZ19*(1-AnnualMix),0)</f>
        <v/>
      </c>
      <c r="AOB19" s="12">
        <f>ANZ19-AOA19</f>
        <v/>
      </c>
      <c r="AOC19" s="12">
        <f>ROUND(AOA19*EssentialMix,0)</f>
        <v/>
      </c>
      <c r="AOD19" s="12">
        <f>AOA19-AOC19</f>
        <v/>
      </c>
      <c r="AOE19" s="12">
        <f>ROUND(AOB19*EssentialMix,0)</f>
        <v/>
      </c>
      <c r="AOF19" s="12">
        <f>AOB19-AOE19</f>
        <v/>
      </c>
      <c r="AOG19" s="12">
        <f>AOC19+AOC18+AOC17+MAX(0,AOG18-AOC18-AOC17)*(1-ANV19)</f>
        <v/>
      </c>
      <c r="AOH19" s="12">
        <f>AOD19+AOD18+AOD17+MAX(0,AOH18-AOD18-AOD17)*(1-ANV19)</f>
        <v/>
      </c>
      <c r="AOI19" s="12">
        <f>AOI18+AOE19-AOE7*(AnnualChurn*VLOOKUP(ANR19,ChurnSeasonTable,4,FALSE))*POWER(1-(AnnualChurn*VLOOKUP(ANR19,ChurnSeasonTable,4,FALSE)),0)</f>
        <v/>
      </c>
      <c r="AOJ19" s="12">
        <f>AOJ18+AOF19-AOF7*(AnnualChurn*VLOOKUP(ANR19,ChurnSeasonTable,4,FALSE))*POWER(1-(AnnualChurn*VLOOKUP(ANR19,ChurnSeasonTable,4,FALSE)),0)</f>
        <v/>
      </c>
      <c r="AOK19" s="12">
        <f>AOG19+AOH19+AOI19+AOJ19</f>
        <v/>
      </c>
      <c r="AOL19" s="9">
        <f>AOG19*PriceEssMonthly*ANU19+AOH19*PricePremMonthly*ANU19+AOI19*PriceEssAnnual*ANU19/12+AOJ19*PricePremAnnual*ANU19/12</f>
        <v/>
      </c>
      <c r="AOM19" s="9">
        <f>AOL19*12</f>
        <v/>
      </c>
      <c r="AON19" s="12">
        <f>AOG19*PriceEssMonthly*ANU19+AOH19*PricePremMonthly*ANU19</f>
        <v/>
      </c>
      <c r="AOO19" s="12">
        <f>AOE19*PriceEssAnnual*ANU19+AOF19*PricePremAnnual*ANU19</f>
        <v/>
      </c>
      <c r="AOP19" s="12">
        <f>AOE7*POWER(1-(AnnualChurn*VLOOKUP(ANR19,ChurnSeasonTable,4,FALSE)),1)*PriceEssAnnual*ANU19+AOF7*POWER(1-(AnnualChurn*VLOOKUP(ANR19,ChurnSeasonTable,4,FALSE)),1)*PricePremAnnual*ANU19</f>
        <v/>
      </c>
      <c r="AOQ19" s="9">
        <f>AON19+AOO19+AOP19</f>
        <v/>
      </c>
      <c r="AOR19" s="12">
        <f>SUM(AOQ8:AOQ19)</f>
        <v/>
      </c>
      <c r="AOS19" s="12">
        <f>OR(AOS18,AOR19&gt;=VATThreshold)</f>
        <v/>
      </c>
      <c r="AOT19" s="9">
        <f>IF(AOS19,AOQ19/(1+VATRate),AOQ19)</f>
        <v/>
      </c>
      <c r="AOU19" s="12">
        <f>AOQ19-AOT19</f>
        <v/>
      </c>
      <c r="AOV19" s="12">
        <f>IF(AOS19=0,0,IF(ANR19=1,SUMPRODUCT(--(($ANS$5:$ANS19=$ANS19-1)*($ANR$5:$ANR19&gt;=10)*($ANR$5:$ANR19&lt;=12)),$AOU$5:$AOU19),IF(ANR19=4,SUMPRODUCT(--(($ANS$5:$ANS19=$ANS19)*($ANR$5:$ANR19&gt;=1)*($ANR$5:$ANR19&lt;=3)),$AOU$5:$AOU19),IF(ANR19=7,SUMPRODUCT(--(($ANS$5:$ANS19=$ANS19)*($ANR$5:$ANR19&gt;=4)*($ANR$5:$ANR19&lt;=6)),$AOU$5:$AOU19),IF(ANR19=10,SUMPRODUCT(--(($ANS$5:$ANS19=$ANS19)*($ANR$5:$ANR19&gt;=7)*($ANR$5:$ANR19&lt;=9)),$AOU$5:$AOU19),0)))))</f>
        <v/>
      </c>
      <c r="AOW19" s="12">
        <f>AOW18+AOU19-AOV19</f>
        <v/>
      </c>
      <c r="AOX19" s="12">
        <f>IF(ProviderDelay&gt;=1,AOT18*ProviderShare,AOT19*ProviderShare)</f>
        <v/>
      </c>
      <c r="AOY19" s="12">
        <f>AOQ19*PaymentFee</f>
        <v/>
      </c>
      <c r="AOZ19" s="12">
        <f>AOK19*OpsAI</f>
        <v/>
      </c>
      <c r="APA19" s="12">
        <f>MonthlyFixed</f>
        <v/>
      </c>
      <c r="APB19" s="12">
        <f>ANY19*ReferralReward</f>
        <v/>
      </c>
      <c r="APC19" s="12">
        <f>ANW19</f>
        <v/>
      </c>
      <c r="APD19" s="9">
        <f>AOT19-AOX19-AOY19-AOZ19-APA19-APB19-APC19</f>
        <v/>
      </c>
      <c r="APE19" s="9">
        <f>APE18+AOQ19-(AOX19+AOY19+AOZ19+APA19+APB19+APC19+AOV19)</f>
        <v/>
      </c>
      <c r="APF19" s="12">
        <f>IF(AOK19&gt;0,AOL19/AOK19,0)</f>
        <v/>
      </c>
      <c r="APG19" s="11">
        <f>IF(AOK18&gt;0,MAX(0,(AOK18+ANZ19-AOK19)/AOK18),0)</f>
        <v/>
      </c>
      <c r="API19" s="12" t="n">
        <v>15</v>
      </c>
      <c r="APJ19" s="12">
        <f>MOD(API19-1+LaunchMonth-1,12)+1</f>
        <v/>
      </c>
      <c r="APK19" s="12">
        <f>INT((API19-1+LaunchMonth-1)/12)+1</f>
        <v/>
      </c>
      <c r="APL19" s="12">
        <f>VLOOKUP(APJ19,SeasonTable,2,FALSE)</f>
        <v/>
      </c>
      <c r="APM19" s="12">
        <f>(1+InflationRate)^INT((API19-1)/12)</f>
        <v/>
      </c>
      <c r="APN19" s="11">
        <f>MonthlyChurn*VLOOKUP(APJ19,ChurnSeasonTable,4,FALSE)</f>
        <v/>
      </c>
      <c r="APO19" s="12">
        <f>MIN(MAX(MktMin13_18,AQI18*MktPct13_18),MAX(0,AQW18-CashBuffer))</f>
        <v/>
      </c>
      <c r="APP19" s="12">
        <f>IF(APO19&gt;0,MAX(1,ROUND(APO19/'Sens - CAC &amp; Marketing'!$A$15*APL19,0)),0)</f>
        <v/>
      </c>
      <c r="APQ19" s="12">
        <f>IF(APP19&gt;0,ROUND(APP19*ReferralMix/(1-ReferralMix),0),0)</f>
        <v/>
      </c>
      <c r="APR19" s="12">
        <f>APP19+APQ19</f>
        <v/>
      </c>
      <c r="APS19" s="12">
        <f>ROUND(APR19*(1-AnnualMix),0)</f>
        <v/>
      </c>
      <c r="APT19" s="12">
        <f>APR19-APS19</f>
        <v/>
      </c>
      <c r="APU19" s="12">
        <f>ROUND(APS19*EssentialMix,0)</f>
        <v/>
      </c>
      <c r="APV19" s="12">
        <f>APS19-APU19</f>
        <v/>
      </c>
      <c r="APW19" s="12">
        <f>ROUND(APT19*EssentialMix,0)</f>
        <v/>
      </c>
      <c r="APX19" s="12">
        <f>APT19-APW19</f>
        <v/>
      </c>
      <c r="APY19" s="12">
        <f>APU19+APU18+APU17+MAX(0,APY18-APU18-APU17)*(1-APN19)</f>
        <v/>
      </c>
      <c r="APZ19" s="12">
        <f>APV19+APV18+APV17+MAX(0,APZ18-APV18-APV17)*(1-APN19)</f>
        <v/>
      </c>
      <c r="AQA19" s="12">
        <f>AQA18+APW19-APW7*(AnnualChurn*VLOOKUP(APJ19,ChurnSeasonTable,4,FALSE))*POWER(1-(AnnualChurn*VLOOKUP(APJ19,ChurnSeasonTable,4,FALSE)),0)</f>
        <v/>
      </c>
      <c r="AQB19" s="12">
        <f>AQB18+APX19-APX7*(AnnualChurn*VLOOKUP(APJ19,ChurnSeasonTable,4,FALSE))*POWER(1-(AnnualChurn*VLOOKUP(APJ19,ChurnSeasonTable,4,FALSE)),0)</f>
        <v/>
      </c>
      <c r="AQC19" s="12">
        <f>APY19+APZ19+AQA19+AQB19</f>
        <v/>
      </c>
      <c r="AQD19" s="9">
        <f>APY19*PriceEssMonthly*APM19+APZ19*PricePremMonthly*APM19+AQA19*PriceEssAnnual*APM19/12+AQB19*PricePremAnnual*APM19/12</f>
        <v/>
      </c>
      <c r="AQE19" s="9">
        <f>AQD19*12</f>
        <v/>
      </c>
      <c r="AQF19" s="12">
        <f>APY19*PriceEssMonthly*APM19+APZ19*PricePremMonthly*APM19</f>
        <v/>
      </c>
      <c r="AQG19" s="12">
        <f>APW19*PriceEssAnnual*APM19+APX19*PricePremAnnual*APM19</f>
        <v/>
      </c>
      <c r="AQH19" s="12">
        <f>APW7*POWER(1-(AnnualChurn*VLOOKUP(APJ19,ChurnSeasonTable,4,FALSE)),1)*PriceEssAnnual*APM19+APX7*POWER(1-(AnnualChurn*VLOOKUP(APJ19,ChurnSeasonTable,4,FALSE)),1)*PricePremAnnual*APM19</f>
        <v/>
      </c>
      <c r="AQI19" s="9">
        <f>AQF19+AQG19+AQH19</f>
        <v/>
      </c>
      <c r="AQJ19" s="12">
        <f>SUM(AQI8:AQI19)</f>
        <v/>
      </c>
      <c r="AQK19" s="12">
        <f>OR(AQK18,AQJ19&gt;=VATThreshold)</f>
        <v/>
      </c>
      <c r="AQL19" s="9">
        <f>IF(AQK19,AQI19/(1+VATRate),AQI19)</f>
        <v/>
      </c>
      <c r="AQM19" s="12">
        <f>AQI19-AQL19</f>
        <v/>
      </c>
      <c r="AQN19" s="12">
        <f>IF(AQK19=0,0,IF(APJ19=1,SUMPRODUCT(--(($APK$5:$APK19=$APK19-1)*($APJ$5:$APJ19&gt;=10)*($APJ$5:$APJ19&lt;=12)),$AQM$5:$AQM19),IF(APJ19=4,SUMPRODUCT(--(($APK$5:$APK19=$APK19)*($APJ$5:$APJ19&gt;=1)*($APJ$5:$APJ19&lt;=3)),$AQM$5:$AQM19),IF(APJ19=7,SUMPRODUCT(--(($APK$5:$APK19=$APK19)*($APJ$5:$APJ19&gt;=4)*($APJ$5:$APJ19&lt;=6)),$AQM$5:$AQM19),IF(APJ19=10,SUMPRODUCT(--(($APK$5:$APK19=$APK19)*($APJ$5:$APJ19&gt;=7)*($APJ$5:$APJ19&lt;=9)),$AQM$5:$AQM19),0)))))</f>
        <v/>
      </c>
      <c r="AQO19" s="12">
        <f>AQO18+AQM19-AQN19</f>
        <v/>
      </c>
      <c r="AQP19" s="12">
        <f>IF(ProviderDelay&gt;=1,AQL18*ProviderShare,AQL19*ProviderShare)</f>
        <v/>
      </c>
      <c r="AQQ19" s="12">
        <f>AQI19*PaymentFee</f>
        <v/>
      </c>
      <c r="AQR19" s="12">
        <f>AQC19*OpsAI</f>
        <v/>
      </c>
      <c r="AQS19" s="12">
        <f>MonthlyFixed</f>
        <v/>
      </c>
      <c r="AQT19" s="12">
        <f>APQ19*ReferralReward</f>
        <v/>
      </c>
      <c r="AQU19" s="12">
        <f>APO19</f>
        <v/>
      </c>
      <c r="AQV19" s="9">
        <f>AQL19-AQP19-AQQ19-AQR19-AQS19-AQT19-AQU19</f>
        <v/>
      </c>
      <c r="AQW19" s="9">
        <f>AQW18+AQI19-(AQP19+AQQ19+AQR19+AQS19+AQT19+AQU19+AQN19)</f>
        <v/>
      </c>
      <c r="AQX19" s="12">
        <f>IF(AQC19&gt;0,AQD19/AQC19,0)</f>
        <v/>
      </c>
      <c r="AQY19" s="11">
        <f>IF(AQC18&gt;0,MAX(0,(AQC18+APR19-AQC19)/AQC18),0)</f>
        <v/>
      </c>
      <c r="ARA19" s="12" t="n">
        <v>15</v>
      </c>
      <c r="ARB19" s="12">
        <f>MOD(ARA19-1+LaunchMonth-1,12)+1</f>
        <v/>
      </c>
      <c r="ARC19" s="12">
        <f>INT((ARA19-1+LaunchMonth-1)/12)+1</f>
        <v/>
      </c>
      <c r="ARD19" s="12">
        <f>VLOOKUP(ARB19,WinterPivotSeasonTable,5,FALSE)</f>
        <v/>
      </c>
      <c r="ARE19" s="12">
        <f>(1+InflationRate)^INT((ARA19-1)/12)</f>
        <v/>
      </c>
      <c r="ARF19" s="11">
        <f>MonthlyChurn*VLOOKUP(ARB19,WinterPivotChurnTable,6,FALSE)</f>
        <v/>
      </c>
      <c r="ARG19" s="12">
        <f>MIN(MAX(MktMin13_18,ASA18*MktPct13_18),MAX(0,ASO18-CashBuffer))</f>
        <v/>
      </c>
      <c r="ARH19" s="12">
        <f>IF(ARG19&gt;0,MAX(1,ROUND(ARG19/CAC*ARD19,0)),0)</f>
        <v/>
      </c>
      <c r="ARI19" s="12">
        <f>IF(ARH19&gt;0,ROUND(ARH19*ReferralMix/(1-ReferralMix),0),0)</f>
        <v/>
      </c>
      <c r="ARJ19" s="12">
        <f>ARH19+ARI19</f>
        <v/>
      </c>
      <c r="ARK19" s="12">
        <f>ROUND(ARJ19*(1-AnnualMix),0)</f>
        <v/>
      </c>
      <c r="ARL19" s="12">
        <f>ARJ19-ARK19</f>
        <v/>
      </c>
      <c r="ARM19" s="12">
        <f>ROUND(ARK19*'Sens - Winter Pivot'!$B$6,0)</f>
        <v/>
      </c>
      <c r="ARN19" s="12">
        <f>ARK19-ARM19</f>
        <v/>
      </c>
      <c r="ARO19" s="12">
        <f>ROUND(ARL19*'Sens - Winter Pivot'!$B$6,0)</f>
        <v/>
      </c>
      <c r="ARP19" s="12">
        <f>ARL19-ARO19</f>
        <v/>
      </c>
      <c r="ARQ19" s="12">
        <f>ARM19+ARM18+ARM17+MAX(0,ARQ18-ARM18-ARM17)*(1-ARF19)</f>
        <v/>
      </c>
      <c r="ARR19" s="12">
        <f>ARN19+ARN18+ARN17+MAX(0,ARR18-ARN18-ARN17)*(1-ARF19)</f>
        <v/>
      </c>
      <c r="ARS19" s="12">
        <f>ARS18+ARO19-ARO7*(AnnualChurn*VLOOKUP(ARB19,WinterPivotChurnTable,6,FALSE))*POWER(1-(AnnualChurn*VLOOKUP(ARB19,WinterPivotChurnTable,6,FALSE)),0)</f>
        <v/>
      </c>
      <c r="ART19" s="12">
        <f>ART18+ARP19-ARP7*(AnnualChurn*VLOOKUP(ARB19,WinterPivotChurnTable,6,FALSE))*POWER(1-(AnnualChurn*VLOOKUP(ARB19,WinterPivotChurnTable,6,FALSE)),0)</f>
        <v/>
      </c>
      <c r="ARU19" s="12">
        <f>ARQ19+ARR19+ARS19+ART19</f>
        <v/>
      </c>
      <c r="ARV19" s="9">
        <f>ARQ19*PriceEssMonthly*ARE19+ARR19*(PricePremMonthly+'Sens - Winter Pivot'!$B$7)*ARE19+ARS19*PriceEssAnnual*ARE19/12+ART19*(PricePremAnnual+'Sens - Winter Pivot'!$B$7*12)*ARE19/12</f>
        <v/>
      </c>
      <c r="ARW19" s="9">
        <f>ARV19*12</f>
        <v/>
      </c>
      <c r="ARX19" s="12">
        <f>ARQ19*PriceEssMonthly*ARE19+ARR19*(PricePremMonthly+'Sens - Winter Pivot'!$B$7)*ARE19</f>
        <v/>
      </c>
      <c r="ARY19" s="12">
        <f>ARO19*PriceEssAnnual*ARE19+ARP19*(PricePremAnnual+'Sens - Winter Pivot'!$B$7*12)*ARE19</f>
        <v/>
      </c>
      <c r="ARZ19" s="12">
        <f>ARO7*POWER(1-(AnnualChurn*VLOOKUP(ARB19,WinterPivotChurnTable,6,FALSE)),1)*PriceEssAnnual*ARE19+ARP7*POWER(1-(AnnualChurn*VLOOKUP(ARB19,WinterPivotChurnTable,6,FALSE)),1)*PricePremAnnual*ARE19</f>
        <v/>
      </c>
      <c r="ASA19" s="9">
        <f>ARX19+ARY19+ARZ19</f>
        <v/>
      </c>
      <c r="ASB19" s="12">
        <f>SUM(ASA8:ASA19)</f>
        <v/>
      </c>
      <c r="ASC19" s="12">
        <f>OR(ASC18,ASB19&gt;=VATThreshold)</f>
        <v/>
      </c>
      <c r="ASD19" s="9">
        <f>IF(ASC19,ASA19/(1+VATRate),ASA19)</f>
        <v/>
      </c>
      <c r="ASE19" s="12">
        <f>ASA19-ASD19</f>
        <v/>
      </c>
      <c r="ASF19" s="12">
        <f>IF(ASC19=0,0,IF(ARB19=1,SUMPRODUCT(--(($ARC$5:$ARC19=$ARC19-1)*($ARB$5:$ARB19&gt;=10)*($ARB$5:$ARB19&lt;=12)),$ASE$5:$ASE19),IF(ARB19=4,SUMPRODUCT(--(($ARC$5:$ARC19=$ARC19)*($ARB$5:$ARB19&gt;=1)*($ARB$5:$ARB19&lt;=3)),$ASE$5:$ASE19),IF(ARB19=7,SUMPRODUCT(--(($ARC$5:$ARC19=$ARC19)*($ARB$5:$ARB19&gt;=4)*($ARB$5:$ARB19&lt;=6)),$ASE$5:$ASE19),IF(ARB19=10,SUMPRODUCT(--(($ARC$5:$ARC19=$ARC19)*($ARB$5:$ARB19&gt;=7)*($ARB$5:$ARB19&lt;=9)),$ASE$5:$ASE19),0)))))</f>
        <v/>
      </c>
      <c r="ASG19" s="12">
        <f>ASG18+ASE19-ASF19</f>
        <v/>
      </c>
      <c r="ASH19" s="12">
        <f>IF(ProviderDelay&gt;=1,ASD18*ProviderShare,ASD19*ProviderShare)</f>
        <v/>
      </c>
      <c r="ASI19" s="12">
        <f>ASA19*PaymentFee</f>
        <v/>
      </c>
      <c r="ASJ19" s="12">
        <f>ARU19*OpsAI</f>
        <v/>
      </c>
      <c r="ASK19" s="12">
        <f>MonthlyFixed</f>
        <v/>
      </c>
      <c r="ASL19" s="12">
        <f>ARI19*ReferralReward</f>
        <v/>
      </c>
      <c r="ASM19" s="12">
        <f>ARG19</f>
        <v/>
      </c>
      <c r="ASN19" s="9">
        <f>ASD19-ASH19-ASI19-ASJ19-ASK19-ASL19-ASM19</f>
        <v/>
      </c>
      <c r="ASO19" s="9">
        <f>ASO18+ASA19-(ASH19+ASI19+ASJ19+ASK19+ASL19+ASM19+ASF19)</f>
        <v/>
      </c>
      <c r="ASP19" s="12">
        <f>IF(ARU19&gt;0,ARV19/ARU19,0)</f>
        <v/>
      </c>
      <c r="ASQ19" s="11">
        <f>IF(ARU18&gt;0,MAX(0,(ARU18+ARJ19-ARU19)/ARU18),0)</f>
        <v/>
      </c>
    </row>
    <row r="20">
      <c r="A20" s="12" t="n">
        <v>16</v>
      </c>
      <c r="B20" s="12">
        <f>MOD(A20-1+LaunchMonth-1,12)+1</f>
        <v/>
      </c>
      <c r="C20" s="12">
        <f>INT((A20-1+LaunchMonth-1)/12)+1</f>
        <v/>
      </c>
      <c r="D20" s="12">
        <f>VLOOKUP(B20,SeasonTable,2,FALSE)</f>
        <v/>
      </c>
      <c r="E20" s="12">
        <f>(1+InflationRate)^INT((A20-1)/12)</f>
        <v/>
      </c>
      <c r="F20" s="11">
        <f>'Sens - Scenarios'!$B$5*VLOOKUP(B20,ChurnSeasonTable,4,FALSE)</f>
        <v/>
      </c>
      <c r="G20" s="12">
        <f>MIN(MAX(MktMin13_18,AA19*MktPct13_18),MAX(0,AO19-CashBuffer))</f>
        <v/>
      </c>
      <c r="H20" s="12">
        <f>IF(G20&gt;0,MAX(1,ROUND(G20/'Sens - Scenarios'!$B$8*D20,0)),0)</f>
        <v/>
      </c>
      <c r="I20" s="12">
        <f>IF(H20&gt;0,ROUND(H20*ReferralMix/(1-ReferralMix),0),0)</f>
        <v/>
      </c>
      <c r="J20" s="12">
        <f>H20+I20</f>
        <v/>
      </c>
      <c r="K20" s="12">
        <f>ROUND(J20*(1-'Sens - Scenarios'!$B$7),0)</f>
        <v/>
      </c>
      <c r="L20" s="12">
        <f>J20-K20</f>
        <v/>
      </c>
      <c r="M20" s="12">
        <f>ROUND(K20*EssentialMix,0)</f>
        <v/>
      </c>
      <c r="N20" s="12">
        <f>K20-M20</f>
        <v/>
      </c>
      <c r="O20" s="12">
        <f>ROUND(L20*EssentialMix,0)</f>
        <v/>
      </c>
      <c r="P20" s="12">
        <f>L20-O20</f>
        <v/>
      </c>
      <c r="Q20" s="12">
        <f>M20+M19+M18+MAX(0,Q19-M19-M18)*(1-F20)</f>
        <v/>
      </c>
      <c r="R20" s="12">
        <f>N20+N19+N18+MAX(0,R19-N19-N18)*(1-F20)</f>
        <v/>
      </c>
      <c r="S20" s="12">
        <f>S19+O20-O8*('Sens - Scenarios'!$B$6*VLOOKUP(B20,ChurnSeasonTable,4,FALSE))*POWER(1-('Sens - Scenarios'!$B$6*VLOOKUP(B20,ChurnSeasonTable,4,FALSE)),0)</f>
        <v/>
      </c>
      <c r="T20" s="12">
        <f>T19+P20-P8*('Sens - Scenarios'!$B$6*VLOOKUP(B20,ChurnSeasonTable,4,FALSE))*POWER(1-('Sens - Scenarios'!$B$6*VLOOKUP(B20,ChurnSeasonTable,4,FALSE)),0)</f>
        <v/>
      </c>
      <c r="U20" s="12">
        <f>Q20+R20+S20+T20</f>
        <v/>
      </c>
      <c r="V20" s="9">
        <f>Q20*PriceEssMonthly*E20+R20*PricePremMonthly*E20+S20*PriceEssAnnual*E20/12+T20*PricePremAnnual*E20/12</f>
        <v/>
      </c>
      <c r="W20" s="9">
        <f>V20*12</f>
        <v/>
      </c>
      <c r="X20" s="12">
        <f>Q20*PriceEssMonthly*E20+R20*PricePremMonthly*E20</f>
        <v/>
      </c>
      <c r="Y20" s="12">
        <f>O20*PriceEssAnnual*E20+P20*PricePremAnnual*E20</f>
        <v/>
      </c>
      <c r="Z20" s="12">
        <f>O8*POWER(1-('Sens - Scenarios'!$B$6*VLOOKUP(B20,ChurnSeasonTable,4,FALSE)),1)*PriceEssAnnual*E20+P8*POWER(1-('Sens - Scenarios'!$B$6*VLOOKUP(B20,ChurnSeasonTable,4,FALSE)),1)*PricePremAnnual*E20</f>
        <v/>
      </c>
      <c r="AA20" s="9">
        <f>X20+Y20+Z20</f>
        <v/>
      </c>
      <c r="AB20" s="12">
        <f>SUM(AA9:AA20)</f>
        <v/>
      </c>
      <c r="AC20" s="12">
        <f>OR(AC19,AB20&gt;=VATThreshold)</f>
        <v/>
      </c>
      <c r="AD20" s="9">
        <f>IF(AC20,AA20/(1+VATRate),AA20)</f>
        <v/>
      </c>
      <c r="AE20" s="12">
        <f>AA20-AD20</f>
        <v/>
      </c>
      <c r="AF20" s="12">
        <f>IF(AC20=0,0,IF(B20=1,SUMPRODUCT(--(($C$5:$C20=$C20-1)*($B$5:$B20&gt;=10)*($B$5:$B20&lt;=12)),$AE$5:$AE20),IF(B20=4,SUMPRODUCT(--(($C$5:$C20=$C20)*($B$5:$B20&gt;=1)*($B$5:$B20&lt;=3)),$AE$5:$AE20),IF(B20=7,SUMPRODUCT(--(($C$5:$C20=$C20)*($B$5:$B20&gt;=4)*($B$5:$B20&lt;=6)),$AE$5:$AE20),IF(B20=10,SUMPRODUCT(--(($C$5:$C20=$C20)*($B$5:$B20&gt;=7)*($B$5:$B20&lt;=9)),$AE$5:$AE20),0)))))</f>
        <v/>
      </c>
      <c r="AG20" s="12">
        <f>AG19+AE20-AF20</f>
        <v/>
      </c>
      <c r="AH20" s="12">
        <f>IF(ProviderDelay&gt;=1,AD19*ProviderShare,AD20*ProviderShare)</f>
        <v/>
      </c>
      <c r="AI20" s="12">
        <f>AA20*PaymentFee</f>
        <v/>
      </c>
      <c r="AJ20" s="12">
        <f>U20*OpsAI</f>
        <v/>
      </c>
      <c r="AK20" s="12">
        <f>MonthlyFixed</f>
        <v/>
      </c>
      <c r="AL20" s="12">
        <f>I20*ReferralReward</f>
        <v/>
      </c>
      <c r="AM20" s="12">
        <f>G20</f>
        <v/>
      </c>
      <c r="AN20" s="9">
        <f>AD20-AH20-AI20-AJ20-AK20-AL20-AM20</f>
        <v/>
      </c>
      <c r="AO20" s="9">
        <f>AO19+AA20-(AH20+AI20+AJ20+AK20+AL20+AM20+AF20)</f>
        <v/>
      </c>
      <c r="AP20" s="12">
        <f>IF(U20&gt;0,V20/U20,0)</f>
        <v/>
      </c>
      <c r="AQ20" s="11">
        <f>IF(U19&gt;0,MAX(0,(U19+J20-U20)/U19),0)</f>
        <v/>
      </c>
      <c r="AS20" s="12" t="n">
        <v>16</v>
      </c>
      <c r="AT20" s="12">
        <f>MOD(AS20-1+LaunchMonth-1,12)+1</f>
        <v/>
      </c>
      <c r="AU20" s="12">
        <f>INT((AS20-1+LaunchMonth-1)/12)+1</f>
        <v/>
      </c>
      <c r="AV20" s="12">
        <f>VLOOKUP(AT20,SeasonTable,2,FALSE)</f>
        <v/>
      </c>
      <c r="AW20" s="12">
        <f>(1+InflationRate)^INT((AS20-1)/12)</f>
        <v/>
      </c>
      <c r="AX20" s="11">
        <f>MonthlyChurn*VLOOKUP(AT20,ChurnSeasonTable,4,FALSE)</f>
        <v/>
      </c>
      <c r="AY20" s="12">
        <f>MIN(MAX(MktMin13_18,BS19*MktPct13_18),MAX(0,CG19-CashBuffer))</f>
        <v/>
      </c>
      <c r="AZ20" s="12">
        <f>IF(AY20&gt;0,MAX(1,ROUND(AY20/CAC*AV20,0)),0)</f>
        <v/>
      </c>
      <c r="BA20" s="12">
        <f>IF(AZ20&gt;0,ROUND(AZ20*ReferralMix/(1-ReferralMix),0),0)</f>
        <v/>
      </c>
      <c r="BB20" s="12">
        <f>AZ20+BA20</f>
        <v/>
      </c>
      <c r="BC20" s="12">
        <f>ROUND(BB20*(1-AnnualMix),0)</f>
        <v/>
      </c>
      <c r="BD20" s="12">
        <f>BB20-BC20</f>
        <v/>
      </c>
      <c r="BE20" s="12">
        <f>ROUND(BC20*EssentialMix,0)</f>
        <v/>
      </c>
      <c r="BF20" s="12">
        <f>BC20-BE20</f>
        <v/>
      </c>
      <c r="BG20" s="12">
        <f>ROUND(BD20*EssentialMix,0)</f>
        <v/>
      </c>
      <c r="BH20" s="12">
        <f>BD20-BG20</f>
        <v/>
      </c>
      <c r="BI20" s="12">
        <f>BE20+BE19+BE18+MAX(0,BI19-BE19-BE18)*(1-AX20)</f>
        <v/>
      </c>
      <c r="BJ20" s="12">
        <f>BF20+BF19+BF18+MAX(0,BJ19-BF19-BF18)*(1-AX20)</f>
        <v/>
      </c>
      <c r="BK20" s="12">
        <f>BK19+BG20-BG8*(AnnualChurn*VLOOKUP(AT20,ChurnSeasonTable,4,FALSE))*POWER(1-(AnnualChurn*VLOOKUP(AT20,ChurnSeasonTable,4,FALSE)),0)</f>
        <v/>
      </c>
      <c r="BL20" s="12">
        <f>BL19+BH20-BH8*(AnnualChurn*VLOOKUP(AT20,ChurnSeasonTable,4,FALSE))*POWER(1-(AnnualChurn*VLOOKUP(AT20,ChurnSeasonTable,4,FALSE)),0)</f>
        <v/>
      </c>
      <c r="BM20" s="12">
        <f>BI20+BJ20+BK20+BL20</f>
        <v/>
      </c>
      <c r="BN20" s="9">
        <f>BI20*PriceEssMonthly*AW20+BJ20*PricePremMonthly*AW20+BK20*PriceEssAnnual*AW20/12+BL20*PricePremAnnual*AW20/12</f>
        <v/>
      </c>
      <c r="BO20" s="9">
        <f>BN20*12</f>
        <v/>
      </c>
      <c r="BP20" s="12">
        <f>BI20*PriceEssMonthly*AW20+BJ20*PricePremMonthly*AW20</f>
        <v/>
      </c>
      <c r="BQ20" s="12">
        <f>BG20*PriceEssAnnual*AW20+BH20*PricePremAnnual*AW20</f>
        <v/>
      </c>
      <c r="BR20" s="12">
        <f>BG8*POWER(1-(AnnualChurn*VLOOKUP(AT20,ChurnSeasonTable,4,FALSE)),1)*PriceEssAnnual*AW20+BH8*POWER(1-(AnnualChurn*VLOOKUP(AT20,ChurnSeasonTable,4,FALSE)),1)*PricePremAnnual*AW20</f>
        <v/>
      </c>
      <c r="BS20" s="9">
        <f>BP20+BQ20+BR20</f>
        <v/>
      </c>
      <c r="BT20" s="12">
        <f>SUM(BS9:BS20)</f>
        <v/>
      </c>
      <c r="BU20" s="12">
        <f>OR(BU19,BT20&gt;=VATThreshold)</f>
        <v/>
      </c>
      <c r="BV20" s="9">
        <f>IF(BU20,BS20/(1+VATRate),BS20)</f>
        <v/>
      </c>
      <c r="BW20" s="12">
        <f>BS20-BV20</f>
        <v/>
      </c>
      <c r="BX20" s="12">
        <f>IF(BU20=0,0,IF(AT20=1,SUMPRODUCT(--(($AU$5:$AU20=$AU20-1)*($AT$5:$AT20&gt;=10)*($AT$5:$AT20&lt;=12)),$BW$5:$BW20),IF(AT20=4,SUMPRODUCT(--(($AU$5:$AU20=$AU20)*($AT$5:$AT20&gt;=1)*($AT$5:$AT20&lt;=3)),$BW$5:$BW20),IF(AT20=7,SUMPRODUCT(--(($AU$5:$AU20=$AU20)*($AT$5:$AT20&gt;=4)*($AT$5:$AT20&lt;=6)),$BW$5:$BW20),IF(AT20=10,SUMPRODUCT(--(($AU$5:$AU20=$AU20)*($AT$5:$AT20&gt;=7)*($AT$5:$AT20&lt;=9)),$BW$5:$BW20),0)))))</f>
        <v/>
      </c>
      <c r="BY20" s="12">
        <f>BY19+BW20-BX20</f>
        <v/>
      </c>
      <c r="BZ20" s="12">
        <f>IF(ProviderDelay&gt;=1,BV19*ProviderShare,BV20*ProviderShare)</f>
        <v/>
      </c>
      <c r="CA20" s="12">
        <f>BS20*PaymentFee</f>
        <v/>
      </c>
      <c r="CB20" s="12">
        <f>BM20*OpsAI</f>
        <v/>
      </c>
      <c r="CC20" s="12">
        <f>MonthlyFixed</f>
        <v/>
      </c>
      <c r="CD20" s="12">
        <f>BA20*ReferralReward</f>
        <v/>
      </c>
      <c r="CE20" s="12">
        <f>AY20</f>
        <v/>
      </c>
      <c r="CF20" s="9">
        <f>BV20-BZ20-CA20-CB20-CC20-CD20-CE20</f>
        <v/>
      </c>
      <c r="CG20" s="9">
        <f>CG19+BS20-(BZ20+CA20+CB20+CC20+CD20+CE20+BX20)</f>
        <v/>
      </c>
      <c r="CH20" s="12">
        <f>IF(BM20&gt;0,BN20/BM20,0)</f>
        <v/>
      </c>
      <c r="CI20" s="11">
        <f>IF(BM19&gt;0,MAX(0,(BM19+BB20-BM20)/BM19),0)</f>
        <v/>
      </c>
      <c r="CK20" s="12" t="n">
        <v>16</v>
      </c>
      <c r="CL20" s="12">
        <f>MOD(CK20-1+LaunchMonth-1,12)+1</f>
        <v/>
      </c>
      <c r="CM20" s="12">
        <f>INT((CK20-1+LaunchMonth-1)/12)+1</f>
        <v/>
      </c>
      <c r="CN20" s="12">
        <f>VLOOKUP(CL20,SeasonTable,2,FALSE)</f>
        <v/>
      </c>
      <c r="CO20" s="12">
        <f>(1+InflationRate)^INT((CK20-1)/12)</f>
        <v/>
      </c>
      <c r="CP20" s="11">
        <f>'Sens - Scenarios'!$D$5*VLOOKUP(CL20,ChurnSeasonTable,4,FALSE)</f>
        <v/>
      </c>
      <c r="CQ20" s="12">
        <f>MIN(MAX(MktMin13_18,DK19*MktPct13_18),MAX(0,DY19-CashBuffer))</f>
        <v/>
      </c>
      <c r="CR20" s="12">
        <f>IF(CQ20&gt;0,MAX(1,ROUND(CQ20/'Sens - Scenarios'!$D$8*CN20,0)),0)</f>
        <v/>
      </c>
      <c r="CS20" s="12">
        <f>IF(CR20&gt;0,ROUND(CR20*ReferralMix/(1-ReferralMix),0),0)</f>
        <v/>
      </c>
      <c r="CT20" s="12">
        <f>CR20+CS20</f>
        <v/>
      </c>
      <c r="CU20" s="12">
        <f>ROUND(CT20*(1-'Sens - Scenarios'!$D$7),0)</f>
        <v/>
      </c>
      <c r="CV20" s="12">
        <f>CT20-CU20</f>
        <v/>
      </c>
      <c r="CW20" s="12">
        <f>ROUND(CU20*EssentialMix,0)</f>
        <v/>
      </c>
      <c r="CX20" s="12">
        <f>CU20-CW20</f>
        <v/>
      </c>
      <c r="CY20" s="12">
        <f>ROUND(CV20*EssentialMix,0)</f>
        <v/>
      </c>
      <c r="CZ20" s="12">
        <f>CV20-CY20</f>
        <v/>
      </c>
      <c r="DA20" s="12">
        <f>CW20+CW19+CW18+MAX(0,DA19-CW19-CW18)*(1-CP20)</f>
        <v/>
      </c>
      <c r="DB20" s="12">
        <f>CX20+CX19+CX18+MAX(0,DB19-CX19-CX18)*(1-CP20)</f>
        <v/>
      </c>
      <c r="DC20" s="12">
        <f>DC19+CY20-CY8*('Sens - Scenarios'!$D$6*VLOOKUP(CL20,ChurnSeasonTable,4,FALSE))*POWER(1-('Sens - Scenarios'!$D$6*VLOOKUP(CL20,ChurnSeasonTable,4,FALSE)),0)</f>
        <v/>
      </c>
      <c r="DD20" s="12">
        <f>DD19+CZ20-CZ8*('Sens - Scenarios'!$D$6*VLOOKUP(CL20,ChurnSeasonTable,4,FALSE))*POWER(1-('Sens - Scenarios'!$D$6*VLOOKUP(CL20,ChurnSeasonTable,4,FALSE)),0)</f>
        <v/>
      </c>
      <c r="DE20" s="12">
        <f>DA20+DB20+DC20+DD20</f>
        <v/>
      </c>
      <c r="DF20" s="9">
        <f>DA20*PriceEssMonthly*CO20+DB20*PricePremMonthly*CO20+DC20*PriceEssAnnual*CO20/12+DD20*PricePremAnnual*CO20/12</f>
        <v/>
      </c>
      <c r="DG20" s="9">
        <f>DF20*12</f>
        <v/>
      </c>
      <c r="DH20" s="12">
        <f>DA20*PriceEssMonthly*CO20+DB20*PricePremMonthly*CO20</f>
        <v/>
      </c>
      <c r="DI20" s="12">
        <f>CY20*PriceEssAnnual*CO20+CZ20*PricePremAnnual*CO20</f>
        <v/>
      </c>
      <c r="DJ20" s="12">
        <f>CY8*POWER(1-('Sens - Scenarios'!$D$6*VLOOKUP(CL20,ChurnSeasonTable,4,FALSE)),1)*PriceEssAnnual*CO20+CZ8*POWER(1-('Sens - Scenarios'!$D$6*VLOOKUP(CL20,ChurnSeasonTable,4,FALSE)),1)*PricePremAnnual*CO20</f>
        <v/>
      </c>
      <c r="DK20" s="9">
        <f>DH20+DI20+DJ20</f>
        <v/>
      </c>
      <c r="DL20" s="12">
        <f>SUM(DK9:DK20)</f>
        <v/>
      </c>
      <c r="DM20" s="12">
        <f>OR(DM19,DL20&gt;=VATThreshold)</f>
        <v/>
      </c>
      <c r="DN20" s="9">
        <f>IF(DM20,DK20/(1+VATRate),DK20)</f>
        <v/>
      </c>
      <c r="DO20" s="12">
        <f>DK20-DN20</f>
        <v/>
      </c>
      <c r="DP20" s="12">
        <f>IF(DM20=0,0,IF(CL20=1,SUMPRODUCT(--(($CM$5:$CM20=$CM20-1)*($CL$5:$CL20&gt;=10)*($CL$5:$CL20&lt;=12)),$DO$5:$DO20),IF(CL20=4,SUMPRODUCT(--(($CM$5:$CM20=$CM20)*($CL$5:$CL20&gt;=1)*($CL$5:$CL20&lt;=3)),$DO$5:$DO20),IF(CL20=7,SUMPRODUCT(--(($CM$5:$CM20=$CM20)*($CL$5:$CL20&gt;=4)*($CL$5:$CL20&lt;=6)),$DO$5:$DO20),IF(CL20=10,SUMPRODUCT(--(($CM$5:$CM20=$CM20)*($CL$5:$CL20&gt;=7)*($CL$5:$CL20&lt;=9)),$DO$5:$DO20),0)))))</f>
        <v/>
      </c>
      <c r="DQ20" s="12">
        <f>DQ19+DO20-DP20</f>
        <v/>
      </c>
      <c r="DR20" s="12">
        <f>IF(ProviderDelay&gt;=1,DN19*ProviderShare,DN20*ProviderShare)</f>
        <v/>
      </c>
      <c r="DS20" s="12">
        <f>DK20*PaymentFee</f>
        <v/>
      </c>
      <c r="DT20" s="12">
        <f>DE20*OpsAI</f>
        <v/>
      </c>
      <c r="DU20" s="12">
        <f>MonthlyFixed</f>
        <v/>
      </c>
      <c r="DV20" s="12">
        <f>CS20*ReferralReward</f>
        <v/>
      </c>
      <c r="DW20" s="12">
        <f>CQ20</f>
        <v/>
      </c>
      <c r="DX20" s="9">
        <f>DN20-DR20-DS20-DT20-DU20-DV20-DW20</f>
        <v/>
      </c>
      <c r="DY20" s="9">
        <f>DY19+DK20-(DR20+DS20+DT20+DU20+DV20+DW20+DP20)</f>
        <v/>
      </c>
      <c r="DZ20" s="12">
        <f>IF(DE20&gt;0,DF20/DE20,0)</f>
        <v/>
      </c>
      <c r="EA20" s="11">
        <f>IF(DE19&gt;0,MAX(0,(DE19+CT20-DE20)/DE19),0)</f>
        <v/>
      </c>
      <c r="EC20" s="12" t="n">
        <v>16</v>
      </c>
      <c r="ED20" s="12">
        <f>MOD(EC20-1+LaunchMonth-1,12)+1</f>
        <v/>
      </c>
      <c r="EE20" s="12">
        <f>INT((EC20-1+LaunchMonth-1)/12)+1</f>
        <v/>
      </c>
      <c r="EF20" s="12">
        <f>VLOOKUP(ED20,SeasonTable,2,FALSE)</f>
        <v/>
      </c>
      <c r="EG20" s="12">
        <f>(1+InflationRate)^INT((EC20-1)/12)</f>
        <v/>
      </c>
      <c r="EH20" s="11">
        <f>'Sens - Churn'!$A$13*VLOOKUP(ED20,ChurnSeasonTable,4,FALSE)</f>
        <v/>
      </c>
      <c r="EI20" s="12">
        <f>MIN(MAX(MktMin13_18,FC19*MktPct13_18),MAX(0,FQ19-CashBuffer))</f>
        <v/>
      </c>
      <c r="EJ20" s="12">
        <f>IF(EI20&gt;0,MAX(1,ROUND(EI20/CAC*EF20,0)),0)</f>
        <v/>
      </c>
      <c r="EK20" s="12">
        <f>IF(EJ20&gt;0,ROUND(EJ20*ReferralMix/(1-ReferralMix),0),0)</f>
        <v/>
      </c>
      <c r="EL20" s="12">
        <f>EJ20+EK20</f>
        <v/>
      </c>
      <c r="EM20" s="12">
        <f>ROUND(EL20*(1-AnnualMix),0)</f>
        <v/>
      </c>
      <c r="EN20" s="12">
        <f>EL20-EM20</f>
        <v/>
      </c>
      <c r="EO20" s="12">
        <f>ROUND(EM20*EssentialMix,0)</f>
        <v/>
      </c>
      <c r="EP20" s="12">
        <f>EM20-EO20</f>
        <v/>
      </c>
      <c r="EQ20" s="12">
        <f>ROUND(EN20*EssentialMix,0)</f>
        <v/>
      </c>
      <c r="ER20" s="12">
        <f>EN20-EQ20</f>
        <v/>
      </c>
      <c r="ES20" s="12">
        <f>EO20+EO19+EO18+MAX(0,ES19-EO19-EO18)*(1-EH20)</f>
        <v/>
      </c>
      <c r="ET20" s="12">
        <f>EP20+EP19+EP18+MAX(0,ET19-EP19-EP18)*(1-EH20)</f>
        <v/>
      </c>
      <c r="EU20" s="12">
        <f>EU19+EQ20-EQ8*(AnnualChurn*VLOOKUP(ED20,ChurnSeasonTable,4,FALSE))*POWER(1-(AnnualChurn*VLOOKUP(ED20,ChurnSeasonTable,4,FALSE)),0)</f>
        <v/>
      </c>
      <c r="EV20" s="12">
        <f>EV19+ER20-ER8*(AnnualChurn*VLOOKUP(ED20,ChurnSeasonTable,4,FALSE))*POWER(1-(AnnualChurn*VLOOKUP(ED20,ChurnSeasonTable,4,FALSE)),0)</f>
        <v/>
      </c>
      <c r="EW20" s="12">
        <f>ES20+ET20+EU20+EV20</f>
        <v/>
      </c>
      <c r="EX20" s="9">
        <f>ES20*PriceEssMonthly*EG20+ET20*PricePremMonthly*EG20+EU20*PriceEssAnnual*EG20/12+EV20*PricePremAnnual*EG20/12</f>
        <v/>
      </c>
      <c r="EY20" s="9">
        <f>EX20*12</f>
        <v/>
      </c>
      <c r="EZ20" s="12">
        <f>ES20*PriceEssMonthly*EG20+ET20*PricePremMonthly*EG20</f>
        <v/>
      </c>
      <c r="FA20" s="12">
        <f>EQ20*PriceEssAnnual*EG20+ER20*PricePremAnnual*EG20</f>
        <v/>
      </c>
      <c r="FB20" s="12">
        <f>EQ8*POWER(1-(AnnualChurn*VLOOKUP(ED20,ChurnSeasonTable,4,FALSE)),1)*PriceEssAnnual*EG20+ER8*POWER(1-(AnnualChurn*VLOOKUP(ED20,ChurnSeasonTable,4,FALSE)),1)*PricePremAnnual*EG20</f>
        <v/>
      </c>
      <c r="FC20" s="9">
        <f>EZ20+FA20+FB20</f>
        <v/>
      </c>
      <c r="FD20" s="12">
        <f>SUM(FC9:FC20)</f>
        <v/>
      </c>
      <c r="FE20" s="12">
        <f>OR(FE19,FD20&gt;=VATThreshold)</f>
        <v/>
      </c>
      <c r="FF20" s="9">
        <f>IF(FE20,FC20/(1+VATRate),FC20)</f>
        <v/>
      </c>
      <c r="FG20" s="12">
        <f>FC20-FF20</f>
        <v/>
      </c>
      <c r="FH20" s="12">
        <f>IF(FE20=0,0,IF(ED20=1,SUMPRODUCT(--(($EE$5:$EE20=$EE20-1)*($ED$5:$ED20&gt;=10)*($ED$5:$ED20&lt;=12)),$FG$5:$FG20),IF(ED20=4,SUMPRODUCT(--(($EE$5:$EE20=$EE20)*($ED$5:$ED20&gt;=1)*($ED$5:$ED20&lt;=3)),$FG$5:$FG20),IF(ED20=7,SUMPRODUCT(--(($EE$5:$EE20=$EE20)*($ED$5:$ED20&gt;=4)*($ED$5:$ED20&lt;=6)),$FG$5:$FG20),IF(ED20=10,SUMPRODUCT(--(($EE$5:$EE20=$EE20)*($ED$5:$ED20&gt;=7)*($ED$5:$ED20&lt;=9)),$FG$5:$FG20),0)))))</f>
        <v/>
      </c>
      <c r="FI20" s="12">
        <f>FI19+FG20-FH20</f>
        <v/>
      </c>
      <c r="FJ20" s="12">
        <f>IF(ProviderDelay&gt;=1,FF19*ProviderShare,FF20*ProviderShare)</f>
        <v/>
      </c>
      <c r="FK20" s="12">
        <f>FC20*PaymentFee</f>
        <v/>
      </c>
      <c r="FL20" s="12">
        <f>EW20*OpsAI</f>
        <v/>
      </c>
      <c r="FM20" s="12">
        <f>MonthlyFixed</f>
        <v/>
      </c>
      <c r="FN20" s="12">
        <f>EK20*ReferralReward</f>
        <v/>
      </c>
      <c r="FO20" s="12">
        <f>EI20</f>
        <v/>
      </c>
      <c r="FP20" s="9">
        <f>FF20-FJ20-FK20-FL20-FM20-FN20-FO20</f>
        <v/>
      </c>
      <c r="FQ20" s="9">
        <f>FQ19+FC20-(FJ20+FK20+FL20+FM20+FN20+FO20+FH20)</f>
        <v/>
      </c>
      <c r="FR20" s="12">
        <f>IF(EW20&gt;0,EX20/EW20,0)</f>
        <v/>
      </c>
      <c r="FS20" s="11">
        <f>IF(EW19&gt;0,MAX(0,(EW19+EL20-EW20)/EW19),0)</f>
        <v/>
      </c>
      <c r="FU20" s="12" t="n">
        <v>16</v>
      </c>
      <c r="FV20" s="12">
        <f>MOD(FU20-1+LaunchMonth-1,12)+1</f>
        <v/>
      </c>
      <c r="FW20" s="12">
        <f>INT((FU20-1+LaunchMonth-1)/12)+1</f>
        <v/>
      </c>
      <c r="FX20" s="12">
        <f>VLOOKUP(FV20,SeasonTable,2,FALSE)</f>
        <v/>
      </c>
      <c r="FY20" s="12">
        <f>(1+InflationRate)^INT((FU20-1)/12)</f>
        <v/>
      </c>
      <c r="FZ20" s="11">
        <f>'Sens - Churn'!$A$14*VLOOKUP(FV20,ChurnSeasonTable,4,FALSE)</f>
        <v/>
      </c>
      <c r="GA20" s="12">
        <f>MIN(MAX(MktMin13_18,GU19*MktPct13_18),MAX(0,HI19-CashBuffer))</f>
        <v/>
      </c>
      <c r="GB20" s="12">
        <f>IF(GA20&gt;0,MAX(1,ROUND(GA20/CAC*FX20,0)),0)</f>
        <v/>
      </c>
      <c r="GC20" s="12">
        <f>IF(GB20&gt;0,ROUND(GB20*ReferralMix/(1-ReferralMix),0),0)</f>
        <v/>
      </c>
      <c r="GD20" s="12">
        <f>GB20+GC20</f>
        <v/>
      </c>
      <c r="GE20" s="12">
        <f>ROUND(GD20*(1-AnnualMix),0)</f>
        <v/>
      </c>
      <c r="GF20" s="12">
        <f>GD20-GE20</f>
        <v/>
      </c>
      <c r="GG20" s="12">
        <f>ROUND(GE20*EssentialMix,0)</f>
        <v/>
      </c>
      <c r="GH20" s="12">
        <f>GE20-GG20</f>
        <v/>
      </c>
      <c r="GI20" s="12">
        <f>ROUND(GF20*EssentialMix,0)</f>
        <v/>
      </c>
      <c r="GJ20" s="12">
        <f>GF20-GI20</f>
        <v/>
      </c>
      <c r="GK20" s="12">
        <f>GG20+GG19+GG18+MAX(0,GK19-GG19-GG18)*(1-FZ20)</f>
        <v/>
      </c>
      <c r="GL20" s="12">
        <f>GH20+GH19+GH18+MAX(0,GL19-GH19-GH18)*(1-FZ20)</f>
        <v/>
      </c>
      <c r="GM20" s="12">
        <f>GM19+GI20-GI8*(AnnualChurn*VLOOKUP(FV20,ChurnSeasonTable,4,FALSE))*POWER(1-(AnnualChurn*VLOOKUP(FV20,ChurnSeasonTable,4,FALSE)),0)</f>
        <v/>
      </c>
      <c r="GN20" s="12">
        <f>GN19+GJ20-GJ8*(AnnualChurn*VLOOKUP(FV20,ChurnSeasonTable,4,FALSE))*POWER(1-(AnnualChurn*VLOOKUP(FV20,ChurnSeasonTable,4,FALSE)),0)</f>
        <v/>
      </c>
      <c r="GO20" s="12">
        <f>GK20+GL20+GM20+GN20</f>
        <v/>
      </c>
      <c r="GP20" s="9">
        <f>GK20*PriceEssMonthly*FY20+GL20*PricePremMonthly*FY20+GM20*PriceEssAnnual*FY20/12+GN20*PricePremAnnual*FY20/12</f>
        <v/>
      </c>
      <c r="GQ20" s="9">
        <f>GP20*12</f>
        <v/>
      </c>
      <c r="GR20" s="12">
        <f>GK20*PriceEssMonthly*FY20+GL20*PricePremMonthly*FY20</f>
        <v/>
      </c>
      <c r="GS20" s="12">
        <f>GI20*PriceEssAnnual*FY20+GJ20*PricePremAnnual*FY20</f>
        <v/>
      </c>
      <c r="GT20" s="12">
        <f>GI8*POWER(1-(AnnualChurn*VLOOKUP(FV20,ChurnSeasonTable,4,FALSE)),1)*PriceEssAnnual*FY20+GJ8*POWER(1-(AnnualChurn*VLOOKUP(FV20,ChurnSeasonTable,4,FALSE)),1)*PricePremAnnual*FY20</f>
        <v/>
      </c>
      <c r="GU20" s="9">
        <f>GR20+GS20+GT20</f>
        <v/>
      </c>
      <c r="GV20" s="12">
        <f>SUM(GU9:GU20)</f>
        <v/>
      </c>
      <c r="GW20" s="12">
        <f>OR(GW19,GV20&gt;=VATThreshold)</f>
        <v/>
      </c>
      <c r="GX20" s="9">
        <f>IF(GW20,GU20/(1+VATRate),GU20)</f>
        <v/>
      </c>
      <c r="GY20" s="12">
        <f>GU20-GX20</f>
        <v/>
      </c>
      <c r="GZ20" s="12">
        <f>IF(GW20=0,0,IF(FV20=1,SUMPRODUCT(--(($FW$5:$FW20=$FW20-1)*($FV$5:$FV20&gt;=10)*($FV$5:$FV20&lt;=12)),$GY$5:$GY20),IF(FV20=4,SUMPRODUCT(--(($FW$5:$FW20=$FW20)*($FV$5:$FV20&gt;=1)*($FV$5:$FV20&lt;=3)),$GY$5:$GY20),IF(FV20=7,SUMPRODUCT(--(($FW$5:$FW20=$FW20)*($FV$5:$FV20&gt;=4)*($FV$5:$FV20&lt;=6)),$GY$5:$GY20),IF(FV20=10,SUMPRODUCT(--(($FW$5:$FW20=$FW20)*($FV$5:$FV20&gt;=7)*($FV$5:$FV20&lt;=9)),$GY$5:$GY20),0)))))</f>
        <v/>
      </c>
      <c r="HA20" s="12">
        <f>HA19+GY20-GZ20</f>
        <v/>
      </c>
      <c r="HB20" s="12">
        <f>IF(ProviderDelay&gt;=1,GX19*ProviderShare,GX20*ProviderShare)</f>
        <v/>
      </c>
      <c r="HC20" s="12">
        <f>GU20*PaymentFee</f>
        <v/>
      </c>
      <c r="HD20" s="12">
        <f>GO20*OpsAI</f>
        <v/>
      </c>
      <c r="HE20" s="12">
        <f>MonthlyFixed</f>
        <v/>
      </c>
      <c r="HF20" s="12">
        <f>GC20*ReferralReward</f>
        <v/>
      </c>
      <c r="HG20" s="12">
        <f>GA20</f>
        <v/>
      </c>
      <c r="HH20" s="9">
        <f>GX20-HB20-HC20-HD20-HE20-HF20-HG20</f>
        <v/>
      </c>
      <c r="HI20" s="9">
        <f>HI19+GU20-(HB20+HC20+HD20+HE20+HF20+HG20+GZ20)</f>
        <v/>
      </c>
      <c r="HJ20" s="12">
        <f>IF(GO20&gt;0,GP20/GO20,0)</f>
        <v/>
      </c>
      <c r="HK20" s="11">
        <f>IF(GO19&gt;0,MAX(0,(GO19+GD20-GO20)/GO19),0)</f>
        <v/>
      </c>
      <c r="HM20" s="12" t="n">
        <v>16</v>
      </c>
      <c r="HN20" s="12">
        <f>MOD(HM20-1+LaunchMonth-1,12)+1</f>
        <v/>
      </c>
      <c r="HO20" s="12">
        <f>INT((HM20-1+LaunchMonth-1)/12)+1</f>
        <v/>
      </c>
      <c r="HP20" s="12">
        <f>VLOOKUP(HN20,SeasonTable,2,FALSE)</f>
        <v/>
      </c>
      <c r="HQ20" s="12">
        <f>(1+InflationRate)^INT((HM20-1)/12)</f>
        <v/>
      </c>
      <c r="HR20" s="11">
        <f>'Sens - Churn'!$A$15*VLOOKUP(HN20,ChurnSeasonTable,4,FALSE)</f>
        <v/>
      </c>
      <c r="HS20" s="12">
        <f>MIN(MAX(MktMin13_18,IM19*MktPct13_18),MAX(0,JA19-CashBuffer))</f>
        <v/>
      </c>
      <c r="HT20" s="12">
        <f>IF(HS20&gt;0,MAX(1,ROUND(HS20/CAC*HP20,0)),0)</f>
        <v/>
      </c>
      <c r="HU20" s="12">
        <f>IF(HT20&gt;0,ROUND(HT20*ReferralMix/(1-ReferralMix),0),0)</f>
        <v/>
      </c>
      <c r="HV20" s="12">
        <f>HT20+HU20</f>
        <v/>
      </c>
      <c r="HW20" s="12">
        <f>ROUND(HV20*(1-AnnualMix),0)</f>
        <v/>
      </c>
      <c r="HX20" s="12">
        <f>HV20-HW20</f>
        <v/>
      </c>
      <c r="HY20" s="12">
        <f>ROUND(HW20*EssentialMix,0)</f>
        <v/>
      </c>
      <c r="HZ20" s="12">
        <f>HW20-HY20</f>
        <v/>
      </c>
      <c r="IA20" s="12">
        <f>ROUND(HX20*EssentialMix,0)</f>
        <v/>
      </c>
      <c r="IB20" s="12">
        <f>HX20-IA20</f>
        <v/>
      </c>
      <c r="IC20" s="12">
        <f>HY20+HY19+HY18+MAX(0,IC19-HY19-HY18)*(1-HR20)</f>
        <v/>
      </c>
      <c r="ID20" s="12">
        <f>HZ20+HZ19+HZ18+MAX(0,ID19-HZ19-HZ18)*(1-HR20)</f>
        <v/>
      </c>
      <c r="IE20" s="12">
        <f>IE19+IA20-IA8*(AnnualChurn*VLOOKUP(HN20,ChurnSeasonTable,4,FALSE))*POWER(1-(AnnualChurn*VLOOKUP(HN20,ChurnSeasonTable,4,FALSE)),0)</f>
        <v/>
      </c>
      <c r="IF20" s="12">
        <f>IF19+IB20-IB8*(AnnualChurn*VLOOKUP(HN20,ChurnSeasonTable,4,FALSE))*POWER(1-(AnnualChurn*VLOOKUP(HN20,ChurnSeasonTable,4,FALSE)),0)</f>
        <v/>
      </c>
      <c r="IG20" s="12">
        <f>IC20+ID20+IE20+IF20</f>
        <v/>
      </c>
      <c r="IH20" s="9">
        <f>IC20*PriceEssMonthly*HQ20+ID20*PricePremMonthly*HQ20+IE20*PriceEssAnnual*HQ20/12+IF20*PricePremAnnual*HQ20/12</f>
        <v/>
      </c>
      <c r="II20" s="9">
        <f>IH20*12</f>
        <v/>
      </c>
      <c r="IJ20" s="12">
        <f>IC20*PriceEssMonthly*HQ20+ID20*PricePremMonthly*HQ20</f>
        <v/>
      </c>
      <c r="IK20" s="12">
        <f>IA20*PriceEssAnnual*HQ20+IB20*PricePremAnnual*HQ20</f>
        <v/>
      </c>
      <c r="IL20" s="12">
        <f>IA8*POWER(1-(AnnualChurn*VLOOKUP(HN20,ChurnSeasonTable,4,FALSE)),1)*PriceEssAnnual*HQ20+IB8*POWER(1-(AnnualChurn*VLOOKUP(HN20,ChurnSeasonTable,4,FALSE)),1)*PricePremAnnual*HQ20</f>
        <v/>
      </c>
      <c r="IM20" s="9">
        <f>IJ20+IK20+IL20</f>
        <v/>
      </c>
      <c r="IN20" s="12">
        <f>SUM(IM9:IM20)</f>
        <v/>
      </c>
      <c r="IO20" s="12">
        <f>OR(IO19,IN20&gt;=VATThreshold)</f>
        <v/>
      </c>
      <c r="IP20" s="9">
        <f>IF(IO20,IM20/(1+VATRate),IM20)</f>
        <v/>
      </c>
      <c r="IQ20" s="12">
        <f>IM20-IP20</f>
        <v/>
      </c>
      <c r="IR20" s="12">
        <f>IF(IO20=0,0,IF(HN20=1,SUMPRODUCT(--(($HO$5:$HO20=$HO20-1)*($HN$5:$HN20&gt;=10)*($HN$5:$HN20&lt;=12)),$IQ$5:$IQ20),IF(HN20=4,SUMPRODUCT(--(($HO$5:$HO20=$HO20)*($HN$5:$HN20&gt;=1)*($HN$5:$HN20&lt;=3)),$IQ$5:$IQ20),IF(HN20=7,SUMPRODUCT(--(($HO$5:$HO20=$HO20)*($HN$5:$HN20&gt;=4)*($HN$5:$HN20&lt;=6)),$IQ$5:$IQ20),IF(HN20=10,SUMPRODUCT(--(($HO$5:$HO20=$HO20)*($HN$5:$HN20&gt;=7)*($HN$5:$HN20&lt;=9)),$IQ$5:$IQ20),0)))))</f>
        <v/>
      </c>
      <c r="IS20" s="12">
        <f>IS19+IQ20-IR20</f>
        <v/>
      </c>
      <c r="IT20" s="12">
        <f>IF(ProviderDelay&gt;=1,IP19*ProviderShare,IP20*ProviderShare)</f>
        <v/>
      </c>
      <c r="IU20" s="12">
        <f>IM20*PaymentFee</f>
        <v/>
      </c>
      <c r="IV20" s="12">
        <f>IG20*OpsAI</f>
        <v/>
      </c>
      <c r="IW20" s="12">
        <f>MonthlyFixed</f>
        <v/>
      </c>
      <c r="IX20" s="12">
        <f>HU20*ReferralReward</f>
        <v/>
      </c>
      <c r="IY20" s="12">
        <f>HS20</f>
        <v/>
      </c>
      <c r="IZ20" s="9">
        <f>IP20-IT20-IU20-IV20-IW20-IX20-IY20</f>
        <v/>
      </c>
      <c r="JA20" s="9">
        <f>JA19+IM20-(IT20+IU20+IV20+IW20+IX20+IY20+IR20)</f>
        <v/>
      </c>
      <c r="JB20" s="12">
        <f>IF(IG20&gt;0,IH20/IG20,0)</f>
        <v/>
      </c>
      <c r="JC20" s="11">
        <f>IF(IG19&gt;0,MAX(0,(IG19+HV20-IG20)/IG19),0)</f>
        <v/>
      </c>
      <c r="JE20" s="12" t="n">
        <v>16</v>
      </c>
      <c r="JF20" s="12">
        <f>MOD(JE20-1+LaunchMonth-1,12)+1</f>
        <v/>
      </c>
      <c r="JG20" s="12">
        <f>INT((JE20-1+LaunchMonth-1)/12)+1</f>
        <v/>
      </c>
      <c r="JH20" s="12">
        <f>VLOOKUP(JF20,SeasonTable,2,FALSE)</f>
        <v/>
      </c>
      <c r="JI20" s="12">
        <f>(1+InflationRate)^INT((JE20-1)/12)</f>
        <v/>
      </c>
      <c r="JJ20" s="11">
        <f>'Sens - Churn'!$A$16*VLOOKUP(JF20,ChurnSeasonTable,4,FALSE)</f>
        <v/>
      </c>
      <c r="JK20" s="12">
        <f>MIN(MAX(MktMin13_18,KE19*MktPct13_18),MAX(0,KS19-CashBuffer))</f>
        <v/>
      </c>
      <c r="JL20" s="12">
        <f>IF(JK20&gt;0,MAX(1,ROUND(JK20/CAC*JH20,0)),0)</f>
        <v/>
      </c>
      <c r="JM20" s="12">
        <f>IF(JL20&gt;0,ROUND(JL20*ReferralMix/(1-ReferralMix),0),0)</f>
        <v/>
      </c>
      <c r="JN20" s="12">
        <f>JL20+JM20</f>
        <v/>
      </c>
      <c r="JO20" s="12">
        <f>ROUND(JN20*(1-AnnualMix),0)</f>
        <v/>
      </c>
      <c r="JP20" s="12">
        <f>JN20-JO20</f>
        <v/>
      </c>
      <c r="JQ20" s="12">
        <f>ROUND(JO20*EssentialMix,0)</f>
        <v/>
      </c>
      <c r="JR20" s="12">
        <f>JO20-JQ20</f>
        <v/>
      </c>
      <c r="JS20" s="12">
        <f>ROUND(JP20*EssentialMix,0)</f>
        <v/>
      </c>
      <c r="JT20" s="12">
        <f>JP20-JS20</f>
        <v/>
      </c>
      <c r="JU20" s="12">
        <f>JQ20+JQ19+JQ18+MAX(0,JU19-JQ19-JQ18)*(1-JJ20)</f>
        <v/>
      </c>
      <c r="JV20" s="12">
        <f>JR20+JR19+JR18+MAX(0,JV19-JR19-JR18)*(1-JJ20)</f>
        <v/>
      </c>
      <c r="JW20" s="12">
        <f>JW19+JS20-JS8*(AnnualChurn*VLOOKUP(JF20,ChurnSeasonTable,4,FALSE))*POWER(1-(AnnualChurn*VLOOKUP(JF20,ChurnSeasonTable,4,FALSE)),0)</f>
        <v/>
      </c>
      <c r="JX20" s="12">
        <f>JX19+JT20-JT8*(AnnualChurn*VLOOKUP(JF20,ChurnSeasonTable,4,FALSE))*POWER(1-(AnnualChurn*VLOOKUP(JF20,ChurnSeasonTable,4,FALSE)),0)</f>
        <v/>
      </c>
      <c r="JY20" s="12">
        <f>JU20+JV20+JW20+JX20</f>
        <v/>
      </c>
      <c r="JZ20" s="9">
        <f>JU20*PriceEssMonthly*JI20+JV20*PricePremMonthly*JI20+JW20*PriceEssAnnual*JI20/12+JX20*PricePremAnnual*JI20/12</f>
        <v/>
      </c>
      <c r="KA20" s="9">
        <f>JZ20*12</f>
        <v/>
      </c>
      <c r="KB20" s="12">
        <f>JU20*PriceEssMonthly*JI20+JV20*PricePremMonthly*JI20</f>
        <v/>
      </c>
      <c r="KC20" s="12">
        <f>JS20*PriceEssAnnual*JI20+JT20*PricePremAnnual*JI20</f>
        <v/>
      </c>
      <c r="KD20" s="12">
        <f>JS8*POWER(1-(AnnualChurn*VLOOKUP(JF20,ChurnSeasonTable,4,FALSE)),1)*PriceEssAnnual*JI20+JT8*POWER(1-(AnnualChurn*VLOOKUP(JF20,ChurnSeasonTable,4,FALSE)),1)*PricePremAnnual*JI20</f>
        <v/>
      </c>
      <c r="KE20" s="9">
        <f>KB20+KC20+KD20</f>
        <v/>
      </c>
      <c r="KF20" s="12">
        <f>SUM(KE9:KE20)</f>
        <v/>
      </c>
      <c r="KG20" s="12">
        <f>OR(KG19,KF20&gt;=VATThreshold)</f>
        <v/>
      </c>
      <c r="KH20" s="9">
        <f>IF(KG20,KE20/(1+VATRate),KE20)</f>
        <v/>
      </c>
      <c r="KI20" s="12">
        <f>KE20-KH20</f>
        <v/>
      </c>
      <c r="KJ20" s="12">
        <f>IF(KG20=0,0,IF(JF20=1,SUMPRODUCT(--(($JG$5:$JG20=$JG20-1)*($JF$5:$JF20&gt;=10)*($JF$5:$JF20&lt;=12)),$KI$5:$KI20),IF(JF20=4,SUMPRODUCT(--(($JG$5:$JG20=$JG20)*($JF$5:$JF20&gt;=1)*($JF$5:$JF20&lt;=3)),$KI$5:$KI20),IF(JF20=7,SUMPRODUCT(--(($JG$5:$JG20=$JG20)*($JF$5:$JF20&gt;=4)*($JF$5:$JF20&lt;=6)),$KI$5:$KI20),IF(JF20=10,SUMPRODUCT(--(($JG$5:$JG20=$JG20)*($JF$5:$JF20&gt;=7)*($JF$5:$JF20&lt;=9)),$KI$5:$KI20),0)))))</f>
        <v/>
      </c>
      <c r="KK20" s="12">
        <f>KK19+KI20-KJ20</f>
        <v/>
      </c>
      <c r="KL20" s="12">
        <f>IF(ProviderDelay&gt;=1,KH19*ProviderShare,KH20*ProviderShare)</f>
        <v/>
      </c>
      <c r="KM20" s="12">
        <f>KE20*PaymentFee</f>
        <v/>
      </c>
      <c r="KN20" s="12">
        <f>JY20*OpsAI</f>
        <v/>
      </c>
      <c r="KO20" s="12">
        <f>MonthlyFixed</f>
        <v/>
      </c>
      <c r="KP20" s="12">
        <f>JM20*ReferralReward</f>
        <v/>
      </c>
      <c r="KQ20" s="12">
        <f>JK20</f>
        <v/>
      </c>
      <c r="KR20" s="9">
        <f>KH20-KL20-KM20-KN20-KO20-KP20-KQ20</f>
        <v/>
      </c>
      <c r="KS20" s="9">
        <f>KS19+KE20-(KL20+KM20+KN20+KO20+KP20+KQ20+KJ20)</f>
        <v/>
      </c>
      <c r="KT20" s="12">
        <f>IF(JY20&gt;0,JZ20/JY20,0)</f>
        <v/>
      </c>
      <c r="KU20" s="11">
        <f>IF(JY19&gt;0,MAX(0,(JY19+JN20-JY20)/JY19),0)</f>
        <v/>
      </c>
      <c r="KW20" s="12" t="n">
        <v>16</v>
      </c>
      <c r="KX20" s="12">
        <f>MOD(KW20-1+LaunchMonth-1,12)+1</f>
        <v/>
      </c>
      <c r="KY20" s="12">
        <f>INT((KW20-1+LaunchMonth-1)/12)+1</f>
        <v/>
      </c>
      <c r="KZ20" s="12">
        <f>VLOOKUP(KX20,SeasonTable,2,FALSE)</f>
        <v/>
      </c>
      <c r="LA20" s="12">
        <f>(1+InflationRate)^INT((KW20-1)/12)</f>
        <v/>
      </c>
      <c r="LB20" s="11">
        <f>'Sens - Churn'!$A$17*VLOOKUP(KX20,ChurnSeasonTable,4,FALSE)</f>
        <v/>
      </c>
      <c r="LC20" s="12">
        <f>MIN(MAX(MktMin13_18,LW19*MktPct13_18),MAX(0,MK19-CashBuffer))</f>
        <v/>
      </c>
      <c r="LD20" s="12">
        <f>IF(LC20&gt;0,MAX(1,ROUND(LC20/CAC*KZ20,0)),0)</f>
        <v/>
      </c>
      <c r="LE20" s="12">
        <f>IF(LD20&gt;0,ROUND(LD20*ReferralMix/(1-ReferralMix),0),0)</f>
        <v/>
      </c>
      <c r="LF20" s="12">
        <f>LD20+LE20</f>
        <v/>
      </c>
      <c r="LG20" s="12">
        <f>ROUND(LF20*(1-AnnualMix),0)</f>
        <v/>
      </c>
      <c r="LH20" s="12">
        <f>LF20-LG20</f>
        <v/>
      </c>
      <c r="LI20" s="12">
        <f>ROUND(LG20*EssentialMix,0)</f>
        <v/>
      </c>
      <c r="LJ20" s="12">
        <f>LG20-LI20</f>
        <v/>
      </c>
      <c r="LK20" s="12">
        <f>ROUND(LH20*EssentialMix,0)</f>
        <v/>
      </c>
      <c r="LL20" s="12">
        <f>LH20-LK20</f>
        <v/>
      </c>
      <c r="LM20" s="12">
        <f>LI20+LI19+LI18+MAX(0,LM19-LI19-LI18)*(1-LB20)</f>
        <v/>
      </c>
      <c r="LN20" s="12">
        <f>LJ20+LJ19+LJ18+MAX(0,LN19-LJ19-LJ18)*(1-LB20)</f>
        <v/>
      </c>
      <c r="LO20" s="12">
        <f>LO19+LK20-LK8*(AnnualChurn*VLOOKUP(KX20,ChurnSeasonTable,4,FALSE))*POWER(1-(AnnualChurn*VLOOKUP(KX20,ChurnSeasonTable,4,FALSE)),0)</f>
        <v/>
      </c>
      <c r="LP20" s="12">
        <f>LP19+LL20-LL8*(AnnualChurn*VLOOKUP(KX20,ChurnSeasonTable,4,FALSE))*POWER(1-(AnnualChurn*VLOOKUP(KX20,ChurnSeasonTable,4,FALSE)),0)</f>
        <v/>
      </c>
      <c r="LQ20" s="12">
        <f>LM20+LN20+LO20+LP20</f>
        <v/>
      </c>
      <c r="LR20" s="9">
        <f>LM20*PriceEssMonthly*LA20+LN20*PricePremMonthly*LA20+LO20*PriceEssAnnual*LA20/12+LP20*PricePremAnnual*LA20/12</f>
        <v/>
      </c>
      <c r="LS20" s="9">
        <f>LR20*12</f>
        <v/>
      </c>
      <c r="LT20" s="12">
        <f>LM20*PriceEssMonthly*LA20+LN20*PricePremMonthly*LA20</f>
        <v/>
      </c>
      <c r="LU20" s="12">
        <f>LK20*PriceEssAnnual*LA20+LL20*PricePremAnnual*LA20</f>
        <v/>
      </c>
      <c r="LV20" s="12">
        <f>LK8*POWER(1-(AnnualChurn*VLOOKUP(KX20,ChurnSeasonTable,4,FALSE)),1)*PriceEssAnnual*LA20+LL8*POWER(1-(AnnualChurn*VLOOKUP(KX20,ChurnSeasonTable,4,FALSE)),1)*PricePremAnnual*LA20</f>
        <v/>
      </c>
      <c r="LW20" s="9">
        <f>LT20+LU20+LV20</f>
        <v/>
      </c>
      <c r="LX20" s="12">
        <f>SUM(LW9:LW20)</f>
        <v/>
      </c>
      <c r="LY20" s="12">
        <f>OR(LY19,LX20&gt;=VATThreshold)</f>
        <v/>
      </c>
      <c r="LZ20" s="9">
        <f>IF(LY20,LW20/(1+VATRate),LW20)</f>
        <v/>
      </c>
      <c r="MA20" s="12">
        <f>LW20-LZ20</f>
        <v/>
      </c>
      <c r="MB20" s="12">
        <f>IF(LY20=0,0,IF(KX20=1,SUMPRODUCT(--(($KY$5:$KY20=$KY20-1)*($KX$5:$KX20&gt;=10)*($KX$5:$KX20&lt;=12)),$MA$5:$MA20),IF(KX20=4,SUMPRODUCT(--(($KY$5:$KY20=$KY20)*($KX$5:$KX20&gt;=1)*($KX$5:$KX20&lt;=3)),$MA$5:$MA20),IF(KX20=7,SUMPRODUCT(--(($KY$5:$KY20=$KY20)*($KX$5:$KX20&gt;=4)*($KX$5:$KX20&lt;=6)),$MA$5:$MA20),IF(KX20=10,SUMPRODUCT(--(($KY$5:$KY20=$KY20)*($KX$5:$KX20&gt;=7)*($KX$5:$KX20&lt;=9)),$MA$5:$MA20),0)))))</f>
        <v/>
      </c>
      <c r="MC20" s="12">
        <f>MC19+MA20-MB20</f>
        <v/>
      </c>
      <c r="MD20" s="12">
        <f>IF(ProviderDelay&gt;=1,LZ19*ProviderShare,LZ20*ProviderShare)</f>
        <v/>
      </c>
      <c r="ME20" s="12">
        <f>LW20*PaymentFee</f>
        <v/>
      </c>
      <c r="MF20" s="12">
        <f>LQ20*OpsAI</f>
        <v/>
      </c>
      <c r="MG20" s="12">
        <f>MonthlyFixed</f>
        <v/>
      </c>
      <c r="MH20" s="12">
        <f>LE20*ReferralReward</f>
        <v/>
      </c>
      <c r="MI20" s="12">
        <f>LC20</f>
        <v/>
      </c>
      <c r="MJ20" s="9">
        <f>LZ20-MD20-ME20-MF20-MG20-MH20-MI20</f>
        <v/>
      </c>
      <c r="MK20" s="9">
        <f>MK19+LW20-(MD20+ME20+MF20+MG20+MH20+MI20+MB20)</f>
        <v/>
      </c>
      <c r="ML20" s="12">
        <f>IF(LQ20&gt;0,LR20/LQ20,0)</f>
        <v/>
      </c>
      <c r="MM20" s="11">
        <f>IF(LQ19&gt;0,MAX(0,(LQ19+LF20-LQ20)/LQ19),0)</f>
        <v/>
      </c>
      <c r="MO20" s="12" t="n">
        <v>16</v>
      </c>
      <c r="MP20" s="12">
        <f>MOD(MO20-1+LaunchMonth-1,12)+1</f>
        <v/>
      </c>
      <c r="MQ20" s="12">
        <f>INT((MO20-1+LaunchMonth-1)/12)+1</f>
        <v/>
      </c>
      <c r="MR20" s="12">
        <f>VLOOKUP(MP20,SeasonTable,2,FALSE)</f>
        <v/>
      </c>
      <c r="MS20" s="12">
        <f>(1+InflationRate)^INT((MO20-1)/12)</f>
        <v/>
      </c>
      <c r="MT20" s="11">
        <f>'Sens - Churn'!$A$18*VLOOKUP(MP20,ChurnSeasonTable,4,FALSE)</f>
        <v/>
      </c>
      <c r="MU20" s="12">
        <f>MIN(MAX(MktMin13_18,NO19*MktPct13_18),MAX(0,OC19-CashBuffer))</f>
        <v/>
      </c>
      <c r="MV20" s="12">
        <f>IF(MU20&gt;0,MAX(1,ROUND(MU20/CAC*MR20,0)),0)</f>
        <v/>
      </c>
      <c r="MW20" s="12">
        <f>IF(MV20&gt;0,ROUND(MV20*ReferralMix/(1-ReferralMix),0),0)</f>
        <v/>
      </c>
      <c r="MX20" s="12">
        <f>MV20+MW20</f>
        <v/>
      </c>
      <c r="MY20" s="12">
        <f>ROUND(MX20*(1-AnnualMix),0)</f>
        <v/>
      </c>
      <c r="MZ20" s="12">
        <f>MX20-MY20</f>
        <v/>
      </c>
      <c r="NA20" s="12">
        <f>ROUND(MY20*EssentialMix,0)</f>
        <v/>
      </c>
      <c r="NB20" s="12">
        <f>MY20-NA20</f>
        <v/>
      </c>
      <c r="NC20" s="12">
        <f>ROUND(MZ20*EssentialMix,0)</f>
        <v/>
      </c>
      <c r="ND20" s="12">
        <f>MZ20-NC20</f>
        <v/>
      </c>
      <c r="NE20" s="12">
        <f>NA20+NA19+NA18+MAX(0,NE19-NA19-NA18)*(1-MT20)</f>
        <v/>
      </c>
      <c r="NF20" s="12">
        <f>NB20+NB19+NB18+MAX(0,NF19-NB19-NB18)*(1-MT20)</f>
        <v/>
      </c>
      <c r="NG20" s="12">
        <f>NG19+NC20-NC8*(AnnualChurn*VLOOKUP(MP20,ChurnSeasonTable,4,FALSE))*POWER(1-(AnnualChurn*VLOOKUP(MP20,ChurnSeasonTable,4,FALSE)),0)</f>
        <v/>
      </c>
      <c r="NH20" s="12">
        <f>NH19+ND20-ND8*(AnnualChurn*VLOOKUP(MP20,ChurnSeasonTable,4,FALSE))*POWER(1-(AnnualChurn*VLOOKUP(MP20,ChurnSeasonTable,4,FALSE)),0)</f>
        <v/>
      </c>
      <c r="NI20" s="12">
        <f>NE20+NF20+NG20+NH20</f>
        <v/>
      </c>
      <c r="NJ20" s="9">
        <f>NE20*PriceEssMonthly*MS20+NF20*PricePremMonthly*MS20+NG20*PriceEssAnnual*MS20/12+NH20*PricePremAnnual*MS20/12</f>
        <v/>
      </c>
      <c r="NK20" s="9">
        <f>NJ20*12</f>
        <v/>
      </c>
      <c r="NL20" s="12">
        <f>NE20*PriceEssMonthly*MS20+NF20*PricePremMonthly*MS20</f>
        <v/>
      </c>
      <c r="NM20" s="12">
        <f>NC20*PriceEssAnnual*MS20+ND20*PricePremAnnual*MS20</f>
        <v/>
      </c>
      <c r="NN20" s="12">
        <f>NC8*POWER(1-(AnnualChurn*VLOOKUP(MP20,ChurnSeasonTable,4,FALSE)),1)*PriceEssAnnual*MS20+ND8*POWER(1-(AnnualChurn*VLOOKUP(MP20,ChurnSeasonTable,4,FALSE)),1)*PricePremAnnual*MS20</f>
        <v/>
      </c>
      <c r="NO20" s="9">
        <f>NL20+NM20+NN20</f>
        <v/>
      </c>
      <c r="NP20" s="12">
        <f>SUM(NO9:NO20)</f>
        <v/>
      </c>
      <c r="NQ20" s="12">
        <f>OR(NQ19,NP20&gt;=VATThreshold)</f>
        <v/>
      </c>
      <c r="NR20" s="9">
        <f>IF(NQ20,NO20/(1+VATRate),NO20)</f>
        <v/>
      </c>
      <c r="NS20" s="12">
        <f>NO20-NR20</f>
        <v/>
      </c>
      <c r="NT20" s="12">
        <f>IF(NQ20=0,0,IF(MP20=1,SUMPRODUCT(--(($MQ$5:$MQ20=$MQ20-1)*($MP$5:$MP20&gt;=10)*($MP$5:$MP20&lt;=12)),$NS$5:$NS20),IF(MP20=4,SUMPRODUCT(--(($MQ$5:$MQ20=$MQ20)*($MP$5:$MP20&gt;=1)*($MP$5:$MP20&lt;=3)),$NS$5:$NS20),IF(MP20=7,SUMPRODUCT(--(($MQ$5:$MQ20=$MQ20)*($MP$5:$MP20&gt;=4)*($MP$5:$MP20&lt;=6)),$NS$5:$NS20),IF(MP20=10,SUMPRODUCT(--(($MQ$5:$MQ20=$MQ20)*($MP$5:$MP20&gt;=7)*($MP$5:$MP20&lt;=9)),$NS$5:$NS20),0)))))</f>
        <v/>
      </c>
      <c r="NU20" s="12">
        <f>NU19+NS20-NT20</f>
        <v/>
      </c>
      <c r="NV20" s="12">
        <f>IF(ProviderDelay&gt;=1,NR19*ProviderShare,NR20*ProviderShare)</f>
        <v/>
      </c>
      <c r="NW20" s="12">
        <f>NO20*PaymentFee</f>
        <v/>
      </c>
      <c r="NX20" s="12">
        <f>NI20*OpsAI</f>
        <v/>
      </c>
      <c r="NY20" s="12">
        <f>MonthlyFixed</f>
        <v/>
      </c>
      <c r="NZ20" s="12">
        <f>MW20*ReferralReward</f>
        <v/>
      </c>
      <c r="OA20" s="12">
        <f>MU20</f>
        <v/>
      </c>
      <c r="OB20" s="9">
        <f>NR20-NV20-NW20-NX20-NY20-NZ20-OA20</f>
        <v/>
      </c>
      <c r="OC20" s="9">
        <f>OC19+NO20-(NV20+NW20+NX20+NY20+NZ20+OA20+NT20)</f>
        <v/>
      </c>
      <c r="OD20" s="12">
        <f>IF(NI20&gt;0,NJ20/NI20,0)</f>
        <v/>
      </c>
      <c r="OE20" s="11">
        <f>IF(NI19&gt;0,MAX(0,(NI19+MX20-NI20)/NI19),0)</f>
        <v/>
      </c>
      <c r="OG20" s="12" t="n">
        <v>16</v>
      </c>
      <c r="OH20" s="12">
        <f>MOD(OG20-1+LaunchMonth-1,12)+1</f>
        <v/>
      </c>
      <c r="OI20" s="12">
        <f>INT((OG20-1+LaunchMonth-1)/12)+1</f>
        <v/>
      </c>
      <c r="OJ20" s="12">
        <f>VLOOKUP(OH20,SeasonTable,2,FALSE)</f>
        <v/>
      </c>
      <c r="OK20" s="12">
        <f>(1+InflationRate)^INT((OG20-1)/12)</f>
        <v/>
      </c>
      <c r="OL20" s="11">
        <f>'Sens - Churn'!$A$19*VLOOKUP(OH20,ChurnSeasonTable,4,FALSE)</f>
        <v/>
      </c>
      <c r="OM20" s="12">
        <f>MIN(MAX(MktMin13_18,PG19*MktPct13_18),MAX(0,PU19-CashBuffer))</f>
        <v/>
      </c>
      <c r="ON20" s="12">
        <f>IF(OM20&gt;0,MAX(1,ROUND(OM20/CAC*OJ20,0)),0)</f>
        <v/>
      </c>
      <c r="OO20" s="12">
        <f>IF(ON20&gt;0,ROUND(ON20*ReferralMix/(1-ReferralMix),0),0)</f>
        <v/>
      </c>
      <c r="OP20" s="12">
        <f>ON20+OO20</f>
        <v/>
      </c>
      <c r="OQ20" s="12">
        <f>ROUND(OP20*(1-AnnualMix),0)</f>
        <v/>
      </c>
      <c r="OR20" s="12">
        <f>OP20-OQ20</f>
        <v/>
      </c>
      <c r="OS20" s="12">
        <f>ROUND(OQ20*EssentialMix,0)</f>
        <v/>
      </c>
      <c r="OT20" s="12">
        <f>OQ20-OS20</f>
        <v/>
      </c>
      <c r="OU20" s="12">
        <f>ROUND(OR20*EssentialMix,0)</f>
        <v/>
      </c>
      <c r="OV20" s="12">
        <f>OR20-OU20</f>
        <v/>
      </c>
      <c r="OW20" s="12">
        <f>OS20+OS19+OS18+MAX(0,OW19-OS19-OS18)*(1-OL20)</f>
        <v/>
      </c>
      <c r="OX20" s="12">
        <f>OT20+OT19+OT18+MAX(0,OX19-OT19-OT18)*(1-OL20)</f>
        <v/>
      </c>
      <c r="OY20" s="12">
        <f>OY19+OU20-OU8*(AnnualChurn*VLOOKUP(OH20,ChurnSeasonTable,4,FALSE))*POWER(1-(AnnualChurn*VLOOKUP(OH20,ChurnSeasonTable,4,FALSE)),0)</f>
        <v/>
      </c>
      <c r="OZ20" s="12">
        <f>OZ19+OV20-OV8*(AnnualChurn*VLOOKUP(OH20,ChurnSeasonTable,4,FALSE))*POWER(1-(AnnualChurn*VLOOKUP(OH20,ChurnSeasonTable,4,FALSE)),0)</f>
        <v/>
      </c>
      <c r="PA20" s="12">
        <f>OW20+OX20+OY20+OZ20</f>
        <v/>
      </c>
      <c r="PB20" s="9">
        <f>OW20*PriceEssMonthly*OK20+OX20*PricePremMonthly*OK20+OY20*PriceEssAnnual*OK20/12+OZ20*PricePremAnnual*OK20/12</f>
        <v/>
      </c>
      <c r="PC20" s="9">
        <f>PB20*12</f>
        <v/>
      </c>
      <c r="PD20" s="12">
        <f>OW20*PriceEssMonthly*OK20+OX20*PricePremMonthly*OK20</f>
        <v/>
      </c>
      <c r="PE20" s="12">
        <f>OU20*PriceEssAnnual*OK20+OV20*PricePremAnnual*OK20</f>
        <v/>
      </c>
      <c r="PF20" s="12">
        <f>OU8*POWER(1-(AnnualChurn*VLOOKUP(OH20,ChurnSeasonTable,4,FALSE)),1)*PriceEssAnnual*OK20+OV8*POWER(1-(AnnualChurn*VLOOKUP(OH20,ChurnSeasonTable,4,FALSE)),1)*PricePremAnnual*OK20</f>
        <v/>
      </c>
      <c r="PG20" s="9">
        <f>PD20+PE20+PF20</f>
        <v/>
      </c>
      <c r="PH20" s="12">
        <f>SUM(PG9:PG20)</f>
        <v/>
      </c>
      <c r="PI20" s="12">
        <f>OR(PI19,PH20&gt;=VATThreshold)</f>
        <v/>
      </c>
      <c r="PJ20" s="9">
        <f>IF(PI20,PG20/(1+VATRate),PG20)</f>
        <v/>
      </c>
      <c r="PK20" s="12">
        <f>PG20-PJ20</f>
        <v/>
      </c>
      <c r="PL20" s="12">
        <f>IF(PI20=0,0,IF(OH20=1,SUMPRODUCT(--(($OI$5:$OI20=$OI20-1)*($OH$5:$OH20&gt;=10)*($OH$5:$OH20&lt;=12)),$PK$5:$PK20),IF(OH20=4,SUMPRODUCT(--(($OI$5:$OI20=$OI20)*($OH$5:$OH20&gt;=1)*($OH$5:$OH20&lt;=3)),$PK$5:$PK20),IF(OH20=7,SUMPRODUCT(--(($OI$5:$OI20=$OI20)*($OH$5:$OH20&gt;=4)*($OH$5:$OH20&lt;=6)),$PK$5:$PK20),IF(OH20=10,SUMPRODUCT(--(($OI$5:$OI20=$OI20)*($OH$5:$OH20&gt;=7)*($OH$5:$OH20&lt;=9)),$PK$5:$PK20),0)))))</f>
        <v/>
      </c>
      <c r="PM20" s="12">
        <f>PM19+PK20-PL20</f>
        <v/>
      </c>
      <c r="PN20" s="12">
        <f>IF(ProviderDelay&gt;=1,PJ19*ProviderShare,PJ20*ProviderShare)</f>
        <v/>
      </c>
      <c r="PO20" s="12">
        <f>PG20*PaymentFee</f>
        <v/>
      </c>
      <c r="PP20" s="12">
        <f>PA20*OpsAI</f>
        <v/>
      </c>
      <c r="PQ20" s="12">
        <f>MonthlyFixed</f>
        <v/>
      </c>
      <c r="PR20" s="12">
        <f>OO20*ReferralReward</f>
        <v/>
      </c>
      <c r="PS20" s="12">
        <f>OM20</f>
        <v/>
      </c>
      <c r="PT20" s="9">
        <f>PJ20-PN20-PO20-PP20-PQ20-PR20-PS20</f>
        <v/>
      </c>
      <c r="PU20" s="9">
        <f>PU19+PG20-(PN20+PO20+PP20+PQ20+PR20+PS20+PL20)</f>
        <v/>
      </c>
      <c r="PV20" s="12">
        <f>IF(PA20&gt;0,PB20/PA20,0)</f>
        <v/>
      </c>
      <c r="PW20" s="11">
        <f>IF(PA19&gt;0,MAX(0,(PA19+OP20-PA20)/PA19),0)</f>
        <v/>
      </c>
      <c r="PY20" s="12" t="n">
        <v>16</v>
      </c>
      <c r="PZ20" s="12">
        <f>MOD(PY20-1+LaunchMonth-1,12)+1</f>
        <v/>
      </c>
      <c r="QA20" s="12">
        <f>INT((PY20-1+LaunchMonth-1)/12)+1</f>
        <v/>
      </c>
      <c r="QB20" s="12">
        <f>VLOOKUP(PZ20,SeasonTable,2,FALSE)</f>
        <v/>
      </c>
      <c r="QC20" s="12">
        <f>(1+InflationRate)^INT((PY20-1)/12)</f>
        <v/>
      </c>
      <c r="QD20" s="11">
        <f>'Sens - Churn'!$A$20*VLOOKUP(PZ20,ChurnSeasonTable,4,FALSE)</f>
        <v/>
      </c>
      <c r="QE20" s="12">
        <f>MIN(MAX(MktMin13_18,QY19*MktPct13_18),MAX(0,RM19-CashBuffer))</f>
        <v/>
      </c>
      <c r="QF20" s="12">
        <f>IF(QE20&gt;0,MAX(1,ROUND(QE20/CAC*QB20,0)),0)</f>
        <v/>
      </c>
      <c r="QG20" s="12">
        <f>IF(QF20&gt;0,ROUND(QF20*ReferralMix/(1-ReferralMix),0),0)</f>
        <v/>
      </c>
      <c r="QH20" s="12">
        <f>QF20+QG20</f>
        <v/>
      </c>
      <c r="QI20" s="12">
        <f>ROUND(QH20*(1-AnnualMix),0)</f>
        <v/>
      </c>
      <c r="QJ20" s="12">
        <f>QH20-QI20</f>
        <v/>
      </c>
      <c r="QK20" s="12">
        <f>ROUND(QI20*EssentialMix,0)</f>
        <v/>
      </c>
      <c r="QL20" s="12">
        <f>QI20-QK20</f>
        <v/>
      </c>
      <c r="QM20" s="12">
        <f>ROUND(QJ20*EssentialMix,0)</f>
        <v/>
      </c>
      <c r="QN20" s="12">
        <f>QJ20-QM20</f>
        <v/>
      </c>
      <c r="QO20" s="12">
        <f>QK20+QK19+QK18+MAX(0,QO19-QK19-QK18)*(1-QD20)</f>
        <v/>
      </c>
      <c r="QP20" s="12">
        <f>QL20+QL19+QL18+MAX(0,QP19-QL19-QL18)*(1-QD20)</f>
        <v/>
      </c>
      <c r="QQ20" s="12">
        <f>QQ19+QM20-QM8*(AnnualChurn*VLOOKUP(PZ20,ChurnSeasonTable,4,FALSE))*POWER(1-(AnnualChurn*VLOOKUP(PZ20,ChurnSeasonTable,4,FALSE)),0)</f>
        <v/>
      </c>
      <c r="QR20" s="12">
        <f>QR19+QN20-QN8*(AnnualChurn*VLOOKUP(PZ20,ChurnSeasonTable,4,FALSE))*POWER(1-(AnnualChurn*VLOOKUP(PZ20,ChurnSeasonTable,4,FALSE)),0)</f>
        <v/>
      </c>
      <c r="QS20" s="12">
        <f>QO20+QP20+QQ20+QR20</f>
        <v/>
      </c>
      <c r="QT20" s="9">
        <f>QO20*PriceEssMonthly*QC20+QP20*PricePremMonthly*QC20+QQ20*PriceEssAnnual*QC20/12+QR20*PricePremAnnual*QC20/12</f>
        <v/>
      </c>
      <c r="QU20" s="9">
        <f>QT20*12</f>
        <v/>
      </c>
      <c r="QV20" s="12">
        <f>QO20*PriceEssMonthly*QC20+QP20*PricePremMonthly*QC20</f>
        <v/>
      </c>
      <c r="QW20" s="12">
        <f>QM20*PriceEssAnnual*QC20+QN20*PricePremAnnual*QC20</f>
        <v/>
      </c>
      <c r="QX20" s="12">
        <f>QM8*POWER(1-(AnnualChurn*VLOOKUP(PZ20,ChurnSeasonTable,4,FALSE)),1)*PriceEssAnnual*QC20+QN8*POWER(1-(AnnualChurn*VLOOKUP(PZ20,ChurnSeasonTable,4,FALSE)),1)*PricePremAnnual*QC20</f>
        <v/>
      </c>
      <c r="QY20" s="9">
        <f>QV20+QW20+QX20</f>
        <v/>
      </c>
      <c r="QZ20" s="12">
        <f>SUM(QY9:QY20)</f>
        <v/>
      </c>
      <c r="RA20" s="12">
        <f>OR(RA19,QZ20&gt;=VATThreshold)</f>
        <v/>
      </c>
      <c r="RB20" s="9">
        <f>IF(RA20,QY20/(1+VATRate),QY20)</f>
        <v/>
      </c>
      <c r="RC20" s="12">
        <f>QY20-RB20</f>
        <v/>
      </c>
      <c r="RD20" s="12">
        <f>IF(RA20=0,0,IF(PZ20=1,SUMPRODUCT(--(($QA$5:$QA20=$QA20-1)*($PZ$5:$PZ20&gt;=10)*($PZ$5:$PZ20&lt;=12)),$RC$5:$RC20),IF(PZ20=4,SUMPRODUCT(--(($QA$5:$QA20=$QA20)*($PZ$5:$PZ20&gt;=1)*($PZ$5:$PZ20&lt;=3)),$RC$5:$RC20),IF(PZ20=7,SUMPRODUCT(--(($QA$5:$QA20=$QA20)*($PZ$5:$PZ20&gt;=4)*($PZ$5:$PZ20&lt;=6)),$RC$5:$RC20),IF(PZ20=10,SUMPRODUCT(--(($QA$5:$QA20=$QA20)*($PZ$5:$PZ20&gt;=7)*($PZ$5:$PZ20&lt;=9)),$RC$5:$RC20),0)))))</f>
        <v/>
      </c>
      <c r="RE20" s="12">
        <f>RE19+RC20-RD20</f>
        <v/>
      </c>
      <c r="RF20" s="12">
        <f>IF(ProviderDelay&gt;=1,RB19*ProviderShare,RB20*ProviderShare)</f>
        <v/>
      </c>
      <c r="RG20" s="12">
        <f>QY20*PaymentFee</f>
        <v/>
      </c>
      <c r="RH20" s="12">
        <f>QS20*OpsAI</f>
        <v/>
      </c>
      <c r="RI20" s="12">
        <f>MonthlyFixed</f>
        <v/>
      </c>
      <c r="RJ20" s="12">
        <f>QG20*ReferralReward</f>
        <v/>
      </c>
      <c r="RK20" s="12">
        <f>QE20</f>
        <v/>
      </c>
      <c r="RL20" s="9">
        <f>RB20-RF20-RG20-RH20-RI20-RJ20-RK20</f>
        <v/>
      </c>
      <c r="RM20" s="9">
        <f>RM19+QY20-(RF20+RG20+RH20+RI20+RJ20+RK20+RD20)</f>
        <v/>
      </c>
      <c r="RN20" s="12">
        <f>IF(QS20&gt;0,QT20/QS20,0)</f>
        <v/>
      </c>
      <c r="RO20" s="11">
        <f>IF(QS19&gt;0,MAX(0,(QS19+QH20-QS20)/QS19),0)</f>
        <v/>
      </c>
      <c r="RQ20" s="12" t="n">
        <v>16</v>
      </c>
      <c r="RR20" s="12">
        <f>MOD(RQ20-1+LaunchMonth-1,12)+1</f>
        <v/>
      </c>
      <c r="RS20" s="12">
        <f>INT((RQ20-1+LaunchMonth-1)/12)+1</f>
        <v/>
      </c>
      <c r="RT20" s="12">
        <f>VLOOKUP(RR20,SeasonTable,2,FALSE)</f>
        <v/>
      </c>
      <c r="RU20" s="12">
        <f>(1+InflationRate)^INT((RQ20-1)/12)</f>
        <v/>
      </c>
      <c r="RV20" s="11">
        <f>'Sens - Churn'!$A$21*VLOOKUP(RR20,ChurnSeasonTable,4,FALSE)</f>
        <v/>
      </c>
      <c r="RW20" s="12">
        <f>MIN(MAX(MktMin13_18,SQ19*MktPct13_18),MAX(0,TE19-CashBuffer))</f>
        <v/>
      </c>
      <c r="RX20" s="12">
        <f>IF(RW20&gt;0,MAX(1,ROUND(RW20/CAC*RT20,0)),0)</f>
        <v/>
      </c>
      <c r="RY20" s="12">
        <f>IF(RX20&gt;0,ROUND(RX20*ReferralMix/(1-ReferralMix),0),0)</f>
        <v/>
      </c>
      <c r="RZ20" s="12">
        <f>RX20+RY20</f>
        <v/>
      </c>
      <c r="SA20" s="12">
        <f>ROUND(RZ20*(1-AnnualMix),0)</f>
        <v/>
      </c>
      <c r="SB20" s="12">
        <f>RZ20-SA20</f>
        <v/>
      </c>
      <c r="SC20" s="12">
        <f>ROUND(SA20*EssentialMix,0)</f>
        <v/>
      </c>
      <c r="SD20" s="12">
        <f>SA20-SC20</f>
        <v/>
      </c>
      <c r="SE20" s="12">
        <f>ROUND(SB20*EssentialMix,0)</f>
        <v/>
      </c>
      <c r="SF20" s="12">
        <f>SB20-SE20</f>
        <v/>
      </c>
      <c r="SG20" s="12">
        <f>SC20+SC19+SC18+MAX(0,SG19-SC19-SC18)*(1-RV20)</f>
        <v/>
      </c>
      <c r="SH20" s="12">
        <f>SD20+SD19+SD18+MAX(0,SH19-SD19-SD18)*(1-RV20)</f>
        <v/>
      </c>
      <c r="SI20" s="12">
        <f>SI19+SE20-SE8*(AnnualChurn*VLOOKUP(RR20,ChurnSeasonTable,4,FALSE))*POWER(1-(AnnualChurn*VLOOKUP(RR20,ChurnSeasonTable,4,FALSE)),0)</f>
        <v/>
      </c>
      <c r="SJ20" s="12">
        <f>SJ19+SF20-SF8*(AnnualChurn*VLOOKUP(RR20,ChurnSeasonTable,4,FALSE))*POWER(1-(AnnualChurn*VLOOKUP(RR20,ChurnSeasonTable,4,FALSE)),0)</f>
        <v/>
      </c>
      <c r="SK20" s="12">
        <f>SG20+SH20+SI20+SJ20</f>
        <v/>
      </c>
      <c r="SL20" s="9">
        <f>SG20*PriceEssMonthly*RU20+SH20*PricePremMonthly*RU20+SI20*PriceEssAnnual*RU20/12+SJ20*PricePremAnnual*RU20/12</f>
        <v/>
      </c>
      <c r="SM20" s="9">
        <f>SL20*12</f>
        <v/>
      </c>
      <c r="SN20" s="12">
        <f>SG20*PriceEssMonthly*RU20+SH20*PricePremMonthly*RU20</f>
        <v/>
      </c>
      <c r="SO20" s="12">
        <f>SE20*PriceEssAnnual*RU20+SF20*PricePremAnnual*RU20</f>
        <v/>
      </c>
      <c r="SP20" s="12">
        <f>SE8*POWER(1-(AnnualChurn*VLOOKUP(RR20,ChurnSeasonTable,4,FALSE)),1)*PriceEssAnnual*RU20+SF8*POWER(1-(AnnualChurn*VLOOKUP(RR20,ChurnSeasonTable,4,FALSE)),1)*PricePremAnnual*RU20</f>
        <v/>
      </c>
      <c r="SQ20" s="9">
        <f>SN20+SO20+SP20</f>
        <v/>
      </c>
      <c r="SR20" s="12">
        <f>SUM(SQ9:SQ20)</f>
        <v/>
      </c>
      <c r="SS20" s="12">
        <f>OR(SS19,SR20&gt;=VATThreshold)</f>
        <v/>
      </c>
      <c r="ST20" s="9">
        <f>IF(SS20,SQ20/(1+VATRate),SQ20)</f>
        <v/>
      </c>
      <c r="SU20" s="12">
        <f>SQ20-ST20</f>
        <v/>
      </c>
      <c r="SV20" s="12">
        <f>IF(SS20=0,0,IF(RR20=1,SUMPRODUCT(--(($RS$5:$RS20=$RS20-1)*($RR$5:$RR20&gt;=10)*($RR$5:$RR20&lt;=12)),$SU$5:$SU20),IF(RR20=4,SUMPRODUCT(--(($RS$5:$RS20=$RS20)*($RR$5:$RR20&gt;=1)*($RR$5:$RR20&lt;=3)),$SU$5:$SU20),IF(RR20=7,SUMPRODUCT(--(($RS$5:$RS20=$RS20)*($RR$5:$RR20&gt;=4)*($RR$5:$RR20&lt;=6)),$SU$5:$SU20),IF(RR20=10,SUMPRODUCT(--(($RS$5:$RS20=$RS20)*($RR$5:$RR20&gt;=7)*($RR$5:$RR20&lt;=9)),$SU$5:$SU20),0)))))</f>
        <v/>
      </c>
      <c r="SW20" s="12">
        <f>SW19+SU20-SV20</f>
        <v/>
      </c>
      <c r="SX20" s="12">
        <f>IF(ProviderDelay&gt;=1,ST19*ProviderShare,ST20*ProviderShare)</f>
        <v/>
      </c>
      <c r="SY20" s="12">
        <f>SQ20*PaymentFee</f>
        <v/>
      </c>
      <c r="SZ20" s="12">
        <f>SK20*OpsAI</f>
        <v/>
      </c>
      <c r="TA20" s="12">
        <f>MonthlyFixed</f>
        <v/>
      </c>
      <c r="TB20" s="12">
        <f>RY20*ReferralReward</f>
        <v/>
      </c>
      <c r="TC20" s="12">
        <f>RW20</f>
        <v/>
      </c>
      <c r="TD20" s="9">
        <f>ST20-SX20-SY20-SZ20-TA20-TB20-TC20</f>
        <v/>
      </c>
      <c r="TE20" s="9">
        <f>TE19+SQ20-(SX20+SY20+SZ20+TA20+TB20+TC20+SV20)</f>
        <v/>
      </c>
      <c r="TF20" s="12">
        <f>IF(SK20&gt;0,SL20/SK20,0)</f>
        <v/>
      </c>
      <c r="TG20" s="11">
        <f>IF(SK19&gt;0,MAX(0,(SK19+RZ20-SK20)/SK19),0)</f>
        <v/>
      </c>
      <c r="TI20" s="12" t="n">
        <v>16</v>
      </c>
      <c r="TJ20" s="12">
        <f>MOD(TI20-1+LaunchMonth-1,12)+1</f>
        <v/>
      </c>
      <c r="TK20" s="12">
        <f>INT((TI20-1+LaunchMonth-1)/12)+1</f>
        <v/>
      </c>
      <c r="TL20" s="12">
        <f>VLOOKUP(TJ20,SeasonTable,2,FALSE)</f>
        <v/>
      </c>
      <c r="TM20" s="12">
        <f>(1+InflationRate)^INT((TI20-1)/12)</f>
        <v/>
      </c>
      <c r="TN20" s="11">
        <f>MonthlyChurn*VLOOKUP(TJ20,ChurnSeasonTable,4,FALSE)</f>
        <v/>
      </c>
      <c r="TO20" s="12">
        <f>MIN(MAX(MktMin13_18,UI19*MktPct13_18),MAX(0,UW19-CashBuffer))</f>
        <v/>
      </c>
      <c r="TP20" s="12">
        <f>IF(TO20&gt;0,MAX(1,ROUND(TO20/CAC*TL20,0)),0)</f>
        <v/>
      </c>
      <c r="TQ20" s="12">
        <f>IF(TP20&gt;0,ROUND(TP20*ReferralMix/(1-ReferralMix),0),0)</f>
        <v/>
      </c>
      <c r="TR20" s="12">
        <f>TP20+TQ20</f>
        <v/>
      </c>
      <c r="TS20" s="12">
        <f>ROUND(TR20*(1-'Sens - Annual Mix'!$A$9),0)</f>
        <v/>
      </c>
      <c r="TT20" s="12">
        <f>TR20-TS20</f>
        <v/>
      </c>
      <c r="TU20" s="12">
        <f>ROUND(TS20*EssentialMix,0)</f>
        <v/>
      </c>
      <c r="TV20" s="12">
        <f>TS20-TU20</f>
        <v/>
      </c>
      <c r="TW20" s="12">
        <f>ROUND(TT20*EssentialMix,0)</f>
        <v/>
      </c>
      <c r="TX20" s="12">
        <f>TT20-TW20</f>
        <v/>
      </c>
      <c r="TY20" s="12">
        <f>TU20+TU19+TU18+MAX(0,TY19-TU19-TU18)*(1-TN20)</f>
        <v/>
      </c>
      <c r="TZ20" s="12">
        <f>TV20+TV19+TV18+MAX(0,TZ19-TV19-TV18)*(1-TN20)</f>
        <v/>
      </c>
      <c r="UA20" s="12">
        <f>UA19+TW20-TW8*(AnnualChurn*VLOOKUP(TJ20,ChurnSeasonTable,4,FALSE))*POWER(1-(AnnualChurn*VLOOKUP(TJ20,ChurnSeasonTable,4,FALSE)),0)</f>
        <v/>
      </c>
      <c r="UB20" s="12">
        <f>UB19+TX20-TX8*(AnnualChurn*VLOOKUP(TJ20,ChurnSeasonTable,4,FALSE))*POWER(1-(AnnualChurn*VLOOKUP(TJ20,ChurnSeasonTable,4,FALSE)),0)</f>
        <v/>
      </c>
      <c r="UC20" s="12">
        <f>TY20+TZ20+UA20+UB20</f>
        <v/>
      </c>
      <c r="UD20" s="9">
        <f>TY20*PriceEssMonthly*TM20+TZ20*PricePremMonthly*TM20+UA20*PriceEssAnnual*TM20/12+UB20*PricePremAnnual*TM20/12</f>
        <v/>
      </c>
      <c r="UE20" s="9">
        <f>UD20*12</f>
        <v/>
      </c>
      <c r="UF20" s="12">
        <f>TY20*PriceEssMonthly*TM20+TZ20*PricePremMonthly*TM20</f>
        <v/>
      </c>
      <c r="UG20" s="12">
        <f>TW20*PriceEssAnnual*TM20+TX20*PricePremAnnual*TM20</f>
        <v/>
      </c>
      <c r="UH20" s="12">
        <f>TW8*POWER(1-(AnnualChurn*VLOOKUP(TJ20,ChurnSeasonTable,4,FALSE)),1)*PriceEssAnnual*TM20+TX8*POWER(1-(AnnualChurn*VLOOKUP(TJ20,ChurnSeasonTable,4,FALSE)),1)*PricePremAnnual*TM20</f>
        <v/>
      </c>
      <c r="UI20" s="9">
        <f>UF20+UG20+UH20</f>
        <v/>
      </c>
      <c r="UJ20" s="12">
        <f>SUM(UI9:UI20)</f>
        <v/>
      </c>
      <c r="UK20" s="12">
        <f>OR(UK19,UJ20&gt;=VATThreshold)</f>
        <v/>
      </c>
      <c r="UL20" s="9">
        <f>IF(UK20,UI20/(1+VATRate),UI20)</f>
        <v/>
      </c>
      <c r="UM20" s="12">
        <f>UI20-UL20</f>
        <v/>
      </c>
      <c r="UN20" s="12">
        <f>IF(UK20=0,0,IF(TJ20=1,SUMPRODUCT(--(($TK$5:$TK20=$TK20-1)*($TJ$5:$TJ20&gt;=10)*($TJ$5:$TJ20&lt;=12)),$UM$5:$UM20),IF(TJ20=4,SUMPRODUCT(--(($TK$5:$TK20=$TK20)*($TJ$5:$TJ20&gt;=1)*($TJ$5:$TJ20&lt;=3)),$UM$5:$UM20),IF(TJ20=7,SUMPRODUCT(--(($TK$5:$TK20=$TK20)*($TJ$5:$TJ20&gt;=4)*($TJ$5:$TJ20&lt;=6)),$UM$5:$UM20),IF(TJ20=10,SUMPRODUCT(--(($TK$5:$TK20=$TK20)*($TJ$5:$TJ20&gt;=7)*($TJ$5:$TJ20&lt;=9)),$UM$5:$UM20),0)))))</f>
        <v/>
      </c>
      <c r="UO20" s="12">
        <f>UO19+UM20-UN20</f>
        <v/>
      </c>
      <c r="UP20" s="12">
        <f>IF(ProviderDelay&gt;=1,UL19*ProviderShare,UL20*ProviderShare)</f>
        <v/>
      </c>
      <c r="UQ20" s="12">
        <f>UI20*PaymentFee</f>
        <v/>
      </c>
      <c r="UR20" s="12">
        <f>UC20*OpsAI</f>
        <v/>
      </c>
      <c r="US20" s="12">
        <f>MonthlyFixed</f>
        <v/>
      </c>
      <c r="UT20" s="12">
        <f>TQ20*ReferralReward</f>
        <v/>
      </c>
      <c r="UU20" s="12">
        <f>TO20</f>
        <v/>
      </c>
      <c r="UV20" s="9">
        <f>UL20-UP20-UQ20-UR20-US20-UT20-UU20</f>
        <v/>
      </c>
      <c r="UW20" s="9">
        <f>UW19+UI20-(UP20+UQ20+UR20+US20+UT20+UU20+UN20)</f>
        <v/>
      </c>
      <c r="UX20" s="12">
        <f>IF(UC20&gt;0,UD20/UC20,0)</f>
        <v/>
      </c>
      <c r="UY20" s="11">
        <f>IF(UC19&gt;0,MAX(0,(UC19+TR20-UC20)/UC19),0)</f>
        <v/>
      </c>
      <c r="VA20" s="12" t="n">
        <v>16</v>
      </c>
      <c r="VB20" s="12">
        <f>MOD(VA20-1+LaunchMonth-1,12)+1</f>
        <v/>
      </c>
      <c r="VC20" s="12">
        <f>INT((VA20-1+LaunchMonth-1)/12)+1</f>
        <v/>
      </c>
      <c r="VD20" s="12">
        <f>VLOOKUP(VB20,SeasonTable,2,FALSE)</f>
        <v/>
      </c>
      <c r="VE20" s="12">
        <f>(1+InflationRate)^INT((VA20-1)/12)</f>
        <v/>
      </c>
      <c r="VF20" s="11">
        <f>MonthlyChurn*VLOOKUP(VB20,ChurnSeasonTable,4,FALSE)</f>
        <v/>
      </c>
      <c r="VG20" s="12">
        <f>MIN(MAX(MktMin13_18,WA19*MktPct13_18),MAX(0,WO19-CashBuffer))</f>
        <v/>
      </c>
      <c r="VH20" s="12">
        <f>IF(VG20&gt;0,MAX(1,ROUND(VG20/CAC*VD20,0)),0)</f>
        <v/>
      </c>
      <c r="VI20" s="12">
        <f>IF(VH20&gt;0,ROUND(VH20*ReferralMix/(1-ReferralMix),0),0)</f>
        <v/>
      </c>
      <c r="VJ20" s="12">
        <f>VH20+VI20</f>
        <v/>
      </c>
      <c r="VK20" s="12">
        <f>ROUND(VJ20*(1-'Sens - Annual Mix'!$A$10),0)</f>
        <v/>
      </c>
      <c r="VL20" s="12">
        <f>VJ20-VK20</f>
        <v/>
      </c>
      <c r="VM20" s="12">
        <f>ROUND(VK20*EssentialMix,0)</f>
        <v/>
      </c>
      <c r="VN20" s="12">
        <f>VK20-VM20</f>
        <v/>
      </c>
      <c r="VO20" s="12">
        <f>ROUND(VL20*EssentialMix,0)</f>
        <v/>
      </c>
      <c r="VP20" s="12">
        <f>VL20-VO20</f>
        <v/>
      </c>
      <c r="VQ20" s="12">
        <f>VM20+VM19+VM18+MAX(0,VQ19-VM19-VM18)*(1-VF20)</f>
        <v/>
      </c>
      <c r="VR20" s="12">
        <f>VN20+VN19+VN18+MAX(0,VR19-VN19-VN18)*(1-VF20)</f>
        <v/>
      </c>
      <c r="VS20" s="12">
        <f>VS19+VO20-VO8*(AnnualChurn*VLOOKUP(VB20,ChurnSeasonTable,4,FALSE))*POWER(1-(AnnualChurn*VLOOKUP(VB20,ChurnSeasonTable,4,FALSE)),0)</f>
        <v/>
      </c>
      <c r="VT20" s="12">
        <f>VT19+VP20-VP8*(AnnualChurn*VLOOKUP(VB20,ChurnSeasonTable,4,FALSE))*POWER(1-(AnnualChurn*VLOOKUP(VB20,ChurnSeasonTable,4,FALSE)),0)</f>
        <v/>
      </c>
      <c r="VU20" s="12">
        <f>VQ20+VR20+VS20+VT20</f>
        <v/>
      </c>
      <c r="VV20" s="9">
        <f>VQ20*PriceEssMonthly*VE20+VR20*PricePremMonthly*VE20+VS20*PriceEssAnnual*VE20/12+VT20*PricePremAnnual*VE20/12</f>
        <v/>
      </c>
      <c r="VW20" s="9">
        <f>VV20*12</f>
        <v/>
      </c>
      <c r="VX20" s="12">
        <f>VQ20*PriceEssMonthly*VE20+VR20*PricePremMonthly*VE20</f>
        <v/>
      </c>
      <c r="VY20" s="12">
        <f>VO20*PriceEssAnnual*VE20+VP20*PricePremAnnual*VE20</f>
        <v/>
      </c>
      <c r="VZ20" s="12">
        <f>VO8*POWER(1-(AnnualChurn*VLOOKUP(VB20,ChurnSeasonTable,4,FALSE)),1)*PriceEssAnnual*VE20+VP8*POWER(1-(AnnualChurn*VLOOKUP(VB20,ChurnSeasonTable,4,FALSE)),1)*PricePremAnnual*VE20</f>
        <v/>
      </c>
      <c r="WA20" s="9">
        <f>VX20+VY20+VZ20</f>
        <v/>
      </c>
      <c r="WB20" s="12">
        <f>SUM(WA9:WA20)</f>
        <v/>
      </c>
      <c r="WC20" s="12">
        <f>OR(WC19,WB20&gt;=VATThreshold)</f>
        <v/>
      </c>
      <c r="WD20" s="9">
        <f>IF(WC20,WA20/(1+VATRate),WA20)</f>
        <v/>
      </c>
      <c r="WE20" s="12">
        <f>WA20-WD20</f>
        <v/>
      </c>
      <c r="WF20" s="12">
        <f>IF(WC20=0,0,IF(VB20=1,SUMPRODUCT(--(($VC$5:$VC20=$VC20-1)*($VB$5:$VB20&gt;=10)*($VB$5:$VB20&lt;=12)),$WE$5:$WE20),IF(VB20=4,SUMPRODUCT(--(($VC$5:$VC20=$VC20)*($VB$5:$VB20&gt;=1)*($VB$5:$VB20&lt;=3)),$WE$5:$WE20),IF(VB20=7,SUMPRODUCT(--(($VC$5:$VC20=$VC20)*($VB$5:$VB20&gt;=4)*($VB$5:$VB20&lt;=6)),$WE$5:$WE20),IF(VB20=10,SUMPRODUCT(--(($VC$5:$VC20=$VC20)*($VB$5:$VB20&gt;=7)*($VB$5:$VB20&lt;=9)),$WE$5:$WE20),0)))))</f>
        <v/>
      </c>
      <c r="WG20" s="12">
        <f>WG19+WE20-WF20</f>
        <v/>
      </c>
      <c r="WH20" s="12">
        <f>IF(ProviderDelay&gt;=1,WD19*ProviderShare,WD20*ProviderShare)</f>
        <v/>
      </c>
      <c r="WI20" s="12">
        <f>WA20*PaymentFee</f>
        <v/>
      </c>
      <c r="WJ20" s="12">
        <f>VU20*OpsAI</f>
        <v/>
      </c>
      <c r="WK20" s="12">
        <f>MonthlyFixed</f>
        <v/>
      </c>
      <c r="WL20" s="12">
        <f>VI20*ReferralReward</f>
        <v/>
      </c>
      <c r="WM20" s="12">
        <f>VG20</f>
        <v/>
      </c>
      <c r="WN20" s="9">
        <f>WD20-WH20-WI20-WJ20-WK20-WL20-WM20</f>
        <v/>
      </c>
      <c r="WO20" s="9">
        <f>WO19+WA20-(WH20+WI20+WJ20+WK20+WL20+WM20+WF20)</f>
        <v/>
      </c>
      <c r="WP20" s="12">
        <f>IF(VU20&gt;0,VV20/VU20,0)</f>
        <v/>
      </c>
      <c r="WQ20" s="11">
        <f>IF(VU19&gt;0,MAX(0,(VU19+VJ20-VU20)/VU19),0)</f>
        <v/>
      </c>
      <c r="WS20" s="12" t="n">
        <v>16</v>
      </c>
      <c r="WT20" s="12">
        <f>MOD(WS20-1+LaunchMonth-1,12)+1</f>
        <v/>
      </c>
      <c r="WU20" s="12">
        <f>INT((WS20-1+LaunchMonth-1)/12)+1</f>
        <v/>
      </c>
      <c r="WV20" s="12">
        <f>VLOOKUP(WT20,SeasonTable,2,FALSE)</f>
        <v/>
      </c>
      <c r="WW20" s="12">
        <f>(1+InflationRate)^INT((WS20-1)/12)</f>
        <v/>
      </c>
      <c r="WX20" s="11">
        <f>MonthlyChurn*VLOOKUP(WT20,ChurnSeasonTable,4,FALSE)</f>
        <v/>
      </c>
      <c r="WY20" s="12">
        <f>MIN(MAX(MktMin13_18,XS19*MktPct13_18),MAX(0,YG19-CashBuffer))</f>
        <v/>
      </c>
      <c r="WZ20" s="12">
        <f>IF(WY20&gt;0,MAX(1,ROUND(WY20/CAC*WV20,0)),0)</f>
        <v/>
      </c>
      <c r="XA20" s="12">
        <f>IF(WZ20&gt;0,ROUND(WZ20*ReferralMix/(1-ReferralMix),0),0)</f>
        <v/>
      </c>
      <c r="XB20" s="12">
        <f>WZ20+XA20</f>
        <v/>
      </c>
      <c r="XC20" s="12">
        <f>ROUND(XB20*(1-'Sens - Annual Mix'!$A$11),0)</f>
        <v/>
      </c>
      <c r="XD20" s="12">
        <f>XB20-XC20</f>
        <v/>
      </c>
      <c r="XE20" s="12">
        <f>ROUND(XC20*EssentialMix,0)</f>
        <v/>
      </c>
      <c r="XF20" s="12">
        <f>XC20-XE20</f>
        <v/>
      </c>
      <c r="XG20" s="12">
        <f>ROUND(XD20*EssentialMix,0)</f>
        <v/>
      </c>
      <c r="XH20" s="12">
        <f>XD20-XG20</f>
        <v/>
      </c>
      <c r="XI20" s="12">
        <f>XE20+XE19+XE18+MAX(0,XI19-XE19-XE18)*(1-WX20)</f>
        <v/>
      </c>
      <c r="XJ20" s="12">
        <f>XF20+XF19+XF18+MAX(0,XJ19-XF19-XF18)*(1-WX20)</f>
        <v/>
      </c>
      <c r="XK20" s="12">
        <f>XK19+XG20-XG8*(AnnualChurn*VLOOKUP(WT20,ChurnSeasonTable,4,FALSE))*POWER(1-(AnnualChurn*VLOOKUP(WT20,ChurnSeasonTable,4,FALSE)),0)</f>
        <v/>
      </c>
      <c r="XL20" s="12">
        <f>XL19+XH20-XH8*(AnnualChurn*VLOOKUP(WT20,ChurnSeasonTable,4,FALSE))*POWER(1-(AnnualChurn*VLOOKUP(WT20,ChurnSeasonTable,4,FALSE)),0)</f>
        <v/>
      </c>
      <c r="XM20" s="12">
        <f>XI20+XJ20+XK20+XL20</f>
        <v/>
      </c>
      <c r="XN20" s="9">
        <f>XI20*PriceEssMonthly*WW20+XJ20*PricePremMonthly*WW20+XK20*PriceEssAnnual*WW20/12+XL20*PricePremAnnual*WW20/12</f>
        <v/>
      </c>
      <c r="XO20" s="9">
        <f>XN20*12</f>
        <v/>
      </c>
      <c r="XP20" s="12">
        <f>XI20*PriceEssMonthly*WW20+XJ20*PricePremMonthly*WW20</f>
        <v/>
      </c>
      <c r="XQ20" s="12">
        <f>XG20*PriceEssAnnual*WW20+XH20*PricePremAnnual*WW20</f>
        <v/>
      </c>
      <c r="XR20" s="12">
        <f>XG8*POWER(1-(AnnualChurn*VLOOKUP(WT20,ChurnSeasonTable,4,FALSE)),1)*PriceEssAnnual*WW20+XH8*POWER(1-(AnnualChurn*VLOOKUP(WT20,ChurnSeasonTable,4,FALSE)),1)*PricePremAnnual*WW20</f>
        <v/>
      </c>
      <c r="XS20" s="9">
        <f>XP20+XQ20+XR20</f>
        <v/>
      </c>
      <c r="XT20" s="12">
        <f>SUM(XS9:XS20)</f>
        <v/>
      </c>
      <c r="XU20" s="12">
        <f>OR(XU19,XT20&gt;=VATThreshold)</f>
        <v/>
      </c>
      <c r="XV20" s="9">
        <f>IF(XU20,XS20/(1+VATRate),XS20)</f>
        <v/>
      </c>
      <c r="XW20" s="12">
        <f>XS20-XV20</f>
        <v/>
      </c>
      <c r="XX20" s="12">
        <f>IF(XU20=0,0,IF(WT20=1,SUMPRODUCT(--(($WU$5:$WU20=$WU20-1)*($WT$5:$WT20&gt;=10)*($WT$5:$WT20&lt;=12)),$XW$5:$XW20),IF(WT20=4,SUMPRODUCT(--(($WU$5:$WU20=$WU20)*($WT$5:$WT20&gt;=1)*($WT$5:$WT20&lt;=3)),$XW$5:$XW20),IF(WT20=7,SUMPRODUCT(--(($WU$5:$WU20=$WU20)*($WT$5:$WT20&gt;=4)*($WT$5:$WT20&lt;=6)),$XW$5:$XW20),IF(WT20=10,SUMPRODUCT(--(($WU$5:$WU20=$WU20)*($WT$5:$WT20&gt;=7)*($WT$5:$WT20&lt;=9)),$XW$5:$XW20),0)))))</f>
        <v/>
      </c>
      <c r="XY20" s="12">
        <f>XY19+XW20-XX20</f>
        <v/>
      </c>
      <c r="XZ20" s="12">
        <f>IF(ProviderDelay&gt;=1,XV19*ProviderShare,XV20*ProviderShare)</f>
        <v/>
      </c>
      <c r="YA20" s="12">
        <f>XS20*PaymentFee</f>
        <v/>
      </c>
      <c r="YB20" s="12">
        <f>XM20*OpsAI</f>
        <v/>
      </c>
      <c r="YC20" s="12">
        <f>MonthlyFixed</f>
        <v/>
      </c>
      <c r="YD20" s="12">
        <f>XA20*ReferralReward</f>
        <v/>
      </c>
      <c r="YE20" s="12">
        <f>WY20</f>
        <v/>
      </c>
      <c r="YF20" s="9">
        <f>XV20-XZ20-YA20-YB20-YC20-YD20-YE20</f>
        <v/>
      </c>
      <c r="YG20" s="9">
        <f>YG19+XS20-(XZ20+YA20+YB20+YC20+YD20+YE20+XX20)</f>
        <v/>
      </c>
      <c r="YH20" s="12">
        <f>IF(XM20&gt;0,XN20/XM20,0)</f>
        <v/>
      </c>
      <c r="YI20" s="11">
        <f>IF(XM19&gt;0,MAX(0,(XM19+XB20-XM20)/XM19),0)</f>
        <v/>
      </c>
      <c r="YK20" s="12" t="n">
        <v>16</v>
      </c>
      <c r="YL20" s="12">
        <f>MOD(YK20-1+LaunchMonth-1,12)+1</f>
        <v/>
      </c>
      <c r="YM20" s="12">
        <f>INT((YK20-1+LaunchMonth-1)/12)+1</f>
        <v/>
      </c>
      <c r="YN20" s="12">
        <f>VLOOKUP(YL20,SeasonTable,2,FALSE)</f>
        <v/>
      </c>
      <c r="YO20" s="12">
        <f>(1+InflationRate)^INT((YK20-1)/12)</f>
        <v/>
      </c>
      <c r="YP20" s="11">
        <f>MonthlyChurn*VLOOKUP(YL20,ChurnSeasonTable,4,FALSE)</f>
        <v/>
      </c>
      <c r="YQ20" s="12">
        <f>MIN(MAX(MktMin13_18,ZK19*MktPct13_18),MAX(0,ZY19-CashBuffer))</f>
        <v/>
      </c>
      <c r="YR20" s="12">
        <f>IF(YQ20&gt;0,MAX(1,ROUND(YQ20/CAC*YN20,0)),0)</f>
        <v/>
      </c>
      <c r="YS20" s="12">
        <f>IF(YR20&gt;0,ROUND(YR20*ReferralMix/(1-ReferralMix),0),0)</f>
        <v/>
      </c>
      <c r="YT20" s="12">
        <f>YR20+YS20</f>
        <v/>
      </c>
      <c r="YU20" s="12">
        <f>ROUND(YT20*(1-'Sens - Annual Mix'!$A$12),0)</f>
        <v/>
      </c>
      <c r="YV20" s="12">
        <f>YT20-YU20</f>
        <v/>
      </c>
      <c r="YW20" s="12">
        <f>ROUND(YU20*EssentialMix,0)</f>
        <v/>
      </c>
      <c r="YX20" s="12">
        <f>YU20-YW20</f>
        <v/>
      </c>
      <c r="YY20" s="12">
        <f>ROUND(YV20*EssentialMix,0)</f>
        <v/>
      </c>
      <c r="YZ20" s="12">
        <f>YV20-YY20</f>
        <v/>
      </c>
      <c r="ZA20" s="12">
        <f>YW20+YW19+YW18+MAX(0,ZA19-YW19-YW18)*(1-YP20)</f>
        <v/>
      </c>
      <c r="ZB20" s="12">
        <f>YX20+YX19+YX18+MAX(0,ZB19-YX19-YX18)*(1-YP20)</f>
        <v/>
      </c>
      <c r="ZC20" s="12">
        <f>ZC19+YY20-YY8*(AnnualChurn*VLOOKUP(YL20,ChurnSeasonTable,4,FALSE))*POWER(1-(AnnualChurn*VLOOKUP(YL20,ChurnSeasonTable,4,FALSE)),0)</f>
        <v/>
      </c>
      <c r="ZD20" s="12">
        <f>ZD19+YZ20-YZ8*(AnnualChurn*VLOOKUP(YL20,ChurnSeasonTable,4,FALSE))*POWER(1-(AnnualChurn*VLOOKUP(YL20,ChurnSeasonTable,4,FALSE)),0)</f>
        <v/>
      </c>
      <c r="ZE20" s="12">
        <f>ZA20+ZB20+ZC20+ZD20</f>
        <v/>
      </c>
      <c r="ZF20" s="9">
        <f>ZA20*PriceEssMonthly*YO20+ZB20*PricePremMonthly*YO20+ZC20*PriceEssAnnual*YO20/12+ZD20*PricePremAnnual*YO20/12</f>
        <v/>
      </c>
      <c r="ZG20" s="9">
        <f>ZF20*12</f>
        <v/>
      </c>
      <c r="ZH20" s="12">
        <f>ZA20*PriceEssMonthly*YO20+ZB20*PricePremMonthly*YO20</f>
        <v/>
      </c>
      <c r="ZI20" s="12">
        <f>YY20*PriceEssAnnual*YO20+YZ20*PricePremAnnual*YO20</f>
        <v/>
      </c>
      <c r="ZJ20" s="12">
        <f>YY8*POWER(1-(AnnualChurn*VLOOKUP(YL20,ChurnSeasonTable,4,FALSE)),1)*PriceEssAnnual*YO20+YZ8*POWER(1-(AnnualChurn*VLOOKUP(YL20,ChurnSeasonTable,4,FALSE)),1)*PricePremAnnual*YO20</f>
        <v/>
      </c>
      <c r="ZK20" s="9">
        <f>ZH20+ZI20+ZJ20</f>
        <v/>
      </c>
      <c r="ZL20" s="12">
        <f>SUM(ZK9:ZK20)</f>
        <v/>
      </c>
      <c r="ZM20" s="12">
        <f>OR(ZM19,ZL20&gt;=VATThreshold)</f>
        <v/>
      </c>
      <c r="ZN20" s="9">
        <f>IF(ZM20,ZK20/(1+VATRate),ZK20)</f>
        <v/>
      </c>
      <c r="ZO20" s="12">
        <f>ZK20-ZN20</f>
        <v/>
      </c>
      <c r="ZP20" s="12">
        <f>IF(ZM20=0,0,IF(YL20=1,SUMPRODUCT(--(($YM$5:$YM20=$YM20-1)*($YL$5:$YL20&gt;=10)*($YL$5:$YL20&lt;=12)),$ZO$5:$ZO20),IF(YL20=4,SUMPRODUCT(--(($YM$5:$YM20=$YM20)*($YL$5:$YL20&gt;=1)*($YL$5:$YL20&lt;=3)),$ZO$5:$ZO20),IF(YL20=7,SUMPRODUCT(--(($YM$5:$YM20=$YM20)*($YL$5:$YL20&gt;=4)*($YL$5:$YL20&lt;=6)),$ZO$5:$ZO20),IF(YL20=10,SUMPRODUCT(--(($YM$5:$YM20=$YM20)*($YL$5:$YL20&gt;=7)*($YL$5:$YL20&lt;=9)),$ZO$5:$ZO20),0)))))</f>
        <v/>
      </c>
      <c r="ZQ20" s="12">
        <f>ZQ19+ZO20-ZP20</f>
        <v/>
      </c>
      <c r="ZR20" s="12">
        <f>IF(ProviderDelay&gt;=1,ZN19*ProviderShare,ZN20*ProviderShare)</f>
        <v/>
      </c>
      <c r="ZS20" s="12">
        <f>ZK20*PaymentFee</f>
        <v/>
      </c>
      <c r="ZT20" s="12">
        <f>ZE20*OpsAI</f>
        <v/>
      </c>
      <c r="ZU20" s="12">
        <f>MonthlyFixed</f>
        <v/>
      </c>
      <c r="ZV20" s="12">
        <f>YS20*ReferralReward</f>
        <v/>
      </c>
      <c r="ZW20" s="12">
        <f>YQ20</f>
        <v/>
      </c>
      <c r="ZX20" s="9">
        <f>ZN20-ZR20-ZS20-ZT20-ZU20-ZV20-ZW20</f>
        <v/>
      </c>
      <c r="ZY20" s="9">
        <f>ZY19+ZK20-(ZR20+ZS20+ZT20+ZU20+ZV20+ZW20+ZP20)</f>
        <v/>
      </c>
      <c r="ZZ20" s="12">
        <f>IF(ZE20&gt;0,ZF20/ZE20,0)</f>
        <v/>
      </c>
      <c r="AAA20" s="11">
        <f>IF(ZE19&gt;0,MAX(0,(ZE19+YT20-ZE20)/ZE19),0)</f>
        <v/>
      </c>
      <c r="AAC20" s="12" t="n">
        <v>16</v>
      </c>
      <c r="AAD20" s="12">
        <f>MOD(AAC20-1+LaunchMonth-1,12)+1</f>
        <v/>
      </c>
      <c r="AAE20" s="12">
        <f>INT((AAC20-1+LaunchMonth-1)/12)+1</f>
        <v/>
      </c>
      <c r="AAF20" s="12">
        <f>VLOOKUP(AAD20,SeasonTable,2,FALSE)</f>
        <v/>
      </c>
      <c r="AAG20" s="12">
        <f>(1+InflationRate)^INT((AAC20-1)/12)</f>
        <v/>
      </c>
      <c r="AAH20" s="11">
        <f>MonthlyChurn*VLOOKUP(AAD20,ChurnSeasonTable,4,FALSE)</f>
        <v/>
      </c>
      <c r="AAI20" s="12">
        <f>MIN(MAX(MktMin13_18,ABC19*MktPct13_18),MAX(0,ABQ19-CashBuffer))</f>
        <v/>
      </c>
      <c r="AAJ20" s="12">
        <f>IF(AAI20&gt;0,MAX(1,ROUND(AAI20/CAC*AAF20,0)),0)</f>
        <v/>
      </c>
      <c r="AAK20" s="12">
        <f>IF(AAJ20&gt;0,ROUND(AAJ20*ReferralMix/(1-ReferralMix),0),0)</f>
        <v/>
      </c>
      <c r="AAL20" s="12">
        <f>AAJ20+AAK20</f>
        <v/>
      </c>
      <c r="AAM20" s="12">
        <f>ROUND(AAL20*(1-'Sens - Annual Mix'!$A$13),0)</f>
        <v/>
      </c>
      <c r="AAN20" s="12">
        <f>AAL20-AAM20</f>
        <v/>
      </c>
      <c r="AAO20" s="12">
        <f>ROUND(AAM20*EssentialMix,0)</f>
        <v/>
      </c>
      <c r="AAP20" s="12">
        <f>AAM20-AAO20</f>
        <v/>
      </c>
      <c r="AAQ20" s="12">
        <f>ROUND(AAN20*EssentialMix,0)</f>
        <v/>
      </c>
      <c r="AAR20" s="12">
        <f>AAN20-AAQ20</f>
        <v/>
      </c>
      <c r="AAS20" s="12">
        <f>AAO20+AAO19+AAO18+MAX(0,AAS19-AAO19-AAO18)*(1-AAH20)</f>
        <v/>
      </c>
      <c r="AAT20" s="12">
        <f>AAP20+AAP19+AAP18+MAX(0,AAT19-AAP19-AAP18)*(1-AAH20)</f>
        <v/>
      </c>
      <c r="AAU20" s="12">
        <f>AAU19+AAQ20-AAQ8*(AnnualChurn*VLOOKUP(AAD20,ChurnSeasonTable,4,FALSE))*POWER(1-(AnnualChurn*VLOOKUP(AAD20,ChurnSeasonTable,4,FALSE)),0)</f>
        <v/>
      </c>
      <c r="AAV20" s="12">
        <f>AAV19+AAR20-AAR8*(AnnualChurn*VLOOKUP(AAD20,ChurnSeasonTable,4,FALSE))*POWER(1-(AnnualChurn*VLOOKUP(AAD20,ChurnSeasonTable,4,FALSE)),0)</f>
        <v/>
      </c>
      <c r="AAW20" s="12">
        <f>AAS20+AAT20+AAU20+AAV20</f>
        <v/>
      </c>
      <c r="AAX20" s="9">
        <f>AAS20*PriceEssMonthly*AAG20+AAT20*PricePremMonthly*AAG20+AAU20*PriceEssAnnual*AAG20/12+AAV20*PricePremAnnual*AAG20/12</f>
        <v/>
      </c>
      <c r="AAY20" s="9">
        <f>AAX20*12</f>
        <v/>
      </c>
      <c r="AAZ20" s="12">
        <f>AAS20*PriceEssMonthly*AAG20+AAT20*PricePremMonthly*AAG20</f>
        <v/>
      </c>
      <c r="ABA20" s="12">
        <f>AAQ20*PriceEssAnnual*AAG20+AAR20*PricePremAnnual*AAG20</f>
        <v/>
      </c>
      <c r="ABB20" s="12">
        <f>AAQ8*POWER(1-(AnnualChurn*VLOOKUP(AAD20,ChurnSeasonTable,4,FALSE)),1)*PriceEssAnnual*AAG20+AAR8*POWER(1-(AnnualChurn*VLOOKUP(AAD20,ChurnSeasonTable,4,FALSE)),1)*PricePremAnnual*AAG20</f>
        <v/>
      </c>
      <c r="ABC20" s="9">
        <f>AAZ20+ABA20+ABB20</f>
        <v/>
      </c>
      <c r="ABD20" s="12">
        <f>SUM(ABC9:ABC20)</f>
        <v/>
      </c>
      <c r="ABE20" s="12">
        <f>OR(ABE19,ABD20&gt;=VATThreshold)</f>
        <v/>
      </c>
      <c r="ABF20" s="9">
        <f>IF(ABE20,ABC20/(1+VATRate),ABC20)</f>
        <v/>
      </c>
      <c r="ABG20" s="12">
        <f>ABC20-ABF20</f>
        <v/>
      </c>
      <c r="ABH20" s="12">
        <f>IF(ABE20=0,0,IF(AAD20=1,SUMPRODUCT(--(($AAE$5:$AAE20=$AAE20-1)*($AAD$5:$AAD20&gt;=10)*($AAD$5:$AAD20&lt;=12)),$ABG$5:$ABG20),IF(AAD20=4,SUMPRODUCT(--(($AAE$5:$AAE20=$AAE20)*($AAD$5:$AAD20&gt;=1)*($AAD$5:$AAD20&lt;=3)),$ABG$5:$ABG20),IF(AAD20=7,SUMPRODUCT(--(($AAE$5:$AAE20=$AAE20)*($AAD$5:$AAD20&gt;=4)*($AAD$5:$AAD20&lt;=6)),$ABG$5:$ABG20),IF(AAD20=10,SUMPRODUCT(--(($AAE$5:$AAE20=$AAE20)*($AAD$5:$AAD20&gt;=7)*($AAD$5:$AAD20&lt;=9)),$ABG$5:$ABG20),0)))))</f>
        <v/>
      </c>
      <c r="ABI20" s="12">
        <f>ABI19+ABG20-ABH20</f>
        <v/>
      </c>
      <c r="ABJ20" s="12">
        <f>IF(ProviderDelay&gt;=1,ABF19*ProviderShare,ABF20*ProviderShare)</f>
        <v/>
      </c>
      <c r="ABK20" s="12">
        <f>ABC20*PaymentFee</f>
        <v/>
      </c>
      <c r="ABL20" s="12">
        <f>AAW20*OpsAI</f>
        <v/>
      </c>
      <c r="ABM20" s="12">
        <f>MonthlyFixed</f>
        <v/>
      </c>
      <c r="ABN20" s="12">
        <f>AAK20*ReferralReward</f>
        <v/>
      </c>
      <c r="ABO20" s="12">
        <f>AAI20</f>
        <v/>
      </c>
      <c r="ABP20" s="9">
        <f>ABF20-ABJ20-ABK20-ABL20-ABM20-ABN20-ABO20</f>
        <v/>
      </c>
      <c r="ABQ20" s="9">
        <f>ABQ19+ABC20-(ABJ20+ABK20+ABL20+ABM20+ABN20+ABO20+ABH20)</f>
        <v/>
      </c>
      <c r="ABR20" s="12">
        <f>IF(AAW20&gt;0,AAX20/AAW20,0)</f>
        <v/>
      </c>
      <c r="ABS20" s="11">
        <f>IF(AAW19&gt;0,MAX(0,(AAW19+AAL20-AAW20)/AAW19),0)</f>
        <v/>
      </c>
      <c r="ABU20" s="12" t="n">
        <v>16</v>
      </c>
      <c r="ABV20" s="12">
        <f>MOD(ABU20-1+LaunchMonth-1,12)+1</f>
        <v/>
      </c>
      <c r="ABW20" s="12">
        <f>INT((ABU20-1+LaunchMonth-1)/12)+1</f>
        <v/>
      </c>
      <c r="ABX20" s="12">
        <f>VLOOKUP(ABV20,SeasonTable,2,FALSE)</f>
        <v/>
      </c>
      <c r="ABY20" s="12">
        <f>(1+InflationRate)^INT((ABU20-1)/12)</f>
        <v/>
      </c>
      <c r="ABZ20" s="11">
        <f>MonthlyChurn*VLOOKUP(ABV20,ChurnSeasonTable,4,FALSE)</f>
        <v/>
      </c>
      <c r="ACA20" s="12">
        <f>MIN(MAX(MktMin13_18,ACU19*MktPct13_18),MAX(0,ADI19-CashBuffer))</f>
        <v/>
      </c>
      <c r="ACB20" s="12">
        <f>IF(ACA20&gt;0,MAX(1,ROUND(ACA20/CAC*ABX20,0)),0)</f>
        <v/>
      </c>
      <c r="ACC20" s="12">
        <f>IF(ACB20&gt;0,ROUND(ACB20*ReferralMix/(1-ReferralMix),0),0)</f>
        <v/>
      </c>
      <c r="ACD20" s="12">
        <f>ACB20+ACC20</f>
        <v/>
      </c>
      <c r="ACE20" s="12">
        <f>ROUND(ACD20*(1-'Sens - Annual Mix'!$A$14),0)</f>
        <v/>
      </c>
      <c r="ACF20" s="12">
        <f>ACD20-ACE20</f>
        <v/>
      </c>
      <c r="ACG20" s="12">
        <f>ROUND(ACE20*EssentialMix,0)</f>
        <v/>
      </c>
      <c r="ACH20" s="12">
        <f>ACE20-ACG20</f>
        <v/>
      </c>
      <c r="ACI20" s="12">
        <f>ROUND(ACF20*EssentialMix,0)</f>
        <v/>
      </c>
      <c r="ACJ20" s="12">
        <f>ACF20-ACI20</f>
        <v/>
      </c>
      <c r="ACK20" s="12">
        <f>ACG20+ACG19+ACG18+MAX(0,ACK19-ACG19-ACG18)*(1-ABZ20)</f>
        <v/>
      </c>
      <c r="ACL20" s="12">
        <f>ACH20+ACH19+ACH18+MAX(0,ACL19-ACH19-ACH18)*(1-ABZ20)</f>
        <v/>
      </c>
      <c r="ACM20" s="12">
        <f>ACM19+ACI20-ACI8*(AnnualChurn*VLOOKUP(ABV20,ChurnSeasonTable,4,FALSE))*POWER(1-(AnnualChurn*VLOOKUP(ABV20,ChurnSeasonTable,4,FALSE)),0)</f>
        <v/>
      </c>
      <c r="ACN20" s="12">
        <f>ACN19+ACJ20-ACJ8*(AnnualChurn*VLOOKUP(ABV20,ChurnSeasonTable,4,FALSE))*POWER(1-(AnnualChurn*VLOOKUP(ABV20,ChurnSeasonTable,4,FALSE)),0)</f>
        <v/>
      </c>
      <c r="ACO20" s="12">
        <f>ACK20+ACL20+ACM20+ACN20</f>
        <v/>
      </c>
      <c r="ACP20" s="9">
        <f>ACK20*PriceEssMonthly*ABY20+ACL20*PricePremMonthly*ABY20+ACM20*PriceEssAnnual*ABY20/12+ACN20*PricePremAnnual*ABY20/12</f>
        <v/>
      </c>
      <c r="ACQ20" s="9">
        <f>ACP20*12</f>
        <v/>
      </c>
      <c r="ACR20" s="12">
        <f>ACK20*PriceEssMonthly*ABY20+ACL20*PricePremMonthly*ABY20</f>
        <v/>
      </c>
      <c r="ACS20" s="12">
        <f>ACI20*PriceEssAnnual*ABY20+ACJ20*PricePremAnnual*ABY20</f>
        <v/>
      </c>
      <c r="ACT20" s="12">
        <f>ACI8*POWER(1-(AnnualChurn*VLOOKUP(ABV20,ChurnSeasonTable,4,FALSE)),1)*PriceEssAnnual*ABY20+ACJ8*POWER(1-(AnnualChurn*VLOOKUP(ABV20,ChurnSeasonTable,4,FALSE)),1)*PricePremAnnual*ABY20</f>
        <v/>
      </c>
      <c r="ACU20" s="9">
        <f>ACR20+ACS20+ACT20</f>
        <v/>
      </c>
      <c r="ACV20" s="12">
        <f>SUM(ACU9:ACU20)</f>
        <v/>
      </c>
      <c r="ACW20" s="12">
        <f>OR(ACW19,ACV20&gt;=VATThreshold)</f>
        <v/>
      </c>
      <c r="ACX20" s="9">
        <f>IF(ACW20,ACU20/(1+VATRate),ACU20)</f>
        <v/>
      </c>
      <c r="ACY20" s="12">
        <f>ACU20-ACX20</f>
        <v/>
      </c>
      <c r="ACZ20" s="12">
        <f>IF(ACW20=0,0,IF(ABV20=1,SUMPRODUCT(--(($ABW$5:$ABW20=$ABW20-1)*($ABV$5:$ABV20&gt;=10)*($ABV$5:$ABV20&lt;=12)),$ACY$5:$ACY20),IF(ABV20=4,SUMPRODUCT(--(($ABW$5:$ABW20=$ABW20)*($ABV$5:$ABV20&gt;=1)*($ABV$5:$ABV20&lt;=3)),$ACY$5:$ACY20),IF(ABV20=7,SUMPRODUCT(--(($ABW$5:$ABW20=$ABW20)*($ABV$5:$ABV20&gt;=4)*($ABV$5:$ABV20&lt;=6)),$ACY$5:$ACY20),IF(ABV20=10,SUMPRODUCT(--(($ABW$5:$ABW20=$ABW20)*($ABV$5:$ABV20&gt;=7)*($ABV$5:$ABV20&lt;=9)),$ACY$5:$ACY20),0)))))</f>
        <v/>
      </c>
      <c r="ADA20" s="12">
        <f>ADA19+ACY20-ACZ20</f>
        <v/>
      </c>
      <c r="ADB20" s="12">
        <f>IF(ProviderDelay&gt;=1,ACX19*ProviderShare,ACX20*ProviderShare)</f>
        <v/>
      </c>
      <c r="ADC20" s="12">
        <f>ACU20*PaymentFee</f>
        <v/>
      </c>
      <c r="ADD20" s="12">
        <f>ACO20*OpsAI</f>
        <v/>
      </c>
      <c r="ADE20" s="12">
        <f>MonthlyFixed</f>
        <v/>
      </c>
      <c r="ADF20" s="12">
        <f>ACC20*ReferralReward</f>
        <v/>
      </c>
      <c r="ADG20" s="12">
        <f>ACA20</f>
        <v/>
      </c>
      <c r="ADH20" s="9">
        <f>ACX20-ADB20-ADC20-ADD20-ADE20-ADF20-ADG20</f>
        <v/>
      </c>
      <c r="ADI20" s="9">
        <f>ADI19+ACU20-(ADB20+ADC20+ADD20+ADE20+ADF20+ADG20+ACZ20)</f>
        <v/>
      </c>
      <c r="ADJ20" s="12">
        <f>IF(ACO20&gt;0,ACP20/ACO20,0)</f>
        <v/>
      </c>
      <c r="ADK20" s="11">
        <f>IF(ACO19&gt;0,MAX(0,(ACO19+ACD20-ACO20)/ACO19),0)</f>
        <v/>
      </c>
      <c r="ADM20" s="12" t="n">
        <v>16</v>
      </c>
      <c r="ADN20" s="12">
        <f>MOD(ADM20-1+LaunchMonth-1,12)+1</f>
        <v/>
      </c>
      <c r="ADO20" s="12">
        <f>INT((ADM20-1+LaunchMonth-1)/12)+1</f>
        <v/>
      </c>
      <c r="ADP20" s="12">
        <f>VLOOKUP(ADN20,SeasonTable,2,FALSE)</f>
        <v/>
      </c>
      <c r="ADQ20" s="12">
        <f>(1+InflationRate)^INT((ADM20-1)/12)</f>
        <v/>
      </c>
      <c r="ADR20" s="11">
        <f>MonthlyChurn*VLOOKUP(ADN20,ChurnSeasonTable,4,FALSE)</f>
        <v/>
      </c>
      <c r="ADS20" s="12">
        <f>MIN(MAX(MktMin13_18,AEM19*MktPct13_18),MAX(0,AFA19-CashBuffer))</f>
        <v/>
      </c>
      <c r="ADT20" s="12">
        <f>IF(ADS20&gt;0,MAX(1,ROUND(ADS20/CAC*ADP20,0)),0)</f>
        <v/>
      </c>
      <c r="ADU20" s="12">
        <f>IF(ADT20&gt;0,ROUND(ADT20*ReferralMix/(1-ReferralMix),0),0)</f>
        <v/>
      </c>
      <c r="ADV20" s="12">
        <f>ADT20+ADU20</f>
        <v/>
      </c>
      <c r="ADW20" s="12">
        <f>ROUND(ADV20*(1-'Sens - Annual Mix'!$A$15),0)</f>
        <v/>
      </c>
      <c r="ADX20" s="12">
        <f>ADV20-ADW20</f>
        <v/>
      </c>
      <c r="ADY20" s="12">
        <f>ROUND(ADW20*EssentialMix,0)</f>
        <v/>
      </c>
      <c r="ADZ20" s="12">
        <f>ADW20-ADY20</f>
        <v/>
      </c>
      <c r="AEA20" s="12">
        <f>ROUND(ADX20*EssentialMix,0)</f>
        <v/>
      </c>
      <c r="AEB20" s="12">
        <f>ADX20-AEA20</f>
        <v/>
      </c>
      <c r="AEC20" s="12">
        <f>ADY20+ADY19+ADY18+MAX(0,AEC19-ADY19-ADY18)*(1-ADR20)</f>
        <v/>
      </c>
      <c r="AED20" s="12">
        <f>ADZ20+ADZ19+ADZ18+MAX(0,AED19-ADZ19-ADZ18)*(1-ADR20)</f>
        <v/>
      </c>
      <c r="AEE20" s="12">
        <f>AEE19+AEA20-AEA8*(AnnualChurn*VLOOKUP(ADN20,ChurnSeasonTable,4,FALSE))*POWER(1-(AnnualChurn*VLOOKUP(ADN20,ChurnSeasonTable,4,FALSE)),0)</f>
        <v/>
      </c>
      <c r="AEF20" s="12">
        <f>AEF19+AEB20-AEB8*(AnnualChurn*VLOOKUP(ADN20,ChurnSeasonTable,4,FALSE))*POWER(1-(AnnualChurn*VLOOKUP(ADN20,ChurnSeasonTable,4,FALSE)),0)</f>
        <v/>
      </c>
      <c r="AEG20" s="12">
        <f>AEC20+AED20+AEE20+AEF20</f>
        <v/>
      </c>
      <c r="AEH20" s="9">
        <f>AEC20*PriceEssMonthly*ADQ20+AED20*PricePremMonthly*ADQ20+AEE20*PriceEssAnnual*ADQ20/12+AEF20*PricePremAnnual*ADQ20/12</f>
        <v/>
      </c>
      <c r="AEI20" s="9">
        <f>AEH20*12</f>
        <v/>
      </c>
      <c r="AEJ20" s="12">
        <f>AEC20*PriceEssMonthly*ADQ20+AED20*PricePremMonthly*ADQ20</f>
        <v/>
      </c>
      <c r="AEK20" s="12">
        <f>AEA20*PriceEssAnnual*ADQ20+AEB20*PricePremAnnual*ADQ20</f>
        <v/>
      </c>
      <c r="AEL20" s="12">
        <f>AEA8*POWER(1-(AnnualChurn*VLOOKUP(ADN20,ChurnSeasonTable,4,FALSE)),1)*PriceEssAnnual*ADQ20+AEB8*POWER(1-(AnnualChurn*VLOOKUP(ADN20,ChurnSeasonTable,4,FALSE)),1)*PricePremAnnual*ADQ20</f>
        <v/>
      </c>
      <c r="AEM20" s="9">
        <f>AEJ20+AEK20+AEL20</f>
        <v/>
      </c>
      <c r="AEN20" s="12">
        <f>SUM(AEM9:AEM20)</f>
        <v/>
      </c>
      <c r="AEO20" s="12">
        <f>OR(AEO19,AEN20&gt;=VATThreshold)</f>
        <v/>
      </c>
      <c r="AEP20" s="9">
        <f>IF(AEO20,AEM20/(1+VATRate),AEM20)</f>
        <v/>
      </c>
      <c r="AEQ20" s="12">
        <f>AEM20-AEP20</f>
        <v/>
      </c>
      <c r="AER20" s="12">
        <f>IF(AEO20=0,0,IF(ADN20=1,SUMPRODUCT(--(($ADO$5:$ADO20=$ADO20-1)*($ADN$5:$ADN20&gt;=10)*($ADN$5:$ADN20&lt;=12)),$AEQ$5:$AEQ20),IF(ADN20=4,SUMPRODUCT(--(($ADO$5:$ADO20=$ADO20)*($ADN$5:$ADN20&gt;=1)*($ADN$5:$ADN20&lt;=3)),$AEQ$5:$AEQ20),IF(ADN20=7,SUMPRODUCT(--(($ADO$5:$ADO20=$ADO20)*($ADN$5:$ADN20&gt;=4)*($ADN$5:$ADN20&lt;=6)),$AEQ$5:$AEQ20),IF(ADN20=10,SUMPRODUCT(--(($ADO$5:$ADO20=$ADO20)*($ADN$5:$ADN20&gt;=7)*($ADN$5:$ADN20&lt;=9)),$AEQ$5:$AEQ20),0)))))</f>
        <v/>
      </c>
      <c r="AES20" s="12">
        <f>AES19+AEQ20-AER20</f>
        <v/>
      </c>
      <c r="AET20" s="12">
        <f>IF(ProviderDelay&gt;=1,AEP19*ProviderShare,AEP20*ProviderShare)</f>
        <v/>
      </c>
      <c r="AEU20" s="12">
        <f>AEM20*PaymentFee</f>
        <v/>
      </c>
      <c r="AEV20" s="12">
        <f>AEG20*OpsAI</f>
        <v/>
      </c>
      <c r="AEW20" s="12">
        <f>MonthlyFixed</f>
        <v/>
      </c>
      <c r="AEX20" s="12">
        <f>ADU20*ReferralReward</f>
        <v/>
      </c>
      <c r="AEY20" s="12">
        <f>ADS20</f>
        <v/>
      </c>
      <c r="AEZ20" s="9">
        <f>AEP20-AET20-AEU20-AEV20-AEW20-AEX20-AEY20</f>
        <v/>
      </c>
      <c r="AFA20" s="9">
        <f>AFA19+AEM20-(AET20+AEU20+AEV20+AEW20+AEX20+AEY20+AER20)</f>
        <v/>
      </c>
      <c r="AFB20" s="12">
        <f>IF(AEG20&gt;0,AEH20/AEG20,0)</f>
        <v/>
      </c>
      <c r="AFC20" s="11">
        <f>IF(AEG19&gt;0,MAX(0,(AEG19+ADV20-AEG20)/AEG19),0)</f>
        <v/>
      </c>
      <c r="AFE20" s="12" t="n">
        <v>16</v>
      </c>
      <c r="AFF20" s="12">
        <f>MOD(AFE20-1+LaunchMonth-1,12)+1</f>
        <v/>
      </c>
      <c r="AFG20" s="12">
        <f>INT((AFE20-1+LaunchMonth-1)/12)+1</f>
        <v/>
      </c>
      <c r="AFH20" s="12">
        <f>VLOOKUP(AFF20,SeasonTable,2,FALSE)</f>
        <v/>
      </c>
      <c r="AFI20" s="12">
        <f>(1+InflationRate)^INT((AFE20-1)/12)</f>
        <v/>
      </c>
      <c r="AFJ20" s="11">
        <f>MonthlyChurn*VLOOKUP(AFF20,ChurnSeasonTable,4,FALSE)</f>
        <v/>
      </c>
      <c r="AFK20" s="12">
        <f>MIN(MAX(MktMin13_18,AGE19*MktPct13_18),MAX(0,AGS19-CashBuffer))</f>
        <v/>
      </c>
      <c r="AFL20" s="12">
        <f>IF(AFK20&gt;0,MAX(1,ROUND(AFK20/'Sens - CAC &amp; Marketing'!$A$9*AFH20,0)),0)</f>
        <v/>
      </c>
      <c r="AFM20" s="12">
        <f>IF(AFL20&gt;0,ROUND(AFL20*ReferralMix/(1-ReferralMix),0),0)</f>
        <v/>
      </c>
      <c r="AFN20" s="12">
        <f>AFL20+AFM20</f>
        <v/>
      </c>
      <c r="AFO20" s="12">
        <f>ROUND(AFN20*(1-AnnualMix),0)</f>
        <v/>
      </c>
      <c r="AFP20" s="12">
        <f>AFN20-AFO20</f>
        <v/>
      </c>
      <c r="AFQ20" s="12">
        <f>ROUND(AFO20*EssentialMix,0)</f>
        <v/>
      </c>
      <c r="AFR20" s="12">
        <f>AFO20-AFQ20</f>
        <v/>
      </c>
      <c r="AFS20" s="12">
        <f>ROUND(AFP20*EssentialMix,0)</f>
        <v/>
      </c>
      <c r="AFT20" s="12">
        <f>AFP20-AFS20</f>
        <v/>
      </c>
      <c r="AFU20" s="12">
        <f>AFQ20+AFQ19+AFQ18+MAX(0,AFU19-AFQ19-AFQ18)*(1-AFJ20)</f>
        <v/>
      </c>
      <c r="AFV20" s="12">
        <f>AFR20+AFR19+AFR18+MAX(0,AFV19-AFR19-AFR18)*(1-AFJ20)</f>
        <v/>
      </c>
      <c r="AFW20" s="12">
        <f>AFW19+AFS20-AFS8*(AnnualChurn*VLOOKUP(AFF20,ChurnSeasonTable,4,FALSE))*POWER(1-(AnnualChurn*VLOOKUP(AFF20,ChurnSeasonTable,4,FALSE)),0)</f>
        <v/>
      </c>
      <c r="AFX20" s="12">
        <f>AFX19+AFT20-AFT8*(AnnualChurn*VLOOKUP(AFF20,ChurnSeasonTable,4,FALSE))*POWER(1-(AnnualChurn*VLOOKUP(AFF20,ChurnSeasonTable,4,FALSE)),0)</f>
        <v/>
      </c>
      <c r="AFY20" s="12">
        <f>AFU20+AFV20+AFW20+AFX20</f>
        <v/>
      </c>
      <c r="AFZ20" s="9">
        <f>AFU20*PriceEssMonthly*AFI20+AFV20*PricePremMonthly*AFI20+AFW20*PriceEssAnnual*AFI20/12+AFX20*PricePremAnnual*AFI20/12</f>
        <v/>
      </c>
      <c r="AGA20" s="9">
        <f>AFZ20*12</f>
        <v/>
      </c>
      <c r="AGB20" s="12">
        <f>AFU20*PriceEssMonthly*AFI20+AFV20*PricePremMonthly*AFI20</f>
        <v/>
      </c>
      <c r="AGC20" s="12">
        <f>AFS20*PriceEssAnnual*AFI20+AFT20*PricePremAnnual*AFI20</f>
        <v/>
      </c>
      <c r="AGD20" s="12">
        <f>AFS8*POWER(1-(AnnualChurn*VLOOKUP(AFF20,ChurnSeasonTable,4,FALSE)),1)*PriceEssAnnual*AFI20+AFT8*POWER(1-(AnnualChurn*VLOOKUP(AFF20,ChurnSeasonTable,4,FALSE)),1)*PricePremAnnual*AFI20</f>
        <v/>
      </c>
      <c r="AGE20" s="9">
        <f>AGB20+AGC20+AGD20</f>
        <v/>
      </c>
      <c r="AGF20" s="12">
        <f>SUM(AGE9:AGE20)</f>
        <v/>
      </c>
      <c r="AGG20" s="12">
        <f>OR(AGG19,AGF20&gt;=VATThreshold)</f>
        <v/>
      </c>
      <c r="AGH20" s="9">
        <f>IF(AGG20,AGE20/(1+VATRate),AGE20)</f>
        <v/>
      </c>
      <c r="AGI20" s="12">
        <f>AGE20-AGH20</f>
        <v/>
      </c>
      <c r="AGJ20" s="12">
        <f>IF(AGG20=0,0,IF(AFF20=1,SUMPRODUCT(--(($AFG$5:$AFG20=$AFG20-1)*($AFF$5:$AFF20&gt;=10)*($AFF$5:$AFF20&lt;=12)),$AGI$5:$AGI20),IF(AFF20=4,SUMPRODUCT(--(($AFG$5:$AFG20=$AFG20)*($AFF$5:$AFF20&gt;=1)*($AFF$5:$AFF20&lt;=3)),$AGI$5:$AGI20),IF(AFF20=7,SUMPRODUCT(--(($AFG$5:$AFG20=$AFG20)*($AFF$5:$AFF20&gt;=4)*($AFF$5:$AFF20&lt;=6)),$AGI$5:$AGI20),IF(AFF20=10,SUMPRODUCT(--(($AFG$5:$AFG20=$AFG20)*($AFF$5:$AFF20&gt;=7)*($AFF$5:$AFF20&lt;=9)),$AGI$5:$AGI20),0)))))</f>
        <v/>
      </c>
      <c r="AGK20" s="12">
        <f>AGK19+AGI20-AGJ20</f>
        <v/>
      </c>
      <c r="AGL20" s="12">
        <f>IF(ProviderDelay&gt;=1,AGH19*ProviderShare,AGH20*ProviderShare)</f>
        <v/>
      </c>
      <c r="AGM20" s="12">
        <f>AGE20*PaymentFee</f>
        <v/>
      </c>
      <c r="AGN20" s="12">
        <f>AFY20*OpsAI</f>
        <v/>
      </c>
      <c r="AGO20" s="12">
        <f>MonthlyFixed</f>
        <v/>
      </c>
      <c r="AGP20" s="12">
        <f>AFM20*ReferralReward</f>
        <v/>
      </c>
      <c r="AGQ20" s="12">
        <f>AFK20</f>
        <v/>
      </c>
      <c r="AGR20" s="9">
        <f>AGH20-AGL20-AGM20-AGN20-AGO20-AGP20-AGQ20</f>
        <v/>
      </c>
      <c r="AGS20" s="9">
        <f>AGS19+AGE20-(AGL20+AGM20+AGN20+AGO20+AGP20+AGQ20+AGJ20)</f>
        <v/>
      </c>
      <c r="AGT20" s="12">
        <f>IF(AFY20&gt;0,AFZ20/AFY20,0)</f>
        <v/>
      </c>
      <c r="AGU20" s="11">
        <f>IF(AFY19&gt;0,MAX(0,(AFY19+AFN20-AFY20)/AFY19),0)</f>
        <v/>
      </c>
      <c r="AGW20" s="12" t="n">
        <v>16</v>
      </c>
      <c r="AGX20" s="12">
        <f>MOD(AGW20-1+LaunchMonth-1,12)+1</f>
        <v/>
      </c>
      <c r="AGY20" s="12">
        <f>INT((AGW20-1+LaunchMonth-1)/12)+1</f>
        <v/>
      </c>
      <c r="AGZ20" s="12">
        <f>VLOOKUP(AGX20,SeasonTable,2,FALSE)</f>
        <v/>
      </c>
      <c r="AHA20" s="12">
        <f>(1+InflationRate)^INT((AGW20-1)/12)</f>
        <v/>
      </c>
      <c r="AHB20" s="11">
        <f>MonthlyChurn*VLOOKUP(AGX20,ChurnSeasonTable,4,FALSE)</f>
        <v/>
      </c>
      <c r="AHC20" s="12">
        <f>MIN(MAX(MktMin13_18,AHW19*MktPct13_18),MAX(0,AIK19-CashBuffer))</f>
        <v/>
      </c>
      <c r="AHD20" s="12">
        <f>IF(AHC20&gt;0,MAX(1,ROUND(AHC20/'Sens - CAC &amp; Marketing'!$A$10*AGZ20,0)),0)</f>
        <v/>
      </c>
      <c r="AHE20" s="12">
        <f>IF(AHD20&gt;0,ROUND(AHD20*ReferralMix/(1-ReferralMix),0),0)</f>
        <v/>
      </c>
      <c r="AHF20" s="12">
        <f>AHD20+AHE20</f>
        <v/>
      </c>
      <c r="AHG20" s="12">
        <f>ROUND(AHF20*(1-AnnualMix),0)</f>
        <v/>
      </c>
      <c r="AHH20" s="12">
        <f>AHF20-AHG20</f>
        <v/>
      </c>
      <c r="AHI20" s="12">
        <f>ROUND(AHG20*EssentialMix,0)</f>
        <v/>
      </c>
      <c r="AHJ20" s="12">
        <f>AHG20-AHI20</f>
        <v/>
      </c>
      <c r="AHK20" s="12">
        <f>ROUND(AHH20*EssentialMix,0)</f>
        <v/>
      </c>
      <c r="AHL20" s="12">
        <f>AHH20-AHK20</f>
        <v/>
      </c>
      <c r="AHM20" s="12">
        <f>AHI20+AHI19+AHI18+MAX(0,AHM19-AHI19-AHI18)*(1-AHB20)</f>
        <v/>
      </c>
      <c r="AHN20" s="12">
        <f>AHJ20+AHJ19+AHJ18+MAX(0,AHN19-AHJ19-AHJ18)*(1-AHB20)</f>
        <v/>
      </c>
      <c r="AHO20" s="12">
        <f>AHO19+AHK20-AHK8*(AnnualChurn*VLOOKUP(AGX20,ChurnSeasonTable,4,FALSE))*POWER(1-(AnnualChurn*VLOOKUP(AGX20,ChurnSeasonTable,4,FALSE)),0)</f>
        <v/>
      </c>
      <c r="AHP20" s="12">
        <f>AHP19+AHL20-AHL8*(AnnualChurn*VLOOKUP(AGX20,ChurnSeasonTable,4,FALSE))*POWER(1-(AnnualChurn*VLOOKUP(AGX20,ChurnSeasonTable,4,FALSE)),0)</f>
        <v/>
      </c>
      <c r="AHQ20" s="12">
        <f>AHM20+AHN20+AHO20+AHP20</f>
        <v/>
      </c>
      <c r="AHR20" s="9">
        <f>AHM20*PriceEssMonthly*AHA20+AHN20*PricePremMonthly*AHA20+AHO20*PriceEssAnnual*AHA20/12+AHP20*PricePremAnnual*AHA20/12</f>
        <v/>
      </c>
      <c r="AHS20" s="9">
        <f>AHR20*12</f>
        <v/>
      </c>
      <c r="AHT20" s="12">
        <f>AHM20*PriceEssMonthly*AHA20+AHN20*PricePremMonthly*AHA20</f>
        <v/>
      </c>
      <c r="AHU20" s="12">
        <f>AHK20*PriceEssAnnual*AHA20+AHL20*PricePremAnnual*AHA20</f>
        <v/>
      </c>
      <c r="AHV20" s="12">
        <f>AHK8*POWER(1-(AnnualChurn*VLOOKUP(AGX20,ChurnSeasonTable,4,FALSE)),1)*PriceEssAnnual*AHA20+AHL8*POWER(1-(AnnualChurn*VLOOKUP(AGX20,ChurnSeasonTable,4,FALSE)),1)*PricePremAnnual*AHA20</f>
        <v/>
      </c>
      <c r="AHW20" s="9">
        <f>AHT20+AHU20+AHV20</f>
        <v/>
      </c>
      <c r="AHX20" s="12">
        <f>SUM(AHW9:AHW20)</f>
        <v/>
      </c>
      <c r="AHY20" s="12">
        <f>OR(AHY19,AHX20&gt;=VATThreshold)</f>
        <v/>
      </c>
      <c r="AHZ20" s="9">
        <f>IF(AHY20,AHW20/(1+VATRate),AHW20)</f>
        <v/>
      </c>
      <c r="AIA20" s="12">
        <f>AHW20-AHZ20</f>
        <v/>
      </c>
      <c r="AIB20" s="12">
        <f>IF(AHY20=0,0,IF(AGX20=1,SUMPRODUCT(--(($AGY$5:$AGY20=$AGY20-1)*($AGX$5:$AGX20&gt;=10)*($AGX$5:$AGX20&lt;=12)),$AIA$5:$AIA20),IF(AGX20=4,SUMPRODUCT(--(($AGY$5:$AGY20=$AGY20)*($AGX$5:$AGX20&gt;=1)*($AGX$5:$AGX20&lt;=3)),$AIA$5:$AIA20),IF(AGX20=7,SUMPRODUCT(--(($AGY$5:$AGY20=$AGY20)*($AGX$5:$AGX20&gt;=4)*($AGX$5:$AGX20&lt;=6)),$AIA$5:$AIA20),IF(AGX20=10,SUMPRODUCT(--(($AGY$5:$AGY20=$AGY20)*($AGX$5:$AGX20&gt;=7)*($AGX$5:$AGX20&lt;=9)),$AIA$5:$AIA20),0)))))</f>
        <v/>
      </c>
      <c r="AIC20" s="12">
        <f>AIC19+AIA20-AIB20</f>
        <v/>
      </c>
      <c r="AID20" s="12">
        <f>IF(ProviderDelay&gt;=1,AHZ19*ProviderShare,AHZ20*ProviderShare)</f>
        <v/>
      </c>
      <c r="AIE20" s="12">
        <f>AHW20*PaymentFee</f>
        <v/>
      </c>
      <c r="AIF20" s="12">
        <f>AHQ20*OpsAI</f>
        <v/>
      </c>
      <c r="AIG20" s="12">
        <f>MonthlyFixed</f>
        <v/>
      </c>
      <c r="AIH20" s="12">
        <f>AHE20*ReferralReward</f>
        <v/>
      </c>
      <c r="AII20" s="12">
        <f>AHC20</f>
        <v/>
      </c>
      <c r="AIJ20" s="9">
        <f>AHZ20-AID20-AIE20-AIF20-AIG20-AIH20-AII20</f>
        <v/>
      </c>
      <c r="AIK20" s="9">
        <f>AIK19+AHW20-(AID20+AIE20+AIF20+AIG20+AIH20+AII20+AIB20)</f>
        <v/>
      </c>
      <c r="AIL20" s="12">
        <f>IF(AHQ20&gt;0,AHR20/AHQ20,0)</f>
        <v/>
      </c>
      <c r="AIM20" s="11">
        <f>IF(AHQ19&gt;0,MAX(0,(AHQ19+AHF20-AHQ20)/AHQ19),0)</f>
        <v/>
      </c>
      <c r="AIO20" s="12" t="n">
        <v>16</v>
      </c>
      <c r="AIP20" s="12">
        <f>MOD(AIO20-1+LaunchMonth-1,12)+1</f>
        <v/>
      </c>
      <c r="AIQ20" s="12">
        <f>INT((AIO20-1+LaunchMonth-1)/12)+1</f>
        <v/>
      </c>
      <c r="AIR20" s="12">
        <f>VLOOKUP(AIP20,SeasonTable,2,FALSE)</f>
        <v/>
      </c>
      <c r="AIS20" s="12">
        <f>(1+InflationRate)^INT((AIO20-1)/12)</f>
        <v/>
      </c>
      <c r="AIT20" s="11">
        <f>MonthlyChurn*VLOOKUP(AIP20,ChurnSeasonTable,4,FALSE)</f>
        <v/>
      </c>
      <c r="AIU20" s="12">
        <f>MIN(MAX(MktMin13_18,AJO19*MktPct13_18),MAX(0,AKC19-CashBuffer))</f>
        <v/>
      </c>
      <c r="AIV20" s="12">
        <f>IF(AIU20&gt;0,MAX(1,ROUND(AIU20/'Sens - CAC &amp; Marketing'!$A$11*AIR20,0)),0)</f>
        <v/>
      </c>
      <c r="AIW20" s="12">
        <f>IF(AIV20&gt;0,ROUND(AIV20*ReferralMix/(1-ReferralMix),0),0)</f>
        <v/>
      </c>
      <c r="AIX20" s="12">
        <f>AIV20+AIW20</f>
        <v/>
      </c>
      <c r="AIY20" s="12">
        <f>ROUND(AIX20*(1-AnnualMix),0)</f>
        <v/>
      </c>
      <c r="AIZ20" s="12">
        <f>AIX20-AIY20</f>
        <v/>
      </c>
      <c r="AJA20" s="12">
        <f>ROUND(AIY20*EssentialMix,0)</f>
        <v/>
      </c>
      <c r="AJB20" s="12">
        <f>AIY20-AJA20</f>
        <v/>
      </c>
      <c r="AJC20" s="12">
        <f>ROUND(AIZ20*EssentialMix,0)</f>
        <v/>
      </c>
      <c r="AJD20" s="12">
        <f>AIZ20-AJC20</f>
        <v/>
      </c>
      <c r="AJE20" s="12">
        <f>AJA20+AJA19+AJA18+MAX(0,AJE19-AJA19-AJA18)*(1-AIT20)</f>
        <v/>
      </c>
      <c r="AJF20" s="12">
        <f>AJB20+AJB19+AJB18+MAX(0,AJF19-AJB19-AJB18)*(1-AIT20)</f>
        <v/>
      </c>
      <c r="AJG20" s="12">
        <f>AJG19+AJC20-AJC8*(AnnualChurn*VLOOKUP(AIP20,ChurnSeasonTable,4,FALSE))*POWER(1-(AnnualChurn*VLOOKUP(AIP20,ChurnSeasonTable,4,FALSE)),0)</f>
        <v/>
      </c>
      <c r="AJH20" s="12">
        <f>AJH19+AJD20-AJD8*(AnnualChurn*VLOOKUP(AIP20,ChurnSeasonTable,4,FALSE))*POWER(1-(AnnualChurn*VLOOKUP(AIP20,ChurnSeasonTable,4,FALSE)),0)</f>
        <v/>
      </c>
      <c r="AJI20" s="12">
        <f>AJE20+AJF20+AJG20+AJH20</f>
        <v/>
      </c>
      <c r="AJJ20" s="9">
        <f>AJE20*PriceEssMonthly*AIS20+AJF20*PricePremMonthly*AIS20+AJG20*PriceEssAnnual*AIS20/12+AJH20*PricePremAnnual*AIS20/12</f>
        <v/>
      </c>
      <c r="AJK20" s="9">
        <f>AJJ20*12</f>
        <v/>
      </c>
      <c r="AJL20" s="12">
        <f>AJE20*PriceEssMonthly*AIS20+AJF20*PricePremMonthly*AIS20</f>
        <v/>
      </c>
      <c r="AJM20" s="12">
        <f>AJC20*PriceEssAnnual*AIS20+AJD20*PricePremAnnual*AIS20</f>
        <v/>
      </c>
      <c r="AJN20" s="12">
        <f>AJC8*POWER(1-(AnnualChurn*VLOOKUP(AIP20,ChurnSeasonTable,4,FALSE)),1)*PriceEssAnnual*AIS20+AJD8*POWER(1-(AnnualChurn*VLOOKUP(AIP20,ChurnSeasonTable,4,FALSE)),1)*PricePremAnnual*AIS20</f>
        <v/>
      </c>
      <c r="AJO20" s="9">
        <f>AJL20+AJM20+AJN20</f>
        <v/>
      </c>
      <c r="AJP20" s="12">
        <f>SUM(AJO9:AJO20)</f>
        <v/>
      </c>
      <c r="AJQ20" s="12">
        <f>OR(AJQ19,AJP20&gt;=VATThreshold)</f>
        <v/>
      </c>
      <c r="AJR20" s="9">
        <f>IF(AJQ20,AJO20/(1+VATRate),AJO20)</f>
        <v/>
      </c>
      <c r="AJS20" s="12">
        <f>AJO20-AJR20</f>
        <v/>
      </c>
      <c r="AJT20" s="12">
        <f>IF(AJQ20=0,0,IF(AIP20=1,SUMPRODUCT(--(($AIQ$5:$AIQ20=$AIQ20-1)*($AIP$5:$AIP20&gt;=10)*($AIP$5:$AIP20&lt;=12)),$AJS$5:$AJS20),IF(AIP20=4,SUMPRODUCT(--(($AIQ$5:$AIQ20=$AIQ20)*($AIP$5:$AIP20&gt;=1)*($AIP$5:$AIP20&lt;=3)),$AJS$5:$AJS20),IF(AIP20=7,SUMPRODUCT(--(($AIQ$5:$AIQ20=$AIQ20)*($AIP$5:$AIP20&gt;=4)*($AIP$5:$AIP20&lt;=6)),$AJS$5:$AJS20),IF(AIP20=10,SUMPRODUCT(--(($AIQ$5:$AIQ20=$AIQ20)*($AIP$5:$AIP20&gt;=7)*($AIP$5:$AIP20&lt;=9)),$AJS$5:$AJS20),0)))))</f>
        <v/>
      </c>
      <c r="AJU20" s="12">
        <f>AJU19+AJS20-AJT20</f>
        <v/>
      </c>
      <c r="AJV20" s="12">
        <f>IF(ProviderDelay&gt;=1,AJR19*ProviderShare,AJR20*ProviderShare)</f>
        <v/>
      </c>
      <c r="AJW20" s="12">
        <f>AJO20*PaymentFee</f>
        <v/>
      </c>
      <c r="AJX20" s="12">
        <f>AJI20*OpsAI</f>
        <v/>
      </c>
      <c r="AJY20" s="12">
        <f>MonthlyFixed</f>
        <v/>
      </c>
      <c r="AJZ20" s="12">
        <f>AIW20*ReferralReward</f>
        <v/>
      </c>
      <c r="AKA20" s="12">
        <f>AIU20</f>
        <v/>
      </c>
      <c r="AKB20" s="9">
        <f>AJR20-AJV20-AJW20-AJX20-AJY20-AJZ20-AKA20</f>
        <v/>
      </c>
      <c r="AKC20" s="9">
        <f>AKC19+AJO20-(AJV20+AJW20+AJX20+AJY20+AJZ20+AKA20+AJT20)</f>
        <v/>
      </c>
      <c r="AKD20" s="12">
        <f>IF(AJI20&gt;0,AJJ20/AJI20,0)</f>
        <v/>
      </c>
      <c r="AKE20" s="11">
        <f>IF(AJI19&gt;0,MAX(0,(AJI19+AIX20-AJI20)/AJI19),0)</f>
        <v/>
      </c>
      <c r="AKG20" s="12" t="n">
        <v>16</v>
      </c>
      <c r="AKH20" s="12">
        <f>MOD(AKG20-1+LaunchMonth-1,12)+1</f>
        <v/>
      </c>
      <c r="AKI20" s="12">
        <f>INT((AKG20-1+LaunchMonth-1)/12)+1</f>
        <v/>
      </c>
      <c r="AKJ20" s="12">
        <f>VLOOKUP(AKH20,SeasonTable,2,FALSE)</f>
        <v/>
      </c>
      <c r="AKK20" s="12">
        <f>(1+InflationRate)^INT((AKG20-1)/12)</f>
        <v/>
      </c>
      <c r="AKL20" s="11">
        <f>MonthlyChurn*VLOOKUP(AKH20,ChurnSeasonTable,4,FALSE)</f>
        <v/>
      </c>
      <c r="AKM20" s="12">
        <f>MIN(MAX(MktMin13_18,ALG19*MktPct13_18),MAX(0,ALU19-CashBuffer))</f>
        <v/>
      </c>
      <c r="AKN20" s="12">
        <f>IF(AKM20&gt;0,MAX(1,ROUND(AKM20/'Sens - CAC &amp; Marketing'!$A$12*AKJ20,0)),0)</f>
        <v/>
      </c>
      <c r="AKO20" s="12">
        <f>IF(AKN20&gt;0,ROUND(AKN20*ReferralMix/(1-ReferralMix),0),0)</f>
        <v/>
      </c>
      <c r="AKP20" s="12">
        <f>AKN20+AKO20</f>
        <v/>
      </c>
      <c r="AKQ20" s="12">
        <f>ROUND(AKP20*(1-AnnualMix),0)</f>
        <v/>
      </c>
      <c r="AKR20" s="12">
        <f>AKP20-AKQ20</f>
        <v/>
      </c>
      <c r="AKS20" s="12">
        <f>ROUND(AKQ20*EssentialMix,0)</f>
        <v/>
      </c>
      <c r="AKT20" s="12">
        <f>AKQ20-AKS20</f>
        <v/>
      </c>
      <c r="AKU20" s="12">
        <f>ROUND(AKR20*EssentialMix,0)</f>
        <v/>
      </c>
      <c r="AKV20" s="12">
        <f>AKR20-AKU20</f>
        <v/>
      </c>
      <c r="AKW20" s="12">
        <f>AKS20+AKS19+AKS18+MAX(0,AKW19-AKS19-AKS18)*(1-AKL20)</f>
        <v/>
      </c>
      <c r="AKX20" s="12">
        <f>AKT20+AKT19+AKT18+MAX(0,AKX19-AKT19-AKT18)*(1-AKL20)</f>
        <v/>
      </c>
      <c r="AKY20" s="12">
        <f>AKY19+AKU20-AKU8*(AnnualChurn*VLOOKUP(AKH20,ChurnSeasonTable,4,FALSE))*POWER(1-(AnnualChurn*VLOOKUP(AKH20,ChurnSeasonTable,4,FALSE)),0)</f>
        <v/>
      </c>
      <c r="AKZ20" s="12">
        <f>AKZ19+AKV20-AKV8*(AnnualChurn*VLOOKUP(AKH20,ChurnSeasonTable,4,FALSE))*POWER(1-(AnnualChurn*VLOOKUP(AKH20,ChurnSeasonTable,4,FALSE)),0)</f>
        <v/>
      </c>
      <c r="ALA20" s="12">
        <f>AKW20+AKX20+AKY20+AKZ20</f>
        <v/>
      </c>
      <c r="ALB20" s="9">
        <f>AKW20*PriceEssMonthly*AKK20+AKX20*PricePremMonthly*AKK20+AKY20*PriceEssAnnual*AKK20/12+AKZ20*PricePremAnnual*AKK20/12</f>
        <v/>
      </c>
      <c r="ALC20" s="9">
        <f>ALB20*12</f>
        <v/>
      </c>
      <c r="ALD20" s="12">
        <f>AKW20*PriceEssMonthly*AKK20+AKX20*PricePremMonthly*AKK20</f>
        <v/>
      </c>
      <c r="ALE20" s="12">
        <f>AKU20*PriceEssAnnual*AKK20+AKV20*PricePremAnnual*AKK20</f>
        <v/>
      </c>
      <c r="ALF20" s="12">
        <f>AKU8*POWER(1-(AnnualChurn*VLOOKUP(AKH20,ChurnSeasonTable,4,FALSE)),1)*PriceEssAnnual*AKK20+AKV8*POWER(1-(AnnualChurn*VLOOKUP(AKH20,ChurnSeasonTable,4,FALSE)),1)*PricePremAnnual*AKK20</f>
        <v/>
      </c>
      <c r="ALG20" s="9">
        <f>ALD20+ALE20+ALF20</f>
        <v/>
      </c>
      <c r="ALH20" s="12">
        <f>SUM(ALG9:ALG20)</f>
        <v/>
      </c>
      <c r="ALI20" s="12">
        <f>OR(ALI19,ALH20&gt;=VATThreshold)</f>
        <v/>
      </c>
      <c r="ALJ20" s="9">
        <f>IF(ALI20,ALG20/(1+VATRate),ALG20)</f>
        <v/>
      </c>
      <c r="ALK20" s="12">
        <f>ALG20-ALJ20</f>
        <v/>
      </c>
      <c r="ALL20" s="12">
        <f>IF(ALI20=0,0,IF(AKH20=1,SUMPRODUCT(--(($AKI$5:$AKI20=$AKI20-1)*($AKH$5:$AKH20&gt;=10)*($AKH$5:$AKH20&lt;=12)),$ALK$5:$ALK20),IF(AKH20=4,SUMPRODUCT(--(($AKI$5:$AKI20=$AKI20)*($AKH$5:$AKH20&gt;=1)*($AKH$5:$AKH20&lt;=3)),$ALK$5:$ALK20),IF(AKH20=7,SUMPRODUCT(--(($AKI$5:$AKI20=$AKI20)*($AKH$5:$AKH20&gt;=4)*($AKH$5:$AKH20&lt;=6)),$ALK$5:$ALK20),IF(AKH20=10,SUMPRODUCT(--(($AKI$5:$AKI20=$AKI20)*($AKH$5:$AKH20&gt;=7)*($AKH$5:$AKH20&lt;=9)),$ALK$5:$ALK20),0)))))</f>
        <v/>
      </c>
      <c r="ALM20" s="12">
        <f>ALM19+ALK20-ALL20</f>
        <v/>
      </c>
      <c r="ALN20" s="12">
        <f>IF(ProviderDelay&gt;=1,ALJ19*ProviderShare,ALJ20*ProviderShare)</f>
        <v/>
      </c>
      <c r="ALO20" s="12">
        <f>ALG20*PaymentFee</f>
        <v/>
      </c>
      <c r="ALP20" s="12">
        <f>ALA20*OpsAI</f>
        <v/>
      </c>
      <c r="ALQ20" s="12">
        <f>MonthlyFixed</f>
        <v/>
      </c>
      <c r="ALR20" s="12">
        <f>AKO20*ReferralReward</f>
        <v/>
      </c>
      <c r="ALS20" s="12">
        <f>AKM20</f>
        <v/>
      </c>
      <c r="ALT20" s="9">
        <f>ALJ20-ALN20-ALO20-ALP20-ALQ20-ALR20-ALS20</f>
        <v/>
      </c>
      <c r="ALU20" s="9">
        <f>ALU19+ALG20-(ALN20+ALO20+ALP20+ALQ20+ALR20+ALS20+ALL20)</f>
        <v/>
      </c>
      <c r="ALV20" s="12">
        <f>IF(ALA20&gt;0,ALB20/ALA20,0)</f>
        <v/>
      </c>
      <c r="ALW20" s="11">
        <f>IF(ALA19&gt;0,MAX(0,(ALA19+AKP20-ALA20)/ALA19),0)</f>
        <v/>
      </c>
      <c r="ALY20" s="12" t="n">
        <v>16</v>
      </c>
      <c r="ALZ20" s="12">
        <f>MOD(ALY20-1+LaunchMonth-1,12)+1</f>
        <v/>
      </c>
      <c r="AMA20" s="12">
        <f>INT((ALY20-1+LaunchMonth-1)/12)+1</f>
        <v/>
      </c>
      <c r="AMB20" s="12">
        <f>VLOOKUP(ALZ20,SeasonTable,2,FALSE)</f>
        <v/>
      </c>
      <c r="AMC20" s="12">
        <f>(1+InflationRate)^INT((ALY20-1)/12)</f>
        <v/>
      </c>
      <c r="AMD20" s="11">
        <f>MonthlyChurn*VLOOKUP(ALZ20,ChurnSeasonTable,4,FALSE)</f>
        <v/>
      </c>
      <c r="AME20" s="12">
        <f>MIN(MAX(MktMin13_18,AMY19*MktPct13_18),MAX(0,ANM19-CashBuffer))</f>
        <v/>
      </c>
      <c r="AMF20" s="12">
        <f>IF(AME20&gt;0,MAX(1,ROUND(AME20/'Sens - CAC &amp; Marketing'!$A$13*AMB20,0)),0)</f>
        <v/>
      </c>
      <c r="AMG20" s="12">
        <f>IF(AMF20&gt;0,ROUND(AMF20*ReferralMix/(1-ReferralMix),0),0)</f>
        <v/>
      </c>
      <c r="AMH20" s="12">
        <f>AMF20+AMG20</f>
        <v/>
      </c>
      <c r="AMI20" s="12">
        <f>ROUND(AMH20*(1-AnnualMix),0)</f>
        <v/>
      </c>
      <c r="AMJ20" s="12">
        <f>AMH20-AMI20</f>
        <v/>
      </c>
      <c r="AMK20" s="12">
        <f>ROUND(AMI20*EssentialMix,0)</f>
        <v/>
      </c>
      <c r="AML20" s="12">
        <f>AMI20-AMK20</f>
        <v/>
      </c>
      <c r="AMM20" s="12">
        <f>ROUND(AMJ20*EssentialMix,0)</f>
        <v/>
      </c>
      <c r="AMN20" s="12">
        <f>AMJ20-AMM20</f>
        <v/>
      </c>
      <c r="AMO20" s="12">
        <f>AMK20+AMK19+AMK18+MAX(0,AMO19-AMK19-AMK18)*(1-AMD20)</f>
        <v/>
      </c>
      <c r="AMP20" s="12">
        <f>AML20+AML19+AML18+MAX(0,AMP19-AML19-AML18)*(1-AMD20)</f>
        <v/>
      </c>
      <c r="AMQ20" s="12">
        <f>AMQ19+AMM20-AMM8*(AnnualChurn*VLOOKUP(ALZ20,ChurnSeasonTable,4,FALSE))*POWER(1-(AnnualChurn*VLOOKUP(ALZ20,ChurnSeasonTable,4,FALSE)),0)</f>
        <v/>
      </c>
      <c r="AMR20" s="12">
        <f>AMR19+AMN20-AMN8*(AnnualChurn*VLOOKUP(ALZ20,ChurnSeasonTable,4,FALSE))*POWER(1-(AnnualChurn*VLOOKUP(ALZ20,ChurnSeasonTable,4,FALSE)),0)</f>
        <v/>
      </c>
      <c r="AMS20" s="12">
        <f>AMO20+AMP20+AMQ20+AMR20</f>
        <v/>
      </c>
      <c r="AMT20" s="9">
        <f>AMO20*PriceEssMonthly*AMC20+AMP20*PricePremMonthly*AMC20+AMQ20*PriceEssAnnual*AMC20/12+AMR20*PricePremAnnual*AMC20/12</f>
        <v/>
      </c>
      <c r="AMU20" s="9">
        <f>AMT20*12</f>
        <v/>
      </c>
      <c r="AMV20" s="12">
        <f>AMO20*PriceEssMonthly*AMC20+AMP20*PricePremMonthly*AMC20</f>
        <v/>
      </c>
      <c r="AMW20" s="12">
        <f>AMM20*PriceEssAnnual*AMC20+AMN20*PricePremAnnual*AMC20</f>
        <v/>
      </c>
      <c r="AMX20" s="12">
        <f>AMM8*POWER(1-(AnnualChurn*VLOOKUP(ALZ20,ChurnSeasonTable,4,FALSE)),1)*PriceEssAnnual*AMC20+AMN8*POWER(1-(AnnualChurn*VLOOKUP(ALZ20,ChurnSeasonTable,4,FALSE)),1)*PricePremAnnual*AMC20</f>
        <v/>
      </c>
      <c r="AMY20" s="9">
        <f>AMV20+AMW20+AMX20</f>
        <v/>
      </c>
      <c r="AMZ20" s="12">
        <f>SUM(AMY9:AMY20)</f>
        <v/>
      </c>
      <c r="ANA20" s="12">
        <f>OR(ANA19,AMZ20&gt;=VATThreshold)</f>
        <v/>
      </c>
      <c r="ANB20" s="9">
        <f>IF(ANA20,AMY20/(1+VATRate),AMY20)</f>
        <v/>
      </c>
      <c r="ANC20" s="12">
        <f>AMY20-ANB20</f>
        <v/>
      </c>
      <c r="AND20" s="12">
        <f>IF(ANA20=0,0,IF(ALZ20=1,SUMPRODUCT(--(($AMA$5:$AMA20=$AMA20-1)*($ALZ$5:$ALZ20&gt;=10)*($ALZ$5:$ALZ20&lt;=12)),$ANC$5:$ANC20),IF(ALZ20=4,SUMPRODUCT(--(($AMA$5:$AMA20=$AMA20)*($ALZ$5:$ALZ20&gt;=1)*($ALZ$5:$ALZ20&lt;=3)),$ANC$5:$ANC20),IF(ALZ20=7,SUMPRODUCT(--(($AMA$5:$AMA20=$AMA20)*($ALZ$5:$ALZ20&gt;=4)*($ALZ$5:$ALZ20&lt;=6)),$ANC$5:$ANC20),IF(ALZ20=10,SUMPRODUCT(--(($AMA$5:$AMA20=$AMA20)*($ALZ$5:$ALZ20&gt;=7)*($ALZ$5:$ALZ20&lt;=9)),$ANC$5:$ANC20),0)))))</f>
        <v/>
      </c>
      <c r="ANE20" s="12">
        <f>ANE19+ANC20-AND20</f>
        <v/>
      </c>
      <c r="ANF20" s="12">
        <f>IF(ProviderDelay&gt;=1,ANB19*ProviderShare,ANB20*ProviderShare)</f>
        <v/>
      </c>
      <c r="ANG20" s="12">
        <f>AMY20*PaymentFee</f>
        <v/>
      </c>
      <c r="ANH20" s="12">
        <f>AMS20*OpsAI</f>
        <v/>
      </c>
      <c r="ANI20" s="12">
        <f>MonthlyFixed</f>
        <v/>
      </c>
      <c r="ANJ20" s="12">
        <f>AMG20*ReferralReward</f>
        <v/>
      </c>
      <c r="ANK20" s="12">
        <f>AME20</f>
        <v/>
      </c>
      <c r="ANL20" s="9">
        <f>ANB20-ANF20-ANG20-ANH20-ANI20-ANJ20-ANK20</f>
        <v/>
      </c>
      <c r="ANM20" s="9">
        <f>ANM19+AMY20-(ANF20+ANG20+ANH20+ANI20+ANJ20+ANK20+AND20)</f>
        <v/>
      </c>
      <c r="ANN20" s="12">
        <f>IF(AMS20&gt;0,AMT20/AMS20,0)</f>
        <v/>
      </c>
      <c r="ANO20" s="11">
        <f>IF(AMS19&gt;0,MAX(0,(AMS19+AMH20-AMS20)/AMS19),0)</f>
        <v/>
      </c>
      <c r="ANQ20" s="12" t="n">
        <v>16</v>
      </c>
      <c r="ANR20" s="12">
        <f>MOD(ANQ20-1+LaunchMonth-1,12)+1</f>
        <v/>
      </c>
      <c r="ANS20" s="12">
        <f>INT((ANQ20-1+LaunchMonth-1)/12)+1</f>
        <v/>
      </c>
      <c r="ANT20" s="12">
        <f>VLOOKUP(ANR20,SeasonTable,2,FALSE)</f>
        <v/>
      </c>
      <c r="ANU20" s="12">
        <f>(1+InflationRate)^INT((ANQ20-1)/12)</f>
        <v/>
      </c>
      <c r="ANV20" s="11">
        <f>MonthlyChurn*VLOOKUP(ANR20,ChurnSeasonTable,4,FALSE)</f>
        <v/>
      </c>
      <c r="ANW20" s="12">
        <f>MIN(MAX(MktMin13_18,AOQ19*MktPct13_18),MAX(0,APE19-CashBuffer))</f>
        <v/>
      </c>
      <c r="ANX20" s="12">
        <f>IF(ANW20&gt;0,MAX(1,ROUND(ANW20/'Sens - CAC &amp; Marketing'!$A$14*ANT20,0)),0)</f>
        <v/>
      </c>
      <c r="ANY20" s="12">
        <f>IF(ANX20&gt;0,ROUND(ANX20*ReferralMix/(1-ReferralMix),0),0)</f>
        <v/>
      </c>
      <c r="ANZ20" s="12">
        <f>ANX20+ANY20</f>
        <v/>
      </c>
      <c r="AOA20" s="12">
        <f>ROUND(ANZ20*(1-AnnualMix),0)</f>
        <v/>
      </c>
      <c r="AOB20" s="12">
        <f>ANZ20-AOA20</f>
        <v/>
      </c>
      <c r="AOC20" s="12">
        <f>ROUND(AOA20*EssentialMix,0)</f>
        <v/>
      </c>
      <c r="AOD20" s="12">
        <f>AOA20-AOC20</f>
        <v/>
      </c>
      <c r="AOE20" s="12">
        <f>ROUND(AOB20*EssentialMix,0)</f>
        <v/>
      </c>
      <c r="AOF20" s="12">
        <f>AOB20-AOE20</f>
        <v/>
      </c>
      <c r="AOG20" s="12">
        <f>AOC20+AOC19+AOC18+MAX(0,AOG19-AOC19-AOC18)*(1-ANV20)</f>
        <v/>
      </c>
      <c r="AOH20" s="12">
        <f>AOD20+AOD19+AOD18+MAX(0,AOH19-AOD19-AOD18)*(1-ANV20)</f>
        <v/>
      </c>
      <c r="AOI20" s="12">
        <f>AOI19+AOE20-AOE8*(AnnualChurn*VLOOKUP(ANR20,ChurnSeasonTable,4,FALSE))*POWER(1-(AnnualChurn*VLOOKUP(ANR20,ChurnSeasonTable,4,FALSE)),0)</f>
        <v/>
      </c>
      <c r="AOJ20" s="12">
        <f>AOJ19+AOF20-AOF8*(AnnualChurn*VLOOKUP(ANR20,ChurnSeasonTable,4,FALSE))*POWER(1-(AnnualChurn*VLOOKUP(ANR20,ChurnSeasonTable,4,FALSE)),0)</f>
        <v/>
      </c>
      <c r="AOK20" s="12">
        <f>AOG20+AOH20+AOI20+AOJ20</f>
        <v/>
      </c>
      <c r="AOL20" s="9">
        <f>AOG20*PriceEssMonthly*ANU20+AOH20*PricePremMonthly*ANU20+AOI20*PriceEssAnnual*ANU20/12+AOJ20*PricePremAnnual*ANU20/12</f>
        <v/>
      </c>
      <c r="AOM20" s="9">
        <f>AOL20*12</f>
        <v/>
      </c>
      <c r="AON20" s="12">
        <f>AOG20*PriceEssMonthly*ANU20+AOH20*PricePremMonthly*ANU20</f>
        <v/>
      </c>
      <c r="AOO20" s="12">
        <f>AOE20*PriceEssAnnual*ANU20+AOF20*PricePremAnnual*ANU20</f>
        <v/>
      </c>
      <c r="AOP20" s="12">
        <f>AOE8*POWER(1-(AnnualChurn*VLOOKUP(ANR20,ChurnSeasonTable,4,FALSE)),1)*PriceEssAnnual*ANU20+AOF8*POWER(1-(AnnualChurn*VLOOKUP(ANR20,ChurnSeasonTable,4,FALSE)),1)*PricePremAnnual*ANU20</f>
        <v/>
      </c>
      <c r="AOQ20" s="9">
        <f>AON20+AOO20+AOP20</f>
        <v/>
      </c>
      <c r="AOR20" s="12">
        <f>SUM(AOQ9:AOQ20)</f>
        <v/>
      </c>
      <c r="AOS20" s="12">
        <f>OR(AOS19,AOR20&gt;=VATThreshold)</f>
        <v/>
      </c>
      <c r="AOT20" s="9">
        <f>IF(AOS20,AOQ20/(1+VATRate),AOQ20)</f>
        <v/>
      </c>
      <c r="AOU20" s="12">
        <f>AOQ20-AOT20</f>
        <v/>
      </c>
      <c r="AOV20" s="12">
        <f>IF(AOS20=0,0,IF(ANR20=1,SUMPRODUCT(--(($ANS$5:$ANS20=$ANS20-1)*($ANR$5:$ANR20&gt;=10)*($ANR$5:$ANR20&lt;=12)),$AOU$5:$AOU20),IF(ANR20=4,SUMPRODUCT(--(($ANS$5:$ANS20=$ANS20)*($ANR$5:$ANR20&gt;=1)*($ANR$5:$ANR20&lt;=3)),$AOU$5:$AOU20),IF(ANR20=7,SUMPRODUCT(--(($ANS$5:$ANS20=$ANS20)*($ANR$5:$ANR20&gt;=4)*($ANR$5:$ANR20&lt;=6)),$AOU$5:$AOU20),IF(ANR20=10,SUMPRODUCT(--(($ANS$5:$ANS20=$ANS20)*($ANR$5:$ANR20&gt;=7)*($ANR$5:$ANR20&lt;=9)),$AOU$5:$AOU20),0)))))</f>
        <v/>
      </c>
      <c r="AOW20" s="12">
        <f>AOW19+AOU20-AOV20</f>
        <v/>
      </c>
      <c r="AOX20" s="12">
        <f>IF(ProviderDelay&gt;=1,AOT19*ProviderShare,AOT20*ProviderShare)</f>
        <v/>
      </c>
      <c r="AOY20" s="12">
        <f>AOQ20*PaymentFee</f>
        <v/>
      </c>
      <c r="AOZ20" s="12">
        <f>AOK20*OpsAI</f>
        <v/>
      </c>
      <c r="APA20" s="12">
        <f>MonthlyFixed</f>
        <v/>
      </c>
      <c r="APB20" s="12">
        <f>ANY20*ReferralReward</f>
        <v/>
      </c>
      <c r="APC20" s="12">
        <f>ANW20</f>
        <v/>
      </c>
      <c r="APD20" s="9">
        <f>AOT20-AOX20-AOY20-AOZ20-APA20-APB20-APC20</f>
        <v/>
      </c>
      <c r="APE20" s="9">
        <f>APE19+AOQ20-(AOX20+AOY20+AOZ20+APA20+APB20+APC20+AOV20)</f>
        <v/>
      </c>
      <c r="APF20" s="12">
        <f>IF(AOK20&gt;0,AOL20/AOK20,0)</f>
        <v/>
      </c>
      <c r="APG20" s="11">
        <f>IF(AOK19&gt;0,MAX(0,(AOK19+ANZ20-AOK20)/AOK19),0)</f>
        <v/>
      </c>
      <c r="API20" s="12" t="n">
        <v>16</v>
      </c>
      <c r="APJ20" s="12">
        <f>MOD(API20-1+LaunchMonth-1,12)+1</f>
        <v/>
      </c>
      <c r="APK20" s="12">
        <f>INT((API20-1+LaunchMonth-1)/12)+1</f>
        <v/>
      </c>
      <c r="APL20" s="12">
        <f>VLOOKUP(APJ20,SeasonTable,2,FALSE)</f>
        <v/>
      </c>
      <c r="APM20" s="12">
        <f>(1+InflationRate)^INT((API20-1)/12)</f>
        <v/>
      </c>
      <c r="APN20" s="11">
        <f>MonthlyChurn*VLOOKUP(APJ20,ChurnSeasonTable,4,FALSE)</f>
        <v/>
      </c>
      <c r="APO20" s="12">
        <f>MIN(MAX(MktMin13_18,AQI19*MktPct13_18),MAX(0,AQW19-CashBuffer))</f>
        <v/>
      </c>
      <c r="APP20" s="12">
        <f>IF(APO20&gt;0,MAX(1,ROUND(APO20/'Sens - CAC &amp; Marketing'!$A$15*APL20,0)),0)</f>
        <v/>
      </c>
      <c r="APQ20" s="12">
        <f>IF(APP20&gt;0,ROUND(APP20*ReferralMix/(1-ReferralMix),0),0)</f>
        <v/>
      </c>
      <c r="APR20" s="12">
        <f>APP20+APQ20</f>
        <v/>
      </c>
      <c r="APS20" s="12">
        <f>ROUND(APR20*(1-AnnualMix),0)</f>
        <v/>
      </c>
      <c r="APT20" s="12">
        <f>APR20-APS20</f>
        <v/>
      </c>
      <c r="APU20" s="12">
        <f>ROUND(APS20*EssentialMix,0)</f>
        <v/>
      </c>
      <c r="APV20" s="12">
        <f>APS20-APU20</f>
        <v/>
      </c>
      <c r="APW20" s="12">
        <f>ROUND(APT20*EssentialMix,0)</f>
        <v/>
      </c>
      <c r="APX20" s="12">
        <f>APT20-APW20</f>
        <v/>
      </c>
      <c r="APY20" s="12">
        <f>APU20+APU19+APU18+MAX(0,APY19-APU19-APU18)*(1-APN20)</f>
        <v/>
      </c>
      <c r="APZ20" s="12">
        <f>APV20+APV19+APV18+MAX(0,APZ19-APV19-APV18)*(1-APN20)</f>
        <v/>
      </c>
      <c r="AQA20" s="12">
        <f>AQA19+APW20-APW8*(AnnualChurn*VLOOKUP(APJ20,ChurnSeasonTable,4,FALSE))*POWER(1-(AnnualChurn*VLOOKUP(APJ20,ChurnSeasonTable,4,FALSE)),0)</f>
        <v/>
      </c>
      <c r="AQB20" s="12">
        <f>AQB19+APX20-APX8*(AnnualChurn*VLOOKUP(APJ20,ChurnSeasonTable,4,FALSE))*POWER(1-(AnnualChurn*VLOOKUP(APJ20,ChurnSeasonTable,4,FALSE)),0)</f>
        <v/>
      </c>
      <c r="AQC20" s="12">
        <f>APY20+APZ20+AQA20+AQB20</f>
        <v/>
      </c>
      <c r="AQD20" s="9">
        <f>APY20*PriceEssMonthly*APM20+APZ20*PricePremMonthly*APM20+AQA20*PriceEssAnnual*APM20/12+AQB20*PricePremAnnual*APM20/12</f>
        <v/>
      </c>
      <c r="AQE20" s="9">
        <f>AQD20*12</f>
        <v/>
      </c>
      <c r="AQF20" s="12">
        <f>APY20*PriceEssMonthly*APM20+APZ20*PricePremMonthly*APM20</f>
        <v/>
      </c>
      <c r="AQG20" s="12">
        <f>APW20*PriceEssAnnual*APM20+APX20*PricePremAnnual*APM20</f>
        <v/>
      </c>
      <c r="AQH20" s="12">
        <f>APW8*POWER(1-(AnnualChurn*VLOOKUP(APJ20,ChurnSeasonTable,4,FALSE)),1)*PriceEssAnnual*APM20+APX8*POWER(1-(AnnualChurn*VLOOKUP(APJ20,ChurnSeasonTable,4,FALSE)),1)*PricePremAnnual*APM20</f>
        <v/>
      </c>
      <c r="AQI20" s="9">
        <f>AQF20+AQG20+AQH20</f>
        <v/>
      </c>
      <c r="AQJ20" s="12">
        <f>SUM(AQI9:AQI20)</f>
        <v/>
      </c>
      <c r="AQK20" s="12">
        <f>OR(AQK19,AQJ20&gt;=VATThreshold)</f>
        <v/>
      </c>
      <c r="AQL20" s="9">
        <f>IF(AQK20,AQI20/(1+VATRate),AQI20)</f>
        <v/>
      </c>
      <c r="AQM20" s="12">
        <f>AQI20-AQL20</f>
        <v/>
      </c>
      <c r="AQN20" s="12">
        <f>IF(AQK20=0,0,IF(APJ20=1,SUMPRODUCT(--(($APK$5:$APK20=$APK20-1)*($APJ$5:$APJ20&gt;=10)*($APJ$5:$APJ20&lt;=12)),$AQM$5:$AQM20),IF(APJ20=4,SUMPRODUCT(--(($APK$5:$APK20=$APK20)*($APJ$5:$APJ20&gt;=1)*($APJ$5:$APJ20&lt;=3)),$AQM$5:$AQM20),IF(APJ20=7,SUMPRODUCT(--(($APK$5:$APK20=$APK20)*($APJ$5:$APJ20&gt;=4)*($APJ$5:$APJ20&lt;=6)),$AQM$5:$AQM20),IF(APJ20=10,SUMPRODUCT(--(($APK$5:$APK20=$APK20)*($APJ$5:$APJ20&gt;=7)*($APJ$5:$APJ20&lt;=9)),$AQM$5:$AQM20),0)))))</f>
        <v/>
      </c>
      <c r="AQO20" s="12">
        <f>AQO19+AQM20-AQN20</f>
        <v/>
      </c>
      <c r="AQP20" s="12">
        <f>IF(ProviderDelay&gt;=1,AQL19*ProviderShare,AQL20*ProviderShare)</f>
        <v/>
      </c>
      <c r="AQQ20" s="12">
        <f>AQI20*PaymentFee</f>
        <v/>
      </c>
      <c r="AQR20" s="12">
        <f>AQC20*OpsAI</f>
        <v/>
      </c>
      <c r="AQS20" s="12">
        <f>MonthlyFixed</f>
        <v/>
      </c>
      <c r="AQT20" s="12">
        <f>APQ20*ReferralReward</f>
        <v/>
      </c>
      <c r="AQU20" s="12">
        <f>APO20</f>
        <v/>
      </c>
      <c r="AQV20" s="9">
        <f>AQL20-AQP20-AQQ20-AQR20-AQS20-AQT20-AQU20</f>
        <v/>
      </c>
      <c r="AQW20" s="9">
        <f>AQW19+AQI20-(AQP20+AQQ20+AQR20+AQS20+AQT20+AQU20+AQN20)</f>
        <v/>
      </c>
      <c r="AQX20" s="12">
        <f>IF(AQC20&gt;0,AQD20/AQC20,0)</f>
        <v/>
      </c>
      <c r="AQY20" s="11">
        <f>IF(AQC19&gt;0,MAX(0,(AQC19+APR20-AQC20)/AQC19),0)</f>
        <v/>
      </c>
      <c r="ARA20" s="12" t="n">
        <v>16</v>
      </c>
      <c r="ARB20" s="12">
        <f>MOD(ARA20-1+LaunchMonth-1,12)+1</f>
        <v/>
      </c>
      <c r="ARC20" s="12">
        <f>INT((ARA20-1+LaunchMonth-1)/12)+1</f>
        <v/>
      </c>
      <c r="ARD20" s="12">
        <f>VLOOKUP(ARB20,WinterPivotSeasonTable,5,FALSE)</f>
        <v/>
      </c>
      <c r="ARE20" s="12">
        <f>(1+InflationRate)^INT((ARA20-1)/12)</f>
        <v/>
      </c>
      <c r="ARF20" s="11">
        <f>MonthlyChurn*VLOOKUP(ARB20,WinterPivotChurnTable,6,FALSE)</f>
        <v/>
      </c>
      <c r="ARG20" s="12">
        <f>MIN(MAX(MktMin13_18,ASA19*MktPct13_18),MAX(0,ASO19-CashBuffer))</f>
        <v/>
      </c>
      <c r="ARH20" s="12">
        <f>IF(ARG20&gt;0,MAX(1,ROUND(ARG20/CAC*ARD20,0)),0)</f>
        <v/>
      </c>
      <c r="ARI20" s="12">
        <f>IF(ARH20&gt;0,ROUND(ARH20*ReferralMix/(1-ReferralMix),0),0)</f>
        <v/>
      </c>
      <c r="ARJ20" s="12">
        <f>ARH20+ARI20</f>
        <v/>
      </c>
      <c r="ARK20" s="12">
        <f>ROUND(ARJ20*(1-AnnualMix),0)</f>
        <v/>
      </c>
      <c r="ARL20" s="12">
        <f>ARJ20-ARK20</f>
        <v/>
      </c>
      <c r="ARM20" s="12">
        <f>ROUND(ARK20*'Sens - Winter Pivot'!$B$6,0)</f>
        <v/>
      </c>
      <c r="ARN20" s="12">
        <f>ARK20-ARM20</f>
        <v/>
      </c>
      <c r="ARO20" s="12">
        <f>ROUND(ARL20*'Sens - Winter Pivot'!$B$6,0)</f>
        <v/>
      </c>
      <c r="ARP20" s="12">
        <f>ARL20-ARO20</f>
        <v/>
      </c>
      <c r="ARQ20" s="12">
        <f>ARM20+ARM19+ARM18+MAX(0,ARQ19-ARM19-ARM18)*(1-ARF20)</f>
        <v/>
      </c>
      <c r="ARR20" s="12">
        <f>ARN20+ARN19+ARN18+MAX(0,ARR19-ARN19-ARN18)*(1-ARF20)</f>
        <v/>
      </c>
      <c r="ARS20" s="12">
        <f>ARS19+ARO20-ARO8*(AnnualChurn*VLOOKUP(ARB20,WinterPivotChurnTable,6,FALSE))*POWER(1-(AnnualChurn*VLOOKUP(ARB20,WinterPivotChurnTable,6,FALSE)),0)</f>
        <v/>
      </c>
      <c r="ART20" s="12">
        <f>ART19+ARP20-ARP8*(AnnualChurn*VLOOKUP(ARB20,WinterPivotChurnTable,6,FALSE))*POWER(1-(AnnualChurn*VLOOKUP(ARB20,WinterPivotChurnTable,6,FALSE)),0)</f>
        <v/>
      </c>
      <c r="ARU20" s="12">
        <f>ARQ20+ARR20+ARS20+ART20</f>
        <v/>
      </c>
      <c r="ARV20" s="9">
        <f>ARQ20*PriceEssMonthly*ARE20+ARR20*(PricePremMonthly+'Sens - Winter Pivot'!$B$7)*ARE20+ARS20*PriceEssAnnual*ARE20/12+ART20*(PricePremAnnual+'Sens - Winter Pivot'!$B$7*12)*ARE20/12</f>
        <v/>
      </c>
      <c r="ARW20" s="9">
        <f>ARV20*12</f>
        <v/>
      </c>
      <c r="ARX20" s="12">
        <f>ARQ20*PriceEssMonthly*ARE20+ARR20*(PricePremMonthly+'Sens - Winter Pivot'!$B$7)*ARE20</f>
        <v/>
      </c>
      <c r="ARY20" s="12">
        <f>ARO20*PriceEssAnnual*ARE20+ARP20*(PricePremAnnual+'Sens - Winter Pivot'!$B$7*12)*ARE20</f>
        <v/>
      </c>
      <c r="ARZ20" s="12">
        <f>ARO8*POWER(1-(AnnualChurn*VLOOKUP(ARB20,WinterPivotChurnTable,6,FALSE)),1)*PriceEssAnnual*ARE20+ARP8*POWER(1-(AnnualChurn*VLOOKUP(ARB20,WinterPivotChurnTable,6,FALSE)),1)*PricePremAnnual*ARE20</f>
        <v/>
      </c>
      <c r="ASA20" s="9">
        <f>ARX20+ARY20+ARZ20</f>
        <v/>
      </c>
      <c r="ASB20" s="12">
        <f>SUM(ASA9:ASA20)</f>
        <v/>
      </c>
      <c r="ASC20" s="12">
        <f>OR(ASC19,ASB20&gt;=VATThreshold)</f>
        <v/>
      </c>
      <c r="ASD20" s="9">
        <f>IF(ASC20,ASA20/(1+VATRate),ASA20)</f>
        <v/>
      </c>
      <c r="ASE20" s="12">
        <f>ASA20-ASD20</f>
        <v/>
      </c>
      <c r="ASF20" s="12">
        <f>IF(ASC20=0,0,IF(ARB20=1,SUMPRODUCT(--(($ARC$5:$ARC20=$ARC20-1)*($ARB$5:$ARB20&gt;=10)*($ARB$5:$ARB20&lt;=12)),$ASE$5:$ASE20),IF(ARB20=4,SUMPRODUCT(--(($ARC$5:$ARC20=$ARC20)*($ARB$5:$ARB20&gt;=1)*($ARB$5:$ARB20&lt;=3)),$ASE$5:$ASE20),IF(ARB20=7,SUMPRODUCT(--(($ARC$5:$ARC20=$ARC20)*($ARB$5:$ARB20&gt;=4)*($ARB$5:$ARB20&lt;=6)),$ASE$5:$ASE20),IF(ARB20=10,SUMPRODUCT(--(($ARC$5:$ARC20=$ARC20)*($ARB$5:$ARB20&gt;=7)*($ARB$5:$ARB20&lt;=9)),$ASE$5:$ASE20),0)))))</f>
        <v/>
      </c>
      <c r="ASG20" s="12">
        <f>ASG19+ASE20-ASF20</f>
        <v/>
      </c>
      <c r="ASH20" s="12">
        <f>IF(ProviderDelay&gt;=1,ASD19*ProviderShare,ASD20*ProviderShare)</f>
        <v/>
      </c>
      <c r="ASI20" s="12">
        <f>ASA20*PaymentFee</f>
        <v/>
      </c>
      <c r="ASJ20" s="12">
        <f>ARU20*OpsAI</f>
        <v/>
      </c>
      <c r="ASK20" s="12">
        <f>MonthlyFixed</f>
        <v/>
      </c>
      <c r="ASL20" s="12">
        <f>ARI20*ReferralReward</f>
        <v/>
      </c>
      <c r="ASM20" s="12">
        <f>ARG20</f>
        <v/>
      </c>
      <c r="ASN20" s="9">
        <f>ASD20-ASH20-ASI20-ASJ20-ASK20-ASL20-ASM20</f>
        <v/>
      </c>
      <c r="ASO20" s="9">
        <f>ASO19+ASA20-(ASH20+ASI20+ASJ20+ASK20+ASL20+ASM20+ASF20)</f>
        <v/>
      </c>
      <c r="ASP20" s="12">
        <f>IF(ARU20&gt;0,ARV20/ARU20,0)</f>
        <v/>
      </c>
      <c r="ASQ20" s="11">
        <f>IF(ARU19&gt;0,MAX(0,(ARU19+ARJ20-ARU20)/ARU19),0)</f>
        <v/>
      </c>
    </row>
    <row r="21">
      <c r="A21" s="12" t="n">
        <v>17</v>
      </c>
      <c r="B21" s="12">
        <f>MOD(A21-1+LaunchMonth-1,12)+1</f>
        <v/>
      </c>
      <c r="C21" s="12">
        <f>INT((A21-1+LaunchMonth-1)/12)+1</f>
        <v/>
      </c>
      <c r="D21" s="12">
        <f>VLOOKUP(B21,SeasonTable,2,FALSE)</f>
        <v/>
      </c>
      <c r="E21" s="12">
        <f>(1+InflationRate)^INT((A21-1)/12)</f>
        <v/>
      </c>
      <c r="F21" s="11">
        <f>'Sens - Scenarios'!$B$5*VLOOKUP(B21,ChurnSeasonTable,4,FALSE)</f>
        <v/>
      </c>
      <c r="G21" s="12">
        <f>MIN(MAX(MktMin13_18,AA20*MktPct13_18),MAX(0,AO20-CashBuffer))</f>
        <v/>
      </c>
      <c r="H21" s="12">
        <f>IF(G21&gt;0,MAX(1,ROUND(G21/'Sens - Scenarios'!$B$8*D21,0)),0)</f>
        <v/>
      </c>
      <c r="I21" s="12">
        <f>IF(H21&gt;0,ROUND(H21*ReferralMix/(1-ReferralMix),0),0)</f>
        <v/>
      </c>
      <c r="J21" s="12">
        <f>H21+I21</f>
        <v/>
      </c>
      <c r="K21" s="12">
        <f>ROUND(J21*(1-'Sens - Scenarios'!$B$7),0)</f>
        <v/>
      </c>
      <c r="L21" s="12">
        <f>J21-K21</f>
        <v/>
      </c>
      <c r="M21" s="12">
        <f>ROUND(K21*EssentialMix,0)</f>
        <v/>
      </c>
      <c r="N21" s="12">
        <f>K21-M21</f>
        <v/>
      </c>
      <c r="O21" s="12">
        <f>ROUND(L21*EssentialMix,0)</f>
        <v/>
      </c>
      <c r="P21" s="12">
        <f>L21-O21</f>
        <v/>
      </c>
      <c r="Q21" s="12">
        <f>M21+M20+M19+MAX(0,Q20-M20-M19)*(1-F21)</f>
        <v/>
      </c>
      <c r="R21" s="12">
        <f>N21+N20+N19+MAX(0,R20-N20-N19)*(1-F21)</f>
        <v/>
      </c>
      <c r="S21" s="12">
        <f>S20+O21-O9*('Sens - Scenarios'!$B$6*VLOOKUP(B21,ChurnSeasonTable,4,FALSE))*POWER(1-('Sens - Scenarios'!$B$6*VLOOKUP(B21,ChurnSeasonTable,4,FALSE)),0)</f>
        <v/>
      </c>
      <c r="T21" s="12">
        <f>T20+P21-P9*('Sens - Scenarios'!$B$6*VLOOKUP(B21,ChurnSeasonTable,4,FALSE))*POWER(1-('Sens - Scenarios'!$B$6*VLOOKUP(B21,ChurnSeasonTable,4,FALSE)),0)</f>
        <v/>
      </c>
      <c r="U21" s="12">
        <f>Q21+R21+S21+T21</f>
        <v/>
      </c>
      <c r="V21" s="9">
        <f>Q21*PriceEssMonthly*E21+R21*PricePremMonthly*E21+S21*PriceEssAnnual*E21/12+T21*PricePremAnnual*E21/12</f>
        <v/>
      </c>
      <c r="W21" s="9">
        <f>V21*12</f>
        <v/>
      </c>
      <c r="X21" s="12">
        <f>Q21*PriceEssMonthly*E21+R21*PricePremMonthly*E21</f>
        <v/>
      </c>
      <c r="Y21" s="12">
        <f>O21*PriceEssAnnual*E21+P21*PricePremAnnual*E21</f>
        <v/>
      </c>
      <c r="Z21" s="12">
        <f>O9*POWER(1-('Sens - Scenarios'!$B$6*VLOOKUP(B21,ChurnSeasonTable,4,FALSE)),1)*PriceEssAnnual*E21+P9*POWER(1-('Sens - Scenarios'!$B$6*VLOOKUP(B21,ChurnSeasonTable,4,FALSE)),1)*PricePremAnnual*E21</f>
        <v/>
      </c>
      <c r="AA21" s="9">
        <f>X21+Y21+Z21</f>
        <v/>
      </c>
      <c r="AB21" s="12">
        <f>SUM(AA10:AA21)</f>
        <v/>
      </c>
      <c r="AC21" s="12">
        <f>OR(AC20,AB21&gt;=VATThreshold)</f>
        <v/>
      </c>
      <c r="AD21" s="9">
        <f>IF(AC21,AA21/(1+VATRate),AA21)</f>
        <v/>
      </c>
      <c r="AE21" s="12">
        <f>AA21-AD21</f>
        <v/>
      </c>
      <c r="AF21" s="12">
        <f>IF(AC21=0,0,IF(B21=1,SUMPRODUCT(--(($C$5:$C21=$C21-1)*($B$5:$B21&gt;=10)*($B$5:$B21&lt;=12)),$AE$5:$AE21),IF(B21=4,SUMPRODUCT(--(($C$5:$C21=$C21)*($B$5:$B21&gt;=1)*($B$5:$B21&lt;=3)),$AE$5:$AE21),IF(B21=7,SUMPRODUCT(--(($C$5:$C21=$C21)*($B$5:$B21&gt;=4)*($B$5:$B21&lt;=6)),$AE$5:$AE21),IF(B21=10,SUMPRODUCT(--(($C$5:$C21=$C21)*($B$5:$B21&gt;=7)*($B$5:$B21&lt;=9)),$AE$5:$AE21),0)))))</f>
        <v/>
      </c>
      <c r="AG21" s="12">
        <f>AG20+AE21-AF21</f>
        <v/>
      </c>
      <c r="AH21" s="12">
        <f>IF(ProviderDelay&gt;=1,AD20*ProviderShare,AD21*ProviderShare)</f>
        <v/>
      </c>
      <c r="AI21" s="12">
        <f>AA21*PaymentFee</f>
        <v/>
      </c>
      <c r="AJ21" s="12">
        <f>U21*OpsAI</f>
        <v/>
      </c>
      <c r="AK21" s="12">
        <f>MonthlyFixed</f>
        <v/>
      </c>
      <c r="AL21" s="12">
        <f>I21*ReferralReward</f>
        <v/>
      </c>
      <c r="AM21" s="12">
        <f>G21</f>
        <v/>
      </c>
      <c r="AN21" s="9">
        <f>AD21-AH21-AI21-AJ21-AK21-AL21-AM21</f>
        <v/>
      </c>
      <c r="AO21" s="9">
        <f>AO20+AA21-(AH21+AI21+AJ21+AK21+AL21+AM21+AF21)</f>
        <v/>
      </c>
      <c r="AP21" s="12">
        <f>IF(U21&gt;0,V21/U21,0)</f>
        <v/>
      </c>
      <c r="AQ21" s="11">
        <f>IF(U20&gt;0,MAX(0,(U20+J21-U21)/U20),0)</f>
        <v/>
      </c>
      <c r="AS21" s="12" t="n">
        <v>17</v>
      </c>
      <c r="AT21" s="12">
        <f>MOD(AS21-1+LaunchMonth-1,12)+1</f>
        <v/>
      </c>
      <c r="AU21" s="12">
        <f>INT((AS21-1+LaunchMonth-1)/12)+1</f>
        <v/>
      </c>
      <c r="AV21" s="12">
        <f>VLOOKUP(AT21,SeasonTable,2,FALSE)</f>
        <v/>
      </c>
      <c r="AW21" s="12">
        <f>(1+InflationRate)^INT((AS21-1)/12)</f>
        <v/>
      </c>
      <c r="AX21" s="11">
        <f>MonthlyChurn*VLOOKUP(AT21,ChurnSeasonTable,4,FALSE)</f>
        <v/>
      </c>
      <c r="AY21" s="12">
        <f>MIN(MAX(MktMin13_18,BS20*MktPct13_18),MAX(0,CG20-CashBuffer))</f>
        <v/>
      </c>
      <c r="AZ21" s="12">
        <f>IF(AY21&gt;0,MAX(1,ROUND(AY21/CAC*AV21,0)),0)</f>
        <v/>
      </c>
      <c r="BA21" s="12">
        <f>IF(AZ21&gt;0,ROUND(AZ21*ReferralMix/(1-ReferralMix),0),0)</f>
        <v/>
      </c>
      <c r="BB21" s="12">
        <f>AZ21+BA21</f>
        <v/>
      </c>
      <c r="BC21" s="12">
        <f>ROUND(BB21*(1-AnnualMix),0)</f>
        <v/>
      </c>
      <c r="BD21" s="12">
        <f>BB21-BC21</f>
        <v/>
      </c>
      <c r="BE21" s="12">
        <f>ROUND(BC21*EssentialMix,0)</f>
        <v/>
      </c>
      <c r="BF21" s="12">
        <f>BC21-BE21</f>
        <v/>
      </c>
      <c r="BG21" s="12">
        <f>ROUND(BD21*EssentialMix,0)</f>
        <v/>
      </c>
      <c r="BH21" s="12">
        <f>BD21-BG21</f>
        <v/>
      </c>
      <c r="BI21" s="12">
        <f>BE21+BE20+BE19+MAX(0,BI20-BE20-BE19)*(1-AX21)</f>
        <v/>
      </c>
      <c r="BJ21" s="12">
        <f>BF21+BF20+BF19+MAX(0,BJ20-BF20-BF19)*(1-AX21)</f>
        <v/>
      </c>
      <c r="BK21" s="12">
        <f>BK20+BG21-BG9*(AnnualChurn*VLOOKUP(AT21,ChurnSeasonTable,4,FALSE))*POWER(1-(AnnualChurn*VLOOKUP(AT21,ChurnSeasonTable,4,FALSE)),0)</f>
        <v/>
      </c>
      <c r="BL21" s="12">
        <f>BL20+BH21-BH9*(AnnualChurn*VLOOKUP(AT21,ChurnSeasonTable,4,FALSE))*POWER(1-(AnnualChurn*VLOOKUP(AT21,ChurnSeasonTable,4,FALSE)),0)</f>
        <v/>
      </c>
      <c r="BM21" s="12">
        <f>BI21+BJ21+BK21+BL21</f>
        <v/>
      </c>
      <c r="BN21" s="9">
        <f>BI21*PriceEssMonthly*AW21+BJ21*PricePremMonthly*AW21+BK21*PriceEssAnnual*AW21/12+BL21*PricePremAnnual*AW21/12</f>
        <v/>
      </c>
      <c r="BO21" s="9">
        <f>BN21*12</f>
        <v/>
      </c>
      <c r="BP21" s="12">
        <f>BI21*PriceEssMonthly*AW21+BJ21*PricePremMonthly*AW21</f>
        <v/>
      </c>
      <c r="BQ21" s="12">
        <f>BG21*PriceEssAnnual*AW21+BH21*PricePremAnnual*AW21</f>
        <v/>
      </c>
      <c r="BR21" s="12">
        <f>BG9*POWER(1-(AnnualChurn*VLOOKUP(AT21,ChurnSeasonTable,4,FALSE)),1)*PriceEssAnnual*AW21+BH9*POWER(1-(AnnualChurn*VLOOKUP(AT21,ChurnSeasonTable,4,FALSE)),1)*PricePremAnnual*AW21</f>
        <v/>
      </c>
      <c r="BS21" s="9">
        <f>BP21+BQ21+BR21</f>
        <v/>
      </c>
      <c r="BT21" s="12">
        <f>SUM(BS10:BS21)</f>
        <v/>
      </c>
      <c r="BU21" s="12">
        <f>OR(BU20,BT21&gt;=VATThreshold)</f>
        <v/>
      </c>
      <c r="BV21" s="9">
        <f>IF(BU21,BS21/(1+VATRate),BS21)</f>
        <v/>
      </c>
      <c r="BW21" s="12">
        <f>BS21-BV21</f>
        <v/>
      </c>
      <c r="BX21" s="12">
        <f>IF(BU21=0,0,IF(AT21=1,SUMPRODUCT(--(($AU$5:$AU21=$AU21-1)*($AT$5:$AT21&gt;=10)*($AT$5:$AT21&lt;=12)),$BW$5:$BW21),IF(AT21=4,SUMPRODUCT(--(($AU$5:$AU21=$AU21)*($AT$5:$AT21&gt;=1)*($AT$5:$AT21&lt;=3)),$BW$5:$BW21),IF(AT21=7,SUMPRODUCT(--(($AU$5:$AU21=$AU21)*($AT$5:$AT21&gt;=4)*($AT$5:$AT21&lt;=6)),$BW$5:$BW21),IF(AT21=10,SUMPRODUCT(--(($AU$5:$AU21=$AU21)*($AT$5:$AT21&gt;=7)*($AT$5:$AT21&lt;=9)),$BW$5:$BW21),0)))))</f>
        <v/>
      </c>
      <c r="BY21" s="12">
        <f>BY20+BW21-BX21</f>
        <v/>
      </c>
      <c r="BZ21" s="12">
        <f>IF(ProviderDelay&gt;=1,BV20*ProviderShare,BV21*ProviderShare)</f>
        <v/>
      </c>
      <c r="CA21" s="12">
        <f>BS21*PaymentFee</f>
        <v/>
      </c>
      <c r="CB21" s="12">
        <f>BM21*OpsAI</f>
        <v/>
      </c>
      <c r="CC21" s="12">
        <f>MonthlyFixed</f>
        <v/>
      </c>
      <c r="CD21" s="12">
        <f>BA21*ReferralReward</f>
        <v/>
      </c>
      <c r="CE21" s="12">
        <f>AY21</f>
        <v/>
      </c>
      <c r="CF21" s="9">
        <f>BV21-BZ21-CA21-CB21-CC21-CD21-CE21</f>
        <v/>
      </c>
      <c r="CG21" s="9">
        <f>CG20+BS21-(BZ21+CA21+CB21+CC21+CD21+CE21+BX21)</f>
        <v/>
      </c>
      <c r="CH21" s="12">
        <f>IF(BM21&gt;0,BN21/BM21,0)</f>
        <v/>
      </c>
      <c r="CI21" s="11">
        <f>IF(BM20&gt;0,MAX(0,(BM20+BB21-BM21)/BM20),0)</f>
        <v/>
      </c>
      <c r="CK21" s="12" t="n">
        <v>17</v>
      </c>
      <c r="CL21" s="12">
        <f>MOD(CK21-1+LaunchMonth-1,12)+1</f>
        <v/>
      </c>
      <c r="CM21" s="12">
        <f>INT((CK21-1+LaunchMonth-1)/12)+1</f>
        <v/>
      </c>
      <c r="CN21" s="12">
        <f>VLOOKUP(CL21,SeasonTable,2,FALSE)</f>
        <v/>
      </c>
      <c r="CO21" s="12">
        <f>(1+InflationRate)^INT((CK21-1)/12)</f>
        <v/>
      </c>
      <c r="CP21" s="11">
        <f>'Sens - Scenarios'!$D$5*VLOOKUP(CL21,ChurnSeasonTable,4,FALSE)</f>
        <v/>
      </c>
      <c r="CQ21" s="12">
        <f>MIN(MAX(MktMin13_18,DK20*MktPct13_18),MAX(0,DY20-CashBuffer))</f>
        <v/>
      </c>
      <c r="CR21" s="12">
        <f>IF(CQ21&gt;0,MAX(1,ROUND(CQ21/'Sens - Scenarios'!$D$8*CN21,0)),0)</f>
        <v/>
      </c>
      <c r="CS21" s="12">
        <f>IF(CR21&gt;0,ROUND(CR21*ReferralMix/(1-ReferralMix),0),0)</f>
        <v/>
      </c>
      <c r="CT21" s="12">
        <f>CR21+CS21</f>
        <v/>
      </c>
      <c r="CU21" s="12">
        <f>ROUND(CT21*(1-'Sens - Scenarios'!$D$7),0)</f>
        <v/>
      </c>
      <c r="CV21" s="12">
        <f>CT21-CU21</f>
        <v/>
      </c>
      <c r="CW21" s="12">
        <f>ROUND(CU21*EssentialMix,0)</f>
        <v/>
      </c>
      <c r="CX21" s="12">
        <f>CU21-CW21</f>
        <v/>
      </c>
      <c r="CY21" s="12">
        <f>ROUND(CV21*EssentialMix,0)</f>
        <v/>
      </c>
      <c r="CZ21" s="12">
        <f>CV21-CY21</f>
        <v/>
      </c>
      <c r="DA21" s="12">
        <f>CW21+CW20+CW19+MAX(0,DA20-CW20-CW19)*(1-CP21)</f>
        <v/>
      </c>
      <c r="DB21" s="12">
        <f>CX21+CX20+CX19+MAX(0,DB20-CX20-CX19)*(1-CP21)</f>
        <v/>
      </c>
      <c r="DC21" s="12">
        <f>DC20+CY21-CY9*('Sens - Scenarios'!$D$6*VLOOKUP(CL21,ChurnSeasonTable,4,FALSE))*POWER(1-('Sens - Scenarios'!$D$6*VLOOKUP(CL21,ChurnSeasonTable,4,FALSE)),0)</f>
        <v/>
      </c>
      <c r="DD21" s="12">
        <f>DD20+CZ21-CZ9*('Sens - Scenarios'!$D$6*VLOOKUP(CL21,ChurnSeasonTable,4,FALSE))*POWER(1-('Sens - Scenarios'!$D$6*VLOOKUP(CL21,ChurnSeasonTable,4,FALSE)),0)</f>
        <v/>
      </c>
      <c r="DE21" s="12">
        <f>DA21+DB21+DC21+DD21</f>
        <v/>
      </c>
      <c r="DF21" s="9">
        <f>DA21*PriceEssMonthly*CO21+DB21*PricePremMonthly*CO21+DC21*PriceEssAnnual*CO21/12+DD21*PricePremAnnual*CO21/12</f>
        <v/>
      </c>
      <c r="DG21" s="9">
        <f>DF21*12</f>
        <v/>
      </c>
      <c r="DH21" s="12">
        <f>DA21*PriceEssMonthly*CO21+DB21*PricePremMonthly*CO21</f>
        <v/>
      </c>
      <c r="DI21" s="12">
        <f>CY21*PriceEssAnnual*CO21+CZ21*PricePremAnnual*CO21</f>
        <v/>
      </c>
      <c r="DJ21" s="12">
        <f>CY9*POWER(1-('Sens - Scenarios'!$D$6*VLOOKUP(CL21,ChurnSeasonTable,4,FALSE)),1)*PriceEssAnnual*CO21+CZ9*POWER(1-('Sens - Scenarios'!$D$6*VLOOKUP(CL21,ChurnSeasonTable,4,FALSE)),1)*PricePremAnnual*CO21</f>
        <v/>
      </c>
      <c r="DK21" s="9">
        <f>DH21+DI21+DJ21</f>
        <v/>
      </c>
      <c r="DL21" s="12">
        <f>SUM(DK10:DK21)</f>
        <v/>
      </c>
      <c r="DM21" s="12">
        <f>OR(DM20,DL21&gt;=VATThreshold)</f>
        <v/>
      </c>
      <c r="DN21" s="9">
        <f>IF(DM21,DK21/(1+VATRate),DK21)</f>
        <v/>
      </c>
      <c r="DO21" s="12">
        <f>DK21-DN21</f>
        <v/>
      </c>
      <c r="DP21" s="12">
        <f>IF(DM21=0,0,IF(CL21=1,SUMPRODUCT(--(($CM$5:$CM21=$CM21-1)*($CL$5:$CL21&gt;=10)*($CL$5:$CL21&lt;=12)),$DO$5:$DO21),IF(CL21=4,SUMPRODUCT(--(($CM$5:$CM21=$CM21)*($CL$5:$CL21&gt;=1)*($CL$5:$CL21&lt;=3)),$DO$5:$DO21),IF(CL21=7,SUMPRODUCT(--(($CM$5:$CM21=$CM21)*($CL$5:$CL21&gt;=4)*($CL$5:$CL21&lt;=6)),$DO$5:$DO21),IF(CL21=10,SUMPRODUCT(--(($CM$5:$CM21=$CM21)*($CL$5:$CL21&gt;=7)*($CL$5:$CL21&lt;=9)),$DO$5:$DO21),0)))))</f>
        <v/>
      </c>
      <c r="DQ21" s="12">
        <f>DQ20+DO21-DP21</f>
        <v/>
      </c>
      <c r="DR21" s="12">
        <f>IF(ProviderDelay&gt;=1,DN20*ProviderShare,DN21*ProviderShare)</f>
        <v/>
      </c>
      <c r="DS21" s="12">
        <f>DK21*PaymentFee</f>
        <v/>
      </c>
      <c r="DT21" s="12">
        <f>DE21*OpsAI</f>
        <v/>
      </c>
      <c r="DU21" s="12">
        <f>MonthlyFixed</f>
        <v/>
      </c>
      <c r="DV21" s="12">
        <f>CS21*ReferralReward</f>
        <v/>
      </c>
      <c r="DW21" s="12">
        <f>CQ21</f>
        <v/>
      </c>
      <c r="DX21" s="9">
        <f>DN21-DR21-DS21-DT21-DU21-DV21-DW21</f>
        <v/>
      </c>
      <c r="DY21" s="9">
        <f>DY20+DK21-(DR21+DS21+DT21+DU21+DV21+DW21+DP21)</f>
        <v/>
      </c>
      <c r="DZ21" s="12">
        <f>IF(DE21&gt;0,DF21/DE21,0)</f>
        <v/>
      </c>
      <c r="EA21" s="11">
        <f>IF(DE20&gt;0,MAX(0,(DE20+CT21-DE21)/DE20),0)</f>
        <v/>
      </c>
      <c r="EC21" s="12" t="n">
        <v>17</v>
      </c>
      <c r="ED21" s="12">
        <f>MOD(EC21-1+LaunchMonth-1,12)+1</f>
        <v/>
      </c>
      <c r="EE21" s="12">
        <f>INT((EC21-1+LaunchMonth-1)/12)+1</f>
        <v/>
      </c>
      <c r="EF21" s="12">
        <f>VLOOKUP(ED21,SeasonTable,2,FALSE)</f>
        <v/>
      </c>
      <c r="EG21" s="12">
        <f>(1+InflationRate)^INT((EC21-1)/12)</f>
        <v/>
      </c>
      <c r="EH21" s="11">
        <f>'Sens - Churn'!$A$13*VLOOKUP(ED21,ChurnSeasonTable,4,FALSE)</f>
        <v/>
      </c>
      <c r="EI21" s="12">
        <f>MIN(MAX(MktMin13_18,FC20*MktPct13_18),MAX(0,FQ20-CashBuffer))</f>
        <v/>
      </c>
      <c r="EJ21" s="12">
        <f>IF(EI21&gt;0,MAX(1,ROUND(EI21/CAC*EF21,0)),0)</f>
        <v/>
      </c>
      <c r="EK21" s="12">
        <f>IF(EJ21&gt;0,ROUND(EJ21*ReferralMix/(1-ReferralMix),0),0)</f>
        <v/>
      </c>
      <c r="EL21" s="12">
        <f>EJ21+EK21</f>
        <v/>
      </c>
      <c r="EM21" s="12">
        <f>ROUND(EL21*(1-AnnualMix),0)</f>
        <v/>
      </c>
      <c r="EN21" s="12">
        <f>EL21-EM21</f>
        <v/>
      </c>
      <c r="EO21" s="12">
        <f>ROUND(EM21*EssentialMix,0)</f>
        <v/>
      </c>
      <c r="EP21" s="12">
        <f>EM21-EO21</f>
        <v/>
      </c>
      <c r="EQ21" s="12">
        <f>ROUND(EN21*EssentialMix,0)</f>
        <v/>
      </c>
      <c r="ER21" s="12">
        <f>EN21-EQ21</f>
        <v/>
      </c>
      <c r="ES21" s="12">
        <f>EO21+EO20+EO19+MAX(0,ES20-EO20-EO19)*(1-EH21)</f>
        <v/>
      </c>
      <c r="ET21" s="12">
        <f>EP21+EP20+EP19+MAX(0,ET20-EP20-EP19)*(1-EH21)</f>
        <v/>
      </c>
      <c r="EU21" s="12">
        <f>EU20+EQ21-EQ9*(AnnualChurn*VLOOKUP(ED21,ChurnSeasonTable,4,FALSE))*POWER(1-(AnnualChurn*VLOOKUP(ED21,ChurnSeasonTable,4,FALSE)),0)</f>
        <v/>
      </c>
      <c r="EV21" s="12">
        <f>EV20+ER21-ER9*(AnnualChurn*VLOOKUP(ED21,ChurnSeasonTable,4,FALSE))*POWER(1-(AnnualChurn*VLOOKUP(ED21,ChurnSeasonTable,4,FALSE)),0)</f>
        <v/>
      </c>
      <c r="EW21" s="12">
        <f>ES21+ET21+EU21+EV21</f>
        <v/>
      </c>
      <c r="EX21" s="9">
        <f>ES21*PriceEssMonthly*EG21+ET21*PricePremMonthly*EG21+EU21*PriceEssAnnual*EG21/12+EV21*PricePremAnnual*EG21/12</f>
        <v/>
      </c>
      <c r="EY21" s="9">
        <f>EX21*12</f>
        <v/>
      </c>
      <c r="EZ21" s="12">
        <f>ES21*PriceEssMonthly*EG21+ET21*PricePremMonthly*EG21</f>
        <v/>
      </c>
      <c r="FA21" s="12">
        <f>EQ21*PriceEssAnnual*EG21+ER21*PricePremAnnual*EG21</f>
        <v/>
      </c>
      <c r="FB21" s="12">
        <f>EQ9*POWER(1-(AnnualChurn*VLOOKUP(ED21,ChurnSeasonTable,4,FALSE)),1)*PriceEssAnnual*EG21+ER9*POWER(1-(AnnualChurn*VLOOKUP(ED21,ChurnSeasonTable,4,FALSE)),1)*PricePremAnnual*EG21</f>
        <v/>
      </c>
      <c r="FC21" s="9">
        <f>EZ21+FA21+FB21</f>
        <v/>
      </c>
      <c r="FD21" s="12">
        <f>SUM(FC10:FC21)</f>
        <v/>
      </c>
      <c r="FE21" s="12">
        <f>OR(FE20,FD21&gt;=VATThreshold)</f>
        <v/>
      </c>
      <c r="FF21" s="9">
        <f>IF(FE21,FC21/(1+VATRate),FC21)</f>
        <v/>
      </c>
      <c r="FG21" s="12">
        <f>FC21-FF21</f>
        <v/>
      </c>
      <c r="FH21" s="12">
        <f>IF(FE21=0,0,IF(ED21=1,SUMPRODUCT(--(($EE$5:$EE21=$EE21-1)*($ED$5:$ED21&gt;=10)*($ED$5:$ED21&lt;=12)),$FG$5:$FG21),IF(ED21=4,SUMPRODUCT(--(($EE$5:$EE21=$EE21)*($ED$5:$ED21&gt;=1)*($ED$5:$ED21&lt;=3)),$FG$5:$FG21),IF(ED21=7,SUMPRODUCT(--(($EE$5:$EE21=$EE21)*($ED$5:$ED21&gt;=4)*($ED$5:$ED21&lt;=6)),$FG$5:$FG21),IF(ED21=10,SUMPRODUCT(--(($EE$5:$EE21=$EE21)*($ED$5:$ED21&gt;=7)*($ED$5:$ED21&lt;=9)),$FG$5:$FG21),0)))))</f>
        <v/>
      </c>
      <c r="FI21" s="12">
        <f>FI20+FG21-FH21</f>
        <v/>
      </c>
      <c r="FJ21" s="12">
        <f>IF(ProviderDelay&gt;=1,FF20*ProviderShare,FF21*ProviderShare)</f>
        <v/>
      </c>
      <c r="FK21" s="12">
        <f>FC21*PaymentFee</f>
        <v/>
      </c>
      <c r="FL21" s="12">
        <f>EW21*OpsAI</f>
        <v/>
      </c>
      <c r="FM21" s="12">
        <f>MonthlyFixed</f>
        <v/>
      </c>
      <c r="FN21" s="12">
        <f>EK21*ReferralReward</f>
        <v/>
      </c>
      <c r="FO21" s="12">
        <f>EI21</f>
        <v/>
      </c>
      <c r="FP21" s="9">
        <f>FF21-FJ21-FK21-FL21-FM21-FN21-FO21</f>
        <v/>
      </c>
      <c r="FQ21" s="9">
        <f>FQ20+FC21-(FJ21+FK21+FL21+FM21+FN21+FO21+FH21)</f>
        <v/>
      </c>
      <c r="FR21" s="12">
        <f>IF(EW21&gt;0,EX21/EW21,0)</f>
        <v/>
      </c>
      <c r="FS21" s="11">
        <f>IF(EW20&gt;0,MAX(0,(EW20+EL21-EW21)/EW20),0)</f>
        <v/>
      </c>
      <c r="FU21" s="12" t="n">
        <v>17</v>
      </c>
      <c r="FV21" s="12">
        <f>MOD(FU21-1+LaunchMonth-1,12)+1</f>
        <v/>
      </c>
      <c r="FW21" s="12">
        <f>INT((FU21-1+LaunchMonth-1)/12)+1</f>
        <v/>
      </c>
      <c r="FX21" s="12">
        <f>VLOOKUP(FV21,SeasonTable,2,FALSE)</f>
        <v/>
      </c>
      <c r="FY21" s="12">
        <f>(1+InflationRate)^INT((FU21-1)/12)</f>
        <v/>
      </c>
      <c r="FZ21" s="11">
        <f>'Sens - Churn'!$A$14*VLOOKUP(FV21,ChurnSeasonTable,4,FALSE)</f>
        <v/>
      </c>
      <c r="GA21" s="12">
        <f>MIN(MAX(MktMin13_18,GU20*MktPct13_18),MAX(0,HI20-CashBuffer))</f>
        <v/>
      </c>
      <c r="GB21" s="12">
        <f>IF(GA21&gt;0,MAX(1,ROUND(GA21/CAC*FX21,0)),0)</f>
        <v/>
      </c>
      <c r="GC21" s="12">
        <f>IF(GB21&gt;0,ROUND(GB21*ReferralMix/(1-ReferralMix),0),0)</f>
        <v/>
      </c>
      <c r="GD21" s="12">
        <f>GB21+GC21</f>
        <v/>
      </c>
      <c r="GE21" s="12">
        <f>ROUND(GD21*(1-AnnualMix),0)</f>
        <v/>
      </c>
      <c r="GF21" s="12">
        <f>GD21-GE21</f>
        <v/>
      </c>
      <c r="GG21" s="12">
        <f>ROUND(GE21*EssentialMix,0)</f>
        <v/>
      </c>
      <c r="GH21" s="12">
        <f>GE21-GG21</f>
        <v/>
      </c>
      <c r="GI21" s="12">
        <f>ROUND(GF21*EssentialMix,0)</f>
        <v/>
      </c>
      <c r="GJ21" s="12">
        <f>GF21-GI21</f>
        <v/>
      </c>
      <c r="GK21" s="12">
        <f>GG21+GG20+GG19+MAX(0,GK20-GG20-GG19)*(1-FZ21)</f>
        <v/>
      </c>
      <c r="GL21" s="12">
        <f>GH21+GH20+GH19+MAX(0,GL20-GH20-GH19)*(1-FZ21)</f>
        <v/>
      </c>
      <c r="GM21" s="12">
        <f>GM20+GI21-GI9*(AnnualChurn*VLOOKUP(FV21,ChurnSeasonTable,4,FALSE))*POWER(1-(AnnualChurn*VLOOKUP(FV21,ChurnSeasonTable,4,FALSE)),0)</f>
        <v/>
      </c>
      <c r="GN21" s="12">
        <f>GN20+GJ21-GJ9*(AnnualChurn*VLOOKUP(FV21,ChurnSeasonTable,4,FALSE))*POWER(1-(AnnualChurn*VLOOKUP(FV21,ChurnSeasonTable,4,FALSE)),0)</f>
        <v/>
      </c>
      <c r="GO21" s="12">
        <f>GK21+GL21+GM21+GN21</f>
        <v/>
      </c>
      <c r="GP21" s="9">
        <f>GK21*PriceEssMonthly*FY21+GL21*PricePremMonthly*FY21+GM21*PriceEssAnnual*FY21/12+GN21*PricePremAnnual*FY21/12</f>
        <v/>
      </c>
      <c r="GQ21" s="9">
        <f>GP21*12</f>
        <v/>
      </c>
      <c r="GR21" s="12">
        <f>GK21*PriceEssMonthly*FY21+GL21*PricePremMonthly*FY21</f>
        <v/>
      </c>
      <c r="GS21" s="12">
        <f>GI21*PriceEssAnnual*FY21+GJ21*PricePremAnnual*FY21</f>
        <v/>
      </c>
      <c r="GT21" s="12">
        <f>GI9*POWER(1-(AnnualChurn*VLOOKUP(FV21,ChurnSeasonTable,4,FALSE)),1)*PriceEssAnnual*FY21+GJ9*POWER(1-(AnnualChurn*VLOOKUP(FV21,ChurnSeasonTable,4,FALSE)),1)*PricePremAnnual*FY21</f>
        <v/>
      </c>
      <c r="GU21" s="9">
        <f>GR21+GS21+GT21</f>
        <v/>
      </c>
      <c r="GV21" s="12">
        <f>SUM(GU10:GU21)</f>
        <v/>
      </c>
      <c r="GW21" s="12">
        <f>OR(GW20,GV21&gt;=VATThreshold)</f>
        <v/>
      </c>
      <c r="GX21" s="9">
        <f>IF(GW21,GU21/(1+VATRate),GU21)</f>
        <v/>
      </c>
      <c r="GY21" s="12">
        <f>GU21-GX21</f>
        <v/>
      </c>
      <c r="GZ21" s="12">
        <f>IF(GW21=0,0,IF(FV21=1,SUMPRODUCT(--(($FW$5:$FW21=$FW21-1)*($FV$5:$FV21&gt;=10)*($FV$5:$FV21&lt;=12)),$GY$5:$GY21),IF(FV21=4,SUMPRODUCT(--(($FW$5:$FW21=$FW21)*($FV$5:$FV21&gt;=1)*($FV$5:$FV21&lt;=3)),$GY$5:$GY21),IF(FV21=7,SUMPRODUCT(--(($FW$5:$FW21=$FW21)*($FV$5:$FV21&gt;=4)*($FV$5:$FV21&lt;=6)),$GY$5:$GY21),IF(FV21=10,SUMPRODUCT(--(($FW$5:$FW21=$FW21)*($FV$5:$FV21&gt;=7)*($FV$5:$FV21&lt;=9)),$GY$5:$GY21),0)))))</f>
        <v/>
      </c>
      <c r="HA21" s="12">
        <f>HA20+GY21-GZ21</f>
        <v/>
      </c>
      <c r="HB21" s="12">
        <f>IF(ProviderDelay&gt;=1,GX20*ProviderShare,GX21*ProviderShare)</f>
        <v/>
      </c>
      <c r="HC21" s="12">
        <f>GU21*PaymentFee</f>
        <v/>
      </c>
      <c r="HD21" s="12">
        <f>GO21*OpsAI</f>
        <v/>
      </c>
      <c r="HE21" s="12">
        <f>MonthlyFixed</f>
        <v/>
      </c>
      <c r="HF21" s="12">
        <f>GC21*ReferralReward</f>
        <v/>
      </c>
      <c r="HG21" s="12">
        <f>GA21</f>
        <v/>
      </c>
      <c r="HH21" s="9">
        <f>GX21-HB21-HC21-HD21-HE21-HF21-HG21</f>
        <v/>
      </c>
      <c r="HI21" s="9">
        <f>HI20+GU21-(HB21+HC21+HD21+HE21+HF21+HG21+GZ21)</f>
        <v/>
      </c>
      <c r="HJ21" s="12">
        <f>IF(GO21&gt;0,GP21/GO21,0)</f>
        <v/>
      </c>
      <c r="HK21" s="11">
        <f>IF(GO20&gt;0,MAX(0,(GO20+GD21-GO21)/GO20),0)</f>
        <v/>
      </c>
      <c r="HM21" s="12" t="n">
        <v>17</v>
      </c>
      <c r="HN21" s="12">
        <f>MOD(HM21-1+LaunchMonth-1,12)+1</f>
        <v/>
      </c>
      <c r="HO21" s="12">
        <f>INT((HM21-1+LaunchMonth-1)/12)+1</f>
        <v/>
      </c>
      <c r="HP21" s="12">
        <f>VLOOKUP(HN21,SeasonTable,2,FALSE)</f>
        <v/>
      </c>
      <c r="HQ21" s="12">
        <f>(1+InflationRate)^INT((HM21-1)/12)</f>
        <v/>
      </c>
      <c r="HR21" s="11">
        <f>'Sens - Churn'!$A$15*VLOOKUP(HN21,ChurnSeasonTable,4,FALSE)</f>
        <v/>
      </c>
      <c r="HS21" s="12">
        <f>MIN(MAX(MktMin13_18,IM20*MktPct13_18),MAX(0,JA20-CashBuffer))</f>
        <v/>
      </c>
      <c r="HT21" s="12">
        <f>IF(HS21&gt;0,MAX(1,ROUND(HS21/CAC*HP21,0)),0)</f>
        <v/>
      </c>
      <c r="HU21" s="12">
        <f>IF(HT21&gt;0,ROUND(HT21*ReferralMix/(1-ReferralMix),0),0)</f>
        <v/>
      </c>
      <c r="HV21" s="12">
        <f>HT21+HU21</f>
        <v/>
      </c>
      <c r="HW21" s="12">
        <f>ROUND(HV21*(1-AnnualMix),0)</f>
        <v/>
      </c>
      <c r="HX21" s="12">
        <f>HV21-HW21</f>
        <v/>
      </c>
      <c r="HY21" s="12">
        <f>ROUND(HW21*EssentialMix,0)</f>
        <v/>
      </c>
      <c r="HZ21" s="12">
        <f>HW21-HY21</f>
        <v/>
      </c>
      <c r="IA21" s="12">
        <f>ROUND(HX21*EssentialMix,0)</f>
        <v/>
      </c>
      <c r="IB21" s="12">
        <f>HX21-IA21</f>
        <v/>
      </c>
      <c r="IC21" s="12">
        <f>HY21+HY20+HY19+MAX(0,IC20-HY20-HY19)*(1-HR21)</f>
        <v/>
      </c>
      <c r="ID21" s="12">
        <f>HZ21+HZ20+HZ19+MAX(0,ID20-HZ20-HZ19)*(1-HR21)</f>
        <v/>
      </c>
      <c r="IE21" s="12">
        <f>IE20+IA21-IA9*(AnnualChurn*VLOOKUP(HN21,ChurnSeasonTable,4,FALSE))*POWER(1-(AnnualChurn*VLOOKUP(HN21,ChurnSeasonTable,4,FALSE)),0)</f>
        <v/>
      </c>
      <c r="IF21" s="12">
        <f>IF20+IB21-IB9*(AnnualChurn*VLOOKUP(HN21,ChurnSeasonTable,4,FALSE))*POWER(1-(AnnualChurn*VLOOKUP(HN21,ChurnSeasonTable,4,FALSE)),0)</f>
        <v/>
      </c>
      <c r="IG21" s="12">
        <f>IC21+ID21+IE21+IF21</f>
        <v/>
      </c>
      <c r="IH21" s="9">
        <f>IC21*PriceEssMonthly*HQ21+ID21*PricePremMonthly*HQ21+IE21*PriceEssAnnual*HQ21/12+IF21*PricePremAnnual*HQ21/12</f>
        <v/>
      </c>
      <c r="II21" s="9">
        <f>IH21*12</f>
        <v/>
      </c>
      <c r="IJ21" s="12">
        <f>IC21*PriceEssMonthly*HQ21+ID21*PricePremMonthly*HQ21</f>
        <v/>
      </c>
      <c r="IK21" s="12">
        <f>IA21*PriceEssAnnual*HQ21+IB21*PricePremAnnual*HQ21</f>
        <v/>
      </c>
      <c r="IL21" s="12">
        <f>IA9*POWER(1-(AnnualChurn*VLOOKUP(HN21,ChurnSeasonTable,4,FALSE)),1)*PriceEssAnnual*HQ21+IB9*POWER(1-(AnnualChurn*VLOOKUP(HN21,ChurnSeasonTable,4,FALSE)),1)*PricePremAnnual*HQ21</f>
        <v/>
      </c>
      <c r="IM21" s="9">
        <f>IJ21+IK21+IL21</f>
        <v/>
      </c>
      <c r="IN21" s="12">
        <f>SUM(IM10:IM21)</f>
        <v/>
      </c>
      <c r="IO21" s="12">
        <f>OR(IO20,IN21&gt;=VATThreshold)</f>
        <v/>
      </c>
      <c r="IP21" s="9">
        <f>IF(IO21,IM21/(1+VATRate),IM21)</f>
        <v/>
      </c>
      <c r="IQ21" s="12">
        <f>IM21-IP21</f>
        <v/>
      </c>
      <c r="IR21" s="12">
        <f>IF(IO21=0,0,IF(HN21=1,SUMPRODUCT(--(($HO$5:$HO21=$HO21-1)*($HN$5:$HN21&gt;=10)*($HN$5:$HN21&lt;=12)),$IQ$5:$IQ21),IF(HN21=4,SUMPRODUCT(--(($HO$5:$HO21=$HO21)*($HN$5:$HN21&gt;=1)*($HN$5:$HN21&lt;=3)),$IQ$5:$IQ21),IF(HN21=7,SUMPRODUCT(--(($HO$5:$HO21=$HO21)*($HN$5:$HN21&gt;=4)*($HN$5:$HN21&lt;=6)),$IQ$5:$IQ21),IF(HN21=10,SUMPRODUCT(--(($HO$5:$HO21=$HO21)*($HN$5:$HN21&gt;=7)*($HN$5:$HN21&lt;=9)),$IQ$5:$IQ21),0)))))</f>
        <v/>
      </c>
      <c r="IS21" s="12">
        <f>IS20+IQ21-IR21</f>
        <v/>
      </c>
      <c r="IT21" s="12">
        <f>IF(ProviderDelay&gt;=1,IP20*ProviderShare,IP21*ProviderShare)</f>
        <v/>
      </c>
      <c r="IU21" s="12">
        <f>IM21*PaymentFee</f>
        <v/>
      </c>
      <c r="IV21" s="12">
        <f>IG21*OpsAI</f>
        <v/>
      </c>
      <c r="IW21" s="12">
        <f>MonthlyFixed</f>
        <v/>
      </c>
      <c r="IX21" s="12">
        <f>HU21*ReferralReward</f>
        <v/>
      </c>
      <c r="IY21" s="12">
        <f>HS21</f>
        <v/>
      </c>
      <c r="IZ21" s="9">
        <f>IP21-IT21-IU21-IV21-IW21-IX21-IY21</f>
        <v/>
      </c>
      <c r="JA21" s="9">
        <f>JA20+IM21-(IT21+IU21+IV21+IW21+IX21+IY21+IR21)</f>
        <v/>
      </c>
      <c r="JB21" s="12">
        <f>IF(IG21&gt;0,IH21/IG21,0)</f>
        <v/>
      </c>
      <c r="JC21" s="11">
        <f>IF(IG20&gt;0,MAX(0,(IG20+HV21-IG21)/IG20),0)</f>
        <v/>
      </c>
      <c r="JE21" s="12" t="n">
        <v>17</v>
      </c>
      <c r="JF21" s="12">
        <f>MOD(JE21-1+LaunchMonth-1,12)+1</f>
        <v/>
      </c>
      <c r="JG21" s="12">
        <f>INT((JE21-1+LaunchMonth-1)/12)+1</f>
        <v/>
      </c>
      <c r="JH21" s="12">
        <f>VLOOKUP(JF21,SeasonTable,2,FALSE)</f>
        <v/>
      </c>
      <c r="JI21" s="12">
        <f>(1+InflationRate)^INT((JE21-1)/12)</f>
        <v/>
      </c>
      <c r="JJ21" s="11">
        <f>'Sens - Churn'!$A$16*VLOOKUP(JF21,ChurnSeasonTable,4,FALSE)</f>
        <v/>
      </c>
      <c r="JK21" s="12">
        <f>MIN(MAX(MktMin13_18,KE20*MktPct13_18),MAX(0,KS20-CashBuffer))</f>
        <v/>
      </c>
      <c r="JL21" s="12">
        <f>IF(JK21&gt;0,MAX(1,ROUND(JK21/CAC*JH21,0)),0)</f>
        <v/>
      </c>
      <c r="JM21" s="12">
        <f>IF(JL21&gt;0,ROUND(JL21*ReferralMix/(1-ReferralMix),0),0)</f>
        <v/>
      </c>
      <c r="JN21" s="12">
        <f>JL21+JM21</f>
        <v/>
      </c>
      <c r="JO21" s="12">
        <f>ROUND(JN21*(1-AnnualMix),0)</f>
        <v/>
      </c>
      <c r="JP21" s="12">
        <f>JN21-JO21</f>
        <v/>
      </c>
      <c r="JQ21" s="12">
        <f>ROUND(JO21*EssentialMix,0)</f>
        <v/>
      </c>
      <c r="JR21" s="12">
        <f>JO21-JQ21</f>
        <v/>
      </c>
      <c r="JS21" s="12">
        <f>ROUND(JP21*EssentialMix,0)</f>
        <v/>
      </c>
      <c r="JT21" s="12">
        <f>JP21-JS21</f>
        <v/>
      </c>
      <c r="JU21" s="12">
        <f>JQ21+JQ20+JQ19+MAX(0,JU20-JQ20-JQ19)*(1-JJ21)</f>
        <v/>
      </c>
      <c r="JV21" s="12">
        <f>JR21+JR20+JR19+MAX(0,JV20-JR20-JR19)*(1-JJ21)</f>
        <v/>
      </c>
      <c r="JW21" s="12">
        <f>JW20+JS21-JS9*(AnnualChurn*VLOOKUP(JF21,ChurnSeasonTable,4,FALSE))*POWER(1-(AnnualChurn*VLOOKUP(JF21,ChurnSeasonTable,4,FALSE)),0)</f>
        <v/>
      </c>
      <c r="JX21" s="12">
        <f>JX20+JT21-JT9*(AnnualChurn*VLOOKUP(JF21,ChurnSeasonTable,4,FALSE))*POWER(1-(AnnualChurn*VLOOKUP(JF21,ChurnSeasonTable,4,FALSE)),0)</f>
        <v/>
      </c>
      <c r="JY21" s="12">
        <f>JU21+JV21+JW21+JX21</f>
        <v/>
      </c>
      <c r="JZ21" s="9">
        <f>JU21*PriceEssMonthly*JI21+JV21*PricePremMonthly*JI21+JW21*PriceEssAnnual*JI21/12+JX21*PricePremAnnual*JI21/12</f>
        <v/>
      </c>
      <c r="KA21" s="9">
        <f>JZ21*12</f>
        <v/>
      </c>
      <c r="KB21" s="12">
        <f>JU21*PriceEssMonthly*JI21+JV21*PricePremMonthly*JI21</f>
        <v/>
      </c>
      <c r="KC21" s="12">
        <f>JS21*PriceEssAnnual*JI21+JT21*PricePremAnnual*JI21</f>
        <v/>
      </c>
      <c r="KD21" s="12">
        <f>JS9*POWER(1-(AnnualChurn*VLOOKUP(JF21,ChurnSeasonTable,4,FALSE)),1)*PriceEssAnnual*JI21+JT9*POWER(1-(AnnualChurn*VLOOKUP(JF21,ChurnSeasonTable,4,FALSE)),1)*PricePremAnnual*JI21</f>
        <v/>
      </c>
      <c r="KE21" s="9">
        <f>KB21+KC21+KD21</f>
        <v/>
      </c>
      <c r="KF21" s="12">
        <f>SUM(KE10:KE21)</f>
        <v/>
      </c>
      <c r="KG21" s="12">
        <f>OR(KG20,KF21&gt;=VATThreshold)</f>
        <v/>
      </c>
      <c r="KH21" s="9">
        <f>IF(KG21,KE21/(1+VATRate),KE21)</f>
        <v/>
      </c>
      <c r="KI21" s="12">
        <f>KE21-KH21</f>
        <v/>
      </c>
      <c r="KJ21" s="12">
        <f>IF(KG21=0,0,IF(JF21=1,SUMPRODUCT(--(($JG$5:$JG21=$JG21-1)*($JF$5:$JF21&gt;=10)*($JF$5:$JF21&lt;=12)),$KI$5:$KI21),IF(JF21=4,SUMPRODUCT(--(($JG$5:$JG21=$JG21)*($JF$5:$JF21&gt;=1)*($JF$5:$JF21&lt;=3)),$KI$5:$KI21),IF(JF21=7,SUMPRODUCT(--(($JG$5:$JG21=$JG21)*($JF$5:$JF21&gt;=4)*($JF$5:$JF21&lt;=6)),$KI$5:$KI21),IF(JF21=10,SUMPRODUCT(--(($JG$5:$JG21=$JG21)*($JF$5:$JF21&gt;=7)*($JF$5:$JF21&lt;=9)),$KI$5:$KI21),0)))))</f>
        <v/>
      </c>
      <c r="KK21" s="12">
        <f>KK20+KI21-KJ21</f>
        <v/>
      </c>
      <c r="KL21" s="12">
        <f>IF(ProviderDelay&gt;=1,KH20*ProviderShare,KH21*ProviderShare)</f>
        <v/>
      </c>
      <c r="KM21" s="12">
        <f>KE21*PaymentFee</f>
        <v/>
      </c>
      <c r="KN21" s="12">
        <f>JY21*OpsAI</f>
        <v/>
      </c>
      <c r="KO21" s="12">
        <f>MonthlyFixed</f>
        <v/>
      </c>
      <c r="KP21" s="12">
        <f>JM21*ReferralReward</f>
        <v/>
      </c>
      <c r="KQ21" s="12">
        <f>JK21</f>
        <v/>
      </c>
      <c r="KR21" s="9">
        <f>KH21-KL21-KM21-KN21-KO21-KP21-KQ21</f>
        <v/>
      </c>
      <c r="KS21" s="9">
        <f>KS20+KE21-(KL21+KM21+KN21+KO21+KP21+KQ21+KJ21)</f>
        <v/>
      </c>
      <c r="KT21" s="12">
        <f>IF(JY21&gt;0,JZ21/JY21,0)</f>
        <v/>
      </c>
      <c r="KU21" s="11">
        <f>IF(JY20&gt;0,MAX(0,(JY20+JN21-JY21)/JY20),0)</f>
        <v/>
      </c>
      <c r="KW21" s="12" t="n">
        <v>17</v>
      </c>
      <c r="KX21" s="12">
        <f>MOD(KW21-1+LaunchMonth-1,12)+1</f>
        <v/>
      </c>
      <c r="KY21" s="12">
        <f>INT((KW21-1+LaunchMonth-1)/12)+1</f>
        <v/>
      </c>
      <c r="KZ21" s="12">
        <f>VLOOKUP(KX21,SeasonTable,2,FALSE)</f>
        <v/>
      </c>
      <c r="LA21" s="12">
        <f>(1+InflationRate)^INT((KW21-1)/12)</f>
        <v/>
      </c>
      <c r="LB21" s="11">
        <f>'Sens - Churn'!$A$17*VLOOKUP(KX21,ChurnSeasonTable,4,FALSE)</f>
        <v/>
      </c>
      <c r="LC21" s="12">
        <f>MIN(MAX(MktMin13_18,LW20*MktPct13_18),MAX(0,MK20-CashBuffer))</f>
        <v/>
      </c>
      <c r="LD21" s="12">
        <f>IF(LC21&gt;0,MAX(1,ROUND(LC21/CAC*KZ21,0)),0)</f>
        <v/>
      </c>
      <c r="LE21" s="12">
        <f>IF(LD21&gt;0,ROUND(LD21*ReferralMix/(1-ReferralMix),0),0)</f>
        <v/>
      </c>
      <c r="LF21" s="12">
        <f>LD21+LE21</f>
        <v/>
      </c>
      <c r="LG21" s="12">
        <f>ROUND(LF21*(1-AnnualMix),0)</f>
        <v/>
      </c>
      <c r="LH21" s="12">
        <f>LF21-LG21</f>
        <v/>
      </c>
      <c r="LI21" s="12">
        <f>ROUND(LG21*EssentialMix,0)</f>
        <v/>
      </c>
      <c r="LJ21" s="12">
        <f>LG21-LI21</f>
        <v/>
      </c>
      <c r="LK21" s="12">
        <f>ROUND(LH21*EssentialMix,0)</f>
        <v/>
      </c>
      <c r="LL21" s="12">
        <f>LH21-LK21</f>
        <v/>
      </c>
      <c r="LM21" s="12">
        <f>LI21+LI20+LI19+MAX(0,LM20-LI20-LI19)*(1-LB21)</f>
        <v/>
      </c>
      <c r="LN21" s="12">
        <f>LJ21+LJ20+LJ19+MAX(0,LN20-LJ20-LJ19)*(1-LB21)</f>
        <v/>
      </c>
      <c r="LO21" s="12">
        <f>LO20+LK21-LK9*(AnnualChurn*VLOOKUP(KX21,ChurnSeasonTable,4,FALSE))*POWER(1-(AnnualChurn*VLOOKUP(KX21,ChurnSeasonTable,4,FALSE)),0)</f>
        <v/>
      </c>
      <c r="LP21" s="12">
        <f>LP20+LL21-LL9*(AnnualChurn*VLOOKUP(KX21,ChurnSeasonTable,4,FALSE))*POWER(1-(AnnualChurn*VLOOKUP(KX21,ChurnSeasonTable,4,FALSE)),0)</f>
        <v/>
      </c>
      <c r="LQ21" s="12">
        <f>LM21+LN21+LO21+LP21</f>
        <v/>
      </c>
      <c r="LR21" s="9">
        <f>LM21*PriceEssMonthly*LA21+LN21*PricePremMonthly*LA21+LO21*PriceEssAnnual*LA21/12+LP21*PricePremAnnual*LA21/12</f>
        <v/>
      </c>
      <c r="LS21" s="9">
        <f>LR21*12</f>
        <v/>
      </c>
      <c r="LT21" s="12">
        <f>LM21*PriceEssMonthly*LA21+LN21*PricePremMonthly*LA21</f>
        <v/>
      </c>
      <c r="LU21" s="12">
        <f>LK21*PriceEssAnnual*LA21+LL21*PricePremAnnual*LA21</f>
        <v/>
      </c>
      <c r="LV21" s="12">
        <f>LK9*POWER(1-(AnnualChurn*VLOOKUP(KX21,ChurnSeasonTable,4,FALSE)),1)*PriceEssAnnual*LA21+LL9*POWER(1-(AnnualChurn*VLOOKUP(KX21,ChurnSeasonTable,4,FALSE)),1)*PricePremAnnual*LA21</f>
        <v/>
      </c>
      <c r="LW21" s="9">
        <f>LT21+LU21+LV21</f>
        <v/>
      </c>
      <c r="LX21" s="12">
        <f>SUM(LW10:LW21)</f>
        <v/>
      </c>
      <c r="LY21" s="12">
        <f>OR(LY20,LX21&gt;=VATThreshold)</f>
        <v/>
      </c>
      <c r="LZ21" s="9">
        <f>IF(LY21,LW21/(1+VATRate),LW21)</f>
        <v/>
      </c>
      <c r="MA21" s="12">
        <f>LW21-LZ21</f>
        <v/>
      </c>
      <c r="MB21" s="12">
        <f>IF(LY21=0,0,IF(KX21=1,SUMPRODUCT(--(($KY$5:$KY21=$KY21-1)*($KX$5:$KX21&gt;=10)*($KX$5:$KX21&lt;=12)),$MA$5:$MA21),IF(KX21=4,SUMPRODUCT(--(($KY$5:$KY21=$KY21)*($KX$5:$KX21&gt;=1)*($KX$5:$KX21&lt;=3)),$MA$5:$MA21),IF(KX21=7,SUMPRODUCT(--(($KY$5:$KY21=$KY21)*($KX$5:$KX21&gt;=4)*($KX$5:$KX21&lt;=6)),$MA$5:$MA21),IF(KX21=10,SUMPRODUCT(--(($KY$5:$KY21=$KY21)*($KX$5:$KX21&gt;=7)*($KX$5:$KX21&lt;=9)),$MA$5:$MA21),0)))))</f>
        <v/>
      </c>
      <c r="MC21" s="12">
        <f>MC20+MA21-MB21</f>
        <v/>
      </c>
      <c r="MD21" s="12">
        <f>IF(ProviderDelay&gt;=1,LZ20*ProviderShare,LZ21*ProviderShare)</f>
        <v/>
      </c>
      <c r="ME21" s="12">
        <f>LW21*PaymentFee</f>
        <v/>
      </c>
      <c r="MF21" s="12">
        <f>LQ21*OpsAI</f>
        <v/>
      </c>
      <c r="MG21" s="12">
        <f>MonthlyFixed</f>
        <v/>
      </c>
      <c r="MH21" s="12">
        <f>LE21*ReferralReward</f>
        <v/>
      </c>
      <c r="MI21" s="12">
        <f>LC21</f>
        <v/>
      </c>
      <c r="MJ21" s="9">
        <f>LZ21-MD21-ME21-MF21-MG21-MH21-MI21</f>
        <v/>
      </c>
      <c r="MK21" s="9">
        <f>MK20+LW21-(MD21+ME21+MF21+MG21+MH21+MI21+MB21)</f>
        <v/>
      </c>
      <c r="ML21" s="12">
        <f>IF(LQ21&gt;0,LR21/LQ21,0)</f>
        <v/>
      </c>
      <c r="MM21" s="11">
        <f>IF(LQ20&gt;0,MAX(0,(LQ20+LF21-LQ21)/LQ20),0)</f>
        <v/>
      </c>
      <c r="MO21" s="12" t="n">
        <v>17</v>
      </c>
      <c r="MP21" s="12">
        <f>MOD(MO21-1+LaunchMonth-1,12)+1</f>
        <v/>
      </c>
      <c r="MQ21" s="12">
        <f>INT((MO21-1+LaunchMonth-1)/12)+1</f>
        <v/>
      </c>
      <c r="MR21" s="12">
        <f>VLOOKUP(MP21,SeasonTable,2,FALSE)</f>
        <v/>
      </c>
      <c r="MS21" s="12">
        <f>(1+InflationRate)^INT((MO21-1)/12)</f>
        <v/>
      </c>
      <c r="MT21" s="11">
        <f>'Sens - Churn'!$A$18*VLOOKUP(MP21,ChurnSeasonTable,4,FALSE)</f>
        <v/>
      </c>
      <c r="MU21" s="12">
        <f>MIN(MAX(MktMin13_18,NO20*MktPct13_18),MAX(0,OC20-CashBuffer))</f>
        <v/>
      </c>
      <c r="MV21" s="12">
        <f>IF(MU21&gt;0,MAX(1,ROUND(MU21/CAC*MR21,0)),0)</f>
        <v/>
      </c>
      <c r="MW21" s="12">
        <f>IF(MV21&gt;0,ROUND(MV21*ReferralMix/(1-ReferralMix),0),0)</f>
        <v/>
      </c>
      <c r="MX21" s="12">
        <f>MV21+MW21</f>
        <v/>
      </c>
      <c r="MY21" s="12">
        <f>ROUND(MX21*(1-AnnualMix),0)</f>
        <v/>
      </c>
      <c r="MZ21" s="12">
        <f>MX21-MY21</f>
        <v/>
      </c>
      <c r="NA21" s="12">
        <f>ROUND(MY21*EssentialMix,0)</f>
        <v/>
      </c>
      <c r="NB21" s="12">
        <f>MY21-NA21</f>
        <v/>
      </c>
      <c r="NC21" s="12">
        <f>ROUND(MZ21*EssentialMix,0)</f>
        <v/>
      </c>
      <c r="ND21" s="12">
        <f>MZ21-NC21</f>
        <v/>
      </c>
      <c r="NE21" s="12">
        <f>NA21+NA20+NA19+MAX(0,NE20-NA20-NA19)*(1-MT21)</f>
        <v/>
      </c>
      <c r="NF21" s="12">
        <f>NB21+NB20+NB19+MAX(0,NF20-NB20-NB19)*(1-MT21)</f>
        <v/>
      </c>
      <c r="NG21" s="12">
        <f>NG20+NC21-NC9*(AnnualChurn*VLOOKUP(MP21,ChurnSeasonTable,4,FALSE))*POWER(1-(AnnualChurn*VLOOKUP(MP21,ChurnSeasonTable,4,FALSE)),0)</f>
        <v/>
      </c>
      <c r="NH21" s="12">
        <f>NH20+ND21-ND9*(AnnualChurn*VLOOKUP(MP21,ChurnSeasonTable,4,FALSE))*POWER(1-(AnnualChurn*VLOOKUP(MP21,ChurnSeasonTable,4,FALSE)),0)</f>
        <v/>
      </c>
      <c r="NI21" s="12">
        <f>NE21+NF21+NG21+NH21</f>
        <v/>
      </c>
      <c r="NJ21" s="9">
        <f>NE21*PriceEssMonthly*MS21+NF21*PricePremMonthly*MS21+NG21*PriceEssAnnual*MS21/12+NH21*PricePremAnnual*MS21/12</f>
        <v/>
      </c>
      <c r="NK21" s="9">
        <f>NJ21*12</f>
        <v/>
      </c>
      <c r="NL21" s="12">
        <f>NE21*PriceEssMonthly*MS21+NF21*PricePremMonthly*MS21</f>
        <v/>
      </c>
      <c r="NM21" s="12">
        <f>NC21*PriceEssAnnual*MS21+ND21*PricePremAnnual*MS21</f>
        <v/>
      </c>
      <c r="NN21" s="12">
        <f>NC9*POWER(1-(AnnualChurn*VLOOKUP(MP21,ChurnSeasonTable,4,FALSE)),1)*PriceEssAnnual*MS21+ND9*POWER(1-(AnnualChurn*VLOOKUP(MP21,ChurnSeasonTable,4,FALSE)),1)*PricePremAnnual*MS21</f>
        <v/>
      </c>
      <c r="NO21" s="9">
        <f>NL21+NM21+NN21</f>
        <v/>
      </c>
      <c r="NP21" s="12">
        <f>SUM(NO10:NO21)</f>
        <v/>
      </c>
      <c r="NQ21" s="12">
        <f>OR(NQ20,NP21&gt;=VATThreshold)</f>
        <v/>
      </c>
      <c r="NR21" s="9">
        <f>IF(NQ21,NO21/(1+VATRate),NO21)</f>
        <v/>
      </c>
      <c r="NS21" s="12">
        <f>NO21-NR21</f>
        <v/>
      </c>
      <c r="NT21" s="12">
        <f>IF(NQ21=0,0,IF(MP21=1,SUMPRODUCT(--(($MQ$5:$MQ21=$MQ21-1)*($MP$5:$MP21&gt;=10)*($MP$5:$MP21&lt;=12)),$NS$5:$NS21),IF(MP21=4,SUMPRODUCT(--(($MQ$5:$MQ21=$MQ21)*($MP$5:$MP21&gt;=1)*($MP$5:$MP21&lt;=3)),$NS$5:$NS21),IF(MP21=7,SUMPRODUCT(--(($MQ$5:$MQ21=$MQ21)*($MP$5:$MP21&gt;=4)*($MP$5:$MP21&lt;=6)),$NS$5:$NS21),IF(MP21=10,SUMPRODUCT(--(($MQ$5:$MQ21=$MQ21)*($MP$5:$MP21&gt;=7)*($MP$5:$MP21&lt;=9)),$NS$5:$NS21),0)))))</f>
        <v/>
      </c>
      <c r="NU21" s="12">
        <f>NU20+NS21-NT21</f>
        <v/>
      </c>
      <c r="NV21" s="12">
        <f>IF(ProviderDelay&gt;=1,NR20*ProviderShare,NR21*ProviderShare)</f>
        <v/>
      </c>
      <c r="NW21" s="12">
        <f>NO21*PaymentFee</f>
        <v/>
      </c>
      <c r="NX21" s="12">
        <f>NI21*OpsAI</f>
        <v/>
      </c>
      <c r="NY21" s="12">
        <f>MonthlyFixed</f>
        <v/>
      </c>
      <c r="NZ21" s="12">
        <f>MW21*ReferralReward</f>
        <v/>
      </c>
      <c r="OA21" s="12">
        <f>MU21</f>
        <v/>
      </c>
      <c r="OB21" s="9">
        <f>NR21-NV21-NW21-NX21-NY21-NZ21-OA21</f>
        <v/>
      </c>
      <c r="OC21" s="9">
        <f>OC20+NO21-(NV21+NW21+NX21+NY21+NZ21+OA21+NT21)</f>
        <v/>
      </c>
      <c r="OD21" s="12">
        <f>IF(NI21&gt;0,NJ21/NI21,0)</f>
        <v/>
      </c>
      <c r="OE21" s="11">
        <f>IF(NI20&gt;0,MAX(0,(NI20+MX21-NI21)/NI20),0)</f>
        <v/>
      </c>
      <c r="OG21" s="12" t="n">
        <v>17</v>
      </c>
      <c r="OH21" s="12">
        <f>MOD(OG21-1+LaunchMonth-1,12)+1</f>
        <v/>
      </c>
      <c r="OI21" s="12">
        <f>INT((OG21-1+LaunchMonth-1)/12)+1</f>
        <v/>
      </c>
      <c r="OJ21" s="12">
        <f>VLOOKUP(OH21,SeasonTable,2,FALSE)</f>
        <v/>
      </c>
      <c r="OK21" s="12">
        <f>(1+InflationRate)^INT((OG21-1)/12)</f>
        <v/>
      </c>
      <c r="OL21" s="11">
        <f>'Sens - Churn'!$A$19*VLOOKUP(OH21,ChurnSeasonTable,4,FALSE)</f>
        <v/>
      </c>
      <c r="OM21" s="12">
        <f>MIN(MAX(MktMin13_18,PG20*MktPct13_18),MAX(0,PU20-CashBuffer))</f>
        <v/>
      </c>
      <c r="ON21" s="12">
        <f>IF(OM21&gt;0,MAX(1,ROUND(OM21/CAC*OJ21,0)),0)</f>
        <v/>
      </c>
      <c r="OO21" s="12">
        <f>IF(ON21&gt;0,ROUND(ON21*ReferralMix/(1-ReferralMix),0),0)</f>
        <v/>
      </c>
      <c r="OP21" s="12">
        <f>ON21+OO21</f>
        <v/>
      </c>
      <c r="OQ21" s="12">
        <f>ROUND(OP21*(1-AnnualMix),0)</f>
        <v/>
      </c>
      <c r="OR21" s="12">
        <f>OP21-OQ21</f>
        <v/>
      </c>
      <c r="OS21" s="12">
        <f>ROUND(OQ21*EssentialMix,0)</f>
        <v/>
      </c>
      <c r="OT21" s="12">
        <f>OQ21-OS21</f>
        <v/>
      </c>
      <c r="OU21" s="12">
        <f>ROUND(OR21*EssentialMix,0)</f>
        <v/>
      </c>
      <c r="OV21" s="12">
        <f>OR21-OU21</f>
        <v/>
      </c>
      <c r="OW21" s="12">
        <f>OS21+OS20+OS19+MAX(0,OW20-OS20-OS19)*(1-OL21)</f>
        <v/>
      </c>
      <c r="OX21" s="12">
        <f>OT21+OT20+OT19+MAX(0,OX20-OT20-OT19)*(1-OL21)</f>
        <v/>
      </c>
      <c r="OY21" s="12">
        <f>OY20+OU21-OU9*(AnnualChurn*VLOOKUP(OH21,ChurnSeasonTable,4,FALSE))*POWER(1-(AnnualChurn*VLOOKUP(OH21,ChurnSeasonTable,4,FALSE)),0)</f>
        <v/>
      </c>
      <c r="OZ21" s="12">
        <f>OZ20+OV21-OV9*(AnnualChurn*VLOOKUP(OH21,ChurnSeasonTable,4,FALSE))*POWER(1-(AnnualChurn*VLOOKUP(OH21,ChurnSeasonTable,4,FALSE)),0)</f>
        <v/>
      </c>
      <c r="PA21" s="12">
        <f>OW21+OX21+OY21+OZ21</f>
        <v/>
      </c>
      <c r="PB21" s="9">
        <f>OW21*PriceEssMonthly*OK21+OX21*PricePremMonthly*OK21+OY21*PriceEssAnnual*OK21/12+OZ21*PricePremAnnual*OK21/12</f>
        <v/>
      </c>
      <c r="PC21" s="9">
        <f>PB21*12</f>
        <v/>
      </c>
      <c r="PD21" s="12">
        <f>OW21*PriceEssMonthly*OK21+OX21*PricePremMonthly*OK21</f>
        <v/>
      </c>
      <c r="PE21" s="12">
        <f>OU21*PriceEssAnnual*OK21+OV21*PricePremAnnual*OK21</f>
        <v/>
      </c>
      <c r="PF21" s="12">
        <f>OU9*POWER(1-(AnnualChurn*VLOOKUP(OH21,ChurnSeasonTable,4,FALSE)),1)*PriceEssAnnual*OK21+OV9*POWER(1-(AnnualChurn*VLOOKUP(OH21,ChurnSeasonTable,4,FALSE)),1)*PricePremAnnual*OK21</f>
        <v/>
      </c>
      <c r="PG21" s="9">
        <f>PD21+PE21+PF21</f>
        <v/>
      </c>
      <c r="PH21" s="12">
        <f>SUM(PG10:PG21)</f>
        <v/>
      </c>
      <c r="PI21" s="12">
        <f>OR(PI20,PH21&gt;=VATThreshold)</f>
        <v/>
      </c>
      <c r="PJ21" s="9">
        <f>IF(PI21,PG21/(1+VATRate),PG21)</f>
        <v/>
      </c>
      <c r="PK21" s="12">
        <f>PG21-PJ21</f>
        <v/>
      </c>
      <c r="PL21" s="12">
        <f>IF(PI21=0,0,IF(OH21=1,SUMPRODUCT(--(($OI$5:$OI21=$OI21-1)*($OH$5:$OH21&gt;=10)*($OH$5:$OH21&lt;=12)),$PK$5:$PK21),IF(OH21=4,SUMPRODUCT(--(($OI$5:$OI21=$OI21)*($OH$5:$OH21&gt;=1)*($OH$5:$OH21&lt;=3)),$PK$5:$PK21),IF(OH21=7,SUMPRODUCT(--(($OI$5:$OI21=$OI21)*($OH$5:$OH21&gt;=4)*($OH$5:$OH21&lt;=6)),$PK$5:$PK21),IF(OH21=10,SUMPRODUCT(--(($OI$5:$OI21=$OI21)*($OH$5:$OH21&gt;=7)*($OH$5:$OH21&lt;=9)),$PK$5:$PK21),0)))))</f>
        <v/>
      </c>
      <c r="PM21" s="12">
        <f>PM20+PK21-PL21</f>
        <v/>
      </c>
      <c r="PN21" s="12">
        <f>IF(ProviderDelay&gt;=1,PJ20*ProviderShare,PJ21*ProviderShare)</f>
        <v/>
      </c>
      <c r="PO21" s="12">
        <f>PG21*PaymentFee</f>
        <v/>
      </c>
      <c r="PP21" s="12">
        <f>PA21*OpsAI</f>
        <v/>
      </c>
      <c r="PQ21" s="12">
        <f>MonthlyFixed</f>
        <v/>
      </c>
      <c r="PR21" s="12">
        <f>OO21*ReferralReward</f>
        <v/>
      </c>
      <c r="PS21" s="12">
        <f>OM21</f>
        <v/>
      </c>
      <c r="PT21" s="9">
        <f>PJ21-PN21-PO21-PP21-PQ21-PR21-PS21</f>
        <v/>
      </c>
      <c r="PU21" s="9">
        <f>PU20+PG21-(PN21+PO21+PP21+PQ21+PR21+PS21+PL21)</f>
        <v/>
      </c>
      <c r="PV21" s="12">
        <f>IF(PA21&gt;0,PB21/PA21,0)</f>
        <v/>
      </c>
      <c r="PW21" s="11">
        <f>IF(PA20&gt;0,MAX(0,(PA20+OP21-PA21)/PA20),0)</f>
        <v/>
      </c>
      <c r="PY21" s="12" t="n">
        <v>17</v>
      </c>
      <c r="PZ21" s="12">
        <f>MOD(PY21-1+LaunchMonth-1,12)+1</f>
        <v/>
      </c>
      <c r="QA21" s="12">
        <f>INT((PY21-1+LaunchMonth-1)/12)+1</f>
        <v/>
      </c>
      <c r="QB21" s="12">
        <f>VLOOKUP(PZ21,SeasonTable,2,FALSE)</f>
        <v/>
      </c>
      <c r="QC21" s="12">
        <f>(1+InflationRate)^INT((PY21-1)/12)</f>
        <v/>
      </c>
      <c r="QD21" s="11">
        <f>'Sens - Churn'!$A$20*VLOOKUP(PZ21,ChurnSeasonTable,4,FALSE)</f>
        <v/>
      </c>
      <c r="QE21" s="12">
        <f>MIN(MAX(MktMin13_18,QY20*MktPct13_18),MAX(0,RM20-CashBuffer))</f>
        <v/>
      </c>
      <c r="QF21" s="12">
        <f>IF(QE21&gt;0,MAX(1,ROUND(QE21/CAC*QB21,0)),0)</f>
        <v/>
      </c>
      <c r="QG21" s="12">
        <f>IF(QF21&gt;0,ROUND(QF21*ReferralMix/(1-ReferralMix),0),0)</f>
        <v/>
      </c>
      <c r="QH21" s="12">
        <f>QF21+QG21</f>
        <v/>
      </c>
      <c r="QI21" s="12">
        <f>ROUND(QH21*(1-AnnualMix),0)</f>
        <v/>
      </c>
      <c r="QJ21" s="12">
        <f>QH21-QI21</f>
        <v/>
      </c>
      <c r="QK21" s="12">
        <f>ROUND(QI21*EssentialMix,0)</f>
        <v/>
      </c>
      <c r="QL21" s="12">
        <f>QI21-QK21</f>
        <v/>
      </c>
      <c r="QM21" s="12">
        <f>ROUND(QJ21*EssentialMix,0)</f>
        <v/>
      </c>
      <c r="QN21" s="12">
        <f>QJ21-QM21</f>
        <v/>
      </c>
      <c r="QO21" s="12">
        <f>QK21+QK20+QK19+MAX(0,QO20-QK20-QK19)*(1-QD21)</f>
        <v/>
      </c>
      <c r="QP21" s="12">
        <f>QL21+QL20+QL19+MAX(0,QP20-QL20-QL19)*(1-QD21)</f>
        <v/>
      </c>
      <c r="QQ21" s="12">
        <f>QQ20+QM21-QM9*(AnnualChurn*VLOOKUP(PZ21,ChurnSeasonTable,4,FALSE))*POWER(1-(AnnualChurn*VLOOKUP(PZ21,ChurnSeasonTable,4,FALSE)),0)</f>
        <v/>
      </c>
      <c r="QR21" s="12">
        <f>QR20+QN21-QN9*(AnnualChurn*VLOOKUP(PZ21,ChurnSeasonTable,4,FALSE))*POWER(1-(AnnualChurn*VLOOKUP(PZ21,ChurnSeasonTable,4,FALSE)),0)</f>
        <v/>
      </c>
      <c r="QS21" s="12">
        <f>QO21+QP21+QQ21+QR21</f>
        <v/>
      </c>
      <c r="QT21" s="9">
        <f>QO21*PriceEssMonthly*QC21+QP21*PricePremMonthly*QC21+QQ21*PriceEssAnnual*QC21/12+QR21*PricePremAnnual*QC21/12</f>
        <v/>
      </c>
      <c r="QU21" s="9">
        <f>QT21*12</f>
        <v/>
      </c>
      <c r="QV21" s="12">
        <f>QO21*PriceEssMonthly*QC21+QP21*PricePremMonthly*QC21</f>
        <v/>
      </c>
      <c r="QW21" s="12">
        <f>QM21*PriceEssAnnual*QC21+QN21*PricePremAnnual*QC21</f>
        <v/>
      </c>
      <c r="QX21" s="12">
        <f>QM9*POWER(1-(AnnualChurn*VLOOKUP(PZ21,ChurnSeasonTable,4,FALSE)),1)*PriceEssAnnual*QC21+QN9*POWER(1-(AnnualChurn*VLOOKUP(PZ21,ChurnSeasonTable,4,FALSE)),1)*PricePremAnnual*QC21</f>
        <v/>
      </c>
      <c r="QY21" s="9">
        <f>QV21+QW21+QX21</f>
        <v/>
      </c>
      <c r="QZ21" s="12">
        <f>SUM(QY10:QY21)</f>
        <v/>
      </c>
      <c r="RA21" s="12">
        <f>OR(RA20,QZ21&gt;=VATThreshold)</f>
        <v/>
      </c>
      <c r="RB21" s="9">
        <f>IF(RA21,QY21/(1+VATRate),QY21)</f>
        <v/>
      </c>
      <c r="RC21" s="12">
        <f>QY21-RB21</f>
        <v/>
      </c>
      <c r="RD21" s="12">
        <f>IF(RA21=0,0,IF(PZ21=1,SUMPRODUCT(--(($QA$5:$QA21=$QA21-1)*($PZ$5:$PZ21&gt;=10)*($PZ$5:$PZ21&lt;=12)),$RC$5:$RC21),IF(PZ21=4,SUMPRODUCT(--(($QA$5:$QA21=$QA21)*($PZ$5:$PZ21&gt;=1)*($PZ$5:$PZ21&lt;=3)),$RC$5:$RC21),IF(PZ21=7,SUMPRODUCT(--(($QA$5:$QA21=$QA21)*($PZ$5:$PZ21&gt;=4)*($PZ$5:$PZ21&lt;=6)),$RC$5:$RC21),IF(PZ21=10,SUMPRODUCT(--(($QA$5:$QA21=$QA21)*($PZ$5:$PZ21&gt;=7)*($PZ$5:$PZ21&lt;=9)),$RC$5:$RC21),0)))))</f>
        <v/>
      </c>
      <c r="RE21" s="12">
        <f>RE20+RC21-RD21</f>
        <v/>
      </c>
      <c r="RF21" s="12">
        <f>IF(ProviderDelay&gt;=1,RB20*ProviderShare,RB21*ProviderShare)</f>
        <v/>
      </c>
      <c r="RG21" s="12">
        <f>QY21*PaymentFee</f>
        <v/>
      </c>
      <c r="RH21" s="12">
        <f>QS21*OpsAI</f>
        <v/>
      </c>
      <c r="RI21" s="12">
        <f>MonthlyFixed</f>
        <v/>
      </c>
      <c r="RJ21" s="12">
        <f>QG21*ReferralReward</f>
        <v/>
      </c>
      <c r="RK21" s="12">
        <f>QE21</f>
        <v/>
      </c>
      <c r="RL21" s="9">
        <f>RB21-RF21-RG21-RH21-RI21-RJ21-RK21</f>
        <v/>
      </c>
      <c r="RM21" s="9">
        <f>RM20+QY21-(RF21+RG21+RH21+RI21+RJ21+RK21+RD21)</f>
        <v/>
      </c>
      <c r="RN21" s="12">
        <f>IF(QS21&gt;0,QT21/QS21,0)</f>
        <v/>
      </c>
      <c r="RO21" s="11">
        <f>IF(QS20&gt;0,MAX(0,(QS20+QH21-QS21)/QS20),0)</f>
        <v/>
      </c>
      <c r="RQ21" s="12" t="n">
        <v>17</v>
      </c>
      <c r="RR21" s="12">
        <f>MOD(RQ21-1+LaunchMonth-1,12)+1</f>
        <v/>
      </c>
      <c r="RS21" s="12">
        <f>INT((RQ21-1+LaunchMonth-1)/12)+1</f>
        <v/>
      </c>
      <c r="RT21" s="12">
        <f>VLOOKUP(RR21,SeasonTable,2,FALSE)</f>
        <v/>
      </c>
      <c r="RU21" s="12">
        <f>(1+InflationRate)^INT((RQ21-1)/12)</f>
        <v/>
      </c>
      <c r="RV21" s="11">
        <f>'Sens - Churn'!$A$21*VLOOKUP(RR21,ChurnSeasonTable,4,FALSE)</f>
        <v/>
      </c>
      <c r="RW21" s="12">
        <f>MIN(MAX(MktMin13_18,SQ20*MktPct13_18),MAX(0,TE20-CashBuffer))</f>
        <v/>
      </c>
      <c r="RX21" s="12">
        <f>IF(RW21&gt;0,MAX(1,ROUND(RW21/CAC*RT21,0)),0)</f>
        <v/>
      </c>
      <c r="RY21" s="12">
        <f>IF(RX21&gt;0,ROUND(RX21*ReferralMix/(1-ReferralMix),0),0)</f>
        <v/>
      </c>
      <c r="RZ21" s="12">
        <f>RX21+RY21</f>
        <v/>
      </c>
      <c r="SA21" s="12">
        <f>ROUND(RZ21*(1-AnnualMix),0)</f>
        <v/>
      </c>
      <c r="SB21" s="12">
        <f>RZ21-SA21</f>
        <v/>
      </c>
      <c r="SC21" s="12">
        <f>ROUND(SA21*EssentialMix,0)</f>
        <v/>
      </c>
      <c r="SD21" s="12">
        <f>SA21-SC21</f>
        <v/>
      </c>
      <c r="SE21" s="12">
        <f>ROUND(SB21*EssentialMix,0)</f>
        <v/>
      </c>
      <c r="SF21" s="12">
        <f>SB21-SE21</f>
        <v/>
      </c>
      <c r="SG21" s="12">
        <f>SC21+SC20+SC19+MAX(0,SG20-SC20-SC19)*(1-RV21)</f>
        <v/>
      </c>
      <c r="SH21" s="12">
        <f>SD21+SD20+SD19+MAX(0,SH20-SD20-SD19)*(1-RV21)</f>
        <v/>
      </c>
      <c r="SI21" s="12">
        <f>SI20+SE21-SE9*(AnnualChurn*VLOOKUP(RR21,ChurnSeasonTable,4,FALSE))*POWER(1-(AnnualChurn*VLOOKUP(RR21,ChurnSeasonTable,4,FALSE)),0)</f>
        <v/>
      </c>
      <c r="SJ21" s="12">
        <f>SJ20+SF21-SF9*(AnnualChurn*VLOOKUP(RR21,ChurnSeasonTable,4,FALSE))*POWER(1-(AnnualChurn*VLOOKUP(RR21,ChurnSeasonTable,4,FALSE)),0)</f>
        <v/>
      </c>
      <c r="SK21" s="12">
        <f>SG21+SH21+SI21+SJ21</f>
        <v/>
      </c>
      <c r="SL21" s="9">
        <f>SG21*PriceEssMonthly*RU21+SH21*PricePremMonthly*RU21+SI21*PriceEssAnnual*RU21/12+SJ21*PricePremAnnual*RU21/12</f>
        <v/>
      </c>
      <c r="SM21" s="9">
        <f>SL21*12</f>
        <v/>
      </c>
      <c r="SN21" s="12">
        <f>SG21*PriceEssMonthly*RU21+SH21*PricePremMonthly*RU21</f>
        <v/>
      </c>
      <c r="SO21" s="12">
        <f>SE21*PriceEssAnnual*RU21+SF21*PricePremAnnual*RU21</f>
        <v/>
      </c>
      <c r="SP21" s="12">
        <f>SE9*POWER(1-(AnnualChurn*VLOOKUP(RR21,ChurnSeasonTable,4,FALSE)),1)*PriceEssAnnual*RU21+SF9*POWER(1-(AnnualChurn*VLOOKUP(RR21,ChurnSeasonTable,4,FALSE)),1)*PricePremAnnual*RU21</f>
        <v/>
      </c>
      <c r="SQ21" s="9">
        <f>SN21+SO21+SP21</f>
        <v/>
      </c>
      <c r="SR21" s="12">
        <f>SUM(SQ10:SQ21)</f>
        <v/>
      </c>
      <c r="SS21" s="12">
        <f>OR(SS20,SR21&gt;=VATThreshold)</f>
        <v/>
      </c>
      <c r="ST21" s="9">
        <f>IF(SS21,SQ21/(1+VATRate),SQ21)</f>
        <v/>
      </c>
      <c r="SU21" s="12">
        <f>SQ21-ST21</f>
        <v/>
      </c>
      <c r="SV21" s="12">
        <f>IF(SS21=0,0,IF(RR21=1,SUMPRODUCT(--(($RS$5:$RS21=$RS21-1)*($RR$5:$RR21&gt;=10)*($RR$5:$RR21&lt;=12)),$SU$5:$SU21),IF(RR21=4,SUMPRODUCT(--(($RS$5:$RS21=$RS21)*($RR$5:$RR21&gt;=1)*($RR$5:$RR21&lt;=3)),$SU$5:$SU21),IF(RR21=7,SUMPRODUCT(--(($RS$5:$RS21=$RS21)*($RR$5:$RR21&gt;=4)*($RR$5:$RR21&lt;=6)),$SU$5:$SU21),IF(RR21=10,SUMPRODUCT(--(($RS$5:$RS21=$RS21)*($RR$5:$RR21&gt;=7)*($RR$5:$RR21&lt;=9)),$SU$5:$SU21),0)))))</f>
        <v/>
      </c>
      <c r="SW21" s="12">
        <f>SW20+SU21-SV21</f>
        <v/>
      </c>
      <c r="SX21" s="12">
        <f>IF(ProviderDelay&gt;=1,ST20*ProviderShare,ST21*ProviderShare)</f>
        <v/>
      </c>
      <c r="SY21" s="12">
        <f>SQ21*PaymentFee</f>
        <v/>
      </c>
      <c r="SZ21" s="12">
        <f>SK21*OpsAI</f>
        <v/>
      </c>
      <c r="TA21" s="12">
        <f>MonthlyFixed</f>
        <v/>
      </c>
      <c r="TB21" s="12">
        <f>RY21*ReferralReward</f>
        <v/>
      </c>
      <c r="TC21" s="12">
        <f>RW21</f>
        <v/>
      </c>
      <c r="TD21" s="9">
        <f>ST21-SX21-SY21-SZ21-TA21-TB21-TC21</f>
        <v/>
      </c>
      <c r="TE21" s="9">
        <f>TE20+SQ21-(SX21+SY21+SZ21+TA21+TB21+TC21+SV21)</f>
        <v/>
      </c>
      <c r="TF21" s="12">
        <f>IF(SK21&gt;0,SL21/SK21,0)</f>
        <v/>
      </c>
      <c r="TG21" s="11">
        <f>IF(SK20&gt;0,MAX(0,(SK20+RZ21-SK21)/SK20),0)</f>
        <v/>
      </c>
      <c r="TI21" s="12" t="n">
        <v>17</v>
      </c>
      <c r="TJ21" s="12">
        <f>MOD(TI21-1+LaunchMonth-1,12)+1</f>
        <v/>
      </c>
      <c r="TK21" s="12">
        <f>INT((TI21-1+LaunchMonth-1)/12)+1</f>
        <v/>
      </c>
      <c r="TL21" s="12">
        <f>VLOOKUP(TJ21,SeasonTable,2,FALSE)</f>
        <v/>
      </c>
      <c r="TM21" s="12">
        <f>(1+InflationRate)^INT((TI21-1)/12)</f>
        <v/>
      </c>
      <c r="TN21" s="11">
        <f>MonthlyChurn*VLOOKUP(TJ21,ChurnSeasonTable,4,FALSE)</f>
        <v/>
      </c>
      <c r="TO21" s="12">
        <f>MIN(MAX(MktMin13_18,UI20*MktPct13_18),MAX(0,UW20-CashBuffer))</f>
        <v/>
      </c>
      <c r="TP21" s="12">
        <f>IF(TO21&gt;0,MAX(1,ROUND(TO21/CAC*TL21,0)),0)</f>
        <v/>
      </c>
      <c r="TQ21" s="12">
        <f>IF(TP21&gt;0,ROUND(TP21*ReferralMix/(1-ReferralMix),0),0)</f>
        <v/>
      </c>
      <c r="TR21" s="12">
        <f>TP21+TQ21</f>
        <v/>
      </c>
      <c r="TS21" s="12">
        <f>ROUND(TR21*(1-'Sens - Annual Mix'!$A$9),0)</f>
        <v/>
      </c>
      <c r="TT21" s="12">
        <f>TR21-TS21</f>
        <v/>
      </c>
      <c r="TU21" s="12">
        <f>ROUND(TS21*EssentialMix,0)</f>
        <v/>
      </c>
      <c r="TV21" s="12">
        <f>TS21-TU21</f>
        <v/>
      </c>
      <c r="TW21" s="12">
        <f>ROUND(TT21*EssentialMix,0)</f>
        <v/>
      </c>
      <c r="TX21" s="12">
        <f>TT21-TW21</f>
        <v/>
      </c>
      <c r="TY21" s="12">
        <f>TU21+TU20+TU19+MAX(0,TY20-TU20-TU19)*(1-TN21)</f>
        <v/>
      </c>
      <c r="TZ21" s="12">
        <f>TV21+TV20+TV19+MAX(0,TZ20-TV20-TV19)*(1-TN21)</f>
        <v/>
      </c>
      <c r="UA21" s="12">
        <f>UA20+TW21-TW9*(AnnualChurn*VLOOKUP(TJ21,ChurnSeasonTable,4,FALSE))*POWER(1-(AnnualChurn*VLOOKUP(TJ21,ChurnSeasonTable,4,FALSE)),0)</f>
        <v/>
      </c>
      <c r="UB21" s="12">
        <f>UB20+TX21-TX9*(AnnualChurn*VLOOKUP(TJ21,ChurnSeasonTable,4,FALSE))*POWER(1-(AnnualChurn*VLOOKUP(TJ21,ChurnSeasonTable,4,FALSE)),0)</f>
        <v/>
      </c>
      <c r="UC21" s="12">
        <f>TY21+TZ21+UA21+UB21</f>
        <v/>
      </c>
      <c r="UD21" s="9">
        <f>TY21*PriceEssMonthly*TM21+TZ21*PricePremMonthly*TM21+UA21*PriceEssAnnual*TM21/12+UB21*PricePremAnnual*TM21/12</f>
        <v/>
      </c>
      <c r="UE21" s="9">
        <f>UD21*12</f>
        <v/>
      </c>
      <c r="UF21" s="12">
        <f>TY21*PriceEssMonthly*TM21+TZ21*PricePremMonthly*TM21</f>
        <v/>
      </c>
      <c r="UG21" s="12">
        <f>TW21*PriceEssAnnual*TM21+TX21*PricePremAnnual*TM21</f>
        <v/>
      </c>
      <c r="UH21" s="12">
        <f>TW9*POWER(1-(AnnualChurn*VLOOKUP(TJ21,ChurnSeasonTable,4,FALSE)),1)*PriceEssAnnual*TM21+TX9*POWER(1-(AnnualChurn*VLOOKUP(TJ21,ChurnSeasonTable,4,FALSE)),1)*PricePremAnnual*TM21</f>
        <v/>
      </c>
      <c r="UI21" s="9">
        <f>UF21+UG21+UH21</f>
        <v/>
      </c>
      <c r="UJ21" s="12">
        <f>SUM(UI10:UI21)</f>
        <v/>
      </c>
      <c r="UK21" s="12">
        <f>OR(UK20,UJ21&gt;=VATThreshold)</f>
        <v/>
      </c>
      <c r="UL21" s="9">
        <f>IF(UK21,UI21/(1+VATRate),UI21)</f>
        <v/>
      </c>
      <c r="UM21" s="12">
        <f>UI21-UL21</f>
        <v/>
      </c>
      <c r="UN21" s="12">
        <f>IF(UK21=0,0,IF(TJ21=1,SUMPRODUCT(--(($TK$5:$TK21=$TK21-1)*($TJ$5:$TJ21&gt;=10)*($TJ$5:$TJ21&lt;=12)),$UM$5:$UM21),IF(TJ21=4,SUMPRODUCT(--(($TK$5:$TK21=$TK21)*($TJ$5:$TJ21&gt;=1)*($TJ$5:$TJ21&lt;=3)),$UM$5:$UM21),IF(TJ21=7,SUMPRODUCT(--(($TK$5:$TK21=$TK21)*($TJ$5:$TJ21&gt;=4)*($TJ$5:$TJ21&lt;=6)),$UM$5:$UM21),IF(TJ21=10,SUMPRODUCT(--(($TK$5:$TK21=$TK21)*($TJ$5:$TJ21&gt;=7)*($TJ$5:$TJ21&lt;=9)),$UM$5:$UM21),0)))))</f>
        <v/>
      </c>
      <c r="UO21" s="12">
        <f>UO20+UM21-UN21</f>
        <v/>
      </c>
      <c r="UP21" s="12">
        <f>IF(ProviderDelay&gt;=1,UL20*ProviderShare,UL21*ProviderShare)</f>
        <v/>
      </c>
      <c r="UQ21" s="12">
        <f>UI21*PaymentFee</f>
        <v/>
      </c>
      <c r="UR21" s="12">
        <f>UC21*OpsAI</f>
        <v/>
      </c>
      <c r="US21" s="12">
        <f>MonthlyFixed</f>
        <v/>
      </c>
      <c r="UT21" s="12">
        <f>TQ21*ReferralReward</f>
        <v/>
      </c>
      <c r="UU21" s="12">
        <f>TO21</f>
        <v/>
      </c>
      <c r="UV21" s="9">
        <f>UL21-UP21-UQ21-UR21-US21-UT21-UU21</f>
        <v/>
      </c>
      <c r="UW21" s="9">
        <f>UW20+UI21-(UP21+UQ21+UR21+US21+UT21+UU21+UN21)</f>
        <v/>
      </c>
      <c r="UX21" s="12">
        <f>IF(UC21&gt;0,UD21/UC21,0)</f>
        <v/>
      </c>
      <c r="UY21" s="11">
        <f>IF(UC20&gt;0,MAX(0,(UC20+TR21-UC21)/UC20),0)</f>
        <v/>
      </c>
      <c r="VA21" s="12" t="n">
        <v>17</v>
      </c>
      <c r="VB21" s="12">
        <f>MOD(VA21-1+LaunchMonth-1,12)+1</f>
        <v/>
      </c>
      <c r="VC21" s="12">
        <f>INT((VA21-1+LaunchMonth-1)/12)+1</f>
        <v/>
      </c>
      <c r="VD21" s="12">
        <f>VLOOKUP(VB21,SeasonTable,2,FALSE)</f>
        <v/>
      </c>
      <c r="VE21" s="12">
        <f>(1+InflationRate)^INT((VA21-1)/12)</f>
        <v/>
      </c>
      <c r="VF21" s="11">
        <f>MonthlyChurn*VLOOKUP(VB21,ChurnSeasonTable,4,FALSE)</f>
        <v/>
      </c>
      <c r="VG21" s="12">
        <f>MIN(MAX(MktMin13_18,WA20*MktPct13_18),MAX(0,WO20-CashBuffer))</f>
        <v/>
      </c>
      <c r="VH21" s="12">
        <f>IF(VG21&gt;0,MAX(1,ROUND(VG21/CAC*VD21,0)),0)</f>
        <v/>
      </c>
      <c r="VI21" s="12">
        <f>IF(VH21&gt;0,ROUND(VH21*ReferralMix/(1-ReferralMix),0),0)</f>
        <v/>
      </c>
      <c r="VJ21" s="12">
        <f>VH21+VI21</f>
        <v/>
      </c>
      <c r="VK21" s="12">
        <f>ROUND(VJ21*(1-'Sens - Annual Mix'!$A$10),0)</f>
        <v/>
      </c>
      <c r="VL21" s="12">
        <f>VJ21-VK21</f>
        <v/>
      </c>
      <c r="VM21" s="12">
        <f>ROUND(VK21*EssentialMix,0)</f>
        <v/>
      </c>
      <c r="VN21" s="12">
        <f>VK21-VM21</f>
        <v/>
      </c>
      <c r="VO21" s="12">
        <f>ROUND(VL21*EssentialMix,0)</f>
        <v/>
      </c>
      <c r="VP21" s="12">
        <f>VL21-VO21</f>
        <v/>
      </c>
      <c r="VQ21" s="12">
        <f>VM21+VM20+VM19+MAX(0,VQ20-VM20-VM19)*(1-VF21)</f>
        <v/>
      </c>
      <c r="VR21" s="12">
        <f>VN21+VN20+VN19+MAX(0,VR20-VN20-VN19)*(1-VF21)</f>
        <v/>
      </c>
      <c r="VS21" s="12">
        <f>VS20+VO21-VO9*(AnnualChurn*VLOOKUP(VB21,ChurnSeasonTable,4,FALSE))*POWER(1-(AnnualChurn*VLOOKUP(VB21,ChurnSeasonTable,4,FALSE)),0)</f>
        <v/>
      </c>
      <c r="VT21" s="12">
        <f>VT20+VP21-VP9*(AnnualChurn*VLOOKUP(VB21,ChurnSeasonTable,4,FALSE))*POWER(1-(AnnualChurn*VLOOKUP(VB21,ChurnSeasonTable,4,FALSE)),0)</f>
        <v/>
      </c>
      <c r="VU21" s="12">
        <f>VQ21+VR21+VS21+VT21</f>
        <v/>
      </c>
      <c r="VV21" s="9">
        <f>VQ21*PriceEssMonthly*VE21+VR21*PricePremMonthly*VE21+VS21*PriceEssAnnual*VE21/12+VT21*PricePremAnnual*VE21/12</f>
        <v/>
      </c>
      <c r="VW21" s="9">
        <f>VV21*12</f>
        <v/>
      </c>
      <c r="VX21" s="12">
        <f>VQ21*PriceEssMonthly*VE21+VR21*PricePremMonthly*VE21</f>
        <v/>
      </c>
      <c r="VY21" s="12">
        <f>VO21*PriceEssAnnual*VE21+VP21*PricePremAnnual*VE21</f>
        <v/>
      </c>
      <c r="VZ21" s="12">
        <f>VO9*POWER(1-(AnnualChurn*VLOOKUP(VB21,ChurnSeasonTable,4,FALSE)),1)*PriceEssAnnual*VE21+VP9*POWER(1-(AnnualChurn*VLOOKUP(VB21,ChurnSeasonTable,4,FALSE)),1)*PricePremAnnual*VE21</f>
        <v/>
      </c>
      <c r="WA21" s="9">
        <f>VX21+VY21+VZ21</f>
        <v/>
      </c>
      <c r="WB21" s="12">
        <f>SUM(WA10:WA21)</f>
        <v/>
      </c>
      <c r="WC21" s="12">
        <f>OR(WC20,WB21&gt;=VATThreshold)</f>
        <v/>
      </c>
      <c r="WD21" s="9">
        <f>IF(WC21,WA21/(1+VATRate),WA21)</f>
        <v/>
      </c>
      <c r="WE21" s="12">
        <f>WA21-WD21</f>
        <v/>
      </c>
      <c r="WF21" s="12">
        <f>IF(WC21=0,0,IF(VB21=1,SUMPRODUCT(--(($VC$5:$VC21=$VC21-1)*($VB$5:$VB21&gt;=10)*($VB$5:$VB21&lt;=12)),$WE$5:$WE21),IF(VB21=4,SUMPRODUCT(--(($VC$5:$VC21=$VC21)*($VB$5:$VB21&gt;=1)*($VB$5:$VB21&lt;=3)),$WE$5:$WE21),IF(VB21=7,SUMPRODUCT(--(($VC$5:$VC21=$VC21)*($VB$5:$VB21&gt;=4)*($VB$5:$VB21&lt;=6)),$WE$5:$WE21),IF(VB21=10,SUMPRODUCT(--(($VC$5:$VC21=$VC21)*($VB$5:$VB21&gt;=7)*($VB$5:$VB21&lt;=9)),$WE$5:$WE21),0)))))</f>
        <v/>
      </c>
      <c r="WG21" s="12">
        <f>WG20+WE21-WF21</f>
        <v/>
      </c>
      <c r="WH21" s="12">
        <f>IF(ProviderDelay&gt;=1,WD20*ProviderShare,WD21*ProviderShare)</f>
        <v/>
      </c>
      <c r="WI21" s="12">
        <f>WA21*PaymentFee</f>
        <v/>
      </c>
      <c r="WJ21" s="12">
        <f>VU21*OpsAI</f>
        <v/>
      </c>
      <c r="WK21" s="12">
        <f>MonthlyFixed</f>
        <v/>
      </c>
      <c r="WL21" s="12">
        <f>VI21*ReferralReward</f>
        <v/>
      </c>
      <c r="WM21" s="12">
        <f>VG21</f>
        <v/>
      </c>
      <c r="WN21" s="9">
        <f>WD21-WH21-WI21-WJ21-WK21-WL21-WM21</f>
        <v/>
      </c>
      <c r="WO21" s="9">
        <f>WO20+WA21-(WH21+WI21+WJ21+WK21+WL21+WM21+WF21)</f>
        <v/>
      </c>
      <c r="WP21" s="12">
        <f>IF(VU21&gt;0,VV21/VU21,0)</f>
        <v/>
      </c>
      <c r="WQ21" s="11">
        <f>IF(VU20&gt;0,MAX(0,(VU20+VJ21-VU21)/VU20),0)</f>
        <v/>
      </c>
      <c r="WS21" s="12" t="n">
        <v>17</v>
      </c>
      <c r="WT21" s="12">
        <f>MOD(WS21-1+LaunchMonth-1,12)+1</f>
        <v/>
      </c>
      <c r="WU21" s="12">
        <f>INT((WS21-1+LaunchMonth-1)/12)+1</f>
        <v/>
      </c>
      <c r="WV21" s="12">
        <f>VLOOKUP(WT21,SeasonTable,2,FALSE)</f>
        <v/>
      </c>
      <c r="WW21" s="12">
        <f>(1+InflationRate)^INT((WS21-1)/12)</f>
        <v/>
      </c>
      <c r="WX21" s="11">
        <f>MonthlyChurn*VLOOKUP(WT21,ChurnSeasonTable,4,FALSE)</f>
        <v/>
      </c>
      <c r="WY21" s="12">
        <f>MIN(MAX(MktMin13_18,XS20*MktPct13_18),MAX(0,YG20-CashBuffer))</f>
        <v/>
      </c>
      <c r="WZ21" s="12">
        <f>IF(WY21&gt;0,MAX(1,ROUND(WY21/CAC*WV21,0)),0)</f>
        <v/>
      </c>
      <c r="XA21" s="12">
        <f>IF(WZ21&gt;0,ROUND(WZ21*ReferralMix/(1-ReferralMix),0),0)</f>
        <v/>
      </c>
      <c r="XB21" s="12">
        <f>WZ21+XA21</f>
        <v/>
      </c>
      <c r="XC21" s="12">
        <f>ROUND(XB21*(1-'Sens - Annual Mix'!$A$11),0)</f>
        <v/>
      </c>
      <c r="XD21" s="12">
        <f>XB21-XC21</f>
        <v/>
      </c>
      <c r="XE21" s="12">
        <f>ROUND(XC21*EssentialMix,0)</f>
        <v/>
      </c>
      <c r="XF21" s="12">
        <f>XC21-XE21</f>
        <v/>
      </c>
      <c r="XG21" s="12">
        <f>ROUND(XD21*EssentialMix,0)</f>
        <v/>
      </c>
      <c r="XH21" s="12">
        <f>XD21-XG21</f>
        <v/>
      </c>
      <c r="XI21" s="12">
        <f>XE21+XE20+XE19+MAX(0,XI20-XE20-XE19)*(1-WX21)</f>
        <v/>
      </c>
      <c r="XJ21" s="12">
        <f>XF21+XF20+XF19+MAX(0,XJ20-XF20-XF19)*(1-WX21)</f>
        <v/>
      </c>
      <c r="XK21" s="12">
        <f>XK20+XG21-XG9*(AnnualChurn*VLOOKUP(WT21,ChurnSeasonTable,4,FALSE))*POWER(1-(AnnualChurn*VLOOKUP(WT21,ChurnSeasonTable,4,FALSE)),0)</f>
        <v/>
      </c>
      <c r="XL21" s="12">
        <f>XL20+XH21-XH9*(AnnualChurn*VLOOKUP(WT21,ChurnSeasonTable,4,FALSE))*POWER(1-(AnnualChurn*VLOOKUP(WT21,ChurnSeasonTable,4,FALSE)),0)</f>
        <v/>
      </c>
      <c r="XM21" s="12">
        <f>XI21+XJ21+XK21+XL21</f>
        <v/>
      </c>
      <c r="XN21" s="9">
        <f>XI21*PriceEssMonthly*WW21+XJ21*PricePremMonthly*WW21+XK21*PriceEssAnnual*WW21/12+XL21*PricePremAnnual*WW21/12</f>
        <v/>
      </c>
      <c r="XO21" s="9">
        <f>XN21*12</f>
        <v/>
      </c>
      <c r="XP21" s="12">
        <f>XI21*PriceEssMonthly*WW21+XJ21*PricePremMonthly*WW21</f>
        <v/>
      </c>
      <c r="XQ21" s="12">
        <f>XG21*PriceEssAnnual*WW21+XH21*PricePremAnnual*WW21</f>
        <v/>
      </c>
      <c r="XR21" s="12">
        <f>XG9*POWER(1-(AnnualChurn*VLOOKUP(WT21,ChurnSeasonTable,4,FALSE)),1)*PriceEssAnnual*WW21+XH9*POWER(1-(AnnualChurn*VLOOKUP(WT21,ChurnSeasonTable,4,FALSE)),1)*PricePremAnnual*WW21</f>
        <v/>
      </c>
      <c r="XS21" s="9">
        <f>XP21+XQ21+XR21</f>
        <v/>
      </c>
      <c r="XT21" s="12">
        <f>SUM(XS10:XS21)</f>
        <v/>
      </c>
      <c r="XU21" s="12">
        <f>OR(XU20,XT21&gt;=VATThreshold)</f>
        <v/>
      </c>
      <c r="XV21" s="9">
        <f>IF(XU21,XS21/(1+VATRate),XS21)</f>
        <v/>
      </c>
      <c r="XW21" s="12">
        <f>XS21-XV21</f>
        <v/>
      </c>
      <c r="XX21" s="12">
        <f>IF(XU21=0,0,IF(WT21=1,SUMPRODUCT(--(($WU$5:$WU21=$WU21-1)*($WT$5:$WT21&gt;=10)*($WT$5:$WT21&lt;=12)),$XW$5:$XW21),IF(WT21=4,SUMPRODUCT(--(($WU$5:$WU21=$WU21)*($WT$5:$WT21&gt;=1)*($WT$5:$WT21&lt;=3)),$XW$5:$XW21),IF(WT21=7,SUMPRODUCT(--(($WU$5:$WU21=$WU21)*($WT$5:$WT21&gt;=4)*($WT$5:$WT21&lt;=6)),$XW$5:$XW21),IF(WT21=10,SUMPRODUCT(--(($WU$5:$WU21=$WU21)*($WT$5:$WT21&gt;=7)*($WT$5:$WT21&lt;=9)),$XW$5:$XW21),0)))))</f>
        <v/>
      </c>
      <c r="XY21" s="12">
        <f>XY20+XW21-XX21</f>
        <v/>
      </c>
      <c r="XZ21" s="12">
        <f>IF(ProviderDelay&gt;=1,XV20*ProviderShare,XV21*ProviderShare)</f>
        <v/>
      </c>
      <c r="YA21" s="12">
        <f>XS21*PaymentFee</f>
        <v/>
      </c>
      <c r="YB21" s="12">
        <f>XM21*OpsAI</f>
        <v/>
      </c>
      <c r="YC21" s="12">
        <f>MonthlyFixed</f>
        <v/>
      </c>
      <c r="YD21" s="12">
        <f>XA21*ReferralReward</f>
        <v/>
      </c>
      <c r="YE21" s="12">
        <f>WY21</f>
        <v/>
      </c>
      <c r="YF21" s="9">
        <f>XV21-XZ21-YA21-YB21-YC21-YD21-YE21</f>
        <v/>
      </c>
      <c r="YG21" s="9">
        <f>YG20+XS21-(XZ21+YA21+YB21+YC21+YD21+YE21+XX21)</f>
        <v/>
      </c>
      <c r="YH21" s="12">
        <f>IF(XM21&gt;0,XN21/XM21,0)</f>
        <v/>
      </c>
      <c r="YI21" s="11">
        <f>IF(XM20&gt;0,MAX(0,(XM20+XB21-XM21)/XM20),0)</f>
        <v/>
      </c>
      <c r="YK21" s="12" t="n">
        <v>17</v>
      </c>
      <c r="YL21" s="12">
        <f>MOD(YK21-1+LaunchMonth-1,12)+1</f>
        <v/>
      </c>
      <c r="YM21" s="12">
        <f>INT((YK21-1+LaunchMonth-1)/12)+1</f>
        <v/>
      </c>
      <c r="YN21" s="12">
        <f>VLOOKUP(YL21,SeasonTable,2,FALSE)</f>
        <v/>
      </c>
      <c r="YO21" s="12">
        <f>(1+InflationRate)^INT((YK21-1)/12)</f>
        <v/>
      </c>
      <c r="YP21" s="11">
        <f>MonthlyChurn*VLOOKUP(YL21,ChurnSeasonTable,4,FALSE)</f>
        <v/>
      </c>
      <c r="YQ21" s="12">
        <f>MIN(MAX(MktMin13_18,ZK20*MktPct13_18),MAX(0,ZY20-CashBuffer))</f>
        <v/>
      </c>
      <c r="YR21" s="12">
        <f>IF(YQ21&gt;0,MAX(1,ROUND(YQ21/CAC*YN21,0)),0)</f>
        <v/>
      </c>
      <c r="YS21" s="12">
        <f>IF(YR21&gt;0,ROUND(YR21*ReferralMix/(1-ReferralMix),0),0)</f>
        <v/>
      </c>
      <c r="YT21" s="12">
        <f>YR21+YS21</f>
        <v/>
      </c>
      <c r="YU21" s="12">
        <f>ROUND(YT21*(1-'Sens - Annual Mix'!$A$12),0)</f>
        <v/>
      </c>
      <c r="YV21" s="12">
        <f>YT21-YU21</f>
        <v/>
      </c>
      <c r="YW21" s="12">
        <f>ROUND(YU21*EssentialMix,0)</f>
        <v/>
      </c>
      <c r="YX21" s="12">
        <f>YU21-YW21</f>
        <v/>
      </c>
      <c r="YY21" s="12">
        <f>ROUND(YV21*EssentialMix,0)</f>
        <v/>
      </c>
      <c r="YZ21" s="12">
        <f>YV21-YY21</f>
        <v/>
      </c>
      <c r="ZA21" s="12">
        <f>YW21+YW20+YW19+MAX(0,ZA20-YW20-YW19)*(1-YP21)</f>
        <v/>
      </c>
      <c r="ZB21" s="12">
        <f>YX21+YX20+YX19+MAX(0,ZB20-YX20-YX19)*(1-YP21)</f>
        <v/>
      </c>
      <c r="ZC21" s="12">
        <f>ZC20+YY21-YY9*(AnnualChurn*VLOOKUP(YL21,ChurnSeasonTable,4,FALSE))*POWER(1-(AnnualChurn*VLOOKUP(YL21,ChurnSeasonTable,4,FALSE)),0)</f>
        <v/>
      </c>
      <c r="ZD21" s="12">
        <f>ZD20+YZ21-YZ9*(AnnualChurn*VLOOKUP(YL21,ChurnSeasonTable,4,FALSE))*POWER(1-(AnnualChurn*VLOOKUP(YL21,ChurnSeasonTable,4,FALSE)),0)</f>
        <v/>
      </c>
      <c r="ZE21" s="12">
        <f>ZA21+ZB21+ZC21+ZD21</f>
        <v/>
      </c>
      <c r="ZF21" s="9">
        <f>ZA21*PriceEssMonthly*YO21+ZB21*PricePremMonthly*YO21+ZC21*PriceEssAnnual*YO21/12+ZD21*PricePremAnnual*YO21/12</f>
        <v/>
      </c>
      <c r="ZG21" s="9">
        <f>ZF21*12</f>
        <v/>
      </c>
      <c r="ZH21" s="12">
        <f>ZA21*PriceEssMonthly*YO21+ZB21*PricePremMonthly*YO21</f>
        <v/>
      </c>
      <c r="ZI21" s="12">
        <f>YY21*PriceEssAnnual*YO21+YZ21*PricePremAnnual*YO21</f>
        <v/>
      </c>
      <c r="ZJ21" s="12">
        <f>YY9*POWER(1-(AnnualChurn*VLOOKUP(YL21,ChurnSeasonTable,4,FALSE)),1)*PriceEssAnnual*YO21+YZ9*POWER(1-(AnnualChurn*VLOOKUP(YL21,ChurnSeasonTable,4,FALSE)),1)*PricePremAnnual*YO21</f>
        <v/>
      </c>
      <c r="ZK21" s="9">
        <f>ZH21+ZI21+ZJ21</f>
        <v/>
      </c>
      <c r="ZL21" s="12">
        <f>SUM(ZK10:ZK21)</f>
        <v/>
      </c>
      <c r="ZM21" s="12">
        <f>OR(ZM20,ZL21&gt;=VATThreshold)</f>
        <v/>
      </c>
      <c r="ZN21" s="9">
        <f>IF(ZM21,ZK21/(1+VATRate),ZK21)</f>
        <v/>
      </c>
      <c r="ZO21" s="12">
        <f>ZK21-ZN21</f>
        <v/>
      </c>
      <c r="ZP21" s="12">
        <f>IF(ZM21=0,0,IF(YL21=1,SUMPRODUCT(--(($YM$5:$YM21=$YM21-1)*($YL$5:$YL21&gt;=10)*($YL$5:$YL21&lt;=12)),$ZO$5:$ZO21),IF(YL21=4,SUMPRODUCT(--(($YM$5:$YM21=$YM21)*($YL$5:$YL21&gt;=1)*($YL$5:$YL21&lt;=3)),$ZO$5:$ZO21),IF(YL21=7,SUMPRODUCT(--(($YM$5:$YM21=$YM21)*($YL$5:$YL21&gt;=4)*($YL$5:$YL21&lt;=6)),$ZO$5:$ZO21),IF(YL21=10,SUMPRODUCT(--(($YM$5:$YM21=$YM21)*($YL$5:$YL21&gt;=7)*($YL$5:$YL21&lt;=9)),$ZO$5:$ZO21),0)))))</f>
        <v/>
      </c>
      <c r="ZQ21" s="12">
        <f>ZQ20+ZO21-ZP21</f>
        <v/>
      </c>
      <c r="ZR21" s="12">
        <f>IF(ProviderDelay&gt;=1,ZN20*ProviderShare,ZN21*ProviderShare)</f>
        <v/>
      </c>
      <c r="ZS21" s="12">
        <f>ZK21*PaymentFee</f>
        <v/>
      </c>
      <c r="ZT21" s="12">
        <f>ZE21*OpsAI</f>
        <v/>
      </c>
      <c r="ZU21" s="12">
        <f>MonthlyFixed</f>
        <v/>
      </c>
      <c r="ZV21" s="12">
        <f>YS21*ReferralReward</f>
        <v/>
      </c>
      <c r="ZW21" s="12">
        <f>YQ21</f>
        <v/>
      </c>
      <c r="ZX21" s="9">
        <f>ZN21-ZR21-ZS21-ZT21-ZU21-ZV21-ZW21</f>
        <v/>
      </c>
      <c r="ZY21" s="9">
        <f>ZY20+ZK21-(ZR21+ZS21+ZT21+ZU21+ZV21+ZW21+ZP21)</f>
        <v/>
      </c>
      <c r="ZZ21" s="12">
        <f>IF(ZE21&gt;0,ZF21/ZE21,0)</f>
        <v/>
      </c>
      <c r="AAA21" s="11">
        <f>IF(ZE20&gt;0,MAX(0,(ZE20+YT21-ZE21)/ZE20),0)</f>
        <v/>
      </c>
      <c r="AAC21" s="12" t="n">
        <v>17</v>
      </c>
      <c r="AAD21" s="12">
        <f>MOD(AAC21-1+LaunchMonth-1,12)+1</f>
        <v/>
      </c>
      <c r="AAE21" s="12">
        <f>INT((AAC21-1+LaunchMonth-1)/12)+1</f>
        <v/>
      </c>
      <c r="AAF21" s="12">
        <f>VLOOKUP(AAD21,SeasonTable,2,FALSE)</f>
        <v/>
      </c>
      <c r="AAG21" s="12">
        <f>(1+InflationRate)^INT((AAC21-1)/12)</f>
        <v/>
      </c>
      <c r="AAH21" s="11">
        <f>MonthlyChurn*VLOOKUP(AAD21,ChurnSeasonTable,4,FALSE)</f>
        <v/>
      </c>
      <c r="AAI21" s="12">
        <f>MIN(MAX(MktMin13_18,ABC20*MktPct13_18),MAX(0,ABQ20-CashBuffer))</f>
        <v/>
      </c>
      <c r="AAJ21" s="12">
        <f>IF(AAI21&gt;0,MAX(1,ROUND(AAI21/CAC*AAF21,0)),0)</f>
        <v/>
      </c>
      <c r="AAK21" s="12">
        <f>IF(AAJ21&gt;0,ROUND(AAJ21*ReferralMix/(1-ReferralMix),0),0)</f>
        <v/>
      </c>
      <c r="AAL21" s="12">
        <f>AAJ21+AAK21</f>
        <v/>
      </c>
      <c r="AAM21" s="12">
        <f>ROUND(AAL21*(1-'Sens - Annual Mix'!$A$13),0)</f>
        <v/>
      </c>
      <c r="AAN21" s="12">
        <f>AAL21-AAM21</f>
        <v/>
      </c>
      <c r="AAO21" s="12">
        <f>ROUND(AAM21*EssentialMix,0)</f>
        <v/>
      </c>
      <c r="AAP21" s="12">
        <f>AAM21-AAO21</f>
        <v/>
      </c>
      <c r="AAQ21" s="12">
        <f>ROUND(AAN21*EssentialMix,0)</f>
        <v/>
      </c>
      <c r="AAR21" s="12">
        <f>AAN21-AAQ21</f>
        <v/>
      </c>
      <c r="AAS21" s="12">
        <f>AAO21+AAO20+AAO19+MAX(0,AAS20-AAO20-AAO19)*(1-AAH21)</f>
        <v/>
      </c>
      <c r="AAT21" s="12">
        <f>AAP21+AAP20+AAP19+MAX(0,AAT20-AAP20-AAP19)*(1-AAH21)</f>
        <v/>
      </c>
      <c r="AAU21" s="12">
        <f>AAU20+AAQ21-AAQ9*(AnnualChurn*VLOOKUP(AAD21,ChurnSeasonTable,4,FALSE))*POWER(1-(AnnualChurn*VLOOKUP(AAD21,ChurnSeasonTable,4,FALSE)),0)</f>
        <v/>
      </c>
      <c r="AAV21" s="12">
        <f>AAV20+AAR21-AAR9*(AnnualChurn*VLOOKUP(AAD21,ChurnSeasonTable,4,FALSE))*POWER(1-(AnnualChurn*VLOOKUP(AAD21,ChurnSeasonTable,4,FALSE)),0)</f>
        <v/>
      </c>
      <c r="AAW21" s="12">
        <f>AAS21+AAT21+AAU21+AAV21</f>
        <v/>
      </c>
      <c r="AAX21" s="9">
        <f>AAS21*PriceEssMonthly*AAG21+AAT21*PricePremMonthly*AAG21+AAU21*PriceEssAnnual*AAG21/12+AAV21*PricePremAnnual*AAG21/12</f>
        <v/>
      </c>
      <c r="AAY21" s="9">
        <f>AAX21*12</f>
        <v/>
      </c>
      <c r="AAZ21" s="12">
        <f>AAS21*PriceEssMonthly*AAG21+AAT21*PricePremMonthly*AAG21</f>
        <v/>
      </c>
      <c r="ABA21" s="12">
        <f>AAQ21*PriceEssAnnual*AAG21+AAR21*PricePremAnnual*AAG21</f>
        <v/>
      </c>
      <c r="ABB21" s="12">
        <f>AAQ9*POWER(1-(AnnualChurn*VLOOKUP(AAD21,ChurnSeasonTable,4,FALSE)),1)*PriceEssAnnual*AAG21+AAR9*POWER(1-(AnnualChurn*VLOOKUP(AAD21,ChurnSeasonTable,4,FALSE)),1)*PricePremAnnual*AAG21</f>
        <v/>
      </c>
      <c r="ABC21" s="9">
        <f>AAZ21+ABA21+ABB21</f>
        <v/>
      </c>
      <c r="ABD21" s="12">
        <f>SUM(ABC10:ABC21)</f>
        <v/>
      </c>
      <c r="ABE21" s="12">
        <f>OR(ABE20,ABD21&gt;=VATThreshold)</f>
        <v/>
      </c>
      <c r="ABF21" s="9">
        <f>IF(ABE21,ABC21/(1+VATRate),ABC21)</f>
        <v/>
      </c>
      <c r="ABG21" s="12">
        <f>ABC21-ABF21</f>
        <v/>
      </c>
      <c r="ABH21" s="12">
        <f>IF(ABE21=0,0,IF(AAD21=1,SUMPRODUCT(--(($AAE$5:$AAE21=$AAE21-1)*($AAD$5:$AAD21&gt;=10)*($AAD$5:$AAD21&lt;=12)),$ABG$5:$ABG21),IF(AAD21=4,SUMPRODUCT(--(($AAE$5:$AAE21=$AAE21)*($AAD$5:$AAD21&gt;=1)*($AAD$5:$AAD21&lt;=3)),$ABG$5:$ABG21),IF(AAD21=7,SUMPRODUCT(--(($AAE$5:$AAE21=$AAE21)*($AAD$5:$AAD21&gt;=4)*($AAD$5:$AAD21&lt;=6)),$ABG$5:$ABG21),IF(AAD21=10,SUMPRODUCT(--(($AAE$5:$AAE21=$AAE21)*($AAD$5:$AAD21&gt;=7)*($AAD$5:$AAD21&lt;=9)),$ABG$5:$ABG21),0)))))</f>
        <v/>
      </c>
      <c r="ABI21" s="12">
        <f>ABI20+ABG21-ABH21</f>
        <v/>
      </c>
      <c r="ABJ21" s="12">
        <f>IF(ProviderDelay&gt;=1,ABF20*ProviderShare,ABF21*ProviderShare)</f>
        <v/>
      </c>
      <c r="ABK21" s="12">
        <f>ABC21*PaymentFee</f>
        <v/>
      </c>
      <c r="ABL21" s="12">
        <f>AAW21*OpsAI</f>
        <v/>
      </c>
      <c r="ABM21" s="12">
        <f>MonthlyFixed</f>
        <v/>
      </c>
      <c r="ABN21" s="12">
        <f>AAK21*ReferralReward</f>
        <v/>
      </c>
      <c r="ABO21" s="12">
        <f>AAI21</f>
        <v/>
      </c>
      <c r="ABP21" s="9">
        <f>ABF21-ABJ21-ABK21-ABL21-ABM21-ABN21-ABO21</f>
        <v/>
      </c>
      <c r="ABQ21" s="9">
        <f>ABQ20+ABC21-(ABJ21+ABK21+ABL21+ABM21+ABN21+ABO21+ABH21)</f>
        <v/>
      </c>
      <c r="ABR21" s="12">
        <f>IF(AAW21&gt;0,AAX21/AAW21,0)</f>
        <v/>
      </c>
      <c r="ABS21" s="11">
        <f>IF(AAW20&gt;0,MAX(0,(AAW20+AAL21-AAW21)/AAW20),0)</f>
        <v/>
      </c>
      <c r="ABU21" s="12" t="n">
        <v>17</v>
      </c>
      <c r="ABV21" s="12">
        <f>MOD(ABU21-1+LaunchMonth-1,12)+1</f>
        <v/>
      </c>
      <c r="ABW21" s="12">
        <f>INT((ABU21-1+LaunchMonth-1)/12)+1</f>
        <v/>
      </c>
      <c r="ABX21" s="12">
        <f>VLOOKUP(ABV21,SeasonTable,2,FALSE)</f>
        <v/>
      </c>
      <c r="ABY21" s="12">
        <f>(1+InflationRate)^INT((ABU21-1)/12)</f>
        <v/>
      </c>
      <c r="ABZ21" s="11">
        <f>MonthlyChurn*VLOOKUP(ABV21,ChurnSeasonTable,4,FALSE)</f>
        <v/>
      </c>
      <c r="ACA21" s="12">
        <f>MIN(MAX(MktMin13_18,ACU20*MktPct13_18),MAX(0,ADI20-CashBuffer))</f>
        <v/>
      </c>
      <c r="ACB21" s="12">
        <f>IF(ACA21&gt;0,MAX(1,ROUND(ACA21/CAC*ABX21,0)),0)</f>
        <v/>
      </c>
      <c r="ACC21" s="12">
        <f>IF(ACB21&gt;0,ROUND(ACB21*ReferralMix/(1-ReferralMix),0),0)</f>
        <v/>
      </c>
      <c r="ACD21" s="12">
        <f>ACB21+ACC21</f>
        <v/>
      </c>
      <c r="ACE21" s="12">
        <f>ROUND(ACD21*(1-'Sens - Annual Mix'!$A$14),0)</f>
        <v/>
      </c>
      <c r="ACF21" s="12">
        <f>ACD21-ACE21</f>
        <v/>
      </c>
      <c r="ACG21" s="12">
        <f>ROUND(ACE21*EssentialMix,0)</f>
        <v/>
      </c>
      <c r="ACH21" s="12">
        <f>ACE21-ACG21</f>
        <v/>
      </c>
      <c r="ACI21" s="12">
        <f>ROUND(ACF21*EssentialMix,0)</f>
        <v/>
      </c>
      <c r="ACJ21" s="12">
        <f>ACF21-ACI21</f>
        <v/>
      </c>
      <c r="ACK21" s="12">
        <f>ACG21+ACG20+ACG19+MAX(0,ACK20-ACG20-ACG19)*(1-ABZ21)</f>
        <v/>
      </c>
      <c r="ACL21" s="12">
        <f>ACH21+ACH20+ACH19+MAX(0,ACL20-ACH20-ACH19)*(1-ABZ21)</f>
        <v/>
      </c>
      <c r="ACM21" s="12">
        <f>ACM20+ACI21-ACI9*(AnnualChurn*VLOOKUP(ABV21,ChurnSeasonTable,4,FALSE))*POWER(1-(AnnualChurn*VLOOKUP(ABV21,ChurnSeasonTable,4,FALSE)),0)</f>
        <v/>
      </c>
      <c r="ACN21" s="12">
        <f>ACN20+ACJ21-ACJ9*(AnnualChurn*VLOOKUP(ABV21,ChurnSeasonTable,4,FALSE))*POWER(1-(AnnualChurn*VLOOKUP(ABV21,ChurnSeasonTable,4,FALSE)),0)</f>
        <v/>
      </c>
      <c r="ACO21" s="12">
        <f>ACK21+ACL21+ACM21+ACN21</f>
        <v/>
      </c>
      <c r="ACP21" s="9">
        <f>ACK21*PriceEssMonthly*ABY21+ACL21*PricePremMonthly*ABY21+ACM21*PriceEssAnnual*ABY21/12+ACN21*PricePremAnnual*ABY21/12</f>
        <v/>
      </c>
      <c r="ACQ21" s="9">
        <f>ACP21*12</f>
        <v/>
      </c>
      <c r="ACR21" s="12">
        <f>ACK21*PriceEssMonthly*ABY21+ACL21*PricePremMonthly*ABY21</f>
        <v/>
      </c>
      <c r="ACS21" s="12">
        <f>ACI21*PriceEssAnnual*ABY21+ACJ21*PricePremAnnual*ABY21</f>
        <v/>
      </c>
      <c r="ACT21" s="12">
        <f>ACI9*POWER(1-(AnnualChurn*VLOOKUP(ABV21,ChurnSeasonTable,4,FALSE)),1)*PriceEssAnnual*ABY21+ACJ9*POWER(1-(AnnualChurn*VLOOKUP(ABV21,ChurnSeasonTable,4,FALSE)),1)*PricePremAnnual*ABY21</f>
        <v/>
      </c>
      <c r="ACU21" s="9">
        <f>ACR21+ACS21+ACT21</f>
        <v/>
      </c>
      <c r="ACV21" s="12">
        <f>SUM(ACU10:ACU21)</f>
        <v/>
      </c>
      <c r="ACW21" s="12">
        <f>OR(ACW20,ACV21&gt;=VATThreshold)</f>
        <v/>
      </c>
      <c r="ACX21" s="9">
        <f>IF(ACW21,ACU21/(1+VATRate),ACU21)</f>
        <v/>
      </c>
      <c r="ACY21" s="12">
        <f>ACU21-ACX21</f>
        <v/>
      </c>
      <c r="ACZ21" s="12">
        <f>IF(ACW21=0,0,IF(ABV21=1,SUMPRODUCT(--(($ABW$5:$ABW21=$ABW21-1)*($ABV$5:$ABV21&gt;=10)*($ABV$5:$ABV21&lt;=12)),$ACY$5:$ACY21),IF(ABV21=4,SUMPRODUCT(--(($ABW$5:$ABW21=$ABW21)*($ABV$5:$ABV21&gt;=1)*($ABV$5:$ABV21&lt;=3)),$ACY$5:$ACY21),IF(ABV21=7,SUMPRODUCT(--(($ABW$5:$ABW21=$ABW21)*($ABV$5:$ABV21&gt;=4)*($ABV$5:$ABV21&lt;=6)),$ACY$5:$ACY21),IF(ABV21=10,SUMPRODUCT(--(($ABW$5:$ABW21=$ABW21)*($ABV$5:$ABV21&gt;=7)*($ABV$5:$ABV21&lt;=9)),$ACY$5:$ACY21),0)))))</f>
        <v/>
      </c>
      <c r="ADA21" s="12">
        <f>ADA20+ACY21-ACZ21</f>
        <v/>
      </c>
      <c r="ADB21" s="12">
        <f>IF(ProviderDelay&gt;=1,ACX20*ProviderShare,ACX21*ProviderShare)</f>
        <v/>
      </c>
      <c r="ADC21" s="12">
        <f>ACU21*PaymentFee</f>
        <v/>
      </c>
      <c r="ADD21" s="12">
        <f>ACO21*OpsAI</f>
        <v/>
      </c>
      <c r="ADE21" s="12">
        <f>MonthlyFixed</f>
        <v/>
      </c>
      <c r="ADF21" s="12">
        <f>ACC21*ReferralReward</f>
        <v/>
      </c>
      <c r="ADG21" s="12">
        <f>ACA21</f>
        <v/>
      </c>
      <c r="ADH21" s="9">
        <f>ACX21-ADB21-ADC21-ADD21-ADE21-ADF21-ADG21</f>
        <v/>
      </c>
      <c r="ADI21" s="9">
        <f>ADI20+ACU21-(ADB21+ADC21+ADD21+ADE21+ADF21+ADG21+ACZ21)</f>
        <v/>
      </c>
      <c r="ADJ21" s="12">
        <f>IF(ACO21&gt;0,ACP21/ACO21,0)</f>
        <v/>
      </c>
      <c r="ADK21" s="11">
        <f>IF(ACO20&gt;0,MAX(0,(ACO20+ACD21-ACO21)/ACO20),0)</f>
        <v/>
      </c>
      <c r="ADM21" s="12" t="n">
        <v>17</v>
      </c>
      <c r="ADN21" s="12">
        <f>MOD(ADM21-1+LaunchMonth-1,12)+1</f>
        <v/>
      </c>
      <c r="ADO21" s="12">
        <f>INT((ADM21-1+LaunchMonth-1)/12)+1</f>
        <v/>
      </c>
      <c r="ADP21" s="12">
        <f>VLOOKUP(ADN21,SeasonTable,2,FALSE)</f>
        <v/>
      </c>
      <c r="ADQ21" s="12">
        <f>(1+InflationRate)^INT((ADM21-1)/12)</f>
        <v/>
      </c>
      <c r="ADR21" s="11">
        <f>MonthlyChurn*VLOOKUP(ADN21,ChurnSeasonTable,4,FALSE)</f>
        <v/>
      </c>
      <c r="ADS21" s="12">
        <f>MIN(MAX(MktMin13_18,AEM20*MktPct13_18),MAX(0,AFA20-CashBuffer))</f>
        <v/>
      </c>
      <c r="ADT21" s="12">
        <f>IF(ADS21&gt;0,MAX(1,ROUND(ADS21/CAC*ADP21,0)),0)</f>
        <v/>
      </c>
      <c r="ADU21" s="12">
        <f>IF(ADT21&gt;0,ROUND(ADT21*ReferralMix/(1-ReferralMix),0),0)</f>
        <v/>
      </c>
      <c r="ADV21" s="12">
        <f>ADT21+ADU21</f>
        <v/>
      </c>
      <c r="ADW21" s="12">
        <f>ROUND(ADV21*(1-'Sens - Annual Mix'!$A$15),0)</f>
        <v/>
      </c>
      <c r="ADX21" s="12">
        <f>ADV21-ADW21</f>
        <v/>
      </c>
      <c r="ADY21" s="12">
        <f>ROUND(ADW21*EssentialMix,0)</f>
        <v/>
      </c>
      <c r="ADZ21" s="12">
        <f>ADW21-ADY21</f>
        <v/>
      </c>
      <c r="AEA21" s="12">
        <f>ROUND(ADX21*EssentialMix,0)</f>
        <v/>
      </c>
      <c r="AEB21" s="12">
        <f>ADX21-AEA21</f>
        <v/>
      </c>
      <c r="AEC21" s="12">
        <f>ADY21+ADY20+ADY19+MAX(0,AEC20-ADY20-ADY19)*(1-ADR21)</f>
        <v/>
      </c>
      <c r="AED21" s="12">
        <f>ADZ21+ADZ20+ADZ19+MAX(0,AED20-ADZ20-ADZ19)*(1-ADR21)</f>
        <v/>
      </c>
      <c r="AEE21" s="12">
        <f>AEE20+AEA21-AEA9*(AnnualChurn*VLOOKUP(ADN21,ChurnSeasonTable,4,FALSE))*POWER(1-(AnnualChurn*VLOOKUP(ADN21,ChurnSeasonTable,4,FALSE)),0)</f>
        <v/>
      </c>
      <c r="AEF21" s="12">
        <f>AEF20+AEB21-AEB9*(AnnualChurn*VLOOKUP(ADN21,ChurnSeasonTable,4,FALSE))*POWER(1-(AnnualChurn*VLOOKUP(ADN21,ChurnSeasonTable,4,FALSE)),0)</f>
        <v/>
      </c>
      <c r="AEG21" s="12">
        <f>AEC21+AED21+AEE21+AEF21</f>
        <v/>
      </c>
      <c r="AEH21" s="9">
        <f>AEC21*PriceEssMonthly*ADQ21+AED21*PricePremMonthly*ADQ21+AEE21*PriceEssAnnual*ADQ21/12+AEF21*PricePremAnnual*ADQ21/12</f>
        <v/>
      </c>
      <c r="AEI21" s="9">
        <f>AEH21*12</f>
        <v/>
      </c>
      <c r="AEJ21" s="12">
        <f>AEC21*PriceEssMonthly*ADQ21+AED21*PricePremMonthly*ADQ21</f>
        <v/>
      </c>
      <c r="AEK21" s="12">
        <f>AEA21*PriceEssAnnual*ADQ21+AEB21*PricePremAnnual*ADQ21</f>
        <v/>
      </c>
      <c r="AEL21" s="12">
        <f>AEA9*POWER(1-(AnnualChurn*VLOOKUP(ADN21,ChurnSeasonTable,4,FALSE)),1)*PriceEssAnnual*ADQ21+AEB9*POWER(1-(AnnualChurn*VLOOKUP(ADN21,ChurnSeasonTable,4,FALSE)),1)*PricePremAnnual*ADQ21</f>
        <v/>
      </c>
      <c r="AEM21" s="9">
        <f>AEJ21+AEK21+AEL21</f>
        <v/>
      </c>
      <c r="AEN21" s="12">
        <f>SUM(AEM10:AEM21)</f>
        <v/>
      </c>
      <c r="AEO21" s="12">
        <f>OR(AEO20,AEN21&gt;=VATThreshold)</f>
        <v/>
      </c>
      <c r="AEP21" s="9">
        <f>IF(AEO21,AEM21/(1+VATRate),AEM21)</f>
        <v/>
      </c>
      <c r="AEQ21" s="12">
        <f>AEM21-AEP21</f>
        <v/>
      </c>
      <c r="AER21" s="12">
        <f>IF(AEO21=0,0,IF(ADN21=1,SUMPRODUCT(--(($ADO$5:$ADO21=$ADO21-1)*($ADN$5:$ADN21&gt;=10)*($ADN$5:$ADN21&lt;=12)),$AEQ$5:$AEQ21),IF(ADN21=4,SUMPRODUCT(--(($ADO$5:$ADO21=$ADO21)*($ADN$5:$ADN21&gt;=1)*($ADN$5:$ADN21&lt;=3)),$AEQ$5:$AEQ21),IF(ADN21=7,SUMPRODUCT(--(($ADO$5:$ADO21=$ADO21)*($ADN$5:$ADN21&gt;=4)*($ADN$5:$ADN21&lt;=6)),$AEQ$5:$AEQ21),IF(ADN21=10,SUMPRODUCT(--(($ADO$5:$ADO21=$ADO21)*($ADN$5:$ADN21&gt;=7)*($ADN$5:$ADN21&lt;=9)),$AEQ$5:$AEQ21),0)))))</f>
        <v/>
      </c>
      <c r="AES21" s="12">
        <f>AES20+AEQ21-AER21</f>
        <v/>
      </c>
      <c r="AET21" s="12">
        <f>IF(ProviderDelay&gt;=1,AEP20*ProviderShare,AEP21*ProviderShare)</f>
        <v/>
      </c>
      <c r="AEU21" s="12">
        <f>AEM21*PaymentFee</f>
        <v/>
      </c>
      <c r="AEV21" s="12">
        <f>AEG21*OpsAI</f>
        <v/>
      </c>
      <c r="AEW21" s="12">
        <f>MonthlyFixed</f>
        <v/>
      </c>
      <c r="AEX21" s="12">
        <f>ADU21*ReferralReward</f>
        <v/>
      </c>
      <c r="AEY21" s="12">
        <f>ADS21</f>
        <v/>
      </c>
      <c r="AEZ21" s="9">
        <f>AEP21-AET21-AEU21-AEV21-AEW21-AEX21-AEY21</f>
        <v/>
      </c>
      <c r="AFA21" s="9">
        <f>AFA20+AEM21-(AET21+AEU21+AEV21+AEW21+AEX21+AEY21+AER21)</f>
        <v/>
      </c>
      <c r="AFB21" s="12">
        <f>IF(AEG21&gt;0,AEH21/AEG21,0)</f>
        <v/>
      </c>
      <c r="AFC21" s="11">
        <f>IF(AEG20&gt;0,MAX(0,(AEG20+ADV21-AEG21)/AEG20),0)</f>
        <v/>
      </c>
      <c r="AFE21" s="12" t="n">
        <v>17</v>
      </c>
      <c r="AFF21" s="12">
        <f>MOD(AFE21-1+LaunchMonth-1,12)+1</f>
        <v/>
      </c>
      <c r="AFG21" s="12">
        <f>INT((AFE21-1+LaunchMonth-1)/12)+1</f>
        <v/>
      </c>
      <c r="AFH21" s="12">
        <f>VLOOKUP(AFF21,SeasonTable,2,FALSE)</f>
        <v/>
      </c>
      <c r="AFI21" s="12">
        <f>(1+InflationRate)^INT((AFE21-1)/12)</f>
        <v/>
      </c>
      <c r="AFJ21" s="11">
        <f>MonthlyChurn*VLOOKUP(AFF21,ChurnSeasonTable,4,FALSE)</f>
        <v/>
      </c>
      <c r="AFK21" s="12">
        <f>MIN(MAX(MktMin13_18,AGE20*MktPct13_18),MAX(0,AGS20-CashBuffer))</f>
        <v/>
      </c>
      <c r="AFL21" s="12">
        <f>IF(AFK21&gt;0,MAX(1,ROUND(AFK21/'Sens - CAC &amp; Marketing'!$A$9*AFH21,0)),0)</f>
        <v/>
      </c>
      <c r="AFM21" s="12">
        <f>IF(AFL21&gt;0,ROUND(AFL21*ReferralMix/(1-ReferralMix),0),0)</f>
        <v/>
      </c>
      <c r="AFN21" s="12">
        <f>AFL21+AFM21</f>
        <v/>
      </c>
      <c r="AFO21" s="12">
        <f>ROUND(AFN21*(1-AnnualMix),0)</f>
        <v/>
      </c>
      <c r="AFP21" s="12">
        <f>AFN21-AFO21</f>
        <v/>
      </c>
      <c r="AFQ21" s="12">
        <f>ROUND(AFO21*EssentialMix,0)</f>
        <v/>
      </c>
      <c r="AFR21" s="12">
        <f>AFO21-AFQ21</f>
        <v/>
      </c>
      <c r="AFS21" s="12">
        <f>ROUND(AFP21*EssentialMix,0)</f>
        <v/>
      </c>
      <c r="AFT21" s="12">
        <f>AFP21-AFS21</f>
        <v/>
      </c>
      <c r="AFU21" s="12">
        <f>AFQ21+AFQ20+AFQ19+MAX(0,AFU20-AFQ20-AFQ19)*(1-AFJ21)</f>
        <v/>
      </c>
      <c r="AFV21" s="12">
        <f>AFR21+AFR20+AFR19+MAX(0,AFV20-AFR20-AFR19)*(1-AFJ21)</f>
        <v/>
      </c>
      <c r="AFW21" s="12">
        <f>AFW20+AFS21-AFS9*(AnnualChurn*VLOOKUP(AFF21,ChurnSeasonTable,4,FALSE))*POWER(1-(AnnualChurn*VLOOKUP(AFF21,ChurnSeasonTable,4,FALSE)),0)</f>
        <v/>
      </c>
      <c r="AFX21" s="12">
        <f>AFX20+AFT21-AFT9*(AnnualChurn*VLOOKUP(AFF21,ChurnSeasonTable,4,FALSE))*POWER(1-(AnnualChurn*VLOOKUP(AFF21,ChurnSeasonTable,4,FALSE)),0)</f>
        <v/>
      </c>
      <c r="AFY21" s="12">
        <f>AFU21+AFV21+AFW21+AFX21</f>
        <v/>
      </c>
      <c r="AFZ21" s="9">
        <f>AFU21*PriceEssMonthly*AFI21+AFV21*PricePremMonthly*AFI21+AFW21*PriceEssAnnual*AFI21/12+AFX21*PricePremAnnual*AFI21/12</f>
        <v/>
      </c>
      <c r="AGA21" s="9">
        <f>AFZ21*12</f>
        <v/>
      </c>
      <c r="AGB21" s="12">
        <f>AFU21*PriceEssMonthly*AFI21+AFV21*PricePremMonthly*AFI21</f>
        <v/>
      </c>
      <c r="AGC21" s="12">
        <f>AFS21*PriceEssAnnual*AFI21+AFT21*PricePremAnnual*AFI21</f>
        <v/>
      </c>
      <c r="AGD21" s="12">
        <f>AFS9*POWER(1-(AnnualChurn*VLOOKUP(AFF21,ChurnSeasonTable,4,FALSE)),1)*PriceEssAnnual*AFI21+AFT9*POWER(1-(AnnualChurn*VLOOKUP(AFF21,ChurnSeasonTable,4,FALSE)),1)*PricePremAnnual*AFI21</f>
        <v/>
      </c>
      <c r="AGE21" s="9">
        <f>AGB21+AGC21+AGD21</f>
        <v/>
      </c>
      <c r="AGF21" s="12">
        <f>SUM(AGE10:AGE21)</f>
        <v/>
      </c>
      <c r="AGG21" s="12">
        <f>OR(AGG20,AGF21&gt;=VATThreshold)</f>
        <v/>
      </c>
      <c r="AGH21" s="9">
        <f>IF(AGG21,AGE21/(1+VATRate),AGE21)</f>
        <v/>
      </c>
      <c r="AGI21" s="12">
        <f>AGE21-AGH21</f>
        <v/>
      </c>
      <c r="AGJ21" s="12">
        <f>IF(AGG21=0,0,IF(AFF21=1,SUMPRODUCT(--(($AFG$5:$AFG21=$AFG21-1)*($AFF$5:$AFF21&gt;=10)*($AFF$5:$AFF21&lt;=12)),$AGI$5:$AGI21),IF(AFF21=4,SUMPRODUCT(--(($AFG$5:$AFG21=$AFG21)*($AFF$5:$AFF21&gt;=1)*($AFF$5:$AFF21&lt;=3)),$AGI$5:$AGI21),IF(AFF21=7,SUMPRODUCT(--(($AFG$5:$AFG21=$AFG21)*($AFF$5:$AFF21&gt;=4)*($AFF$5:$AFF21&lt;=6)),$AGI$5:$AGI21),IF(AFF21=10,SUMPRODUCT(--(($AFG$5:$AFG21=$AFG21)*($AFF$5:$AFF21&gt;=7)*($AFF$5:$AFF21&lt;=9)),$AGI$5:$AGI21),0)))))</f>
        <v/>
      </c>
      <c r="AGK21" s="12">
        <f>AGK20+AGI21-AGJ21</f>
        <v/>
      </c>
      <c r="AGL21" s="12">
        <f>IF(ProviderDelay&gt;=1,AGH20*ProviderShare,AGH21*ProviderShare)</f>
        <v/>
      </c>
      <c r="AGM21" s="12">
        <f>AGE21*PaymentFee</f>
        <v/>
      </c>
      <c r="AGN21" s="12">
        <f>AFY21*OpsAI</f>
        <v/>
      </c>
      <c r="AGO21" s="12">
        <f>MonthlyFixed</f>
        <v/>
      </c>
      <c r="AGP21" s="12">
        <f>AFM21*ReferralReward</f>
        <v/>
      </c>
      <c r="AGQ21" s="12">
        <f>AFK21</f>
        <v/>
      </c>
      <c r="AGR21" s="9">
        <f>AGH21-AGL21-AGM21-AGN21-AGO21-AGP21-AGQ21</f>
        <v/>
      </c>
      <c r="AGS21" s="9">
        <f>AGS20+AGE21-(AGL21+AGM21+AGN21+AGO21+AGP21+AGQ21+AGJ21)</f>
        <v/>
      </c>
      <c r="AGT21" s="12">
        <f>IF(AFY21&gt;0,AFZ21/AFY21,0)</f>
        <v/>
      </c>
      <c r="AGU21" s="11">
        <f>IF(AFY20&gt;0,MAX(0,(AFY20+AFN21-AFY21)/AFY20),0)</f>
        <v/>
      </c>
      <c r="AGW21" s="12" t="n">
        <v>17</v>
      </c>
      <c r="AGX21" s="12">
        <f>MOD(AGW21-1+LaunchMonth-1,12)+1</f>
        <v/>
      </c>
      <c r="AGY21" s="12">
        <f>INT((AGW21-1+LaunchMonth-1)/12)+1</f>
        <v/>
      </c>
      <c r="AGZ21" s="12">
        <f>VLOOKUP(AGX21,SeasonTable,2,FALSE)</f>
        <v/>
      </c>
      <c r="AHA21" s="12">
        <f>(1+InflationRate)^INT((AGW21-1)/12)</f>
        <v/>
      </c>
      <c r="AHB21" s="11">
        <f>MonthlyChurn*VLOOKUP(AGX21,ChurnSeasonTable,4,FALSE)</f>
        <v/>
      </c>
      <c r="AHC21" s="12">
        <f>MIN(MAX(MktMin13_18,AHW20*MktPct13_18),MAX(0,AIK20-CashBuffer))</f>
        <v/>
      </c>
      <c r="AHD21" s="12">
        <f>IF(AHC21&gt;0,MAX(1,ROUND(AHC21/'Sens - CAC &amp; Marketing'!$A$10*AGZ21,0)),0)</f>
        <v/>
      </c>
      <c r="AHE21" s="12">
        <f>IF(AHD21&gt;0,ROUND(AHD21*ReferralMix/(1-ReferralMix),0),0)</f>
        <v/>
      </c>
      <c r="AHF21" s="12">
        <f>AHD21+AHE21</f>
        <v/>
      </c>
      <c r="AHG21" s="12">
        <f>ROUND(AHF21*(1-AnnualMix),0)</f>
        <v/>
      </c>
      <c r="AHH21" s="12">
        <f>AHF21-AHG21</f>
        <v/>
      </c>
      <c r="AHI21" s="12">
        <f>ROUND(AHG21*EssentialMix,0)</f>
        <v/>
      </c>
      <c r="AHJ21" s="12">
        <f>AHG21-AHI21</f>
        <v/>
      </c>
      <c r="AHK21" s="12">
        <f>ROUND(AHH21*EssentialMix,0)</f>
        <v/>
      </c>
      <c r="AHL21" s="12">
        <f>AHH21-AHK21</f>
        <v/>
      </c>
      <c r="AHM21" s="12">
        <f>AHI21+AHI20+AHI19+MAX(0,AHM20-AHI20-AHI19)*(1-AHB21)</f>
        <v/>
      </c>
      <c r="AHN21" s="12">
        <f>AHJ21+AHJ20+AHJ19+MAX(0,AHN20-AHJ20-AHJ19)*(1-AHB21)</f>
        <v/>
      </c>
      <c r="AHO21" s="12">
        <f>AHO20+AHK21-AHK9*(AnnualChurn*VLOOKUP(AGX21,ChurnSeasonTable,4,FALSE))*POWER(1-(AnnualChurn*VLOOKUP(AGX21,ChurnSeasonTable,4,FALSE)),0)</f>
        <v/>
      </c>
      <c r="AHP21" s="12">
        <f>AHP20+AHL21-AHL9*(AnnualChurn*VLOOKUP(AGX21,ChurnSeasonTable,4,FALSE))*POWER(1-(AnnualChurn*VLOOKUP(AGX21,ChurnSeasonTable,4,FALSE)),0)</f>
        <v/>
      </c>
      <c r="AHQ21" s="12">
        <f>AHM21+AHN21+AHO21+AHP21</f>
        <v/>
      </c>
      <c r="AHR21" s="9">
        <f>AHM21*PriceEssMonthly*AHA21+AHN21*PricePremMonthly*AHA21+AHO21*PriceEssAnnual*AHA21/12+AHP21*PricePremAnnual*AHA21/12</f>
        <v/>
      </c>
      <c r="AHS21" s="9">
        <f>AHR21*12</f>
        <v/>
      </c>
      <c r="AHT21" s="12">
        <f>AHM21*PriceEssMonthly*AHA21+AHN21*PricePremMonthly*AHA21</f>
        <v/>
      </c>
      <c r="AHU21" s="12">
        <f>AHK21*PriceEssAnnual*AHA21+AHL21*PricePremAnnual*AHA21</f>
        <v/>
      </c>
      <c r="AHV21" s="12">
        <f>AHK9*POWER(1-(AnnualChurn*VLOOKUP(AGX21,ChurnSeasonTable,4,FALSE)),1)*PriceEssAnnual*AHA21+AHL9*POWER(1-(AnnualChurn*VLOOKUP(AGX21,ChurnSeasonTable,4,FALSE)),1)*PricePremAnnual*AHA21</f>
        <v/>
      </c>
      <c r="AHW21" s="9">
        <f>AHT21+AHU21+AHV21</f>
        <v/>
      </c>
      <c r="AHX21" s="12">
        <f>SUM(AHW10:AHW21)</f>
        <v/>
      </c>
      <c r="AHY21" s="12">
        <f>OR(AHY20,AHX21&gt;=VATThreshold)</f>
        <v/>
      </c>
      <c r="AHZ21" s="9">
        <f>IF(AHY21,AHW21/(1+VATRate),AHW21)</f>
        <v/>
      </c>
      <c r="AIA21" s="12">
        <f>AHW21-AHZ21</f>
        <v/>
      </c>
      <c r="AIB21" s="12">
        <f>IF(AHY21=0,0,IF(AGX21=1,SUMPRODUCT(--(($AGY$5:$AGY21=$AGY21-1)*($AGX$5:$AGX21&gt;=10)*($AGX$5:$AGX21&lt;=12)),$AIA$5:$AIA21),IF(AGX21=4,SUMPRODUCT(--(($AGY$5:$AGY21=$AGY21)*($AGX$5:$AGX21&gt;=1)*($AGX$5:$AGX21&lt;=3)),$AIA$5:$AIA21),IF(AGX21=7,SUMPRODUCT(--(($AGY$5:$AGY21=$AGY21)*($AGX$5:$AGX21&gt;=4)*($AGX$5:$AGX21&lt;=6)),$AIA$5:$AIA21),IF(AGX21=10,SUMPRODUCT(--(($AGY$5:$AGY21=$AGY21)*($AGX$5:$AGX21&gt;=7)*($AGX$5:$AGX21&lt;=9)),$AIA$5:$AIA21),0)))))</f>
        <v/>
      </c>
      <c r="AIC21" s="12">
        <f>AIC20+AIA21-AIB21</f>
        <v/>
      </c>
      <c r="AID21" s="12">
        <f>IF(ProviderDelay&gt;=1,AHZ20*ProviderShare,AHZ21*ProviderShare)</f>
        <v/>
      </c>
      <c r="AIE21" s="12">
        <f>AHW21*PaymentFee</f>
        <v/>
      </c>
      <c r="AIF21" s="12">
        <f>AHQ21*OpsAI</f>
        <v/>
      </c>
      <c r="AIG21" s="12">
        <f>MonthlyFixed</f>
        <v/>
      </c>
      <c r="AIH21" s="12">
        <f>AHE21*ReferralReward</f>
        <v/>
      </c>
      <c r="AII21" s="12">
        <f>AHC21</f>
        <v/>
      </c>
      <c r="AIJ21" s="9">
        <f>AHZ21-AID21-AIE21-AIF21-AIG21-AIH21-AII21</f>
        <v/>
      </c>
      <c r="AIK21" s="9">
        <f>AIK20+AHW21-(AID21+AIE21+AIF21+AIG21+AIH21+AII21+AIB21)</f>
        <v/>
      </c>
      <c r="AIL21" s="12">
        <f>IF(AHQ21&gt;0,AHR21/AHQ21,0)</f>
        <v/>
      </c>
      <c r="AIM21" s="11">
        <f>IF(AHQ20&gt;0,MAX(0,(AHQ20+AHF21-AHQ21)/AHQ20),0)</f>
        <v/>
      </c>
      <c r="AIO21" s="12" t="n">
        <v>17</v>
      </c>
      <c r="AIP21" s="12">
        <f>MOD(AIO21-1+LaunchMonth-1,12)+1</f>
        <v/>
      </c>
      <c r="AIQ21" s="12">
        <f>INT((AIO21-1+LaunchMonth-1)/12)+1</f>
        <v/>
      </c>
      <c r="AIR21" s="12">
        <f>VLOOKUP(AIP21,SeasonTable,2,FALSE)</f>
        <v/>
      </c>
      <c r="AIS21" s="12">
        <f>(1+InflationRate)^INT((AIO21-1)/12)</f>
        <v/>
      </c>
      <c r="AIT21" s="11">
        <f>MonthlyChurn*VLOOKUP(AIP21,ChurnSeasonTable,4,FALSE)</f>
        <v/>
      </c>
      <c r="AIU21" s="12">
        <f>MIN(MAX(MktMin13_18,AJO20*MktPct13_18),MAX(0,AKC20-CashBuffer))</f>
        <v/>
      </c>
      <c r="AIV21" s="12">
        <f>IF(AIU21&gt;0,MAX(1,ROUND(AIU21/'Sens - CAC &amp; Marketing'!$A$11*AIR21,0)),0)</f>
        <v/>
      </c>
      <c r="AIW21" s="12">
        <f>IF(AIV21&gt;0,ROUND(AIV21*ReferralMix/(1-ReferralMix),0),0)</f>
        <v/>
      </c>
      <c r="AIX21" s="12">
        <f>AIV21+AIW21</f>
        <v/>
      </c>
      <c r="AIY21" s="12">
        <f>ROUND(AIX21*(1-AnnualMix),0)</f>
        <v/>
      </c>
      <c r="AIZ21" s="12">
        <f>AIX21-AIY21</f>
        <v/>
      </c>
      <c r="AJA21" s="12">
        <f>ROUND(AIY21*EssentialMix,0)</f>
        <v/>
      </c>
      <c r="AJB21" s="12">
        <f>AIY21-AJA21</f>
        <v/>
      </c>
      <c r="AJC21" s="12">
        <f>ROUND(AIZ21*EssentialMix,0)</f>
        <v/>
      </c>
      <c r="AJD21" s="12">
        <f>AIZ21-AJC21</f>
        <v/>
      </c>
      <c r="AJE21" s="12">
        <f>AJA21+AJA20+AJA19+MAX(0,AJE20-AJA20-AJA19)*(1-AIT21)</f>
        <v/>
      </c>
      <c r="AJF21" s="12">
        <f>AJB21+AJB20+AJB19+MAX(0,AJF20-AJB20-AJB19)*(1-AIT21)</f>
        <v/>
      </c>
      <c r="AJG21" s="12">
        <f>AJG20+AJC21-AJC9*(AnnualChurn*VLOOKUP(AIP21,ChurnSeasonTable,4,FALSE))*POWER(1-(AnnualChurn*VLOOKUP(AIP21,ChurnSeasonTable,4,FALSE)),0)</f>
        <v/>
      </c>
      <c r="AJH21" s="12">
        <f>AJH20+AJD21-AJD9*(AnnualChurn*VLOOKUP(AIP21,ChurnSeasonTable,4,FALSE))*POWER(1-(AnnualChurn*VLOOKUP(AIP21,ChurnSeasonTable,4,FALSE)),0)</f>
        <v/>
      </c>
      <c r="AJI21" s="12">
        <f>AJE21+AJF21+AJG21+AJH21</f>
        <v/>
      </c>
      <c r="AJJ21" s="9">
        <f>AJE21*PriceEssMonthly*AIS21+AJF21*PricePremMonthly*AIS21+AJG21*PriceEssAnnual*AIS21/12+AJH21*PricePremAnnual*AIS21/12</f>
        <v/>
      </c>
      <c r="AJK21" s="9">
        <f>AJJ21*12</f>
        <v/>
      </c>
      <c r="AJL21" s="12">
        <f>AJE21*PriceEssMonthly*AIS21+AJF21*PricePremMonthly*AIS21</f>
        <v/>
      </c>
      <c r="AJM21" s="12">
        <f>AJC21*PriceEssAnnual*AIS21+AJD21*PricePremAnnual*AIS21</f>
        <v/>
      </c>
      <c r="AJN21" s="12">
        <f>AJC9*POWER(1-(AnnualChurn*VLOOKUP(AIP21,ChurnSeasonTable,4,FALSE)),1)*PriceEssAnnual*AIS21+AJD9*POWER(1-(AnnualChurn*VLOOKUP(AIP21,ChurnSeasonTable,4,FALSE)),1)*PricePremAnnual*AIS21</f>
        <v/>
      </c>
      <c r="AJO21" s="9">
        <f>AJL21+AJM21+AJN21</f>
        <v/>
      </c>
      <c r="AJP21" s="12">
        <f>SUM(AJO10:AJO21)</f>
        <v/>
      </c>
      <c r="AJQ21" s="12">
        <f>OR(AJQ20,AJP21&gt;=VATThreshold)</f>
        <v/>
      </c>
      <c r="AJR21" s="9">
        <f>IF(AJQ21,AJO21/(1+VATRate),AJO21)</f>
        <v/>
      </c>
      <c r="AJS21" s="12">
        <f>AJO21-AJR21</f>
        <v/>
      </c>
      <c r="AJT21" s="12">
        <f>IF(AJQ21=0,0,IF(AIP21=1,SUMPRODUCT(--(($AIQ$5:$AIQ21=$AIQ21-1)*($AIP$5:$AIP21&gt;=10)*($AIP$5:$AIP21&lt;=12)),$AJS$5:$AJS21),IF(AIP21=4,SUMPRODUCT(--(($AIQ$5:$AIQ21=$AIQ21)*($AIP$5:$AIP21&gt;=1)*($AIP$5:$AIP21&lt;=3)),$AJS$5:$AJS21),IF(AIP21=7,SUMPRODUCT(--(($AIQ$5:$AIQ21=$AIQ21)*($AIP$5:$AIP21&gt;=4)*($AIP$5:$AIP21&lt;=6)),$AJS$5:$AJS21),IF(AIP21=10,SUMPRODUCT(--(($AIQ$5:$AIQ21=$AIQ21)*($AIP$5:$AIP21&gt;=7)*($AIP$5:$AIP21&lt;=9)),$AJS$5:$AJS21),0)))))</f>
        <v/>
      </c>
      <c r="AJU21" s="12">
        <f>AJU20+AJS21-AJT21</f>
        <v/>
      </c>
      <c r="AJV21" s="12">
        <f>IF(ProviderDelay&gt;=1,AJR20*ProviderShare,AJR21*ProviderShare)</f>
        <v/>
      </c>
      <c r="AJW21" s="12">
        <f>AJO21*PaymentFee</f>
        <v/>
      </c>
      <c r="AJX21" s="12">
        <f>AJI21*OpsAI</f>
        <v/>
      </c>
      <c r="AJY21" s="12">
        <f>MonthlyFixed</f>
        <v/>
      </c>
      <c r="AJZ21" s="12">
        <f>AIW21*ReferralReward</f>
        <v/>
      </c>
      <c r="AKA21" s="12">
        <f>AIU21</f>
        <v/>
      </c>
      <c r="AKB21" s="9">
        <f>AJR21-AJV21-AJW21-AJX21-AJY21-AJZ21-AKA21</f>
        <v/>
      </c>
      <c r="AKC21" s="9">
        <f>AKC20+AJO21-(AJV21+AJW21+AJX21+AJY21+AJZ21+AKA21+AJT21)</f>
        <v/>
      </c>
      <c r="AKD21" s="12">
        <f>IF(AJI21&gt;0,AJJ21/AJI21,0)</f>
        <v/>
      </c>
      <c r="AKE21" s="11">
        <f>IF(AJI20&gt;0,MAX(0,(AJI20+AIX21-AJI21)/AJI20),0)</f>
        <v/>
      </c>
      <c r="AKG21" s="12" t="n">
        <v>17</v>
      </c>
      <c r="AKH21" s="12">
        <f>MOD(AKG21-1+LaunchMonth-1,12)+1</f>
        <v/>
      </c>
      <c r="AKI21" s="12">
        <f>INT((AKG21-1+LaunchMonth-1)/12)+1</f>
        <v/>
      </c>
      <c r="AKJ21" s="12">
        <f>VLOOKUP(AKH21,SeasonTable,2,FALSE)</f>
        <v/>
      </c>
      <c r="AKK21" s="12">
        <f>(1+InflationRate)^INT((AKG21-1)/12)</f>
        <v/>
      </c>
      <c r="AKL21" s="11">
        <f>MonthlyChurn*VLOOKUP(AKH21,ChurnSeasonTable,4,FALSE)</f>
        <v/>
      </c>
      <c r="AKM21" s="12">
        <f>MIN(MAX(MktMin13_18,ALG20*MktPct13_18),MAX(0,ALU20-CashBuffer))</f>
        <v/>
      </c>
      <c r="AKN21" s="12">
        <f>IF(AKM21&gt;0,MAX(1,ROUND(AKM21/'Sens - CAC &amp; Marketing'!$A$12*AKJ21,0)),0)</f>
        <v/>
      </c>
      <c r="AKO21" s="12">
        <f>IF(AKN21&gt;0,ROUND(AKN21*ReferralMix/(1-ReferralMix),0),0)</f>
        <v/>
      </c>
      <c r="AKP21" s="12">
        <f>AKN21+AKO21</f>
        <v/>
      </c>
      <c r="AKQ21" s="12">
        <f>ROUND(AKP21*(1-AnnualMix),0)</f>
        <v/>
      </c>
      <c r="AKR21" s="12">
        <f>AKP21-AKQ21</f>
        <v/>
      </c>
      <c r="AKS21" s="12">
        <f>ROUND(AKQ21*EssentialMix,0)</f>
        <v/>
      </c>
      <c r="AKT21" s="12">
        <f>AKQ21-AKS21</f>
        <v/>
      </c>
      <c r="AKU21" s="12">
        <f>ROUND(AKR21*EssentialMix,0)</f>
        <v/>
      </c>
      <c r="AKV21" s="12">
        <f>AKR21-AKU21</f>
        <v/>
      </c>
      <c r="AKW21" s="12">
        <f>AKS21+AKS20+AKS19+MAX(0,AKW20-AKS20-AKS19)*(1-AKL21)</f>
        <v/>
      </c>
      <c r="AKX21" s="12">
        <f>AKT21+AKT20+AKT19+MAX(0,AKX20-AKT20-AKT19)*(1-AKL21)</f>
        <v/>
      </c>
      <c r="AKY21" s="12">
        <f>AKY20+AKU21-AKU9*(AnnualChurn*VLOOKUP(AKH21,ChurnSeasonTable,4,FALSE))*POWER(1-(AnnualChurn*VLOOKUP(AKH21,ChurnSeasonTable,4,FALSE)),0)</f>
        <v/>
      </c>
      <c r="AKZ21" s="12">
        <f>AKZ20+AKV21-AKV9*(AnnualChurn*VLOOKUP(AKH21,ChurnSeasonTable,4,FALSE))*POWER(1-(AnnualChurn*VLOOKUP(AKH21,ChurnSeasonTable,4,FALSE)),0)</f>
        <v/>
      </c>
      <c r="ALA21" s="12">
        <f>AKW21+AKX21+AKY21+AKZ21</f>
        <v/>
      </c>
      <c r="ALB21" s="9">
        <f>AKW21*PriceEssMonthly*AKK21+AKX21*PricePremMonthly*AKK21+AKY21*PriceEssAnnual*AKK21/12+AKZ21*PricePremAnnual*AKK21/12</f>
        <v/>
      </c>
      <c r="ALC21" s="9">
        <f>ALB21*12</f>
        <v/>
      </c>
      <c r="ALD21" s="12">
        <f>AKW21*PriceEssMonthly*AKK21+AKX21*PricePremMonthly*AKK21</f>
        <v/>
      </c>
      <c r="ALE21" s="12">
        <f>AKU21*PriceEssAnnual*AKK21+AKV21*PricePremAnnual*AKK21</f>
        <v/>
      </c>
      <c r="ALF21" s="12">
        <f>AKU9*POWER(1-(AnnualChurn*VLOOKUP(AKH21,ChurnSeasonTable,4,FALSE)),1)*PriceEssAnnual*AKK21+AKV9*POWER(1-(AnnualChurn*VLOOKUP(AKH21,ChurnSeasonTable,4,FALSE)),1)*PricePremAnnual*AKK21</f>
        <v/>
      </c>
      <c r="ALG21" s="9">
        <f>ALD21+ALE21+ALF21</f>
        <v/>
      </c>
      <c r="ALH21" s="12">
        <f>SUM(ALG10:ALG21)</f>
        <v/>
      </c>
      <c r="ALI21" s="12">
        <f>OR(ALI20,ALH21&gt;=VATThreshold)</f>
        <v/>
      </c>
      <c r="ALJ21" s="9">
        <f>IF(ALI21,ALG21/(1+VATRate),ALG21)</f>
        <v/>
      </c>
      <c r="ALK21" s="12">
        <f>ALG21-ALJ21</f>
        <v/>
      </c>
      <c r="ALL21" s="12">
        <f>IF(ALI21=0,0,IF(AKH21=1,SUMPRODUCT(--(($AKI$5:$AKI21=$AKI21-1)*($AKH$5:$AKH21&gt;=10)*($AKH$5:$AKH21&lt;=12)),$ALK$5:$ALK21),IF(AKH21=4,SUMPRODUCT(--(($AKI$5:$AKI21=$AKI21)*($AKH$5:$AKH21&gt;=1)*($AKH$5:$AKH21&lt;=3)),$ALK$5:$ALK21),IF(AKH21=7,SUMPRODUCT(--(($AKI$5:$AKI21=$AKI21)*($AKH$5:$AKH21&gt;=4)*($AKH$5:$AKH21&lt;=6)),$ALK$5:$ALK21),IF(AKH21=10,SUMPRODUCT(--(($AKI$5:$AKI21=$AKI21)*($AKH$5:$AKH21&gt;=7)*($AKH$5:$AKH21&lt;=9)),$ALK$5:$ALK21),0)))))</f>
        <v/>
      </c>
      <c r="ALM21" s="12">
        <f>ALM20+ALK21-ALL21</f>
        <v/>
      </c>
      <c r="ALN21" s="12">
        <f>IF(ProviderDelay&gt;=1,ALJ20*ProviderShare,ALJ21*ProviderShare)</f>
        <v/>
      </c>
      <c r="ALO21" s="12">
        <f>ALG21*PaymentFee</f>
        <v/>
      </c>
      <c r="ALP21" s="12">
        <f>ALA21*OpsAI</f>
        <v/>
      </c>
      <c r="ALQ21" s="12">
        <f>MonthlyFixed</f>
        <v/>
      </c>
      <c r="ALR21" s="12">
        <f>AKO21*ReferralReward</f>
        <v/>
      </c>
      <c r="ALS21" s="12">
        <f>AKM21</f>
        <v/>
      </c>
      <c r="ALT21" s="9">
        <f>ALJ21-ALN21-ALO21-ALP21-ALQ21-ALR21-ALS21</f>
        <v/>
      </c>
      <c r="ALU21" s="9">
        <f>ALU20+ALG21-(ALN21+ALO21+ALP21+ALQ21+ALR21+ALS21+ALL21)</f>
        <v/>
      </c>
      <c r="ALV21" s="12">
        <f>IF(ALA21&gt;0,ALB21/ALA21,0)</f>
        <v/>
      </c>
      <c r="ALW21" s="11">
        <f>IF(ALA20&gt;0,MAX(0,(ALA20+AKP21-ALA21)/ALA20),0)</f>
        <v/>
      </c>
      <c r="ALY21" s="12" t="n">
        <v>17</v>
      </c>
      <c r="ALZ21" s="12">
        <f>MOD(ALY21-1+LaunchMonth-1,12)+1</f>
        <v/>
      </c>
      <c r="AMA21" s="12">
        <f>INT((ALY21-1+LaunchMonth-1)/12)+1</f>
        <v/>
      </c>
      <c r="AMB21" s="12">
        <f>VLOOKUP(ALZ21,SeasonTable,2,FALSE)</f>
        <v/>
      </c>
      <c r="AMC21" s="12">
        <f>(1+InflationRate)^INT((ALY21-1)/12)</f>
        <v/>
      </c>
      <c r="AMD21" s="11">
        <f>MonthlyChurn*VLOOKUP(ALZ21,ChurnSeasonTable,4,FALSE)</f>
        <v/>
      </c>
      <c r="AME21" s="12">
        <f>MIN(MAX(MktMin13_18,AMY20*MktPct13_18),MAX(0,ANM20-CashBuffer))</f>
        <v/>
      </c>
      <c r="AMF21" s="12">
        <f>IF(AME21&gt;0,MAX(1,ROUND(AME21/'Sens - CAC &amp; Marketing'!$A$13*AMB21,0)),0)</f>
        <v/>
      </c>
      <c r="AMG21" s="12">
        <f>IF(AMF21&gt;0,ROUND(AMF21*ReferralMix/(1-ReferralMix),0),0)</f>
        <v/>
      </c>
      <c r="AMH21" s="12">
        <f>AMF21+AMG21</f>
        <v/>
      </c>
      <c r="AMI21" s="12">
        <f>ROUND(AMH21*(1-AnnualMix),0)</f>
        <v/>
      </c>
      <c r="AMJ21" s="12">
        <f>AMH21-AMI21</f>
        <v/>
      </c>
      <c r="AMK21" s="12">
        <f>ROUND(AMI21*EssentialMix,0)</f>
        <v/>
      </c>
      <c r="AML21" s="12">
        <f>AMI21-AMK21</f>
        <v/>
      </c>
      <c r="AMM21" s="12">
        <f>ROUND(AMJ21*EssentialMix,0)</f>
        <v/>
      </c>
      <c r="AMN21" s="12">
        <f>AMJ21-AMM21</f>
        <v/>
      </c>
      <c r="AMO21" s="12">
        <f>AMK21+AMK20+AMK19+MAX(0,AMO20-AMK20-AMK19)*(1-AMD21)</f>
        <v/>
      </c>
      <c r="AMP21" s="12">
        <f>AML21+AML20+AML19+MAX(0,AMP20-AML20-AML19)*(1-AMD21)</f>
        <v/>
      </c>
      <c r="AMQ21" s="12">
        <f>AMQ20+AMM21-AMM9*(AnnualChurn*VLOOKUP(ALZ21,ChurnSeasonTable,4,FALSE))*POWER(1-(AnnualChurn*VLOOKUP(ALZ21,ChurnSeasonTable,4,FALSE)),0)</f>
        <v/>
      </c>
      <c r="AMR21" s="12">
        <f>AMR20+AMN21-AMN9*(AnnualChurn*VLOOKUP(ALZ21,ChurnSeasonTable,4,FALSE))*POWER(1-(AnnualChurn*VLOOKUP(ALZ21,ChurnSeasonTable,4,FALSE)),0)</f>
        <v/>
      </c>
      <c r="AMS21" s="12">
        <f>AMO21+AMP21+AMQ21+AMR21</f>
        <v/>
      </c>
      <c r="AMT21" s="9">
        <f>AMO21*PriceEssMonthly*AMC21+AMP21*PricePremMonthly*AMC21+AMQ21*PriceEssAnnual*AMC21/12+AMR21*PricePremAnnual*AMC21/12</f>
        <v/>
      </c>
      <c r="AMU21" s="9">
        <f>AMT21*12</f>
        <v/>
      </c>
      <c r="AMV21" s="12">
        <f>AMO21*PriceEssMonthly*AMC21+AMP21*PricePremMonthly*AMC21</f>
        <v/>
      </c>
      <c r="AMW21" s="12">
        <f>AMM21*PriceEssAnnual*AMC21+AMN21*PricePremAnnual*AMC21</f>
        <v/>
      </c>
      <c r="AMX21" s="12">
        <f>AMM9*POWER(1-(AnnualChurn*VLOOKUP(ALZ21,ChurnSeasonTable,4,FALSE)),1)*PriceEssAnnual*AMC21+AMN9*POWER(1-(AnnualChurn*VLOOKUP(ALZ21,ChurnSeasonTable,4,FALSE)),1)*PricePremAnnual*AMC21</f>
        <v/>
      </c>
      <c r="AMY21" s="9">
        <f>AMV21+AMW21+AMX21</f>
        <v/>
      </c>
      <c r="AMZ21" s="12">
        <f>SUM(AMY10:AMY21)</f>
        <v/>
      </c>
      <c r="ANA21" s="12">
        <f>OR(ANA20,AMZ21&gt;=VATThreshold)</f>
        <v/>
      </c>
      <c r="ANB21" s="9">
        <f>IF(ANA21,AMY21/(1+VATRate),AMY21)</f>
        <v/>
      </c>
      <c r="ANC21" s="12">
        <f>AMY21-ANB21</f>
        <v/>
      </c>
      <c r="AND21" s="12">
        <f>IF(ANA21=0,0,IF(ALZ21=1,SUMPRODUCT(--(($AMA$5:$AMA21=$AMA21-1)*($ALZ$5:$ALZ21&gt;=10)*($ALZ$5:$ALZ21&lt;=12)),$ANC$5:$ANC21),IF(ALZ21=4,SUMPRODUCT(--(($AMA$5:$AMA21=$AMA21)*($ALZ$5:$ALZ21&gt;=1)*($ALZ$5:$ALZ21&lt;=3)),$ANC$5:$ANC21),IF(ALZ21=7,SUMPRODUCT(--(($AMA$5:$AMA21=$AMA21)*($ALZ$5:$ALZ21&gt;=4)*($ALZ$5:$ALZ21&lt;=6)),$ANC$5:$ANC21),IF(ALZ21=10,SUMPRODUCT(--(($AMA$5:$AMA21=$AMA21)*($ALZ$5:$ALZ21&gt;=7)*($ALZ$5:$ALZ21&lt;=9)),$ANC$5:$ANC21),0)))))</f>
        <v/>
      </c>
      <c r="ANE21" s="12">
        <f>ANE20+ANC21-AND21</f>
        <v/>
      </c>
      <c r="ANF21" s="12">
        <f>IF(ProviderDelay&gt;=1,ANB20*ProviderShare,ANB21*ProviderShare)</f>
        <v/>
      </c>
      <c r="ANG21" s="12">
        <f>AMY21*PaymentFee</f>
        <v/>
      </c>
      <c r="ANH21" s="12">
        <f>AMS21*OpsAI</f>
        <v/>
      </c>
      <c r="ANI21" s="12">
        <f>MonthlyFixed</f>
        <v/>
      </c>
      <c r="ANJ21" s="12">
        <f>AMG21*ReferralReward</f>
        <v/>
      </c>
      <c r="ANK21" s="12">
        <f>AME21</f>
        <v/>
      </c>
      <c r="ANL21" s="9">
        <f>ANB21-ANF21-ANG21-ANH21-ANI21-ANJ21-ANK21</f>
        <v/>
      </c>
      <c r="ANM21" s="9">
        <f>ANM20+AMY21-(ANF21+ANG21+ANH21+ANI21+ANJ21+ANK21+AND21)</f>
        <v/>
      </c>
      <c r="ANN21" s="12">
        <f>IF(AMS21&gt;0,AMT21/AMS21,0)</f>
        <v/>
      </c>
      <c r="ANO21" s="11">
        <f>IF(AMS20&gt;0,MAX(0,(AMS20+AMH21-AMS21)/AMS20),0)</f>
        <v/>
      </c>
      <c r="ANQ21" s="12" t="n">
        <v>17</v>
      </c>
      <c r="ANR21" s="12">
        <f>MOD(ANQ21-1+LaunchMonth-1,12)+1</f>
        <v/>
      </c>
      <c r="ANS21" s="12">
        <f>INT((ANQ21-1+LaunchMonth-1)/12)+1</f>
        <v/>
      </c>
      <c r="ANT21" s="12">
        <f>VLOOKUP(ANR21,SeasonTable,2,FALSE)</f>
        <v/>
      </c>
      <c r="ANU21" s="12">
        <f>(1+InflationRate)^INT((ANQ21-1)/12)</f>
        <v/>
      </c>
      <c r="ANV21" s="11">
        <f>MonthlyChurn*VLOOKUP(ANR21,ChurnSeasonTable,4,FALSE)</f>
        <v/>
      </c>
      <c r="ANW21" s="12">
        <f>MIN(MAX(MktMin13_18,AOQ20*MktPct13_18),MAX(0,APE20-CashBuffer))</f>
        <v/>
      </c>
      <c r="ANX21" s="12">
        <f>IF(ANW21&gt;0,MAX(1,ROUND(ANW21/'Sens - CAC &amp; Marketing'!$A$14*ANT21,0)),0)</f>
        <v/>
      </c>
      <c r="ANY21" s="12">
        <f>IF(ANX21&gt;0,ROUND(ANX21*ReferralMix/(1-ReferralMix),0),0)</f>
        <v/>
      </c>
      <c r="ANZ21" s="12">
        <f>ANX21+ANY21</f>
        <v/>
      </c>
      <c r="AOA21" s="12">
        <f>ROUND(ANZ21*(1-AnnualMix),0)</f>
        <v/>
      </c>
      <c r="AOB21" s="12">
        <f>ANZ21-AOA21</f>
        <v/>
      </c>
      <c r="AOC21" s="12">
        <f>ROUND(AOA21*EssentialMix,0)</f>
        <v/>
      </c>
      <c r="AOD21" s="12">
        <f>AOA21-AOC21</f>
        <v/>
      </c>
      <c r="AOE21" s="12">
        <f>ROUND(AOB21*EssentialMix,0)</f>
        <v/>
      </c>
      <c r="AOF21" s="12">
        <f>AOB21-AOE21</f>
        <v/>
      </c>
      <c r="AOG21" s="12">
        <f>AOC21+AOC20+AOC19+MAX(0,AOG20-AOC20-AOC19)*(1-ANV21)</f>
        <v/>
      </c>
      <c r="AOH21" s="12">
        <f>AOD21+AOD20+AOD19+MAX(0,AOH20-AOD20-AOD19)*(1-ANV21)</f>
        <v/>
      </c>
      <c r="AOI21" s="12">
        <f>AOI20+AOE21-AOE9*(AnnualChurn*VLOOKUP(ANR21,ChurnSeasonTable,4,FALSE))*POWER(1-(AnnualChurn*VLOOKUP(ANR21,ChurnSeasonTable,4,FALSE)),0)</f>
        <v/>
      </c>
      <c r="AOJ21" s="12">
        <f>AOJ20+AOF21-AOF9*(AnnualChurn*VLOOKUP(ANR21,ChurnSeasonTable,4,FALSE))*POWER(1-(AnnualChurn*VLOOKUP(ANR21,ChurnSeasonTable,4,FALSE)),0)</f>
        <v/>
      </c>
      <c r="AOK21" s="12">
        <f>AOG21+AOH21+AOI21+AOJ21</f>
        <v/>
      </c>
      <c r="AOL21" s="9">
        <f>AOG21*PriceEssMonthly*ANU21+AOH21*PricePremMonthly*ANU21+AOI21*PriceEssAnnual*ANU21/12+AOJ21*PricePremAnnual*ANU21/12</f>
        <v/>
      </c>
      <c r="AOM21" s="9">
        <f>AOL21*12</f>
        <v/>
      </c>
      <c r="AON21" s="12">
        <f>AOG21*PriceEssMonthly*ANU21+AOH21*PricePremMonthly*ANU21</f>
        <v/>
      </c>
      <c r="AOO21" s="12">
        <f>AOE21*PriceEssAnnual*ANU21+AOF21*PricePremAnnual*ANU21</f>
        <v/>
      </c>
      <c r="AOP21" s="12">
        <f>AOE9*POWER(1-(AnnualChurn*VLOOKUP(ANR21,ChurnSeasonTable,4,FALSE)),1)*PriceEssAnnual*ANU21+AOF9*POWER(1-(AnnualChurn*VLOOKUP(ANR21,ChurnSeasonTable,4,FALSE)),1)*PricePremAnnual*ANU21</f>
        <v/>
      </c>
      <c r="AOQ21" s="9">
        <f>AON21+AOO21+AOP21</f>
        <v/>
      </c>
      <c r="AOR21" s="12">
        <f>SUM(AOQ10:AOQ21)</f>
        <v/>
      </c>
      <c r="AOS21" s="12">
        <f>OR(AOS20,AOR21&gt;=VATThreshold)</f>
        <v/>
      </c>
      <c r="AOT21" s="9">
        <f>IF(AOS21,AOQ21/(1+VATRate),AOQ21)</f>
        <v/>
      </c>
      <c r="AOU21" s="12">
        <f>AOQ21-AOT21</f>
        <v/>
      </c>
      <c r="AOV21" s="12">
        <f>IF(AOS21=0,0,IF(ANR21=1,SUMPRODUCT(--(($ANS$5:$ANS21=$ANS21-1)*($ANR$5:$ANR21&gt;=10)*($ANR$5:$ANR21&lt;=12)),$AOU$5:$AOU21),IF(ANR21=4,SUMPRODUCT(--(($ANS$5:$ANS21=$ANS21)*($ANR$5:$ANR21&gt;=1)*($ANR$5:$ANR21&lt;=3)),$AOU$5:$AOU21),IF(ANR21=7,SUMPRODUCT(--(($ANS$5:$ANS21=$ANS21)*($ANR$5:$ANR21&gt;=4)*($ANR$5:$ANR21&lt;=6)),$AOU$5:$AOU21),IF(ANR21=10,SUMPRODUCT(--(($ANS$5:$ANS21=$ANS21)*($ANR$5:$ANR21&gt;=7)*($ANR$5:$ANR21&lt;=9)),$AOU$5:$AOU21),0)))))</f>
        <v/>
      </c>
      <c r="AOW21" s="12">
        <f>AOW20+AOU21-AOV21</f>
        <v/>
      </c>
      <c r="AOX21" s="12">
        <f>IF(ProviderDelay&gt;=1,AOT20*ProviderShare,AOT21*ProviderShare)</f>
        <v/>
      </c>
      <c r="AOY21" s="12">
        <f>AOQ21*PaymentFee</f>
        <v/>
      </c>
      <c r="AOZ21" s="12">
        <f>AOK21*OpsAI</f>
        <v/>
      </c>
      <c r="APA21" s="12">
        <f>MonthlyFixed</f>
        <v/>
      </c>
      <c r="APB21" s="12">
        <f>ANY21*ReferralReward</f>
        <v/>
      </c>
      <c r="APC21" s="12">
        <f>ANW21</f>
        <v/>
      </c>
      <c r="APD21" s="9">
        <f>AOT21-AOX21-AOY21-AOZ21-APA21-APB21-APC21</f>
        <v/>
      </c>
      <c r="APE21" s="9">
        <f>APE20+AOQ21-(AOX21+AOY21+AOZ21+APA21+APB21+APC21+AOV21)</f>
        <v/>
      </c>
      <c r="APF21" s="12">
        <f>IF(AOK21&gt;0,AOL21/AOK21,0)</f>
        <v/>
      </c>
      <c r="APG21" s="11">
        <f>IF(AOK20&gt;0,MAX(0,(AOK20+ANZ21-AOK21)/AOK20),0)</f>
        <v/>
      </c>
      <c r="API21" s="12" t="n">
        <v>17</v>
      </c>
      <c r="APJ21" s="12">
        <f>MOD(API21-1+LaunchMonth-1,12)+1</f>
        <v/>
      </c>
      <c r="APK21" s="12">
        <f>INT((API21-1+LaunchMonth-1)/12)+1</f>
        <v/>
      </c>
      <c r="APL21" s="12">
        <f>VLOOKUP(APJ21,SeasonTable,2,FALSE)</f>
        <v/>
      </c>
      <c r="APM21" s="12">
        <f>(1+InflationRate)^INT((API21-1)/12)</f>
        <v/>
      </c>
      <c r="APN21" s="11">
        <f>MonthlyChurn*VLOOKUP(APJ21,ChurnSeasonTable,4,FALSE)</f>
        <v/>
      </c>
      <c r="APO21" s="12">
        <f>MIN(MAX(MktMin13_18,AQI20*MktPct13_18),MAX(0,AQW20-CashBuffer))</f>
        <v/>
      </c>
      <c r="APP21" s="12">
        <f>IF(APO21&gt;0,MAX(1,ROUND(APO21/'Sens - CAC &amp; Marketing'!$A$15*APL21,0)),0)</f>
        <v/>
      </c>
      <c r="APQ21" s="12">
        <f>IF(APP21&gt;0,ROUND(APP21*ReferralMix/(1-ReferralMix),0),0)</f>
        <v/>
      </c>
      <c r="APR21" s="12">
        <f>APP21+APQ21</f>
        <v/>
      </c>
      <c r="APS21" s="12">
        <f>ROUND(APR21*(1-AnnualMix),0)</f>
        <v/>
      </c>
      <c r="APT21" s="12">
        <f>APR21-APS21</f>
        <v/>
      </c>
      <c r="APU21" s="12">
        <f>ROUND(APS21*EssentialMix,0)</f>
        <v/>
      </c>
      <c r="APV21" s="12">
        <f>APS21-APU21</f>
        <v/>
      </c>
      <c r="APW21" s="12">
        <f>ROUND(APT21*EssentialMix,0)</f>
        <v/>
      </c>
      <c r="APX21" s="12">
        <f>APT21-APW21</f>
        <v/>
      </c>
      <c r="APY21" s="12">
        <f>APU21+APU20+APU19+MAX(0,APY20-APU20-APU19)*(1-APN21)</f>
        <v/>
      </c>
      <c r="APZ21" s="12">
        <f>APV21+APV20+APV19+MAX(0,APZ20-APV20-APV19)*(1-APN21)</f>
        <v/>
      </c>
      <c r="AQA21" s="12">
        <f>AQA20+APW21-APW9*(AnnualChurn*VLOOKUP(APJ21,ChurnSeasonTable,4,FALSE))*POWER(1-(AnnualChurn*VLOOKUP(APJ21,ChurnSeasonTable,4,FALSE)),0)</f>
        <v/>
      </c>
      <c r="AQB21" s="12">
        <f>AQB20+APX21-APX9*(AnnualChurn*VLOOKUP(APJ21,ChurnSeasonTable,4,FALSE))*POWER(1-(AnnualChurn*VLOOKUP(APJ21,ChurnSeasonTable,4,FALSE)),0)</f>
        <v/>
      </c>
      <c r="AQC21" s="12">
        <f>APY21+APZ21+AQA21+AQB21</f>
        <v/>
      </c>
      <c r="AQD21" s="9">
        <f>APY21*PriceEssMonthly*APM21+APZ21*PricePremMonthly*APM21+AQA21*PriceEssAnnual*APM21/12+AQB21*PricePremAnnual*APM21/12</f>
        <v/>
      </c>
      <c r="AQE21" s="9">
        <f>AQD21*12</f>
        <v/>
      </c>
      <c r="AQF21" s="12">
        <f>APY21*PriceEssMonthly*APM21+APZ21*PricePremMonthly*APM21</f>
        <v/>
      </c>
      <c r="AQG21" s="12">
        <f>APW21*PriceEssAnnual*APM21+APX21*PricePremAnnual*APM21</f>
        <v/>
      </c>
      <c r="AQH21" s="12">
        <f>APW9*POWER(1-(AnnualChurn*VLOOKUP(APJ21,ChurnSeasonTable,4,FALSE)),1)*PriceEssAnnual*APM21+APX9*POWER(1-(AnnualChurn*VLOOKUP(APJ21,ChurnSeasonTable,4,FALSE)),1)*PricePremAnnual*APM21</f>
        <v/>
      </c>
      <c r="AQI21" s="9">
        <f>AQF21+AQG21+AQH21</f>
        <v/>
      </c>
      <c r="AQJ21" s="12">
        <f>SUM(AQI10:AQI21)</f>
        <v/>
      </c>
      <c r="AQK21" s="12">
        <f>OR(AQK20,AQJ21&gt;=VATThreshold)</f>
        <v/>
      </c>
      <c r="AQL21" s="9">
        <f>IF(AQK21,AQI21/(1+VATRate),AQI21)</f>
        <v/>
      </c>
      <c r="AQM21" s="12">
        <f>AQI21-AQL21</f>
        <v/>
      </c>
      <c r="AQN21" s="12">
        <f>IF(AQK21=0,0,IF(APJ21=1,SUMPRODUCT(--(($APK$5:$APK21=$APK21-1)*($APJ$5:$APJ21&gt;=10)*($APJ$5:$APJ21&lt;=12)),$AQM$5:$AQM21),IF(APJ21=4,SUMPRODUCT(--(($APK$5:$APK21=$APK21)*($APJ$5:$APJ21&gt;=1)*($APJ$5:$APJ21&lt;=3)),$AQM$5:$AQM21),IF(APJ21=7,SUMPRODUCT(--(($APK$5:$APK21=$APK21)*($APJ$5:$APJ21&gt;=4)*($APJ$5:$APJ21&lt;=6)),$AQM$5:$AQM21),IF(APJ21=10,SUMPRODUCT(--(($APK$5:$APK21=$APK21)*($APJ$5:$APJ21&gt;=7)*($APJ$5:$APJ21&lt;=9)),$AQM$5:$AQM21),0)))))</f>
        <v/>
      </c>
      <c r="AQO21" s="12">
        <f>AQO20+AQM21-AQN21</f>
        <v/>
      </c>
      <c r="AQP21" s="12">
        <f>IF(ProviderDelay&gt;=1,AQL20*ProviderShare,AQL21*ProviderShare)</f>
        <v/>
      </c>
      <c r="AQQ21" s="12">
        <f>AQI21*PaymentFee</f>
        <v/>
      </c>
      <c r="AQR21" s="12">
        <f>AQC21*OpsAI</f>
        <v/>
      </c>
      <c r="AQS21" s="12">
        <f>MonthlyFixed</f>
        <v/>
      </c>
      <c r="AQT21" s="12">
        <f>APQ21*ReferralReward</f>
        <v/>
      </c>
      <c r="AQU21" s="12">
        <f>APO21</f>
        <v/>
      </c>
      <c r="AQV21" s="9">
        <f>AQL21-AQP21-AQQ21-AQR21-AQS21-AQT21-AQU21</f>
        <v/>
      </c>
      <c r="AQW21" s="9">
        <f>AQW20+AQI21-(AQP21+AQQ21+AQR21+AQS21+AQT21+AQU21+AQN21)</f>
        <v/>
      </c>
      <c r="AQX21" s="12">
        <f>IF(AQC21&gt;0,AQD21/AQC21,0)</f>
        <v/>
      </c>
      <c r="AQY21" s="11">
        <f>IF(AQC20&gt;0,MAX(0,(AQC20+APR21-AQC21)/AQC20),0)</f>
        <v/>
      </c>
      <c r="ARA21" s="12" t="n">
        <v>17</v>
      </c>
      <c r="ARB21" s="12">
        <f>MOD(ARA21-1+LaunchMonth-1,12)+1</f>
        <v/>
      </c>
      <c r="ARC21" s="12">
        <f>INT((ARA21-1+LaunchMonth-1)/12)+1</f>
        <v/>
      </c>
      <c r="ARD21" s="12">
        <f>VLOOKUP(ARB21,WinterPivotSeasonTable,5,FALSE)</f>
        <v/>
      </c>
      <c r="ARE21" s="12">
        <f>(1+InflationRate)^INT((ARA21-1)/12)</f>
        <v/>
      </c>
      <c r="ARF21" s="11">
        <f>MonthlyChurn*VLOOKUP(ARB21,WinterPivotChurnTable,6,FALSE)</f>
        <v/>
      </c>
      <c r="ARG21" s="12">
        <f>MIN(MAX(MktMin13_18,ASA20*MktPct13_18),MAX(0,ASO20-CashBuffer))</f>
        <v/>
      </c>
      <c r="ARH21" s="12">
        <f>IF(ARG21&gt;0,MAX(1,ROUND(ARG21/CAC*ARD21,0)),0)</f>
        <v/>
      </c>
      <c r="ARI21" s="12">
        <f>IF(ARH21&gt;0,ROUND(ARH21*ReferralMix/(1-ReferralMix),0),0)</f>
        <v/>
      </c>
      <c r="ARJ21" s="12">
        <f>ARH21+ARI21</f>
        <v/>
      </c>
      <c r="ARK21" s="12">
        <f>ROUND(ARJ21*(1-AnnualMix),0)</f>
        <v/>
      </c>
      <c r="ARL21" s="12">
        <f>ARJ21-ARK21</f>
        <v/>
      </c>
      <c r="ARM21" s="12">
        <f>ROUND(ARK21*'Sens - Winter Pivot'!$B$6,0)</f>
        <v/>
      </c>
      <c r="ARN21" s="12">
        <f>ARK21-ARM21</f>
        <v/>
      </c>
      <c r="ARO21" s="12">
        <f>ROUND(ARL21*'Sens - Winter Pivot'!$B$6,0)</f>
        <v/>
      </c>
      <c r="ARP21" s="12">
        <f>ARL21-ARO21</f>
        <v/>
      </c>
      <c r="ARQ21" s="12">
        <f>ARM21+ARM20+ARM19+MAX(0,ARQ20-ARM20-ARM19)*(1-ARF21)</f>
        <v/>
      </c>
      <c r="ARR21" s="12">
        <f>ARN21+ARN20+ARN19+MAX(0,ARR20-ARN20-ARN19)*(1-ARF21)</f>
        <v/>
      </c>
      <c r="ARS21" s="12">
        <f>ARS20+ARO21-ARO9*(AnnualChurn*VLOOKUP(ARB21,WinterPivotChurnTable,6,FALSE))*POWER(1-(AnnualChurn*VLOOKUP(ARB21,WinterPivotChurnTable,6,FALSE)),0)</f>
        <v/>
      </c>
      <c r="ART21" s="12">
        <f>ART20+ARP21-ARP9*(AnnualChurn*VLOOKUP(ARB21,WinterPivotChurnTable,6,FALSE))*POWER(1-(AnnualChurn*VLOOKUP(ARB21,WinterPivotChurnTable,6,FALSE)),0)</f>
        <v/>
      </c>
      <c r="ARU21" s="12">
        <f>ARQ21+ARR21+ARS21+ART21</f>
        <v/>
      </c>
      <c r="ARV21" s="9">
        <f>ARQ21*PriceEssMonthly*ARE21+ARR21*(PricePremMonthly+'Sens - Winter Pivot'!$B$7)*ARE21+ARS21*PriceEssAnnual*ARE21/12+ART21*(PricePremAnnual+'Sens - Winter Pivot'!$B$7*12)*ARE21/12</f>
        <v/>
      </c>
      <c r="ARW21" s="9">
        <f>ARV21*12</f>
        <v/>
      </c>
      <c r="ARX21" s="12">
        <f>ARQ21*PriceEssMonthly*ARE21+ARR21*(PricePremMonthly+'Sens - Winter Pivot'!$B$7)*ARE21</f>
        <v/>
      </c>
      <c r="ARY21" s="12">
        <f>ARO21*PriceEssAnnual*ARE21+ARP21*(PricePremAnnual+'Sens - Winter Pivot'!$B$7*12)*ARE21</f>
        <v/>
      </c>
      <c r="ARZ21" s="12">
        <f>ARO9*POWER(1-(AnnualChurn*VLOOKUP(ARB21,WinterPivotChurnTable,6,FALSE)),1)*PriceEssAnnual*ARE21+ARP9*POWER(1-(AnnualChurn*VLOOKUP(ARB21,WinterPivotChurnTable,6,FALSE)),1)*PricePremAnnual*ARE21</f>
        <v/>
      </c>
      <c r="ASA21" s="9">
        <f>ARX21+ARY21+ARZ21</f>
        <v/>
      </c>
      <c r="ASB21" s="12">
        <f>SUM(ASA10:ASA21)</f>
        <v/>
      </c>
      <c r="ASC21" s="12">
        <f>OR(ASC20,ASB21&gt;=VATThreshold)</f>
        <v/>
      </c>
      <c r="ASD21" s="9">
        <f>IF(ASC21,ASA21/(1+VATRate),ASA21)</f>
        <v/>
      </c>
      <c r="ASE21" s="12">
        <f>ASA21-ASD21</f>
        <v/>
      </c>
      <c r="ASF21" s="12">
        <f>IF(ASC21=0,0,IF(ARB21=1,SUMPRODUCT(--(($ARC$5:$ARC21=$ARC21-1)*($ARB$5:$ARB21&gt;=10)*($ARB$5:$ARB21&lt;=12)),$ASE$5:$ASE21),IF(ARB21=4,SUMPRODUCT(--(($ARC$5:$ARC21=$ARC21)*($ARB$5:$ARB21&gt;=1)*($ARB$5:$ARB21&lt;=3)),$ASE$5:$ASE21),IF(ARB21=7,SUMPRODUCT(--(($ARC$5:$ARC21=$ARC21)*($ARB$5:$ARB21&gt;=4)*($ARB$5:$ARB21&lt;=6)),$ASE$5:$ASE21),IF(ARB21=10,SUMPRODUCT(--(($ARC$5:$ARC21=$ARC21)*($ARB$5:$ARB21&gt;=7)*($ARB$5:$ARB21&lt;=9)),$ASE$5:$ASE21),0)))))</f>
        <v/>
      </c>
      <c r="ASG21" s="12">
        <f>ASG20+ASE21-ASF21</f>
        <v/>
      </c>
      <c r="ASH21" s="12">
        <f>IF(ProviderDelay&gt;=1,ASD20*ProviderShare,ASD21*ProviderShare)</f>
        <v/>
      </c>
      <c r="ASI21" s="12">
        <f>ASA21*PaymentFee</f>
        <v/>
      </c>
      <c r="ASJ21" s="12">
        <f>ARU21*OpsAI</f>
        <v/>
      </c>
      <c r="ASK21" s="12">
        <f>MonthlyFixed</f>
        <v/>
      </c>
      <c r="ASL21" s="12">
        <f>ARI21*ReferralReward</f>
        <v/>
      </c>
      <c r="ASM21" s="12">
        <f>ARG21</f>
        <v/>
      </c>
      <c r="ASN21" s="9">
        <f>ASD21-ASH21-ASI21-ASJ21-ASK21-ASL21-ASM21</f>
        <v/>
      </c>
      <c r="ASO21" s="9">
        <f>ASO20+ASA21-(ASH21+ASI21+ASJ21+ASK21+ASL21+ASM21+ASF21)</f>
        <v/>
      </c>
      <c r="ASP21" s="12">
        <f>IF(ARU21&gt;0,ARV21/ARU21,0)</f>
        <v/>
      </c>
      <c r="ASQ21" s="11">
        <f>IF(ARU20&gt;0,MAX(0,(ARU20+ARJ21-ARU21)/ARU20),0)</f>
        <v/>
      </c>
    </row>
    <row r="22">
      <c r="A22" s="12" t="n">
        <v>18</v>
      </c>
      <c r="B22" s="12">
        <f>MOD(A22-1+LaunchMonth-1,12)+1</f>
        <v/>
      </c>
      <c r="C22" s="12">
        <f>INT((A22-1+LaunchMonth-1)/12)+1</f>
        <v/>
      </c>
      <c r="D22" s="12">
        <f>VLOOKUP(B22,SeasonTable,2,FALSE)</f>
        <v/>
      </c>
      <c r="E22" s="12">
        <f>(1+InflationRate)^INT((A22-1)/12)</f>
        <v/>
      </c>
      <c r="F22" s="11">
        <f>'Sens - Scenarios'!$B$5*VLOOKUP(B22,ChurnSeasonTable,4,FALSE)</f>
        <v/>
      </c>
      <c r="G22" s="12">
        <f>MIN(MAX(MktMin13_18,AA21*MktPct13_18),MAX(0,AO21-CashBuffer))</f>
        <v/>
      </c>
      <c r="H22" s="12">
        <f>IF(G22&gt;0,MAX(1,ROUND(G22/'Sens - Scenarios'!$B$8*D22,0)),0)</f>
        <v/>
      </c>
      <c r="I22" s="12">
        <f>IF(H22&gt;0,ROUND(H22*ReferralMix/(1-ReferralMix),0),0)</f>
        <v/>
      </c>
      <c r="J22" s="12">
        <f>H22+I22</f>
        <v/>
      </c>
      <c r="K22" s="12">
        <f>ROUND(J22*(1-'Sens - Scenarios'!$B$7),0)</f>
        <v/>
      </c>
      <c r="L22" s="12">
        <f>J22-K22</f>
        <v/>
      </c>
      <c r="M22" s="12">
        <f>ROUND(K22*EssentialMix,0)</f>
        <v/>
      </c>
      <c r="N22" s="12">
        <f>K22-M22</f>
        <v/>
      </c>
      <c r="O22" s="12">
        <f>ROUND(L22*EssentialMix,0)</f>
        <v/>
      </c>
      <c r="P22" s="12">
        <f>L22-O22</f>
        <v/>
      </c>
      <c r="Q22" s="12">
        <f>M22+M21+M20+MAX(0,Q21-M21-M20)*(1-F22)</f>
        <v/>
      </c>
      <c r="R22" s="12">
        <f>N22+N21+N20+MAX(0,R21-N21-N20)*(1-F22)</f>
        <v/>
      </c>
      <c r="S22" s="12">
        <f>S21+O22-O10*('Sens - Scenarios'!$B$6*VLOOKUP(B22,ChurnSeasonTable,4,FALSE))*POWER(1-('Sens - Scenarios'!$B$6*VLOOKUP(B22,ChurnSeasonTable,4,FALSE)),0)</f>
        <v/>
      </c>
      <c r="T22" s="12">
        <f>T21+P22-P10*('Sens - Scenarios'!$B$6*VLOOKUP(B22,ChurnSeasonTable,4,FALSE))*POWER(1-('Sens - Scenarios'!$B$6*VLOOKUP(B22,ChurnSeasonTable,4,FALSE)),0)</f>
        <v/>
      </c>
      <c r="U22" s="12">
        <f>Q22+R22+S22+T22</f>
        <v/>
      </c>
      <c r="V22" s="9">
        <f>Q22*PriceEssMonthly*E22+R22*PricePremMonthly*E22+S22*PriceEssAnnual*E22/12+T22*PricePremAnnual*E22/12</f>
        <v/>
      </c>
      <c r="W22" s="9">
        <f>V22*12</f>
        <v/>
      </c>
      <c r="X22" s="12">
        <f>Q22*PriceEssMonthly*E22+R22*PricePremMonthly*E22</f>
        <v/>
      </c>
      <c r="Y22" s="12">
        <f>O22*PriceEssAnnual*E22+P22*PricePremAnnual*E22</f>
        <v/>
      </c>
      <c r="Z22" s="12">
        <f>O10*POWER(1-('Sens - Scenarios'!$B$6*VLOOKUP(B22,ChurnSeasonTable,4,FALSE)),1)*PriceEssAnnual*E22+P10*POWER(1-('Sens - Scenarios'!$B$6*VLOOKUP(B22,ChurnSeasonTable,4,FALSE)),1)*PricePremAnnual*E22</f>
        <v/>
      </c>
      <c r="AA22" s="9">
        <f>X22+Y22+Z22</f>
        <v/>
      </c>
      <c r="AB22" s="12">
        <f>SUM(AA11:AA22)</f>
        <v/>
      </c>
      <c r="AC22" s="12">
        <f>OR(AC21,AB22&gt;=VATThreshold)</f>
        <v/>
      </c>
      <c r="AD22" s="9">
        <f>IF(AC22,AA22/(1+VATRate),AA22)</f>
        <v/>
      </c>
      <c r="AE22" s="12">
        <f>AA22-AD22</f>
        <v/>
      </c>
      <c r="AF22" s="12">
        <f>IF(AC22=0,0,IF(B22=1,SUMPRODUCT(--(($C$5:$C22=$C22-1)*($B$5:$B22&gt;=10)*($B$5:$B22&lt;=12)),$AE$5:$AE22),IF(B22=4,SUMPRODUCT(--(($C$5:$C22=$C22)*($B$5:$B22&gt;=1)*($B$5:$B22&lt;=3)),$AE$5:$AE22),IF(B22=7,SUMPRODUCT(--(($C$5:$C22=$C22)*($B$5:$B22&gt;=4)*($B$5:$B22&lt;=6)),$AE$5:$AE22),IF(B22=10,SUMPRODUCT(--(($C$5:$C22=$C22)*($B$5:$B22&gt;=7)*($B$5:$B22&lt;=9)),$AE$5:$AE22),0)))))</f>
        <v/>
      </c>
      <c r="AG22" s="12">
        <f>AG21+AE22-AF22</f>
        <v/>
      </c>
      <c r="AH22" s="12">
        <f>IF(ProviderDelay&gt;=1,AD21*ProviderShare,AD22*ProviderShare)</f>
        <v/>
      </c>
      <c r="AI22" s="12">
        <f>AA22*PaymentFee</f>
        <v/>
      </c>
      <c r="AJ22" s="12">
        <f>U22*OpsAI</f>
        <v/>
      </c>
      <c r="AK22" s="12">
        <f>MonthlyFixed</f>
        <v/>
      </c>
      <c r="AL22" s="12">
        <f>I22*ReferralReward</f>
        <v/>
      </c>
      <c r="AM22" s="12">
        <f>G22</f>
        <v/>
      </c>
      <c r="AN22" s="9">
        <f>AD22-AH22-AI22-AJ22-AK22-AL22-AM22</f>
        <v/>
      </c>
      <c r="AO22" s="9">
        <f>AO21+AA22-(AH22+AI22+AJ22+AK22+AL22+AM22+AF22)</f>
        <v/>
      </c>
      <c r="AP22" s="12">
        <f>IF(U22&gt;0,V22/U22,0)</f>
        <v/>
      </c>
      <c r="AQ22" s="11">
        <f>IF(U21&gt;0,MAX(0,(U21+J22-U22)/U21),0)</f>
        <v/>
      </c>
      <c r="AS22" s="12" t="n">
        <v>18</v>
      </c>
      <c r="AT22" s="12">
        <f>MOD(AS22-1+LaunchMonth-1,12)+1</f>
        <v/>
      </c>
      <c r="AU22" s="12">
        <f>INT((AS22-1+LaunchMonth-1)/12)+1</f>
        <v/>
      </c>
      <c r="AV22" s="12">
        <f>VLOOKUP(AT22,SeasonTable,2,FALSE)</f>
        <v/>
      </c>
      <c r="AW22" s="12">
        <f>(1+InflationRate)^INT((AS22-1)/12)</f>
        <v/>
      </c>
      <c r="AX22" s="11">
        <f>MonthlyChurn*VLOOKUP(AT22,ChurnSeasonTable,4,FALSE)</f>
        <v/>
      </c>
      <c r="AY22" s="12">
        <f>MIN(MAX(MktMin13_18,BS21*MktPct13_18),MAX(0,CG21-CashBuffer))</f>
        <v/>
      </c>
      <c r="AZ22" s="12">
        <f>IF(AY22&gt;0,MAX(1,ROUND(AY22/CAC*AV22,0)),0)</f>
        <v/>
      </c>
      <c r="BA22" s="12">
        <f>IF(AZ22&gt;0,ROUND(AZ22*ReferralMix/(1-ReferralMix),0),0)</f>
        <v/>
      </c>
      <c r="BB22" s="12">
        <f>AZ22+BA22</f>
        <v/>
      </c>
      <c r="BC22" s="12">
        <f>ROUND(BB22*(1-AnnualMix),0)</f>
        <v/>
      </c>
      <c r="BD22" s="12">
        <f>BB22-BC22</f>
        <v/>
      </c>
      <c r="BE22" s="12">
        <f>ROUND(BC22*EssentialMix,0)</f>
        <v/>
      </c>
      <c r="BF22" s="12">
        <f>BC22-BE22</f>
        <v/>
      </c>
      <c r="BG22" s="12">
        <f>ROUND(BD22*EssentialMix,0)</f>
        <v/>
      </c>
      <c r="BH22" s="12">
        <f>BD22-BG22</f>
        <v/>
      </c>
      <c r="BI22" s="12">
        <f>BE22+BE21+BE20+MAX(0,BI21-BE21-BE20)*(1-AX22)</f>
        <v/>
      </c>
      <c r="BJ22" s="12">
        <f>BF22+BF21+BF20+MAX(0,BJ21-BF21-BF20)*(1-AX22)</f>
        <v/>
      </c>
      <c r="BK22" s="12">
        <f>BK21+BG22-BG10*(AnnualChurn*VLOOKUP(AT22,ChurnSeasonTable,4,FALSE))*POWER(1-(AnnualChurn*VLOOKUP(AT22,ChurnSeasonTable,4,FALSE)),0)</f>
        <v/>
      </c>
      <c r="BL22" s="12">
        <f>BL21+BH22-BH10*(AnnualChurn*VLOOKUP(AT22,ChurnSeasonTable,4,FALSE))*POWER(1-(AnnualChurn*VLOOKUP(AT22,ChurnSeasonTable,4,FALSE)),0)</f>
        <v/>
      </c>
      <c r="BM22" s="12">
        <f>BI22+BJ22+BK22+BL22</f>
        <v/>
      </c>
      <c r="BN22" s="9">
        <f>BI22*PriceEssMonthly*AW22+BJ22*PricePremMonthly*AW22+BK22*PriceEssAnnual*AW22/12+BL22*PricePremAnnual*AW22/12</f>
        <v/>
      </c>
      <c r="BO22" s="9">
        <f>BN22*12</f>
        <v/>
      </c>
      <c r="BP22" s="12">
        <f>BI22*PriceEssMonthly*AW22+BJ22*PricePremMonthly*AW22</f>
        <v/>
      </c>
      <c r="BQ22" s="12">
        <f>BG22*PriceEssAnnual*AW22+BH22*PricePremAnnual*AW22</f>
        <v/>
      </c>
      <c r="BR22" s="12">
        <f>BG10*POWER(1-(AnnualChurn*VLOOKUP(AT22,ChurnSeasonTable,4,FALSE)),1)*PriceEssAnnual*AW22+BH10*POWER(1-(AnnualChurn*VLOOKUP(AT22,ChurnSeasonTable,4,FALSE)),1)*PricePremAnnual*AW22</f>
        <v/>
      </c>
      <c r="BS22" s="9">
        <f>BP22+BQ22+BR22</f>
        <v/>
      </c>
      <c r="BT22" s="12">
        <f>SUM(BS11:BS22)</f>
        <v/>
      </c>
      <c r="BU22" s="12">
        <f>OR(BU21,BT22&gt;=VATThreshold)</f>
        <v/>
      </c>
      <c r="BV22" s="9">
        <f>IF(BU22,BS22/(1+VATRate),BS22)</f>
        <v/>
      </c>
      <c r="BW22" s="12">
        <f>BS22-BV22</f>
        <v/>
      </c>
      <c r="BX22" s="12">
        <f>IF(BU22=0,0,IF(AT22=1,SUMPRODUCT(--(($AU$5:$AU22=$AU22-1)*($AT$5:$AT22&gt;=10)*($AT$5:$AT22&lt;=12)),$BW$5:$BW22),IF(AT22=4,SUMPRODUCT(--(($AU$5:$AU22=$AU22)*($AT$5:$AT22&gt;=1)*($AT$5:$AT22&lt;=3)),$BW$5:$BW22),IF(AT22=7,SUMPRODUCT(--(($AU$5:$AU22=$AU22)*($AT$5:$AT22&gt;=4)*($AT$5:$AT22&lt;=6)),$BW$5:$BW22),IF(AT22=10,SUMPRODUCT(--(($AU$5:$AU22=$AU22)*($AT$5:$AT22&gt;=7)*($AT$5:$AT22&lt;=9)),$BW$5:$BW22),0)))))</f>
        <v/>
      </c>
      <c r="BY22" s="12">
        <f>BY21+BW22-BX22</f>
        <v/>
      </c>
      <c r="BZ22" s="12">
        <f>IF(ProviderDelay&gt;=1,BV21*ProviderShare,BV22*ProviderShare)</f>
        <v/>
      </c>
      <c r="CA22" s="12">
        <f>BS22*PaymentFee</f>
        <v/>
      </c>
      <c r="CB22" s="12">
        <f>BM22*OpsAI</f>
        <v/>
      </c>
      <c r="CC22" s="12">
        <f>MonthlyFixed</f>
        <v/>
      </c>
      <c r="CD22" s="12">
        <f>BA22*ReferralReward</f>
        <v/>
      </c>
      <c r="CE22" s="12">
        <f>AY22</f>
        <v/>
      </c>
      <c r="CF22" s="9">
        <f>BV22-BZ22-CA22-CB22-CC22-CD22-CE22</f>
        <v/>
      </c>
      <c r="CG22" s="9">
        <f>CG21+BS22-(BZ22+CA22+CB22+CC22+CD22+CE22+BX22)</f>
        <v/>
      </c>
      <c r="CH22" s="12">
        <f>IF(BM22&gt;0,BN22/BM22,0)</f>
        <v/>
      </c>
      <c r="CI22" s="11">
        <f>IF(BM21&gt;0,MAX(0,(BM21+BB22-BM22)/BM21),0)</f>
        <v/>
      </c>
      <c r="CK22" s="12" t="n">
        <v>18</v>
      </c>
      <c r="CL22" s="12">
        <f>MOD(CK22-1+LaunchMonth-1,12)+1</f>
        <v/>
      </c>
      <c r="CM22" s="12">
        <f>INT((CK22-1+LaunchMonth-1)/12)+1</f>
        <v/>
      </c>
      <c r="CN22" s="12">
        <f>VLOOKUP(CL22,SeasonTable,2,FALSE)</f>
        <v/>
      </c>
      <c r="CO22" s="12">
        <f>(1+InflationRate)^INT((CK22-1)/12)</f>
        <v/>
      </c>
      <c r="CP22" s="11">
        <f>'Sens - Scenarios'!$D$5*VLOOKUP(CL22,ChurnSeasonTable,4,FALSE)</f>
        <v/>
      </c>
      <c r="CQ22" s="12">
        <f>MIN(MAX(MktMin13_18,DK21*MktPct13_18),MAX(0,DY21-CashBuffer))</f>
        <v/>
      </c>
      <c r="CR22" s="12">
        <f>IF(CQ22&gt;0,MAX(1,ROUND(CQ22/'Sens - Scenarios'!$D$8*CN22,0)),0)</f>
        <v/>
      </c>
      <c r="CS22" s="12">
        <f>IF(CR22&gt;0,ROUND(CR22*ReferralMix/(1-ReferralMix),0),0)</f>
        <v/>
      </c>
      <c r="CT22" s="12">
        <f>CR22+CS22</f>
        <v/>
      </c>
      <c r="CU22" s="12">
        <f>ROUND(CT22*(1-'Sens - Scenarios'!$D$7),0)</f>
        <v/>
      </c>
      <c r="CV22" s="12">
        <f>CT22-CU22</f>
        <v/>
      </c>
      <c r="CW22" s="12">
        <f>ROUND(CU22*EssentialMix,0)</f>
        <v/>
      </c>
      <c r="CX22" s="12">
        <f>CU22-CW22</f>
        <v/>
      </c>
      <c r="CY22" s="12">
        <f>ROUND(CV22*EssentialMix,0)</f>
        <v/>
      </c>
      <c r="CZ22" s="12">
        <f>CV22-CY22</f>
        <v/>
      </c>
      <c r="DA22" s="12">
        <f>CW22+CW21+CW20+MAX(0,DA21-CW21-CW20)*(1-CP22)</f>
        <v/>
      </c>
      <c r="DB22" s="12">
        <f>CX22+CX21+CX20+MAX(0,DB21-CX21-CX20)*(1-CP22)</f>
        <v/>
      </c>
      <c r="DC22" s="12">
        <f>DC21+CY22-CY10*('Sens - Scenarios'!$D$6*VLOOKUP(CL22,ChurnSeasonTable,4,FALSE))*POWER(1-('Sens - Scenarios'!$D$6*VLOOKUP(CL22,ChurnSeasonTable,4,FALSE)),0)</f>
        <v/>
      </c>
      <c r="DD22" s="12">
        <f>DD21+CZ22-CZ10*('Sens - Scenarios'!$D$6*VLOOKUP(CL22,ChurnSeasonTable,4,FALSE))*POWER(1-('Sens - Scenarios'!$D$6*VLOOKUP(CL22,ChurnSeasonTable,4,FALSE)),0)</f>
        <v/>
      </c>
      <c r="DE22" s="12">
        <f>DA22+DB22+DC22+DD22</f>
        <v/>
      </c>
      <c r="DF22" s="9">
        <f>DA22*PriceEssMonthly*CO22+DB22*PricePremMonthly*CO22+DC22*PriceEssAnnual*CO22/12+DD22*PricePremAnnual*CO22/12</f>
        <v/>
      </c>
      <c r="DG22" s="9">
        <f>DF22*12</f>
        <v/>
      </c>
      <c r="DH22" s="12">
        <f>DA22*PriceEssMonthly*CO22+DB22*PricePremMonthly*CO22</f>
        <v/>
      </c>
      <c r="DI22" s="12">
        <f>CY22*PriceEssAnnual*CO22+CZ22*PricePremAnnual*CO22</f>
        <v/>
      </c>
      <c r="DJ22" s="12">
        <f>CY10*POWER(1-('Sens - Scenarios'!$D$6*VLOOKUP(CL22,ChurnSeasonTable,4,FALSE)),1)*PriceEssAnnual*CO22+CZ10*POWER(1-('Sens - Scenarios'!$D$6*VLOOKUP(CL22,ChurnSeasonTable,4,FALSE)),1)*PricePremAnnual*CO22</f>
        <v/>
      </c>
      <c r="DK22" s="9">
        <f>DH22+DI22+DJ22</f>
        <v/>
      </c>
      <c r="DL22" s="12">
        <f>SUM(DK11:DK22)</f>
        <v/>
      </c>
      <c r="DM22" s="12">
        <f>OR(DM21,DL22&gt;=VATThreshold)</f>
        <v/>
      </c>
      <c r="DN22" s="9">
        <f>IF(DM22,DK22/(1+VATRate),DK22)</f>
        <v/>
      </c>
      <c r="DO22" s="12">
        <f>DK22-DN22</f>
        <v/>
      </c>
      <c r="DP22" s="12">
        <f>IF(DM22=0,0,IF(CL22=1,SUMPRODUCT(--(($CM$5:$CM22=$CM22-1)*($CL$5:$CL22&gt;=10)*($CL$5:$CL22&lt;=12)),$DO$5:$DO22),IF(CL22=4,SUMPRODUCT(--(($CM$5:$CM22=$CM22)*($CL$5:$CL22&gt;=1)*($CL$5:$CL22&lt;=3)),$DO$5:$DO22),IF(CL22=7,SUMPRODUCT(--(($CM$5:$CM22=$CM22)*($CL$5:$CL22&gt;=4)*($CL$5:$CL22&lt;=6)),$DO$5:$DO22),IF(CL22=10,SUMPRODUCT(--(($CM$5:$CM22=$CM22)*($CL$5:$CL22&gt;=7)*($CL$5:$CL22&lt;=9)),$DO$5:$DO22),0)))))</f>
        <v/>
      </c>
      <c r="DQ22" s="12">
        <f>DQ21+DO22-DP22</f>
        <v/>
      </c>
      <c r="DR22" s="12">
        <f>IF(ProviderDelay&gt;=1,DN21*ProviderShare,DN22*ProviderShare)</f>
        <v/>
      </c>
      <c r="DS22" s="12">
        <f>DK22*PaymentFee</f>
        <v/>
      </c>
      <c r="DT22" s="12">
        <f>DE22*OpsAI</f>
        <v/>
      </c>
      <c r="DU22" s="12">
        <f>MonthlyFixed</f>
        <v/>
      </c>
      <c r="DV22" s="12">
        <f>CS22*ReferralReward</f>
        <v/>
      </c>
      <c r="DW22" s="12">
        <f>CQ22</f>
        <v/>
      </c>
      <c r="DX22" s="9">
        <f>DN22-DR22-DS22-DT22-DU22-DV22-DW22</f>
        <v/>
      </c>
      <c r="DY22" s="9">
        <f>DY21+DK22-(DR22+DS22+DT22+DU22+DV22+DW22+DP22)</f>
        <v/>
      </c>
      <c r="DZ22" s="12">
        <f>IF(DE22&gt;0,DF22/DE22,0)</f>
        <v/>
      </c>
      <c r="EA22" s="11">
        <f>IF(DE21&gt;0,MAX(0,(DE21+CT22-DE22)/DE21),0)</f>
        <v/>
      </c>
      <c r="EC22" s="12" t="n">
        <v>18</v>
      </c>
      <c r="ED22" s="12">
        <f>MOD(EC22-1+LaunchMonth-1,12)+1</f>
        <v/>
      </c>
      <c r="EE22" s="12">
        <f>INT((EC22-1+LaunchMonth-1)/12)+1</f>
        <v/>
      </c>
      <c r="EF22" s="12">
        <f>VLOOKUP(ED22,SeasonTable,2,FALSE)</f>
        <v/>
      </c>
      <c r="EG22" s="12">
        <f>(1+InflationRate)^INT((EC22-1)/12)</f>
        <v/>
      </c>
      <c r="EH22" s="11">
        <f>'Sens - Churn'!$A$13*VLOOKUP(ED22,ChurnSeasonTable,4,FALSE)</f>
        <v/>
      </c>
      <c r="EI22" s="12">
        <f>MIN(MAX(MktMin13_18,FC21*MktPct13_18),MAX(0,FQ21-CashBuffer))</f>
        <v/>
      </c>
      <c r="EJ22" s="12">
        <f>IF(EI22&gt;0,MAX(1,ROUND(EI22/CAC*EF22,0)),0)</f>
        <v/>
      </c>
      <c r="EK22" s="12">
        <f>IF(EJ22&gt;0,ROUND(EJ22*ReferralMix/(1-ReferralMix),0),0)</f>
        <v/>
      </c>
      <c r="EL22" s="12">
        <f>EJ22+EK22</f>
        <v/>
      </c>
      <c r="EM22" s="12">
        <f>ROUND(EL22*(1-AnnualMix),0)</f>
        <v/>
      </c>
      <c r="EN22" s="12">
        <f>EL22-EM22</f>
        <v/>
      </c>
      <c r="EO22" s="12">
        <f>ROUND(EM22*EssentialMix,0)</f>
        <v/>
      </c>
      <c r="EP22" s="12">
        <f>EM22-EO22</f>
        <v/>
      </c>
      <c r="EQ22" s="12">
        <f>ROUND(EN22*EssentialMix,0)</f>
        <v/>
      </c>
      <c r="ER22" s="12">
        <f>EN22-EQ22</f>
        <v/>
      </c>
      <c r="ES22" s="12">
        <f>EO22+EO21+EO20+MAX(0,ES21-EO21-EO20)*(1-EH22)</f>
        <v/>
      </c>
      <c r="ET22" s="12">
        <f>EP22+EP21+EP20+MAX(0,ET21-EP21-EP20)*(1-EH22)</f>
        <v/>
      </c>
      <c r="EU22" s="12">
        <f>EU21+EQ22-EQ10*(AnnualChurn*VLOOKUP(ED22,ChurnSeasonTable,4,FALSE))*POWER(1-(AnnualChurn*VLOOKUP(ED22,ChurnSeasonTable,4,FALSE)),0)</f>
        <v/>
      </c>
      <c r="EV22" s="12">
        <f>EV21+ER22-ER10*(AnnualChurn*VLOOKUP(ED22,ChurnSeasonTable,4,FALSE))*POWER(1-(AnnualChurn*VLOOKUP(ED22,ChurnSeasonTable,4,FALSE)),0)</f>
        <v/>
      </c>
      <c r="EW22" s="12">
        <f>ES22+ET22+EU22+EV22</f>
        <v/>
      </c>
      <c r="EX22" s="9">
        <f>ES22*PriceEssMonthly*EG22+ET22*PricePremMonthly*EG22+EU22*PriceEssAnnual*EG22/12+EV22*PricePremAnnual*EG22/12</f>
        <v/>
      </c>
      <c r="EY22" s="9">
        <f>EX22*12</f>
        <v/>
      </c>
      <c r="EZ22" s="12">
        <f>ES22*PriceEssMonthly*EG22+ET22*PricePremMonthly*EG22</f>
        <v/>
      </c>
      <c r="FA22" s="12">
        <f>EQ22*PriceEssAnnual*EG22+ER22*PricePremAnnual*EG22</f>
        <v/>
      </c>
      <c r="FB22" s="12">
        <f>EQ10*POWER(1-(AnnualChurn*VLOOKUP(ED22,ChurnSeasonTable,4,FALSE)),1)*PriceEssAnnual*EG22+ER10*POWER(1-(AnnualChurn*VLOOKUP(ED22,ChurnSeasonTable,4,FALSE)),1)*PricePremAnnual*EG22</f>
        <v/>
      </c>
      <c r="FC22" s="9">
        <f>EZ22+FA22+FB22</f>
        <v/>
      </c>
      <c r="FD22" s="12">
        <f>SUM(FC11:FC22)</f>
        <v/>
      </c>
      <c r="FE22" s="12">
        <f>OR(FE21,FD22&gt;=VATThreshold)</f>
        <v/>
      </c>
      <c r="FF22" s="9">
        <f>IF(FE22,FC22/(1+VATRate),FC22)</f>
        <v/>
      </c>
      <c r="FG22" s="12">
        <f>FC22-FF22</f>
        <v/>
      </c>
      <c r="FH22" s="12">
        <f>IF(FE22=0,0,IF(ED22=1,SUMPRODUCT(--(($EE$5:$EE22=$EE22-1)*($ED$5:$ED22&gt;=10)*($ED$5:$ED22&lt;=12)),$FG$5:$FG22),IF(ED22=4,SUMPRODUCT(--(($EE$5:$EE22=$EE22)*($ED$5:$ED22&gt;=1)*($ED$5:$ED22&lt;=3)),$FG$5:$FG22),IF(ED22=7,SUMPRODUCT(--(($EE$5:$EE22=$EE22)*($ED$5:$ED22&gt;=4)*($ED$5:$ED22&lt;=6)),$FG$5:$FG22),IF(ED22=10,SUMPRODUCT(--(($EE$5:$EE22=$EE22)*($ED$5:$ED22&gt;=7)*($ED$5:$ED22&lt;=9)),$FG$5:$FG22),0)))))</f>
        <v/>
      </c>
      <c r="FI22" s="12">
        <f>FI21+FG22-FH22</f>
        <v/>
      </c>
      <c r="FJ22" s="12">
        <f>IF(ProviderDelay&gt;=1,FF21*ProviderShare,FF22*ProviderShare)</f>
        <v/>
      </c>
      <c r="FK22" s="12">
        <f>FC22*PaymentFee</f>
        <v/>
      </c>
      <c r="FL22" s="12">
        <f>EW22*OpsAI</f>
        <v/>
      </c>
      <c r="FM22" s="12">
        <f>MonthlyFixed</f>
        <v/>
      </c>
      <c r="FN22" s="12">
        <f>EK22*ReferralReward</f>
        <v/>
      </c>
      <c r="FO22" s="12">
        <f>EI22</f>
        <v/>
      </c>
      <c r="FP22" s="9">
        <f>FF22-FJ22-FK22-FL22-FM22-FN22-FO22</f>
        <v/>
      </c>
      <c r="FQ22" s="9">
        <f>FQ21+FC22-(FJ22+FK22+FL22+FM22+FN22+FO22+FH22)</f>
        <v/>
      </c>
      <c r="FR22" s="12">
        <f>IF(EW22&gt;0,EX22/EW22,0)</f>
        <v/>
      </c>
      <c r="FS22" s="11">
        <f>IF(EW21&gt;0,MAX(0,(EW21+EL22-EW22)/EW21),0)</f>
        <v/>
      </c>
      <c r="FU22" s="12" t="n">
        <v>18</v>
      </c>
      <c r="FV22" s="12">
        <f>MOD(FU22-1+LaunchMonth-1,12)+1</f>
        <v/>
      </c>
      <c r="FW22" s="12">
        <f>INT((FU22-1+LaunchMonth-1)/12)+1</f>
        <v/>
      </c>
      <c r="FX22" s="12">
        <f>VLOOKUP(FV22,SeasonTable,2,FALSE)</f>
        <v/>
      </c>
      <c r="FY22" s="12">
        <f>(1+InflationRate)^INT((FU22-1)/12)</f>
        <v/>
      </c>
      <c r="FZ22" s="11">
        <f>'Sens - Churn'!$A$14*VLOOKUP(FV22,ChurnSeasonTable,4,FALSE)</f>
        <v/>
      </c>
      <c r="GA22" s="12">
        <f>MIN(MAX(MktMin13_18,GU21*MktPct13_18),MAX(0,HI21-CashBuffer))</f>
        <v/>
      </c>
      <c r="GB22" s="12">
        <f>IF(GA22&gt;0,MAX(1,ROUND(GA22/CAC*FX22,0)),0)</f>
        <v/>
      </c>
      <c r="GC22" s="12">
        <f>IF(GB22&gt;0,ROUND(GB22*ReferralMix/(1-ReferralMix),0),0)</f>
        <v/>
      </c>
      <c r="GD22" s="12">
        <f>GB22+GC22</f>
        <v/>
      </c>
      <c r="GE22" s="12">
        <f>ROUND(GD22*(1-AnnualMix),0)</f>
        <v/>
      </c>
      <c r="GF22" s="12">
        <f>GD22-GE22</f>
        <v/>
      </c>
      <c r="GG22" s="12">
        <f>ROUND(GE22*EssentialMix,0)</f>
        <v/>
      </c>
      <c r="GH22" s="12">
        <f>GE22-GG22</f>
        <v/>
      </c>
      <c r="GI22" s="12">
        <f>ROUND(GF22*EssentialMix,0)</f>
        <v/>
      </c>
      <c r="GJ22" s="12">
        <f>GF22-GI22</f>
        <v/>
      </c>
      <c r="GK22" s="12">
        <f>GG22+GG21+GG20+MAX(0,GK21-GG21-GG20)*(1-FZ22)</f>
        <v/>
      </c>
      <c r="GL22" s="12">
        <f>GH22+GH21+GH20+MAX(0,GL21-GH21-GH20)*(1-FZ22)</f>
        <v/>
      </c>
      <c r="GM22" s="12">
        <f>GM21+GI22-GI10*(AnnualChurn*VLOOKUP(FV22,ChurnSeasonTable,4,FALSE))*POWER(1-(AnnualChurn*VLOOKUP(FV22,ChurnSeasonTable,4,FALSE)),0)</f>
        <v/>
      </c>
      <c r="GN22" s="12">
        <f>GN21+GJ22-GJ10*(AnnualChurn*VLOOKUP(FV22,ChurnSeasonTable,4,FALSE))*POWER(1-(AnnualChurn*VLOOKUP(FV22,ChurnSeasonTable,4,FALSE)),0)</f>
        <v/>
      </c>
      <c r="GO22" s="12">
        <f>GK22+GL22+GM22+GN22</f>
        <v/>
      </c>
      <c r="GP22" s="9">
        <f>GK22*PriceEssMonthly*FY22+GL22*PricePremMonthly*FY22+GM22*PriceEssAnnual*FY22/12+GN22*PricePremAnnual*FY22/12</f>
        <v/>
      </c>
      <c r="GQ22" s="9">
        <f>GP22*12</f>
        <v/>
      </c>
      <c r="GR22" s="12">
        <f>GK22*PriceEssMonthly*FY22+GL22*PricePremMonthly*FY22</f>
        <v/>
      </c>
      <c r="GS22" s="12">
        <f>GI22*PriceEssAnnual*FY22+GJ22*PricePremAnnual*FY22</f>
        <v/>
      </c>
      <c r="GT22" s="12">
        <f>GI10*POWER(1-(AnnualChurn*VLOOKUP(FV22,ChurnSeasonTable,4,FALSE)),1)*PriceEssAnnual*FY22+GJ10*POWER(1-(AnnualChurn*VLOOKUP(FV22,ChurnSeasonTable,4,FALSE)),1)*PricePremAnnual*FY22</f>
        <v/>
      </c>
      <c r="GU22" s="9">
        <f>GR22+GS22+GT22</f>
        <v/>
      </c>
      <c r="GV22" s="12">
        <f>SUM(GU11:GU22)</f>
        <v/>
      </c>
      <c r="GW22" s="12">
        <f>OR(GW21,GV22&gt;=VATThreshold)</f>
        <v/>
      </c>
      <c r="GX22" s="9">
        <f>IF(GW22,GU22/(1+VATRate),GU22)</f>
        <v/>
      </c>
      <c r="GY22" s="12">
        <f>GU22-GX22</f>
        <v/>
      </c>
      <c r="GZ22" s="12">
        <f>IF(GW22=0,0,IF(FV22=1,SUMPRODUCT(--(($FW$5:$FW22=$FW22-1)*($FV$5:$FV22&gt;=10)*($FV$5:$FV22&lt;=12)),$GY$5:$GY22),IF(FV22=4,SUMPRODUCT(--(($FW$5:$FW22=$FW22)*($FV$5:$FV22&gt;=1)*($FV$5:$FV22&lt;=3)),$GY$5:$GY22),IF(FV22=7,SUMPRODUCT(--(($FW$5:$FW22=$FW22)*($FV$5:$FV22&gt;=4)*($FV$5:$FV22&lt;=6)),$GY$5:$GY22),IF(FV22=10,SUMPRODUCT(--(($FW$5:$FW22=$FW22)*($FV$5:$FV22&gt;=7)*($FV$5:$FV22&lt;=9)),$GY$5:$GY22),0)))))</f>
        <v/>
      </c>
      <c r="HA22" s="12">
        <f>HA21+GY22-GZ22</f>
        <v/>
      </c>
      <c r="HB22" s="12">
        <f>IF(ProviderDelay&gt;=1,GX21*ProviderShare,GX22*ProviderShare)</f>
        <v/>
      </c>
      <c r="HC22" s="12">
        <f>GU22*PaymentFee</f>
        <v/>
      </c>
      <c r="HD22" s="12">
        <f>GO22*OpsAI</f>
        <v/>
      </c>
      <c r="HE22" s="12">
        <f>MonthlyFixed</f>
        <v/>
      </c>
      <c r="HF22" s="12">
        <f>GC22*ReferralReward</f>
        <v/>
      </c>
      <c r="HG22" s="12">
        <f>GA22</f>
        <v/>
      </c>
      <c r="HH22" s="9">
        <f>GX22-HB22-HC22-HD22-HE22-HF22-HG22</f>
        <v/>
      </c>
      <c r="HI22" s="9">
        <f>HI21+GU22-(HB22+HC22+HD22+HE22+HF22+HG22+GZ22)</f>
        <v/>
      </c>
      <c r="HJ22" s="12">
        <f>IF(GO22&gt;0,GP22/GO22,0)</f>
        <v/>
      </c>
      <c r="HK22" s="11">
        <f>IF(GO21&gt;0,MAX(0,(GO21+GD22-GO22)/GO21),0)</f>
        <v/>
      </c>
      <c r="HM22" s="12" t="n">
        <v>18</v>
      </c>
      <c r="HN22" s="12">
        <f>MOD(HM22-1+LaunchMonth-1,12)+1</f>
        <v/>
      </c>
      <c r="HO22" s="12">
        <f>INT((HM22-1+LaunchMonth-1)/12)+1</f>
        <v/>
      </c>
      <c r="HP22" s="12">
        <f>VLOOKUP(HN22,SeasonTable,2,FALSE)</f>
        <v/>
      </c>
      <c r="HQ22" s="12">
        <f>(1+InflationRate)^INT((HM22-1)/12)</f>
        <v/>
      </c>
      <c r="HR22" s="11">
        <f>'Sens - Churn'!$A$15*VLOOKUP(HN22,ChurnSeasonTable,4,FALSE)</f>
        <v/>
      </c>
      <c r="HS22" s="12">
        <f>MIN(MAX(MktMin13_18,IM21*MktPct13_18),MAX(0,JA21-CashBuffer))</f>
        <v/>
      </c>
      <c r="HT22" s="12">
        <f>IF(HS22&gt;0,MAX(1,ROUND(HS22/CAC*HP22,0)),0)</f>
        <v/>
      </c>
      <c r="HU22" s="12">
        <f>IF(HT22&gt;0,ROUND(HT22*ReferralMix/(1-ReferralMix),0),0)</f>
        <v/>
      </c>
      <c r="HV22" s="12">
        <f>HT22+HU22</f>
        <v/>
      </c>
      <c r="HW22" s="12">
        <f>ROUND(HV22*(1-AnnualMix),0)</f>
        <v/>
      </c>
      <c r="HX22" s="12">
        <f>HV22-HW22</f>
        <v/>
      </c>
      <c r="HY22" s="12">
        <f>ROUND(HW22*EssentialMix,0)</f>
        <v/>
      </c>
      <c r="HZ22" s="12">
        <f>HW22-HY22</f>
        <v/>
      </c>
      <c r="IA22" s="12">
        <f>ROUND(HX22*EssentialMix,0)</f>
        <v/>
      </c>
      <c r="IB22" s="12">
        <f>HX22-IA22</f>
        <v/>
      </c>
      <c r="IC22" s="12">
        <f>HY22+HY21+HY20+MAX(0,IC21-HY21-HY20)*(1-HR22)</f>
        <v/>
      </c>
      <c r="ID22" s="12">
        <f>HZ22+HZ21+HZ20+MAX(0,ID21-HZ21-HZ20)*(1-HR22)</f>
        <v/>
      </c>
      <c r="IE22" s="12">
        <f>IE21+IA22-IA10*(AnnualChurn*VLOOKUP(HN22,ChurnSeasonTable,4,FALSE))*POWER(1-(AnnualChurn*VLOOKUP(HN22,ChurnSeasonTable,4,FALSE)),0)</f>
        <v/>
      </c>
      <c r="IF22" s="12">
        <f>IF21+IB22-IB10*(AnnualChurn*VLOOKUP(HN22,ChurnSeasonTable,4,FALSE))*POWER(1-(AnnualChurn*VLOOKUP(HN22,ChurnSeasonTable,4,FALSE)),0)</f>
        <v/>
      </c>
      <c r="IG22" s="12">
        <f>IC22+ID22+IE22+IF22</f>
        <v/>
      </c>
      <c r="IH22" s="9">
        <f>IC22*PriceEssMonthly*HQ22+ID22*PricePremMonthly*HQ22+IE22*PriceEssAnnual*HQ22/12+IF22*PricePremAnnual*HQ22/12</f>
        <v/>
      </c>
      <c r="II22" s="9">
        <f>IH22*12</f>
        <v/>
      </c>
      <c r="IJ22" s="12">
        <f>IC22*PriceEssMonthly*HQ22+ID22*PricePremMonthly*HQ22</f>
        <v/>
      </c>
      <c r="IK22" s="12">
        <f>IA22*PriceEssAnnual*HQ22+IB22*PricePremAnnual*HQ22</f>
        <v/>
      </c>
      <c r="IL22" s="12">
        <f>IA10*POWER(1-(AnnualChurn*VLOOKUP(HN22,ChurnSeasonTable,4,FALSE)),1)*PriceEssAnnual*HQ22+IB10*POWER(1-(AnnualChurn*VLOOKUP(HN22,ChurnSeasonTable,4,FALSE)),1)*PricePremAnnual*HQ22</f>
        <v/>
      </c>
      <c r="IM22" s="9">
        <f>IJ22+IK22+IL22</f>
        <v/>
      </c>
      <c r="IN22" s="12">
        <f>SUM(IM11:IM22)</f>
        <v/>
      </c>
      <c r="IO22" s="12">
        <f>OR(IO21,IN22&gt;=VATThreshold)</f>
        <v/>
      </c>
      <c r="IP22" s="9">
        <f>IF(IO22,IM22/(1+VATRate),IM22)</f>
        <v/>
      </c>
      <c r="IQ22" s="12">
        <f>IM22-IP22</f>
        <v/>
      </c>
      <c r="IR22" s="12">
        <f>IF(IO22=0,0,IF(HN22=1,SUMPRODUCT(--(($HO$5:$HO22=$HO22-1)*($HN$5:$HN22&gt;=10)*($HN$5:$HN22&lt;=12)),$IQ$5:$IQ22),IF(HN22=4,SUMPRODUCT(--(($HO$5:$HO22=$HO22)*($HN$5:$HN22&gt;=1)*($HN$5:$HN22&lt;=3)),$IQ$5:$IQ22),IF(HN22=7,SUMPRODUCT(--(($HO$5:$HO22=$HO22)*($HN$5:$HN22&gt;=4)*($HN$5:$HN22&lt;=6)),$IQ$5:$IQ22),IF(HN22=10,SUMPRODUCT(--(($HO$5:$HO22=$HO22)*($HN$5:$HN22&gt;=7)*($HN$5:$HN22&lt;=9)),$IQ$5:$IQ22),0)))))</f>
        <v/>
      </c>
      <c r="IS22" s="12">
        <f>IS21+IQ22-IR22</f>
        <v/>
      </c>
      <c r="IT22" s="12">
        <f>IF(ProviderDelay&gt;=1,IP21*ProviderShare,IP22*ProviderShare)</f>
        <v/>
      </c>
      <c r="IU22" s="12">
        <f>IM22*PaymentFee</f>
        <v/>
      </c>
      <c r="IV22" s="12">
        <f>IG22*OpsAI</f>
        <v/>
      </c>
      <c r="IW22" s="12">
        <f>MonthlyFixed</f>
        <v/>
      </c>
      <c r="IX22" s="12">
        <f>HU22*ReferralReward</f>
        <v/>
      </c>
      <c r="IY22" s="12">
        <f>HS22</f>
        <v/>
      </c>
      <c r="IZ22" s="9">
        <f>IP22-IT22-IU22-IV22-IW22-IX22-IY22</f>
        <v/>
      </c>
      <c r="JA22" s="9">
        <f>JA21+IM22-(IT22+IU22+IV22+IW22+IX22+IY22+IR22)</f>
        <v/>
      </c>
      <c r="JB22" s="12">
        <f>IF(IG22&gt;0,IH22/IG22,0)</f>
        <v/>
      </c>
      <c r="JC22" s="11">
        <f>IF(IG21&gt;0,MAX(0,(IG21+HV22-IG22)/IG21),0)</f>
        <v/>
      </c>
      <c r="JE22" s="12" t="n">
        <v>18</v>
      </c>
      <c r="JF22" s="12">
        <f>MOD(JE22-1+LaunchMonth-1,12)+1</f>
        <v/>
      </c>
      <c r="JG22" s="12">
        <f>INT((JE22-1+LaunchMonth-1)/12)+1</f>
        <v/>
      </c>
      <c r="JH22" s="12">
        <f>VLOOKUP(JF22,SeasonTable,2,FALSE)</f>
        <v/>
      </c>
      <c r="JI22" s="12">
        <f>(1+InflationRate)^INT((JE22-1)/12)</f>
        <v/>
      </c>
      <c r="JJ22" s="11">
        <f>'Sens - Churn'!$A$16*VLOOKUP(JF22,ChurnSeasonTable,4,FALSE)</f>
        <v/>
      </c>
      <c r="JK22" s="12">
        <f>MIN(MAX(MktMin13_18,KE21*MktPct13_18),MAX(0,KS21-CashBuffer))</f>
        <v/>
      </c>
      <c r="JL22" s="12">
        <f>IF(JK22&gt;0,MAX(1,ROUND(JK22/CAC*JH22,0)),0)</f>
        <v/>
      </c>
      <c r="JM22" s="12">
        <f>IF(JL22&gt;0,ROUND(JL22*ReferralMix/(1-ReferralMix),0),0)</f>
        <v/>
      </c>
      <c r="JN22" s="12">
        <f>JL22+JM22</f>
        <v/>
      </c>
      <c r="JO22" s="12">
        <f>ROUND(JN22*(1-AnnualMix),0)</f>
        <v/>
      </c>
      <c r="JP22" s="12">
        <f>JN22-JO22</f>
        <v/>
      </c>
      <c r="JQ22" s="12">
        <f>ROUND(JO22*EssentialMix,0)</f>
        <v/>
      </c>
      <c r="JR22" s="12">
        <f>JO22-JQ22</f>
        <v/>
      </c>
      <c r="JS22" s="12">
        <f>ROUND(JP22*EssentialMix,0)</f>
        <v/>
      </c>
      <c r="JT22" s="12">
        <f>JP22-JS22</f>
        <v/>
      </c>
      <c r="JU22" s="12">
        <f>JQ22+JQ21+JQ20+MAX(0,JU21-JQ21-JQ20)*(1-JJ22)</f>
        <v/>
      </c>
      <c r="JV22" s="12">
        <f>JR22+JR21+JR20+MAX(0,JV21-JR21-JR20)*(1-JJ22)</f>
        <v/>
      </c>
      <c r="JW22" s="12">
        <f>JW21+JS22-JS10*(AnnualChurn*VLOOKUP(JF22,ChurnSeasonTable,4,FALSE))*POWER(1-(AnnualChurn*VLOOKUP(JF22,ChurnSeasonTable,4,FALSE)),0)</f>
        <v/>
      </c>
      <c r="JX22" s="12">
        <f>JX21+JT22-JT10*(AnnualChurn*VLOOKUP(JF22,ChurnSeasonTable,4,FALSE))*POWER(1-(AnnualChurn*VLOOKUP(JF22,ChurnSeasonTable,4,FALSE)),0)</f>
        <v/>
      </c>
      <c r="JY22" s="12">
        <f>JU22+JV22+JW22+JX22</f>
        <v/>
      </c>
      <c r="JZ22" s="9">
        <f>JU22*PriceEssMonthly*JI22+JV22*PricePremMonthly*JI22+JW22*PriceEssAnnual*JI22/12+JX22*PricePremAnnual*JI22/12</f>
        <v/>
      </c>
      <c r="KA22" s="9">
        <f>JZ22*12</f>
        <v/>
      </c>
      <c r="KB22" s="12">
        <f>JU22*PriceEssMonthly*JI22+JV22*PricePremMonthly*JI22</f>
        <v/>
      </c>
      <c r="KC22" s="12">
        <f>JS22*PriceEssAnnual*JI22+JT22*PricePremAnnual*JI22</f>
        <v/>
      </c>
      <c r="KD22" s="12">
        <f>JS10*POWER(1-(AnnualChurn*VLOOKUP(JF22,ChurnSeasonTable,4,FALSE)),1)*PriceEssAnnual*JI22+JT10*POWER(1-(AnnualChurn*VLOOKUP(JF22,ChurnSeasonTable,4,FALSE)),1)*PricePremAnnual*JI22</f>
        <v/>
      </c>
      <c r="KE22" s="9">
        <f>KB22+KC22+KD22</f>
        <v/>
      </c>
      <c r="KF22" s="12">
        <f>SUM(KE11:KE22)</f>
        <v/>
      </c>
      <c r="KG22" s="12">
        <f>OR(KG21,KF22&gt;=VATThreshold)</f>
        <v/>
      </c>
      <c r="KH22" s="9">
        <f>IF(KG22,KE22/(1+VATRate),KE22)</f>
        <v/>
      </c>
      <c r="KI22" s="12">
        <f>KE22-KH22</f>
        <v/>
      </c>
      <c r="KJ22" s="12">
        <f>IF(KG22=0,0,IF(JF22=1,SUMPRODUCT(--(($JG$5:$JG22=$JG22-1)*($JF$5:$JF22&gt;=10)*($JF$5:$JF22&lt;=12)),$KI$5:$KI22),IF(JF22=4,SUMPRODUCT(--(($JG$5:$JG22=$JG22)*($JF$5:$JF22&gt;=1)*($JF$5:$JF22&lt;=3)),$KI$5:$KI22),IF(JF22=7,SUMPRODUCT(--(($JG$5:$JG22=$JG22)*($JF$5:$JF22&gt;=4)*($JF$5:$JF22&lt;=6)),$KI$5:$KI22),IF(JF22=10,SUMPRODUCT(--(($JG$5:$JG22=$JG22)*($JF$5:$JF22&gt;=7)*($JF$5:$JF22&lt;=9)),$KI$5:$KI22),0)))))</f>
        <v/>
      </c>
      <c r="KK22" s="12">
        <f>KK21+KI22-KJ22</f>
        <v/>
      </c>
      <c r="KL22" s="12">
        <f>IF(ProviderDelay&gt;=1,KH21*ProviderShare,KH22*ProviderShare)</f>
        <v/>
      </c>
      <c r="KM22" s="12">
        <f>KE22*PaymentFee</f>
        <v/>
      </c>
      <c r="KN22" s="12">
        <f>JY22*OpsAI</f>
        <v/>
      </c>
      <c r="KO22" s="12">
        <f>MonthlyFixed</f>
        <v/>
      </c>
      <c r="KP22" s="12">
        <f>JM22*ReferralReward</f>
        <v/>
      </c>
      <c r="KQ22" s="12">
        <f>JK22</f>
        <v/>
      </c>
      <c r="KR22" s="9">
        <f>KH22-KL22-KM22-KN22-KO22-KP22-KQ22</f>
        <v/>
      </c>
      <c r="KS22" s="9">
        <f>KS21+KE22-(KL22+KM22+KN22+KO22+KP22+KQ22+KJ22)</f>
        <v/>
      </c>
      <c r="KT22" s="12">
        <f>IF(JY22&gt;0,JZ22/JY22,0)</f>
        <v/>
      </c>
      <c r="KU22" s="11">
        <f>IF(JY21&gt;0,MAX(0,(JY21+JN22-JY22)/JY21),0)</f>
        <v/>
      </c>
      <c r="KW22" s="12" t="n">
        <v>18</v>
      </c>
      <c r="KX22" s="12">
        <f>MOD(KW22-1+LaunchMonth-1,12)+1</f>
        <v/>
      </c>
      <c r="KY22" s="12">
        <f>INT((KW22-1+LaunchMonth-1)/12)+1</f>
        <v/>
      </c>
      <c r="KZ22" s="12">
        <f>VLOOKUP(KX22,SeasonTable,2,FALSE)</f>
        <v/>
      </c>
      <c r="LA22" s="12">
        <f>(1+InflationRate)^INT((KW22-1)/12)</f>
        <v/>
      </c>
      <c r="LB22" s="11">
        <f>'Sens - Churn'!$A$17*VLOOKUP(KX22,ChurnSeasonTable,4,FALSE)</f>
        <v/>
      </c>
      <c r="LC22" s="12">
        <f>MIN(MAX(MktMin13_18,LW21*MktPct13_18),MAX(0,MK21-CashBuffer))</f>
        <v/>
      </c>
      <c r="LD22" s="12">
        <f>IF(LC22&gt;0,MAX(1,ROUND(LC22/CAC*KZ22,0)),0)</f>
        <v/>
      </c>
      <c r="LE22" s="12">
        <f>IF(LD22&gt;0,ROUND(LD22*ReferralMix/(1-ReferralMix),0),0)</f>
        <v/>
      </c>
      <c r="LF22" s="12">
        <f>LD22+LE22</f>
        <v/>
      </c>
      <c r="LG22" s="12">
        <f>ROUND(LF22*(1-AnnualMix),0)</f>
        <v/>
      </c>
      <c r="LH22" s="12">
        <f>LF22-LG22</f>
        <v/>
      </c>
      <c r="LI22" s="12">
        <f>ROUND(LG22*EssentialMix,0)</f>
        <v/>
      </c>
      <c r="LJ22" s="12">
        <f>LG22-LI22</f>
        <v/>
      </c>
      <c r="LK22" s="12">
        <f>ROUND(LH22*EssentialMix,0)</f>
        <v/>
      </c>
      <c r="LL22" s="12">
        <f>LH22-LK22</f>
        <v/>
      </c>
      <c r="LM22" s="12">
        <f>LI22+LI21+LI20+MAX(0,LM21-LI21-LI20)*(1-LB22)</f>
        <v/>
      </c>
      <c r="LN22" s="12">
        <f>LJ22+LJ21+LJ20+MAX(0,LN21-LJ21-LJ20)*(1-LB22)</f>
        <v/>
      </c>
      <c r="LO22" s="12">
        <f>LO21+LK22-LK10*(AnnualChurn*VLOOKUP(KX22,ChurnSeasonTable,4,FALSE))*POWER(1-(AnnualChurn*VLOOKUP(KX22,ChurnSeasonTable,4,FALSE)),0)</f>
        <v/>
      </c>
      <c r="LP22" s="12">
        <f>LP21+LL22-LL10*(AnnualChurn*VLOOKUP(KX22,ChurnSeasonTable,4,FALSE))*POWER(1-(AnnualChurn*VLOOKUP(KX22,ChurnSeasonTable,4,FALSE)),0)</f>
        <v/>
      </c>
      <c r="LQ22" s="12">
        <f>LM22+LN22+LO22+LP22</f>
        <v/>
      </c>
      <c r="LR22" s="9">
        <f>LM22*PriceEssMonthly*LA22+LN22*PricePremMonthly*LA22+LO22*PriceEssAnnual*LA22/12+LP22*PricePremAnnual*LA22/12</f>
        <v/>
      </c>
      <c r="LS22" s="9">
        <f>LR22*12</f>
        <v/>
      </c>
      <c r="LT22" s="12">
        <f>LM22*PriceEssMonthly*LA22+LN22*PricePremMonthly*LA22</f>
        <v/>
      </c>
      <c r="LU22" s="12">
        <f>LK22*PriceEssAnnual*LA22+LL22*PricePremAnnual*LA22</f>
        <v/>
      </c>
      <c r="LV22" s="12">
        <f>LK10*POWER(1-(AnnualChurn*VLOOKUP(KX22,ChurnSeasonTable,4,FALSE)),1)*PriceEssAnnual*LA22+LL10*POWER(1-(AnnualChurn*VLOOKUP(KX22,ChurnSeasonTable,4,FALSE)),1)*PricePremAnnual*LA22</f>
        <v/>
      </c>
      <c r="LW22" s="9">
        <f>LT22+LU22+LV22</f>
        <v/>
      </c>
      <c r="LX22" s="12">
        <f>SUM(LW11:LW22)</f>
        <v/>
      </c>
      <c r="LY22" s="12">
        <f>OR(LY21,LX22&gt;=VATThreshold)</f>
        <v/>
      </c>
      <c r="LZ22" s="9">
        <f>IF(LY22,LW22/(1+VATRate),LW22)</f>
        <v/>
      </c>
      <c r="MA22" s="12">
        <f>LW22-LZ22</f>
        <v/>
      </c>
      <c r="MB22" s="12">
        <f>IF(LY22=0,0,IF(KX22=1,SUMPRODUCT(--(($KY$5:$KY22=$KY22-1)*($KX$5:$KX22&gt;=10)*($KX$5:$KX22&lt;=12)),$MA$5:$MA22),IF(KX22=4,SUMPRODUCT(--(($KY$5:$KY22=$KY22)*($KX$5:$KX22&gt;=1)*($KX$5:$KX22&lt;=3)),$MA$5:$MA22),IF(KX22=7,SUMPRODUCT(--(($KY$5:$KY22=$KY22)*($KX$5:$KX22&gt;=4)*($KX$5:$KX22&lt;=6)),$MA$5:$MA22),IF(KX22=10,SUMPRODUCT(--(($KY$5:$KY22=$KY22)*($KX$5:$KX22&gt;=7)*($KX$5:$KX22&lt;=9)),$MA$5:$MA22),0)))))</f>
        <v/>
      </c>
      <c r="MC22" s="12">
        <f>MC21+MA22-MB22</f>
        <v/>
      </c>
      <c r="MD22" s="12">
        <f>IF(ProviderDelay&gt;=1,LZ21*ProviderShare,LZ22*ProviderShare)</f>
        <v/>
      </c>
      <c r="ME22" s="12">
        <f>LW22*PaymentFee</f>
        <v/>
      </c>
      <c r="MF22" s="12">
        <f>LQ22*OpsAI</f>
        <v/>
      </c>
      <c r="MG22" s="12">
        <f>MonthlyFixed</f>
        <v/>
      </c>
      <c r="MH22" s="12">
        <f>LE22*ReferralReward</f>
        <v/>
      </c>
      <c r="MI22" s="12">
        <f>LC22</f>
        <v/>
      </c>
      <c r="MJ22" s="9">
        <f>LZ22-MD22-ME22-MF22-MG22-MH22-MI22</f>
        <v/>
      </c>
      <c r="MK22" s="9">
        <f>MK21+LW22-(MD22+ME22+MF22+MG22+MH22+MI22+MB22)</f>
        <v/>
      </c>
      <c r="ML22" s="12">
        <f>IF(LQ22&gt;0,LR22/LQ22,0)</f>
        <v/>
      </c>
      <c r="MM22" s="11">
        <f>IF(LQ21&gt;0,MAX(0,(LQ21+LF22-LQ22)/LQ21),0)</f>
        <v/>
      </c>
      <c r="MO22" s="12" t="n">
        <v>18</v>
      </c>
      <c r="MP22" s="12">
        <f>MOD(MO22-1+LaunchMonth-1,12)+1</f>
        <v/>
      </c>
      <c r="MQ22" s="12">
        <f>INT((MO22-1+LaunchMonth-1)/12)+1</f>
        <v/>
      </c>
      <c r="MR22" s="12">
        <f>VLOOKUP(MP22,SeasonTable,2,FALSE)</f>
        <v/>
      </c>
      <c r="MS22" s="12">
        <f>(1+InflationRate)^INT((MO22-1)/12)</f>
        <v/>
      </c>
      <c r="MT22" s="11">
        <f>'Sens - Churn'!$A$18*VLOOKUP(MP22,ChurnSeasonTable,4,FALSE)</f>
        <v/>
      </c>
      <c r="MU22" s="12">
        <f>MIN(MAX(MktMin13_18,NO21*MktPct13_18),MAX(0,OC21-CashBuffer))</f>
        <v/>
      </c>
      <c r="MV22" s="12">
        <f>IF(MU22&gt;0,MAX(1,ROUND(MU22/CAC*MR22,0)),0)</f>
        <v/>
      </c>
      <c r="MW22" s="12">
        <f>IF(MV22&gt;0,ROUND(MV22*ReferralMix/(1-ReferralMix),0),0)</f>
        <v/>
      </c>
      <c r="MX22" s="12">
        <f>MV22+MW22</f>
        <v/>
      </c>
      <c r="MY22" s="12">
        <f>ROUND(MX22*(1-AnnualMix),0)</f>
        <v/>
      </c>
      <c r="MZ22" s="12">
        <f>MX22-MY22</f>
        <v/>
      </c>
      <c r="NA22" s="12">
        <f>ROUND(MY22*EssentialMix,0)</f>
        <v/>
      </c>
      <c r="NB22" s="12">
        <f>MY22-NA22</f>
        <v/>
      </c>
      <c r="NC22" s="12">
        <f>ROUND(MZ22*EssentialMix,0)</f>
        <v/>
      </c>
      <c r="ND22" s="12">
        <f>MZ22-NC22</f>
        <v/>
      </c>
      <c r="NE22" s="12">
        <f>NA22+NA21+NA20+MAX(0,NE21-NA21-NA20)*(1-MT22)</f>
        <v/>
      </c>
      <c r="NF22" s="12">
        <f>NB22+NB21+NB20+MAX(0,NF21-NB21-NB20)*(1-MT22)</f>
        <v/>
      </c>
      <c r="NG22" s="12">
        <f>NG21+NC22-NC10*(AnnualChurn*VLOOKUP(MP22,ChurnSeasonTable,4,FALSE))*POWER(1-(AnnualChurn*VLOOKUP(MP22,ChurnSeasonTable,4,FALSE)),0)</f>
        <v/>
      </c>
      <c r="NH22" s="12">
        <f>NH21+ND22-ND10*(AnnualChurn*VLOOKUP(MP22,ChurnSeasonTable,4,FALSE))*POWER(1-(AnnualChurn*VLOOKUP(MP22,ChurnSeasonTable,4,FALSE)),0)</f>
        <v/>
      </c>
      <c r="NI22" s="12">
        <f>NE22+NF22+NG22+NH22</f>
        <v/>
      </c>
      <c r="NJ22" s="9">
        <f>NE22*PriceEssMonthly*MS22+NF22*PricePremMonthly*MS22+NG22*PriceEssAnnual*MS22/12+NH22*PricePremAnnual*MS22/12</f>
        <v/>
      </c>
      <c r="NK22" s="9">
        <f>NJ22*12</f>
        <v/>
      </c>
      <c r="NL22" s="12">
        <f>NE22*PriceEssMonthly*MS22+NF22*PricePremMonthly*MS22</f>
        <v/>
      </c>
      <c r="NM22" s="12">
        <f>NC22*PriceEssAnnual*MS22+ND22*PricePremAnnual*MS22</f>
        <v/>
      </c>
      <c r="NN22" s="12">
        <f>NC10*POWER(1-(AnnualChurn*VLOOKUP(MP22,ChurnSeasonTable,4,FALSE)),1)*PriceEssAnnual*MS22+ND10*POWER(1-(AnnualChurn*VLOOKUP(MP22,ChurnSeasonTable,4,FALSE)),1)*PricePremAnnual*MS22</f>
        <v/>
      </c>
      <c r="NO22" s="9">
        <f>NL22+NM22+NN22</f>
        <v/>
      </c>
      <c r="NP22" s="12">
        <f>SUM(NO11:NO22)</f>
        <v/>
      </c>
      <c r="NQ22" s="12">
        <f>OR(NQ21,NP22&gt;=VATThreshold)</f>
        <v/>
      </c>
      <c r="NR22" s="9">
        <f>IF(NQ22,NO22/(1+VATRate),NO22)</f>
        <v/>
      </c>
      <c r="NS22" s="12">
        <f>NO22-NR22</f>
        <v/>
      </c>
      <c r="NT22" s="12">
        <f>IF(NQ22=0,0,IF(MP22=1,SUMPRODUCT(--(($MQ$5:$MQ22=$MQ22-1)*($MP$5:$MP22&gt;=10)*($MP$5:$MP22&lt;=12)),$NS$5:$NS22),IF(MP22=4,SUMPRODUCT(--(($MQ$5:$MQ22=$MQ22)*($MP$5:$MP22&gt;=1)*($MP$5:$MP22&lt;=3)),$NS$5:$NS22),IF(MP22=7,SUMPRODUCT(--(($MQ$5:$MQ22=$MQ22)*($MP$5:$MP22&gt;=4)*($MP$5:$MP22&lt;=6)),$NS$5:$NS22),IF(MP22=10,SUMPRODUCT(--(($MQ$5:$MQ22=$MQ22)*($MP$5:$MP22&gt;=7)*($MP$5:$MP22&lt;=9)),$NS$5:$NS22),0)))))</f>
        <v/>
      </c>
      <c r="NU22" s="12">
        <f>NU21+NS22-NT22</f>
        <v/>
      </c>
      <c r="NV22" s="12">
        <f>IF(ProviderDelay&gt;=1,NR21*ProviderShare,NR22*ProviderShare)</f>
        <v/>
      </c>
      <c r="NW22" s="12">
        <f>NO22*PaymentFee</f>
        <v/>
      </c>
      <c r="NX22" s="12">
        <f>NI22*OpsAI</f>
        <v/>
      </c>
      <c r="NY22" s="12">
        <f>MonthlyFixed</f>
        <v/>
      </c>
      <c r="NZ22" s="12">
        <f>MW22*ReferralReward</f>
        <v/>
      </c>
      <c r="OA22" s="12">
        <f>MU22</f>
        <v/>
      </c>
      <c r="OB22" s="9">
        <f>NR22-NV22-NW22-NX22-NY22-NZ22-OA22</f>
        <v/>
      </c>
      <c r="OC22" s="9">
        <f>OC21+NO22-(NV22+NW22+NX22+NY22+NZ22+OA22+NT22)</f>
        <v/>
      </c>
      <c r="OD22" s="12">
        <f>IF(NI22&gt;0,NJ22/NI22,0)</f>
        <v/>
      </c>
      <c r="OE22" s="11">
        <f>IF(NI21&gt;0,MAX(0,(NI21+MX22-NI22)/NI21),0)</f>
        <v/>
      </c>
      <c r="OG22" s="12" t="n">
        <v>18</v>
      </c>
      <c r="OH22" s="12">
        <f>MOD(OG22-1+LaunchMonth-1,12)+1</f>
        <v/>
      </c>
      <c r="OI22" s="12">
        <f>INT((OG22-1+LaunchMonth-1)/12)+1</f>
        <v/>
      </c>
      <c r="OJ22" s="12">
        <f>VLOOKUP(OH22,SeasonTable,2,FALSE)</f>
        <v/>
      </c>
      <c r="OK22" s="12">
        <f>(1+InflationRate)^INT((OG22-1)/12)</f>
        <v/>
      </c>
      <c r="OL22" s="11">
        <f>'Sens - Churn'!$A$19*VLOOKUP(OH22,ChurnSeasonTable,4,FALSE)</f>
        <v/>
      </c>
      <c r="OM22" s="12">
        <f>MIN(MAX(MktMin13_18,PG21*MktPct13_18),MAX(0,PU21-CashBuffer))</f>
        <v/>
      </c>
      <c r="ON22" s="12">
        <f>IF(OM22&gt;0,MAX(1,ROUND(OM22/CAC*OJ22,0)),0)</f>
        <v/>
      </c>
      <c r="OO22" s="12">
        <f>IF(ON22&gt;0,ROUND(ON22*ReferralMix/(1-ReferralMix),0),0)</f>
        <v/>
      </c>
      <c r="OP22" s="12">
        <f>ON22+OO22</f>
        <v/>
      </c>
      <c r="OQ22" s="12">
        <f>ROUND(OP22*(1-AnnualMix),0)</f>
        <v/>
      </c>
      <c r="OR22" s="12">
        <f>OP22-OQ22</f>
        <v/>
      </c>
      <c r="OS22" s="12">
        <f>ROUND(OQ22*EssentialMix,0)</f>
        <v/>
      </c>
      <c r="OT22" s="12">
        <f>OQ22-OS22</f>
        <v/>
      </c>
      <c r="OU22" s="12">
        <f>ROUND(OR22*EssentialMix,0)</f>
        <v/>
      </c>
      <c r="OV22" s="12">
        <f>OR22-OU22</f>
        <v/>
      </c>
      <c r="OW22" s="12">
        <f>OS22+OS21+OS20+MAX(0,OW21-OS21-OS20)*(1-OL22)</f>
        <v/>
      </c>
      <c r="OX22" s="12">
        <f>OT22+OT21+OT20+MAX(0,OX21-OT21-OT20)*(1-OL22)</f>
        <v/>
      </c>
      <c r="OY22" s="12">
        <f>OY21+OU22-OU10*(AnnualChurn*VLOOKUP(OH22,ChurnSeasonTable,4,FALSE))*POWER(1-(AnnualChurn*VLOOKUP(OH22,ChurnSeasonTable,4,FALSE)),0)</f>
        <v/>
      </c>
      <c r="OZ22" s="12">
        <f>OZ21+OV22-OV10*(AnnualChurn*VLOOKUP(OH22,ChurnSeasonTable,4,FALSE))*POWER(1-(AnnualChurn*VLOOKUP(OH22,ChurnSeasonTable,4,FALSE)),0)</f>
        <v/>
      </c>
      <c r="PA22" s="12">
        <f>OW22+OX22+OY22+OZ22</f>
        <v/>
      </c>
      <c r="PB22" s="9">
        <f>OW22*PriceEssMonthly*OK22+OX22*PricePremMonthly*OK22+OY22*PriceEssAnnual*OK22/12+OZ22*PricePremAnnual*OK22/12</f>
        <v/>
      </c>
      <c r="PC22" s="9">
        <f>PB22*12</f>
        <v/>
      </c>
      <c r="PD22" s="12">
        <f>OW22*PriceEssMonthly*OK22+OX22*PricePremMonthly*OK22</f>
        <v/>
      </c>
      <c r="PE22" s="12">
        <f>OU22*PriceEssAnnual*OK22+OV22*PricePremAnnual*OK22</f>
        <v/>
      </c>
      <c r="PF22" s="12">
        <f>OU10*POWER(1-(AnnualChurn*VLOOKUP(OH22,ChurnSeasonTable,4,FALSE)),1)*PriceEssAnnual*OK22+OV10*POWER(1-(AnnualChurn*VLOOKUP(OH22,ChurnSeasonTable,4,FALSE)),1)*PricePremAnnual*OK22</f>
        <v/>
      </c>
      <c r="PG22" s="9">
        <f>PD22+PE22+PF22</f>
        <v/>
      </c>
      <c r="PH22" s="12">
        <f>SUM(PG11:PG22)</f>
        <v/>
      </c>
      <c r="PI22" s="12">
        <f>OR(PI21,PH22&gt;=VATThreshold)</f>
        <v/>
      </c>
      <c r="PJ22" s="9">
        <f>IF(PI22,PG22/(1+VATRate),PG22)</f>
        <v/>
      </c>
      <c r="PK22" s="12">
        <f>PG22-PJ22</f>
        <v/>
      </c>
      <c r="PL22" s="12">
        <f>IF(PI22=0,0,IF(OH22=1,SUMPRODUCT(--(($OI$5:$OI22=$OI22-1)*($OH$5:$OH22&gt;=10)*($OH$5:$OH22&lt;=12)),$PK$5:$PK22),IF(OH22=4,SUMPRODUCT(--(($OI$5:$OI22=$OI22)*($OH$5:$OH22&gt;=1)*($OH$5:$OH22&lt;=3)),$PK$5:$PK22),IF(OH22=7,SUMPRODUCT(--(($OI$5:$OI22=$OI22)*($OH$5:$OH22&gt;=4)*($OH$5:$OH22&lt;=6)),$PK$5:$PK22),IF(OH22=10,SUMPRODUCT(--(($OI$5:$OI22=$OI22)*($OH$5:$OH22&gt;=7)*($OH$5:$OH22&lt;=9)),$PK$5:$PK22),0)))))</f>
        <v/>
      </c>
      <c r="PM22" s="12">
        <f>PM21+PK22-PL22</f>
        <v/>
      </c>
      <c r="PN22" s="12">
        <f>IF(ProviderDelay&gt;=1,PJ21*ProviderShare,PJ22*ProviderShare)</f>
        <v/>
      </c>
      <c r="PO22" s="12">
        <f>PG22*PaymentFee</f>
        <v/>
      </c>
      <c r="PP22" s="12">
        <f>PA22*OpsAI</f>
        <v/>
      </c>
      <c r="PQ22" s="12">
        <f>MonthlyFixed</f>
        <v/>
      </c>
      <c r="PR22" s="12">
        <f>OO22*ReferralReward</f>
        <v/>
      </c>
      <c r="PS22" s="12">
        <f>OM22</f>
        <v/>
      </c>
      <c r="PT22" s="9">
        <f>PJ22-PN22-PO22-PP22-PQ22-PR22-PS22</f>
        <v/>
      </c>
      <c r="PU22" s="9">
        <f>PU21+PG22-(PN22+PO22+PP22+PQ22+PR22+PS22+PL22)</f>
        <v/>
      </c>
      <c r="PV22" s="12">
        <f>IF(PA22&gt;0,PB22/PA22,0)</f>
        <v/>
      </c>
      <c r="PW22" s="11">
        <f>IF(PA21&gt;0,MAX(0,(PA21+OP22-PA22)/PA21),0)</f>
        <v/>
      </c>
      <c r="PY22" s="12" t="n">
        <v>18</v>
      </c>
      <c r="PZ22" s="12">
        <f>MOD(PY22-1+LaunchMonth-1,12)+1</f>
        <v/>
      </c>
      <c r="QA22" s="12">
        <f>INT((PY22-1+LaunchMonth-1)/12)+1</f>
        <v/>
      </c>
      <c r="QB22" s="12">
        <f>VLOOKUP(PZ22,SeasonTable,2,FALSE)</f>
        <v/>
      </c>
      <c r="QC22" s="12">
        <f>(1+InflationRate)^INT((PY22-1)/12)</f>
        <v/>
      </c>
      <c r="QD22" s="11">
        <f>'Sens - Churn'!$A$20*VLOOKUP(PZ22,ChurnSeasonTable,4,FALSE)</f>
        <v/>
      </c>
      <c r="QE22" s="12">
        <f>MIN(MAX(MktMin13_18,QY21*MktPct13_18),MAX(0,RM21-CashBuffer))</f>
        <v/>
      </c>
      <c r="QF22" s="12">
        <f>IF(QE22&gt;0,MAX(1,ROUND(QE22/CAC*QB22,0)),0)</f>
        <v/>
      </c>
      <c r="QG22" s="12">
        <f>IF(QF22&gt;0,ROUND(QF22*ReferralMix/(1-ReferralMix),0),0)</f>
        <v/>
      </c>
      <c r="QH22" s="12">
        <f>QF22+QG22</f>
        <v/>
      </c>
      <c r="QI22" s="12">
        <f>ROUND(QH22*(1-AnnualMix),0)</f>
        <v/>
      </c>
      <c r="QJ22" s="12">
        <f>QH22-QI22</f>
        <v/>
      </c>
      <c r="QK22" s="12">
        <f>ROUND(QI22*EssentialMix,0)</f>
        <v/>
      </c>
      <c r="QL22" s="12">
        <f>QI22-QK22</f>
        <v/>
      </c>
      <c r="QM22" s="12">
        <f>ROUND(QJ22*EssentialMix,0)</f>
        <v/>
      </c>
      <c r="QN22" s="12">
        <f>QJ22-QM22</f>
        <v/>
      </c>
      <c r="QO22" s="12">
        <f>QK22+QK21+QK20+MAX(0,QO21-QK21-QK20)*(1-QD22)</f>
        <v/>
      </c>
      <c r="QP22" s="12">
        <f>QL22+QL21+QL20+MAX(0,QP21-QL21-QL20)*(1-QD22)</f>
        <v/>
      </c>
      <c r="QQ22" s="12">
        <f>QQ21+QM22-QM10*(AnnualChurn*VLOOKUP(PZ22,ChurnSeasonTable,4,FALSE))*POWER(1-(AnnualChurn*VLOOKUP(PZ22,ChurnSeasonTable,4,FALSE)),0)</f>
        <v/>
      </c>
      <c r="QR22" s="12">
        <f>QR21+QN22-QN10*(AnnualChurn*VLOOKUP(PZ22,ChurnSeasonTable,4,FALSE))*POWER(1-(AnnualChurn*VLOOKUP(PZ22,ChurnSeasonTable,4,FALSE)),0)</f>
        <v/>
      </c>
      <c r="QS22" s="12">
        <f>QO22+QP22+QQ22+QR22</f>
        <v/>
      </c>
      <c r="QT22" s="9">
        <f>QO22*PriceEssMonthly*QC22+QP22*PricePremMonthly*QC22+QQ22*PriceEssAnnual*QC22/12+QR22*PricePremAnnual*QC22/12</f>
        <v/>
      </c>
      <c r="QU22" s="9">
        <f>QT22*12</f>
        <v/>
      </c>
      <c r="QV22" s="12">
        <f>QO22*PriceEssMonthly*QC22+QP22*PricePremMonthly*QC22</f>
        <v/>
      </c>
      <c r="QW22" s="12">
        <f>QM22*PriceEssAnnual*QC22+QN22*PricePremAnnual*QC22</f>
        <v/>
      </c>
      <c r="QX22" s="12">
        <f>QM10*POWER(1-(AnnualChurn*VLOOKUP(PZ22,ChurnSeasonTable,4,FALSE)),1)*PriceEssAnnual*QC22+QN10*POWER(1-(AnnualChurn*VLOOKUP(PZ22,ChurnSeasonTable,4,FALSE)),1)*PricePremAnnual*QC22</f>
        <v/>
      </c>
      <c r="QY22" s="9">
        <f>QV22+QW22+QX22</f>
        <v/>
      </c>
      <c r="QZ22" s="12">
        <f>SUM(QY11:QY22)</f>
        <v/>
      </c>
      <c r="RA22" s="12">
        <f>OR(RA21,QZ22&gt;=VATThreshold)</f>
        <v/>
      </c>
      <c r="RB22" s="9">
        <f>IF(RA22,QY22/(1+VATRate),QY22)</f>
        <v/>
      </c>
      <c r="RC22" s="12">
        <f>QY22-RB22</f>
        <v/>
      </c>
      <c r="RD22" s="12">
        <f>IF(RA22=0,0,IF(PZ22=1,SUMPRODUCT(--(($QA$5:$QA22=$QA22-1)*($PZ$5:$PZ22&gt;=10)*($PZ$5:$PZ22&lt;=12)),$RC$5:$RC22),IF(PZ22=4,SUMPRODUCT(--(($QA$5:$QA22=$QA22)*($PZ$5:$PZ22&gt;=1)*($PZ$5:$PZ22&lt;=3)),$RC$5:$RC22),IF(PZ22=7,SUMPRODUCT(--(($QA$5:$QA22=$QA22)*($PZ$5:$PZ22&gt;=4)*($PZ$5:$PZ22&lt;=6)),$RC$5:$RC22),IF(PZ22=10,SUMPRODUCT(--(($QA$5:$QA22=$QA22)*($PZ$5:$PZ22&gt;=7)*($PZ$5:$PZ22&lt;=9)),$RC$5:$RC22),0)))))</f>
        <v/>
      </c>
      <c r="RE22" s="12">
        <f>RE21+RC22-RD22</f>
        <v/>
      </c>
      <c r="RF22" s="12">
        <f>IF(ProviderDelay&gt;=1,RB21*ProviderShare,RB22*ProviderShare)</f>
        <v/>
      </c>
      <c r="RG22" s="12">
        <f>QY22*PaymentFee</f>
        <v/>
      </c>
      <c r="RH22" s="12">
        <f>QS22*OpsAI</f>
        <v/>
      </c>
      <c r="RI22" s="12">
        <f>MonthlyFixed</f>
        <v/>
      </c>
      <c r="RJ22" s="12">
        <f>QG22*ReferralReward</f>
        <v/>
      </c>
      <c r="RK22" s="12">
        <f>QE22</f>
        <v/>
      </c>
      <c r="RL22" s="9">
        <f>RB22-RF22-RG22-RH22-RI22-RJ22-RK22</f>
        <v/>
      </c>
      <c r="RM22" s="9">
        <f>RM21+QY22-(RF22+RG22+RH22+RI22+RJ22+RK22+RD22)</f>
        <v/>
      </c>
      <c r="RN22" s="12">
        <f>IF(QS22&gt;0,QT22/QS22,0)</f>
        <v/>
      </c>
      <c r="RO22" s="11">
        <f>IF(QS21&gt;0,MAX(0,(QS21+QH22-QS22)/QS21),0)</f>
        <v/>
      </c>
      <c r="RQ22" s="12" t="n">
        <v>18</v>
      </c>
      <c r="RR22" s="12">
        <f>MOD(RQ22-1+LaunchMonth-1,12)+1</f>
        <v/>
      </c>
      <c r="RS22" s="12">
        <f>INT((RQ22-1+LaunchMonth-1)/12)+1</f>
        <v/>
      </c>
      <c r="RT22" s="12">
        <f>VLOOKUP(RR22,SeasonTable,2,FALSE)</f>
        <v/>
      </c>
      <c r="RU22" s="12">
        <f>(1+InflationRate)^INT((RQ22-1)/12)</f>
        <v/>
      </c>
      <c r="RV22" s="11">
        <f>'Sens - Churn'!$A$21*VLOOKUP(RR22,ChurnSeasonTable,4,FALSE)</f>
        <v/>
      </c>
      <c r="RW22" s="12">
        <f>MIN(MAX(MktMin13_18,SQ21*MktPct13_18),MAX(0,TE21-CashBuffer))</f>
        <v/>
      </c>
      <c r="RX22" s="12">
        <f>IF(RW22&gt;0,MAX(1,ROUND(RW22/CAC*RT22,0)),0)</f>
        <v/>
      </c>
      <c r="RY22" s="12">
        <f>IF(RX22&gt;0,ROUND(RX22*ReferralMix/(1-ReferralMix),0),0)</f>
        <v/>
      </c>
      <c r="RZ22" s="12">
        <f>RX22+RY22</f>
        <v/>
      </c>
      <c r="SA22" s="12">
        <f>ROUND(RZ22*(1-AnnualMix),0)</f>
        <v/>
      </c>
      <c r="SB22" s="12">
        <f>RZ22-SA22</f>
        <v/>
      </c>
      <c r="SC22" s="12">
        <f>ROUND(SA22*EssentialMix,0)</f>
        <v/>
      </c>
      <c r="SD22" s="12">
        <f>SA22-SC22</f>
        <v/>
      </c>
      <c r="SE22" s="12">
        <f>ROUND(SB22*EssentialMix,0)</f>
        <v/>
      </c>
      <c r="SF22" s="12">
        <f>SB22-SE22</f>
        <v/>
      </c>
      <c r="SG22" s="12">
        <f>SC22+SC21+SC20+MAX(0,SG21-SC21-SC20)*(1-RV22)</f>
        <v/>
      </c>
      <c r="SH22" s="12">
        <f>SD22+SD21+SD20+MAX(0,SH21-SD21-SD20)*(1-RV22)</f>
        <v/>
      </c>
      <c r="SI22" s="12">
        <f>SI21+SE22-SE10*(AnnualChurn*VLOOKUP(RR22,ChurnSeasonTable,4,FALSE))*POWER(1-(AnnualChurn*VLOOKUP(RR22,ChurnSeasonTable,4,FALSE)),0)</f>
        <v/>
      </c>
      <c r="SJ22" s="12">
        <f>SJ21+SF22-SF10*(AnnualChurn*VLOOKUP(RR22,ChurnSeasonTable,4,FALSE))*POWER(1-(AnnualChurn*VLOOKUP(RR22,ChurnSeasonTable,4,FALSE)),0)</f>
        <v/>
      </c>
      <c r="SK22" s="12">
        <f>SG22+SH22+SI22+SJ22</f>
        <v/>
      </c>
      <c r="SL22" s="9">
        <f>SG22*PriceEssMonthly*RU22+SH22*PricePremMonthly*RU22+SI22*PriceEssAnnual*RU22/12+SJ22*PricePremAnnual*RU22/12</f>
        <v/>
      </c>
      <c r="SM22" s="9">
        <f>SL22*12</f>
        <v/>
      </c>
      <c r="SN22" s="12">
        <f>SG22*PriceEssMonthly*RU22+SH22*PricePremMonthly*RU22</f>
        <v/>
      </c>
      <c r="SO22" s="12">
        <f>SE22*PriceEssAnnual*RU22+SF22*PricePremAnnual*RU22</f>
        <v/>
      </c>
      <c r="SP22" s="12">
        <f>SE10*POWER(1-(AnnualChurn*VLOOKUP(RR22,ChurnSeasonTable,4,FALSE)),1)*PriceEssAnnual*RU22+SF10*POWER(1-(AnnualChurn*VLOOKUP(RR22,ChurnSeasonTable,4,FALSE)),1)*PricePremAnnual*RU22</f>
        <v/>
      </c>
      <c r="SQ22" s="9">
        <f>SN22+SO22+SP22</f>
        <v/>
      </c>
      <c r="SR22" s="12">
        <f>SUM(SQ11:SQ22)</f>
        <v/>
      </c>
      <c r="SS22" s="12">
        <f>OR(SS21,SR22&gt;=VATThreshold)</f>
        <v/>
      </c>
      <c r="ST22" s="9">
        <f>IF(SS22,SQ22/(1+VATRate),SQ22)</f>
        <v/>
      </c>
      <c r="SU22" s="12">
        <f>SQ22-ST22</f>
        <v/>
      </c>
      <c r="SV22" s="12">
        <f>IF(SS22=0,0,IF(RR22=1,SUMPRODUCT(--(($RS$5:$RS22=$RS22-1)*($RR$5:$RR22&gt;=10)*($RR$5:$RR22&lt;=12)),$SU$5:$SU22),IF(RR22=4,SUMPRODUCT(--(($RS$5:$RS22=$RS22)*($RR$5:$RR22&gt;=1)*($RR$5:$RR22&lt;=3)),$SU$5:$SU22),IF(RR22=7,SUMPRODUCT(--(($RS$5:$RS22=$RS22)*($RR$5:$RR22&gt;=4)*($RR$5:$RR22&lt;=6)),$SU$5:$SU22),IF(RR22=10,SUMPRODUCT(--(($RS$5:$RS22=$RS22)*($RR$5:$RR22&gt;=7)*($RR$5:$RR22&lt;=9)),$SU$5:$SU22),0)))))</f>
        <v/>
      </c>
      <c r="SW22" s="12">
        <f>SW21+SU22-SV22</f>
        <v/>
      </c>
      <c r="SX22" s="12">
        <f>IF(ProviderDelay&gt;=1,ST21*ProviderShare,ST22*ProviderShare)</f>
        <v/>
      </c>
      <c r="SY22" s="12">
        <f>SQ22*PaymentFee</f>
        <v/>
      </c>
      <c r="SZ22" s="12">
        <f>SK22*OpsAI</f>
        <v/>
      </c>
      <c r="TA22" s="12">
        <f>MonthlyFixed</f>
        <v/>
      </c>
      <c r="TB22" s="12">
        <f>RY22*ReferralReward</f>
        <v/>
      </c>
      <c r="TC22" s="12">
        <f>RW22</f>
        <v/>
      </c>
      <c r="TD22" s="9">
        <f>ST22-SX22-SY22-SZ22-TA22-TB22-TC22</f>
        <v/>
      </c>
      <c r="TE22" s="9">
        <f>TE21+SQ22-(SX22+SY22+SZ22+TA22+TB22+TC22+SV22)</f>
        <v/>
      </c>
      <c r="TF22" s="12">
        <f>IF(SK22&gt;0,SL22/SK22,0)</f>
        <v/>
      </c>
      <c r="TG22" s="11">
        <f>IF(SK21&gt;0,MAX(0,(SK21+RZ22-SK22)/SK21),0)</f>
        <v/>
      </c>
      <c r="TI22" s="12" t="n">
        <v>18</v>
      </c>
      <c r="TJ22" s="12">
        <f>MOD(TI22-1+LaunchMonth-1,12)+1</f>
        <v/>
      </c>
      <c r="TK22" s="12">
        <f>INT((TI22-1+LaunchMonth-1)/12)+1</f>
        <v/>
      </c>
      <c r="TL22" s="12">
        <f>VLOOKUP(TJ22,SeasonTable,2,FALSE)</f>
        <v/>
      </c>
      <c r="TM22" s="12">
        <f>(1+InflationRate)^INT((TI22-1)/12)</f>
        <v/>
      </c>
      <c r="TN22" s="11">
        <f>MonthlyChurn*VLOOKUP(TJ22,ChurnSeasonTable,4,FALSE)</f>
        <v/>
      </c>
      <c r="TO22" s="12">
        <f>MIN(MAX(MktMin13_18,UI21*MktPct13_18),MAX(0,UW21-CashBuffer))</f>
        <v/>
      </c>
      <c r="TP22" s="12">
        <f>IF(TO22&gt;0,MAX(1,ROUND(TO22/CAC*TL22,0)),0)</f>
        <v/>
      </c>
      <c r="TQ22" s="12">
        <f>IF(TP22&gt;0,ROUND(TP22*ReferralMix/(1-ReferralMix),0),0)</f>
        <v/>
      </c>
      <c r="TR22" s="12">
        <f>TP22+TQ22</f>
        <v/>
      </c>
      <c r="TS22" s="12">
        <f>ROUND(TR22*(1-'Sens - Annual Mix'!$A$9),0)</f>
        <v/>
      </c>
      <c r="TT22" s="12">
        <f>TR22-TS22</f>
        <v/>
      </c>
      <c r="TU22" s="12">
        <f>ROUND(TS22*EssentialMix,0)</f>
        <v/>
      </c>
      <c r="TV22" s="12">
        <f>TS22-TU22</f>
        <v/>
      </c>
      <c r="TW22" s="12">
        <f>ROUND(TT22*EssentialMix,0)</f>
        <v/>
      </c>
      <c r="TX22" s="12">
        <f>TT22-TW22</f>
        <v/>
      </c>
      <c r="TY22" s="12">
        <f>TU22+TU21+TU20+MAX(0,TY21-TU21-TU20)*(1-TN22)</f>
        <v/>
      </c>
      <c r="TZ22" s="12">
        <f>TV22+TV21+TV20+MAX(0,TZ21-TV21-TV20)*(1-TN22)</f>
        <v/>
      </c>
      <c r="UA22" s="12">
        <f>UA21+TW22-TW10*(AnnualChurn*VLOOKUP(TJ22,ChurnSeasonTable,4,FALSE))*POWER(1-(AnnualChurn*VLOOKUP(TJ22,ChurnSeasonTable,4,FALSE)),0)</f>
        <v/>
      </c>
      <c r="UB22" s="12">
        <f>UB21+TX22-TX10*(AnnualChurn*VLOOKUP(TJ22,ChurnSeasonTable,4,FALSE))*POWER(1-(AnnualChurn*VLOOKUP(TJ22,ChurnSeasonTable,4,FALSE)),0)</f>
        <v/>
      </c>
      <c r="UC22" s="12">
        <f>TY22+TZ22+UA22+UB22</f>
        <v/>
      </c>
      <c r="UD22" s="9">
        <f>TY22*PriceEssMonthly*TM22+TZ22*PricePremMonthly*TM22+UA22*PriceEssAnnual*TM22/12+UB22*PricePremAnnual*TM22/12</f>
        <v/>
      </c>
      <c r="UE22" s="9">
        <f>UD22*12</f>
        <v/>
      </c>
      <c r="UF22" s="12">
        <f>TY22*PriceEssMonthly*TM22+TZ22*PricePremMonthly*TM22</f>
        <v/>
      </c>
      <c r="UG22" s="12">
        <f>TW22*PriceEssAnnual*TM22+TX22*PricePremAnnual*TM22</f>
        <v/>
      </c>
      <c r="UH22" s="12">
        <f>TW10*POWER(1-(AnnualChurn*VLOOKUP(TJ22,ChurnSeasonTable,4,FALSE)),1)*PriceEssAnnual*TM22+TX10*POWER(1-(AnnualChurn*VLOOKUP(TJ22,ChurnSeasonTable,4,FALSE)),1)*PricePremAnnual*TM22</f>
        <v/>
      </c>
      <c r="UI22" s="9">
        <f>UF22+UG22+UH22</f>
        <v/>
      </c>
      <c r="UJ22" s="12">
        <f>SUM(UI11:UI22)</f>
        <v/>
      </c>
      <c r="UK22" s="12">
        <f>OR(UK21,UJ22&gt;=VATThreshold)</f>
        <v/>
      </c>
      <c r="UL22" s="9">
        <f>IF(UK22,UI22/(1+VATRate),UI22)</f>
        <v/>
      </c>
      <c r="UM22" s="12">
        <f>UI22-UL22</f>
        <v/>
      </c>
      <c r="UN22" s="12">
        <f>IF(UK22=0,0,IF(TJ22=1,SUMPRODUCT(--(($TK$5:$TK22=$TK22-1)*($TJ$5:$TJ22&gt;=10)*($TJ$5:$TJ22&lt;=12)),$UM$5:$UM22),IF(TJ22=4,SUMPRODUCT(--(($TK$5:$TK22=$TK22)*($TJ$5:$TJ22&gt;=1)*($TJ$5:$TJ22&lt;=3)),$UM$5:$UM22),IF(TJ22=7,SUMPRODUCT(--(($TK$5:$TK22=$TK22)*($TJ$5:$TJ22&gt;=4)*($TJ$5:$TJ22&lt;=6)),$UM$5:$UM22),IF(TJ22=10,SUMPRODUCT(--(($TK$5:$TK22=$TK22)*($TJ$5:$TJ22&gt;=7)*($TJ$5:$TJ22&lt;=9)),$UM$5:$UM22),0)))))</f>
        <v/>
      </c>
      <c r="UO22" s="12">
        <f>UO21+UM22-UN22</f>
        <v/>
      </c>
      <c r="UP22" s="12">
        <f>IF(ProviderDelay&gt;=1,UL21*ProviderShare,UL22*ProviderShare)</f>
        <v/>
      </c>
      <c r="UQ22" s="12">
        <f>UI22*PaymentFee</f>
        <v/>
      </c>
      <c r="UR22" s="12">
        <f>UC22*OpsAI</f>
        <v/>
      </c>
      <c r="US22" s="12">
        <f>MonthlyFixed</f>
        <v/>
      </c>
      <c r="UT22" s="12">
        <f>TQ22*ReferralReward</f>
        <v/>
      </c>
      <c r="UU22" s="12">
        <f>TO22</f>
        <v/>
      </c>
      <c r="UV22" s="9">
        <f>UL22-UP22-UQ22-UR22-US22-UT22-UU22</f>
        <v/>
      </c>
      <c r="UW22" s="9">
        <f>UW21+UI22-(UP22+UQ22+UR22+US22+UT22+UU22+UN22)</f>
        <v/>
      </c>
      <c r="UX22" s="12">
        <f>IF(UC22&gt;0,UD22/UC22,0)</f>
        <v/>
      </c>
      <c r="UY22" s="11">
        <f>IF(UC21&gt;0,MAX(0,(UC21+TR22-UC22)/UC21),0)</f>
        <v/>
      </c>
      <c r="VA22" s="12" t="n">
        <v>18</v>
      </c>
      <c r="VB22" s="12">
        <f>MOD(VA22-1+LaunchMonth-1,12)+1</f>
        <v/>
      </c>
      <c r="VC22" s="12">
        <f>INT((VA22-1+LaunchMonth-1)/12)+1</f>
        <v/>
      </c>
      <c r="VD22" s="12">
        <f>VLOOKUP(VB22,SeasonTable,2,FALSE)</f>
        <v/>
      </c>
      <c r="VE22" s="12">
        <f>(1+InflationRate)^INT((VA22-1)/12)</f>
        <v/>
      </c>
      <c r="VF22" s="11">
        <f>MonthlyChurn*VLOOKUP(VB22,ChurnSeasonTable,4,FALSE)</f>
        <v/>
      </c>
      <c r="VG22" s="12">
        <f>MIN(MAX(MktMin13_18,WA21*MktPct13_18),MAX(0,WO21-CashBuffer))</f>
        <v/>
      </c>
      <c r="VH22" s="12">
        <f>IF(VG22&gt;0,MAX(1,ROUND(VG22/CAC*VD22,0)),0)</f>
        <v/>
      </c>
      <c r="VI22" s="12">
        <f>IF(VH22&gt;0,ROUND(VH22*ReferralMix/(1-ReferralMix),0),0)</f>
        <v/>
      </c>
      <c r="VJ22" s="12">
        <f>VH22+VI22</f>
        <v/>
      </c>
      <c r="VK22" s="12">
        <f>ROUND(VJ22*(1-'Sens - Annual Mix'!$A$10),0)</f>
        <v/>
      </c>
      <c r="VL22" s="12">
        <f>VJ22-VK22</f>
        <v/>
      </c>
      <c r="VM22" s="12">
        <f>ROUND(VK22*EssentialMix,0)</f>
        <v/>
      </c>
      <c r="VN22" s="12">
        <f>VK22-VM22</f>
        <v/>
      </c>
      <c r="VO22" s="12">
        <f>ROUND(VL22*EssentialMix,0)</f>
        <v/>
      </c>
      <c r="VP22" s="12">
        <f>VL22-VO22</f>
        <v/>
      </c>
      <c r="VQ22" s="12">
        <f>VM22+VM21+VM20+MAX(0,VQ21-VM21-VM20)*(1-VF22)</f>
        <v/>
      </c>
      <c r="VR22" s="12">
        <f>VN22+VN21+VN20+MAX(0,VR21-VN21-VN20)*(1-VF22)</f>
        <v/>
      </c>
      <c r="VS22" s="12">
        <f>VS21+VO22-VO10*(AnnualChurn*VLOOKUP(VB22,ChurnSeasonTable,4,FALSE))*POWER(1-(AnnualChurn*VLOOKUP(VB22,ChurnSeasonTable,4,FALSE)),0)</f>
        <v/>
      </c>
      <c r="VT22" s="12">
        <f>VT21+VP22-VP10*(AnnualChurn*VLOOKUP(VB22,ChurnSeasonTable,4,FALSE))*POWER(1-(AnnualChurn*VLOOKUP(VB22,ChurnSeasonTable,4,FALSE)),0)</f>
        <v/>
      </c>
      <c r="VU22" s="12">
        <f>VQ22+VR22+VS22+VT22</f>
        <v/>
      </c>
      <c r="VV22" s="9">
        <f>VQ22*PriceEssMonthly*VE22+VR22*PricePremMonthly*VE22+VS22*PriceEssAnnual*VE22/12+VT22*PricePremAnnual*VE22/12</f>
        <v/>
      </c>
      <c r="VW22" s="9">
        <f>VV22*12</f>
        <v/>
      </c>
      <c r="VX22" s="12">
        <f>VQ22*PriceEssMonthly*VE22+VR22*PricePremMonthly*VE22</f>
        <v/>
      </c>
      <c r="VY22" s="12">
        <f>VO22*PriceEssAnnual*VE22+VP22*PricePremAnnual*VE22</f>
        <v/>
      </c>
      <c r="VZ22" s="12">
        <f>VO10*POWER(1-(AnnualChurn*VLOOKUP(VB22,ChurnSeasonTable,4,FALSE)),1)*PriceEssAnnual*VE22+VP10*POWER(1-(AnnualChurn*VLOOKUP(VB22,ChurnSeasonTable,4,FALSE)),1)*PricePremAnnual*VE22</f>
        <v/>
      </c>
      <c r="WA22" s="9">
        <f>VX22+VY22+VZ22</f>
        <v/>
      </c>
      <c r="WB22" s="12">
        <f>SUM(WA11:WA22)</f>
        <v/>
      </c>
      <c r="WC22" s="12">
        <f>OR(WC21,WB22&gt;=VATThreshold)</f>
        <v/>
      </c>
      <c r="WD22" s="9">
        <f>IF(WC22,WA22/(1+VATRate),WA22)</f>
        <v/>
      </c>
      <c r="WE22" s="12">
        <f>WA22-WD22</f>
        <v/>
      </c>
      <c r="WF22" s="12">
        <f>IF(WC22=0,0,IF(VB22=1,SUMPRODUCT(--(($VC$5:$VC22=$VC22-1)*($VB$5:$VB22&gt;=10)*($VB$5:$VB22&lt;=12)),$WE$5:$WE22),IF(VB22=4,SUMPRODUCT(--(($VC$5:$VC22=$VC22)*($VB$5:$VB22&gt;=1)*($VB$5:$VB22&lt;=3)),$WE$5:$WE22),IF(VB22=7,SUMPRODUCT(--(($VC$5:$VC22=$VC22)*($VB$5:$VB22&gt;=4)*($VB$5:$VB22&lt;=6)),$WE$5:$WE22),IF(VB22=10,SUMPRODUCT(--(($VC$5:$VC22=$VC22)*($VB$5:$VB22&gt;=7)*($VB$5:$VB22&lt;=9)),$WE$5:$WE22),0)))))</f>
        <v/>
      </c>
      <c r="WG22" s="12">
        <f>WG21+WE22-WF22</f>
        <v/>
      </c>
      <c r="WH22" s="12">
        <f>IF(ProviderDelay&gt;=1,WD21*ProviderShare,WD22*ProviderShare)</f>
        <v/>
      </c>
      <c r="WI22" s="12">
        <f>WA22*PaymentFee</f>
        <v/>
      </c>
      <c r="WJ22" s="12">
        <f>VU22*OpsAI</f>
        <v/>
      </c>
      <c r="WK22" s="12">
        <f>MonthlyFixed</f>
        <v/>
      </c>
      <c r="WL22" s="12">
        <f>VI22*ReferralReward</f>
        <v/>
      </c>
      <c r="WM22" s="12">
        <f>VG22</f>
        <v/>
      </c>
      <c r="WN22" s="9">
        <f>WD22-WH22-WI22-WJ22-WK22-WL22-WM22</f>
        <v/>
      </c>
      <c r="WO22" s="9">
        <f>WO21+WA22-(WH22+WI22+WJ22+WK22+WL22+WM22+WF22)</f>
        <v/>
      </c>
      <c r="WP22" s="12">
        <f>IF(VU22&gt;0,VV22/VU22,0)</f>
        <v/>
      </c>
      <c r="WQ22" s="11">
        <f>IF(VU21&gt;0,MAX(0,(VU21+VJ22-VU22)/VU21),0)</f>
        <v/>
      </c>
      <c r="WS22" s="12" t="n">
        <v>18</v>
      </c>
      <c r="WT22" s="12">
        <f>MOD(WS22-1+LaunchMonth-1,12)+1</f>
        <v/>
      </c>
      <c r="WU22" s="12">
        <f>INT((WS22-1+LaunchMonth-1)/12)+1</f>
        <v/>
      </c>
      <c r="WV22" s="12">
        <f>VLOOKUP(WT22,SeasonTable,2,FALSE)</f>
        <v/>
      </c>
      <c r="WW22" s="12">
        <f>(1+InflationRate)^INT((WS22-1)/12)</f>
        <v/>
      </c>
      <c r="WX22" s="11">
        <f>MonthlyChurn*VLOOKUP(WT22,ChurnSeasonTable,4,FALSE)</f>
        <v/>
      </c>
      <c r="WY22" s="12">
        <f>MIN(MAX(MktMin13_18,XS21*MktPct13_18),MAX(0,YG21-CashBuffer))</f>
        <v/>
      </c>
      <c r="WZ22" s="12">
        <f>IF(WY22&gt;0,MAX(1,ROUND(WY22/CAC*WV22,0)),0)</f>
        <v/>
      </c>
      <c r="XA22" s="12">
        <f>IF(WZ22&gt;0,ROUND(WZ22*ReferralMix/(1-ReferralMix),0),0)</f>
        <v/>
      </c>
      <c r="XB22" s="12">
        <f>WZ22+XA22</f>
        <v/>
      </c>
      <c r="XC22" s="12">
        <f>ROUND(XB22*(1-'Sens - Annual Mix'!$A$11),0)</f>
        <v/>
      </c>
      <c r="XD22" s="12">
        <f>XB22-XC22</f>
        <v/>
      </c>
      <c r="XE22" s="12">
        <f>ROUND(XC22*EssentialMix,0)</f>
        <v/>
      </c>
      <c r="XF22" s="12">
        <f>XC22-XE22</f>
        <v/>
      </c>
      <c r="XG22" s="12">
        <f>ROUND(XD22*EssentialMix,0)</f>
        <v/>
      </c>
      <c r="XH22" s="12">
        <f>XD22-XG22</f>
        <v/>
      </c>
      <c r="XI22" s="12">
        <f>XE22+XE21+XE20+MAX(0,XI21-XE21-XE20)*(1-WX22)</f>
        <v/>
      </c>
      <c r="XJ22" s="12">
        <f>XF22+XF21+XF20+MAX(0,XJ21-XF21-XF20)*(1-WX22)</f>
        <v/>
      </c>
      <c r="XK22" s="12">
        <f>XK21+XG22-XG10*(AnnualChurn*VLOOKUP(WT22,ChurnSeasonTable,4,FALSE))*POWER(1-(AnnualChurn*VLOOKUP(WT22,ChurnSeasonTable,4,FALSE)),0)</f>
        <v/>
      </c>
      <c r="XL22" s="12">
        <f>XL21+XH22-XH10*(AnnualChurn*VLOOKUP(WT22,ChurnSeasonTable,4,FALSE))*POWER(1-(AnnualChurn*VLOOKUP(WT22,ChurnSeasonTable,4,FALSE)),0)</f>
        <v/>
      </c>
      <c r="XM22" s="12">
        <f>XI22+XJ22+XK22+XL22</f>
        <v/>
      </c>
      <c r="XN22" s="9">
        <f>XI22*PriceEssMonthly*WW22+XJ22*PricePremMonthly*WW22+XK22*PriceEssAnnual*WW22/12+XL22*PricePremAnnual*WW22/12</f>
        <v/>
      </c>
      <c r="XO22" s="9">
        <f>XN22*12</f>
        <v/>
      </c>
      <c r="XP22" s="12">
        <f>XI22*PriceEssMonthly*WW22+XJ22*PricePremMonthly*WW22</f>
        <v/>
      </c>
      <c r="XQ22" s="12">
        <f>XG22*PriceEssAnnual*WW22+XH22*PricePremAnnual*WW22</f>
        <v/>
      </c>
      <c r="XR22" s="12">
        <f>XG10*POWER(1-(AnnualChurn*VLOOKUP(WT22,ChurnSeasonTable,4,FALSE)),1)*PriceEssAnnual*WW22+XH10*POWER(1-(AnnualChurn*VLOOKUP(WT22,ChurnSeasonTable,4,FALSE)),1)*PricePremAnnual*WW22</f>
        <v/>
      </c>
      <c r="XS22" s="9">
        <f>XP22+XQ22+XR22</f>
        <v/>
      </c>
      <c r="XT22" s="12">
        <f>SUM(XS11:XS22)</f>
        <v/>
      </c>
      <c r="XU22" s="12">
        <f>OR(XU21,XT22&gt;=VATThreshold)</f>
        <v/>
      </c>
      <c r="XV22" s="9">
        <f>IF(XU22,XS22/(1+VATRate),XS22)</f>
        <v/>
      </c>
      <c r="XW22" s="12">
        <f>XS22-XV22</f>
        <v/>
      </c>
      <c r="XX22" s="12">
        <f>IF(XU22=0,0,IF(WT22=1,SUMPRODUCT(--(($WU$5:$WU22=$WU22-1)*($WT$5:$WT22&gt;=10)*($WT$5:$WT22&lt;=12)),$XW$5:$XW22),IF(WT22=4,SUMPRODUCT(--(($WU$5:$WU22=$WU22)*($WT$5:$WT22&gt;=1)*($WT$5:$WT22&lt;=3)),$XW$5:$XW22),IF(WT22=7,SUMPRODUCT(--(($WU$5:$WU22=$WU22)*($WT$5:$WT22&gt;=4)*($WT$5:$WT22&lt;=6)),$XW$5:$XW22),IF(WT22=10,SUMPRODUCT(--(($WU$5:$WU22=$WU22)*($WT$5:$WT22&gt;=7)*($WT$5:$WT22&lt;=9)),$XW$5:$XW22),0)))))</f>
        <v/>
      </c>
      <c r="XY22" s="12">
        <f>XY21+XW22-XX22</f>
        <v/>
      </c>
      <c r="XZ22" s="12">
        <f>IF(ProviderDelay&gt;=1,XV21*ProviderShare,XV22*ProviderShare)</f>
        <v/>
      </c>
      <c r="YA22" s="12">
        <f>XS22*PaymentFee</f>
        <v/>
      </c>
      <c r="YB22" s="12">
        <f>XM22*OpsAI</f>
        <v/>
      </c>
      <c r="YC22" s="12">
        <f>MonthlyFixed</f>
        <v/>
      </c>
      <c r="YD22" s="12">
        <f>XA22*ReferralReward</f>
        <v/>
      </c>
      <c r="YE22" s="12">
        <f>WY22</f>
        <v/>
      </c>
      <c r="YF22" s="9">
        <f>XV22-XZ22-YA22-YB22-YC22-YD22-YE22</f>
        <v/>
      </c>
      <c r="YG22" s="9">
        <f>YG21+XS22-(XZ22+YA22+YB22+YC22+YD22+YE22+XX22)</f>
        <v/>
      </c>
      <c r="YH22" s="12">
        <f>IF(XM22&gt;0,XN22/XM22,0)</f>
        <v/>
      </c>
      <c r="YI22" s="11">
        <f>IF(XM21&gt;0,MAX(0,(XM21+XB22-XM22)/XM21),0)</f>
        <v/>
      </c>
      <c r="YK22" s="12" t="n">
        <v>18</v>
      </c>
      <c r="YL22" s="12">
        <f>MOD(YK22-1+LaunchMonth-1,12)+1</f>
        <v/>
      </c>
      <c r="YM22" s="12">
        <f>INT((YK22-1+LaunchMonth-1)/12)+1</f>
        <v/>
      </c>
      <c r="YN22" s="12">
        <f>VLOOKUP(YL22,SeasonTable,2,FALSE)</f>
        <v/>
      </c>
      <c r="YO22" s="12">
        <f>(1+InflationRate)^INT((YK22-1)/12)</f>
        <v/>
      </c>
      <c r="YP22" s="11">
        <f>MonthlyChurn*VLOOKUP(YL22,ChurnSeasonTable,4,FALSE)</f>
        <v/>
      </c>
      <c r="YQ22" s="12">
        <f>MIN(MAX(MktMin13_18,ZK21*MktPct13_18),MAX(0,ZY21-CashBuffer))</f>
        <v/>
      </c>
      <c r="YR22" s="12">
        <f>IF(YQ22&gt;0,MAX(1,ROUND(YQ22/CAC*YN22,0)),0)</f>
        <v/>
      </c>
      <c r="YS22" s="12">
        <f>IF(YR22&gt;0,ROUND(YR22*ReferralMix/(1-ReferralMix),0),0)</f>
        <v/>
      </c>
      <c r="YT22" s="12">
        <f>YR22+YS22</f>
        <v/>
      </c>
      <c r="YU22" s="12">
        <f>ROUND(YT22*(1-'Sens - Annual Mix'!$A$12),0)</f>
        <v/>
      </c>
      <c r="YV22" s="12">
        <f>YT22-YU22</f>
        <v/>
      </c>
      <c r="YW22" s="12">
        <f>ROUND(YU22*EssentialMix,0)</f>
        <v/>
      </c>
      <c r="YX22" s="12">
        <f>YU22-YW22</f>
        <v/>
      </c>
      <c r="YY22" s="12">
        <f>ROUND(YV22*EssentialMix,0)</f>
        <v/>
      </c>
      <c r="YZ22" s="12">
        <f>YV22-YY22</f>
        <v/>
      </c>
      <c r="ZA22" s="12">
        <f>YW22+YW21+YW20+MAX(0,ZA21-YW21-YW20)*(1-YP22)</f>
        <v/>
      </c>
      <c r="ZB22" s="12">
        <f>YX22+YX21+YX20+MAX(0,ZB21-YX21-YX20)*(1-YP22)</f>
        <v/>
      </c>
      <c r="ZC22" s="12">
        <f>ZC21+YY22-YY10*(AnnualChurn*VLOOKUP(YL22,ChurnSeasonTable,4,FALSE))*POWER(1-(AnnualChurn*VLOOKUP(YL22,ChurnSeasonTable,4,FALSE)),0)</f>
        <v/>
      </c>
      <c r="ZD22" s="12">
        <f>ZD21+YZ22-YZ10*(AnnualChurn*VLOOKUP(YL22,ChurnSeasonTable,4,FALSE))*POWER(1-(AnnualChurn*VLOOKUP(YL22,ChurnSeasonTable,4,FALSE)),0)</f>
        <v/>
      </c>
      <c r="ZE22" s="12">
        <f>ZA22+ZB22+ZC22+ZD22</f>
        <v/>
      </c>
      <c r="ZF22" s="9">
        <f>ZA22*PriceEssMonthly*YO22+ZB22*PricePremMonthly*YO22+ZC22*PriceEssAnnual*YO22/12+ZD22*PricePremAnnual*YO22/12</f>
        <v/>
      </c>
      <c r="ZG22" s="9">
        <f>ZF22*12</f>
        <v/>
      </c>
      <c r="ZH22" s="12">
        <f>ZA22*PriceEssMonthly*YO22+ZB22*PricePremMonthly*YO22</f>
        <v/>
      </c>
      <c r="ZI22" s="12">
        <f>YY22*PriceEssAnnual*YO22+YZ22*PricePremAnnual*YO22</f>
        <v/>
      </c>
      <c r="ZJ22" s="12">
        <f>YY10*POWER(1-(AnnualChurn*VLOOKUP(YL22,ChurnSeasonTable,4,FALSE)),1)*PriceEssAnnual*YO22+YZ10*POWER(1-(AnnualChurn*VLOOKUP(YL22,ChurnSeasonTable,4,FALSE)),1)*PricePremAnnual*YO22</f>
        <v/>
      </c>
      <c r="ZK22" s="9">
        <f>ZH22+ZI22+ZJ22</f>
        <v/>
      </c>
      <c r="ZL22" s="12">
        <f>SUM(ZK11:ZK22)</f>
        <v/>
      </c>
      <c r="ZM22" s="12">
        <f>OR(ZM21,ZL22&gt;=VATThreshold)</f>
        <v/>
      </c>
      <c r="ZN22" s="9">
        <f>IF(ZM22,ZK22/(1+VATRate),ZK22)</f>
        <v/>
      </c>
      <c r="ZO22" s="12">
        <f>ZK22-ZN22</f>
        <v/>
      </c>
      <c r="ZP22" s="12">
        <f>IF(ZM22=0,0,IF(YL22=1,SUMPRODUCT(--(($YM$5:$YM22=$YM22-1)*($YL$5:$YL22&gt;=10)*($YL$5:$YL22&lt;=12)),$ZO$5:$ZO22),IF(YL22=4,SUMPRODUCT(--(($YM$5:$YM22=$YM22)*($YL$5:$YL22&gt;=1)*($YL$5:$YL22&lt;=3)),$ZO$5:$ZO22),IF(YL22=7,SUMPRODUCT(--(($YM$5:$YM22=$YM22)*($YL$5:$YL22&gt;=4)*($YL$5:$YL22&lt;=6)),$ZO$5:$ZO22),IF(YL22=10,SUMPRODUCT(--(($YM$5:$YM22=$YM22)*($YL$5:$YL22&gt;=7)*($YL$5:$YL22&lt;=9)),$ZO$5:$ZO22),0)))))</f>
        <v/>
      </c>
      <c r="ZQ22" s="12">
        <f>ZQ21+ZO22-ZP22</f>
        <v/>
      </c>
      <c r="ZR22" s="12">
        <f>IF(ProviderDelay&gt;=1,ZN21*ProviderShare,ZN22*ProviderShare)</f>
        <v/>
      </c>
      <c r="ZS22" s="12">
        <f>ZK22*PaymentFee</f>
        <v/>
      </c>
      <c r="ZT22" s="12">
        <f>ZE22*OpsAI</f>
        <v/>
      </c>
      <c r="ZU22" s="12">
        <f>MonthlyFixed</f>
        <v/>
      </c>
      <c r="ZV22" s="12">
        <f>YS22*ReferralReward</f>
        <v/>
      </c>
      <c r="ZW22" s="12">
        <f>YQ22</f>
        <v/>
      </c>
      <c r="ZX22" s="9">
        <f>ZN22-ZR22-ZS22-ZT22-ZU22-ZV22-ZW22</f>
        <v/>
      </c>
      <c r="ZY22" s="9">
        <f>ZY21+ZK22-(ZR22+ZS22+ZT22+ZU22+ZV22+ZW22+ZP22)</f>
        <v/>
      </c>
      <c r="ZZ22" s="12">
        <f>IF(ZE22&gt;0,ZF22/ZE22,0)</f>
        <v/>
      </c>
      <c r="AAA22" s="11">
        <f>IF(ZE21&gt;0,MAX(0,(ZE21+YT22-ZE22)/ZE21),0)</f>
        <v/>
      </c>
      <c r="AAC22" s="12" t="n">
        <v>18</v>
      </c>
      <c r="AAD22" s="12">
        <f>MOD(AAC22-1+LaunchMonth-1,12)+1</f>
        <v/>
      </c>
      <c r="AAE22" s="12">
        <f>INT((AAC22-1+LaunchMonth-1)/12)+1</f>
        <v/>
      </c>
      <c r="AAF22" s="12">
        <f>VLOOKUP(AAD22,SeasonTable,2,FALSE)</f>
        <v/>
      </c>
      <c r="AAG22" s="12">
        <f>(1+InflationRate)^INT((AAC22-1)/12)</f>
        <v/>
      </c>
      <c r="AAH22" s="11">
        <f>MonthlyChurn*VLOOKUP(AAD22,ChurnSeasonTable,4,FALSE)</f>
        <v/>
      </c>
      <c r="AAI22" s="12">
        <f>MIN(MAX(MktMin13_18,ABC21*MktPct13_18),MAX(0,ABQ21-CashBuffer))</f>
        <v/>
      </c>
      <c r="AAJ22" s="12">
        <f>IF(AAI22&gt;0,MAX(1,ROUND(AAI22/CAC*AAF22,0)),0)</f>
        <v/>
      </c>
      <c r="AAK22" s="12">
        <f>IF(AAJ22&gt;0,ROUND(AAJ22*ReferralMix/(1-ReferralMix),0),0)</f>
        <v/>
      </c>
      <c r="AAL22" s="12">
        <f>AAJ22+AAK22</f>
        <v/>
      </c>
      <c r="AAM22" s="12">
        <f>ROUND(AAL22*(1-'Sens - Annual Mix'!$A$13),0)</f>
        <v/>
      </c>
      <c r="AAN22" s="12">
        <f>AAL22-AAM22</f>
        <v/>
      </c>
      <c r="AAO22" s="12">
        <f>ROUND(AAM22*EssentialMix,0)</f>
        <v/>
      </c>
      <c r="AAP22" s="12">
        <f>AAM22-AAO22</f>
        <v/>
      </c>
      <c r="AAQ22" s="12">
        <f>ROUND(AAN22*EssentialMix,0)</f>
        <v/>
      </c>
      <c r="AAR22" s="12">
        <f>AAN22-AAQ22</f>
        <v/>
      </c>
      <c r="AAS22" s="12">
        <f>AAO22+AAO21+AAO20+MAX(0,AAS21-AAO21-AAO20)*(1-AAH22)</f>
        <v/>
      </c>
      <c r="AAT22" s="12">
        <f>AAP22+AAP21+AAP20+MAX(0,AAT21-AAP21-AAP20)*(1-AAH22)</f>
        <v/>
      </c>
      <c r="AAU22" s="12">
        <f>AAU21+AAQ22-AAQ10*(AnnualChurn*VLOOKUP(AAD22,ChurnSeasonTable,4,FALSE))*POWER(1-(AnnualChurn*VLOOKUP(AAD22,ChurnSeasonTable,4,FALSE)),0)</f>
        <v/>
      </c>
      <c r="AAV22" s="12">
        <f>AAV21+AAR22-AAR10*(AnnualChurn*VLOOKUP(AAD22,ChurnSeasonTable,4,FALSE))*POWER(1-(AnnualChurn*VLOOKUP(AAD22,ChurnSeasonTable,4,FALSE)),0)</f>
        <v/>
      </c>
      <c r="AAW22" s="12">
        <f>AAS22+AAT22+AAU22+AAV22</f>
        <v/>
      </c>
      <c r="AAX22" s="9">
        <f>AAS22*PriceEssMonthly*AAG22+AAT22*PricePremMonthly*AAG22+AAU22*PriceEssAnnual*AAG22/12+AAV22*PricePremAnnual*AAG22/12</f>
        <v/>
      </c>
      <c r="AAY22" s="9">
        <f>AAX22*12</f>
        <v/>
      </c>
      <c r="AAZ22" s="12">
        <f>AAS22*PriceEssMonthly*AAG22+AAT22*PricePremMonthly*AAG22</f>
        <v/>
      </c>
      <c r="ABA22" s="12">
        <f>AAQ22*PriceEssAnnual*AAG22+AAR22*PricePremAnnual*AAG22</f>
        <v/>
      </c>
      <c r="ABB22" s="12">
        <f>AAQ10*POWER(1-(AnnualChurn*VLOOKUP(AAD22,ChurnSeasonTable,4,FALSE)),1)*PriceEssAnnual*AAG22+AAR10*POWER(1-(AnnualChurn*VLOOKUP(AAD22,ChurnSeasonTable,4,FALSE)),1)*PricePremAnnual*AAG22</f>
        <v/>
      </c>
      <c r="ABC22" s="9">
        <f>AAZ22+ABA22+ABB22</f>
        <v/>
      </c>
      <c r="ABD22" s="12">
        <f>SUM(ABC11:ABC22)</f>
        <v/>
      </c>
      <c r="ABE22" s="12">
        <f>OR(ABE21,ABD22&gt;=VATThreshold)</f>
        <v/>
      </c>
      <c r="ABF22" s="9">
        <f>IF(ABE22,ABC22/(1+VATRate),ABC22)</f>
        <v/>
      </c>
      <c r="ABG22" s="12">
        <f>ABC22-ABF22</f>
        <v/>
      </c>
      <c r="ABH22" s="12">
        <f>IF(ABE22=0,0,IF(AAD22=1,SUMPRODUCT(--(($AAE$5:$AAE22=$AAE22-1)*($AAD$5:$AAD22&gt;=10)*($AAD$5:$AAD22&lt;=12)),$ABG$5:$ABG22),IF(AAD22=4,SUMPRODUCT(--(($AAE$5:$AAE22=$AAE22)*($AAD$5:$AAD22&gt;=1)*($AAD$5:$AAD22&lt;=3)),$ABG$5:$ABG22),IF(AAD22=7,SUMPRODUCT(--(($AAE$5:$AAE22=$AAE22)*($AAD$5:$AAD22&gt;=4)*($AAD$5:$AAD22&lt;=6)),$ABG$5:$ABG22),IF(AAD22=10,SUMPRODUCT(--(($AAE$5:$AAE22=$AAE22)*($AAD$5:$AAD22&gt;=7)*($AAD$5:$AAD22&lt;=9)),$ABG$5:$ABG22),0)))))</f>
        <v/>
      </c>
      <c r="ABI22" s="12">
        <f>ABI21+ABG22-ABH22</f>
        <v/>
      </c>
      <c r="ABJ22" s="12">
        <f>IF(ProviderDelay&gt;=1,ABF21*ProviderShare,ABF22*ProviderShare)</f>
        <v/>
      </c>
      <c r="ABK22" s="12">
        <f>ABC22*PaymentFee</f>
        <v/>
      </c>
      <c r="ABL22" s="12">
        <f>AAW22*OpsAI</f>
        <v/>
      </c>
      <c r="ABM22" s="12">
        <f>MonthlyFixed</f>
        <v/>
      </c>
      <c r="ABN22" s="12">
        <f>AAK22*ReferralReward</f>
        <v/>
      </c>
      <c r="ABO22" s="12">
        <f>AAI22</f>
        <v/>
      </c>
      <c r="ABP22" s="9">
        <f>ABF22-ABJ22-ABK22-ABL22-ABM22-ABN22-ABO22</f>
        <v/>
      </c>
      <c r="ABQ22" s="9">
        <f>ABQ21+ABC22-(ABJ22+ABK22+ABL22+ABM22+ABN22+ABO22+ABH22)</f>
        <v/>
      </c>
      <c r="ABR22" s="12">
        <f>IF(AAW22&gt;0,AAX22/AAW22,0)</f>
        <v/>
      </c>
      <c r="ABS22" s="11">
        <f>IF(AAW21&gt;0,MAX(0,(AAW21+AAL22-AAW22)/AAW21),0)</f>
        <v/>
      </c>
      <c r="ABU22" s="12" t="n">
        <v>18</v>
      </c>
      <c r="ABV22" s="12">
        <f>MOD(ABU22-1+LaunchMonth-1,12)+1</f>
        <v/>
      </c>
      <c r="ABW22" s="12">
        <f>INT((ABU22-1+LaunchMonth-1)/12)+1</f>
        <v/>
      </c>
      <c r="ABX22" s="12">
        <f>VLOOKUP(ABV22,SeasonTable,2,FALSE)</f>
        <v/>
      </c>
      <c r="ABY22" s="12">
        <f>(1+InflationRate)^INT((ABU22-1)/12)</f>
        <v/>
      </c>
      <c r="ABZ22" s="11">
        <f>MonthlyChurn*VLOOKUP(ABV22,ChurnSeasonTable,4,FALSE)</f>
        <v/>
      </c>
      <c r="ACA22" s="12">
        <f>MIN(MAX(MktMin13_18,ACU21*MktPct13_18),MAX(0,ADI21-CashBuffer))</f>
        <v/>
      </c>
      <c r="ACB22" s="12">
        <f>IF(ACA22&gt;0,MAX(1,ROUND(ACA22/CAC*ABX22,0)),0)</f>
        <v/>
      </c>
      <c r="ACC22" s="12">
        <f>IF(ACB22&gt;0,ROUND(ACB22*ReferralMix/(1-ReferralMix),0),0)</f>
        <v/>
      </c>
      <c r="ACD22" s="12">
        <f>ACB22+ACC22</f>
        <v/>
      </c>
      <c r="ACE22" s="12">
        <f>ROUND(ACD22*(1-'Sens - Annual Mix'!$A$14),0)</f>
        <v/>
      </c>
      <c r="ACF22" s="12">
        <f>ACD22-ACE22</f>
        <v/>
      </c>
      <c r="ACG22" s="12">
        <f>ROUND(ACE22*EssentialMix,0)</f>
        <v/>
      </c>
      <c r="ACH22" s="12">
        <f>ACE22-ACG22</f>
        <v/>
      </c>
      <c r="ACI22" s="12">
        <f>ROUND(ACF22*EssentialMix,0)</f>
        <v/>
      </c>
      <c r="ACJ22" s="12">
        <f>ACF22-ACI22</f>
        <v/>
      </c>
      <c r="ACK22" s="12">
        <f>ACG22+ACG21+ACG20+MAX(0,ACK21-ACG21-ACG20)*(1-ABZ22)</f>
        <v/>
      </c>
      <c r="ACL22" s="12">
        <f>ACH22+ACH21+ACH20+MAX(0,ACL21-ACH21-ACH20)*(1-ABZ22)</f>
        <v/>
      </c>
      <c r="ACM22" s="12">
        <f>ACM21+ACI22-ACI10*(AnnualChurn*VLOOKUP(ABV22,ChurnSeasonTable,4,FALSE))*POWER(1-(AnnualChurn*VLOOKUP(ABV22,ChurnSeasonTable,4,FALSE)),0)</f>
        <v/>
      </c>
      <c r="ACN22" s="12">
        <f>ACN21+ACJ22-ACJ10*(AnnualChurn*VLOOKUP(ABV22,ChurnSeasonTable,4,FALSE))*POWER(1-(AnnualChurn*VLOOKUP(ABV22,ChurnSeasonTable,4,FALSE)),0)</f>
        <v/>
      </c>
      <c r="ACO22" s="12">
        <f>ACK22+ACL22+ACM22+ACN22</f>
        <v/>
      </c>
      <c r="ACP22" s="9">
        <f>ACK22*PriceEssMonthly*ABY22+ACL22*PricePremMonthly*ABY22+ACM22*PriceEssAnnual*ABY22/12+ACN22*PricePremAnnual*ABY22/12</f>
        <v/>
      </c>
      <c r="ACQ22" s="9">
        <f>ACP22*12</f>
        <v/>
      </c>
      <c r="ACR22" s="12">
        <f>ACK22*PriceEssMonthly*ABY22+ACL22*PricePremMonthly*ABY22</f>
        <v/>
      </c>
      <c r="ACS22" s="12">
        <f>ACI22*PriceEssAnnual*ABY22+ACJ22*PricePremAnnual*ABY22</f>
        <v/>
      </c>
      <c r="ACT22" s="12">
        <f>ACI10*POWER(1-(AnnualChurn*VLOOKUP(ABV22,ChurnSeasonTable,4,FALSE)),1)*PriceEssAnnual*ABY22+ACJ10*POWER(1-(AnnualChurn*VLOOKUP(ABV22,ChurnSeasonTable,4,FALSE)),1)*PricePremAnnual*ABY22</f>
        <v/>
      </c>
      <c r="ACU22" s="9">
        <f>ACR22+ACS22+ACT22</f>
        <v/>
      </c>
      <c r="ACV22" s="12">
        <f>SUM(ACU11:ACU22)</f>
        <v/>
      </c>
      <c r="ACW22" s="12">
        <f>OR(ACW21,ACV22&gt;=VATThreshold)</f>
        <v/>
      </c>
      <c r="ACX22" s="9">
        <f>IF(ACW22,ACU22/(1+VATRate),ACU22)</f>
        <v/>
      </c>
      <c r="ACY22" s="12">
        <f>ACU22-ACX22</f>
        <v/>
      </c>
      <c r="ACZ22" s="12">
        <f>IF(ACW22=0,0,IF(ABV22=1,SUMPRODUCT(--(($ABW$5:$ABW22=$ABW22-1)*($ABV$5:$ABV22&gt;=10)*($ABV$5:$ABV22&lt;=12)),$ACY$5:$ACY22),IF(ABV22=4,SUMPRODUCT(--(($ABW$5:$ABW22=$ABW22)*($ABV$5:$ABV22&gt;=1)*($ABV$5:$ABV22&lt;=3)),$ACY$5:$ACY22),IF(ABV22=7,SUMPRODUCT(--(($ABW$5:$ABW22=$ABW22)*($ABV$5:$ABV22&gt;=4)*($ABV$5:$ABV22&lt;=6)),$ACY$5:$ACY22),IF(ABV22=10,SUMPRODUCT(--(($ABW$5:$ABW22=$ABW22)*($ABV$5:$ABV22&gt;=7)*($ABV$5:$ABV22&lt;=9)),$ACY$5:$ACY22),0)))))</f>
        <v/>
      </c>
      <c r="ADA22" s="12">
        <f>ADA21+ACY22-ACZ22</f>
        <v/>
      </c>
      <c r="ADB22" s="12">
        <f>IF(ProviderDelay&gt;=1,ACX21*ProviderShare,ACX22*ProviderShare)</f>
        <v/>
      </c>
      <c r="ADC22" s="12">
        <f>ACU22*PaymentFee</f>
        <v/>
      </c>
      <c r="ADD22" s="12">
        <f>ACO22*OpsAI</f>
        <v/>
      </c>
      <c r="ADE22" s="12">
        <f>MonthlyFixed</f>
        <v/>
      </c>
      <c r="ADF22" s="12">
        <f>ACC22*ReferralReward</f>
        <v/>
      </c>
      <c r="ADG22" s="12">
        <f>ACA22</f>
        <v/>
      </c>
      <c r="ADH22" s="9">
        <f>ACX22-ADB22-ADC22-ADD22-ADE22-ADF22-ADG22</f>
        <v/>
      </c>
      <c r="ADI22" s="9">
        <f>ADI21+ACU22-(ADB22+ADC22+ADD22+ADE22+ADF22+ADG22+ACZ22)</f>
        <v/>
      </c>
      <c r="ADJ22" s="12">
        <f>IF(ACO22&gt;0,ACP22/ACO22,0)</f>
        <v/>
      </c>
      <c r="ADK22" s="11">
        <f>IF(ACO21&gt;0,MAX(0,(ACO21+ACD22-ACO22)/ACO21),0)</f>
        <v/>
      </c>
      <c r="ADM22" s="12" t="n">
        <v>18</v>
      </c>
      <c r="ADN22" s="12">
        <f>MOD(ADM22-1+LaunchMonth-1,12)+1</f>
        <v/>
      </c>
      <c r="ADO22" s="12">
        <f>INT((ADM22-1+LaunchMonth-1)/12)+1</f>
        <v/>
      </c>
      <c r="ADP22" s="12">
        <f>VLOOKUP(ADN22,SeasonTable,2,FALSE)</f>
        <v/>
      </c>
      <c r="ADQ22" s="12">
        <f>(1+InflationRate)^INT((ADM22-1)/12)</f>
        <v/>
      </c>
      <c r="ADR22" s="11">
        <f>MonthlyChurn*VLOOKUP(ADN22,ChurnSeasonTable,4,FALSE)</f>
        <v/>
      </c>
      <c r="ADS22" s="12">
        <f>MIN(MAX(MktMin13_18,AEM21*MktPct13_18),MAX(0,AFA21-CashBuffer))</f>
        <v/>
      </c>
      <c r="ADT22" s="12">
        <f>IF(ADS22&gt;0,MAX(1,ROUND(ADS22/CAC*ADP22,0)),0)</f>
        <v/>
      </c>
      <c r="ADU22" s="12">
        <f>IF(ADT22&gt;0,ROUND(ADT22*ReferralMix/(1-ReferralMix),0),0)</f>
        <v/>
      </c>
      <c r="ADV22" s="12">
        <f>ADT22+ADU22</f>
        <v/>
      </c>
      <c r="ADW22" s="12">
        <f>ROUND(ADV22*(1-'Sens - Annual Mix'!$A$15),0)</f>
        <v/>
      </c>
      <c r="ADX22" s="12">
        <f>ADV22-ADW22</f>
        <v/>
      </c>
      <c r="ADY22" s="12">
        <f>ROUND(ADW22*EssentialMix,0)</f>
        <v/>
      </c>
      <c r="ADZ22" s="12">
        <f>ADW22-ADY22</f>
        <v/>
      </c>
      <c r="AEA22" s="12">
        <f>ROUND(ADX22*EssentialMix,0)</f>
        <v/>
      </c>
      <c r="AEB22" s="12">
        <f>ADX22-AEA22</f>
        <v/>
      </c>
      <c r="AEC22" s="12">
        <f>ADY22+ADY21+ADY20+MAX(0,AEC21-ADY21-ADY20)*(1-ADR22)</f>
        <v/>
      </c>
      <c r="AED22" s="12">
        <f>ADZ22+ADZ21+ADZ20+MAX(0,AED21-ADZ21-ADZ20)*(1-ADR22)</f>
        <v/>
      </c>
      <c r="AEE22" s="12">
        <f>AEE21+AEA22-AEA10*(AnnualChurn*VLOOKUP(ADN22,ChurnSeasonTable,4,FALSE))*POWER(1-(AnnualChurn*VLOOKUP(ADN22,ChurnSeasonTable,4,FALSE)),0)</f>
        <v/>
      </c>
      <c r="AEF22" s="12">
        <f>AEF21+AEB22-AEB10*(AnnualChurn*VLOOKUP(ADN22,ChurnSeasonTable,4,FALSE))*POWER(1-(AnnualChurn*VLOOKUP(ADN22,ChurnSeasonTable,4,FALSE)),0)</f>
        <v/>
      </c>
      <c r="AEG22" s="12">
        <f>AEC22+AED22+AEE22+AEF22</f>
        <v/>
      </c>
      <c r="AEH22" s="9">
        <f>AEC22*PriceEssMonthly*ADQ22+AED22*PricePremMonthly*ADQ22+AEE22*PriceEssAnnual*ADQ22/12+AEF22*PricePremAnnual*ADQ22/12</f>
        <v/>
      </c>
      <c r="AEI22" s="9">
        <f>AEH22*12</f>
        <v/>
      </c>
      <c r="AEJ22" s="12">
        <f>AEC22*PriceEssMonthly*ADQ22+AED22*PricePremMonthly*ADQ22</f>
        <v/>
      </c>
      <c r="AEK22" s="12">
        <f>AEA22*PriceEssAnnual*ADQ22+AEB22*PricePremAnnual*ADQ22</f>
        <v/>
      </c>
      <c r="AEL22" s="12">
        <f>AEA10*POWER(1-(AnnualChurn*VLOOKUP(ADN22,ChurnSeasonTable,4,FALSE)),1)*PriceEssAnnual*ADQ22+AEB10*POWER(1-(AnnualChurn*VLOOKUP(ADN22,ChurnSeasonTable,4,FALSE)),1)*PricePremAnnual*ADQ22</f>
        <v/>
      </c>
      <c r="AEM22" s="9">
        <f>AEJ22+AEK22+AEL22</f>
        <v/>
      </c>
      <c r="AEN22" s="12">
        <f>SUM(AEM11:AEM22)</f>
        <v/>
      </c>
      <c r="AEO22" s="12">
        <f>OR(AEO21,AEN22&gt;=VATThreshold)</f>
        <v/>
      </c>
      <c r="AEP22" s="9">
        <f>IF(AEO22,AEM22/(1+VATRate),AEM22)</f>
        <v/>
      </c>
      <c r="AEQ22" s="12">
        <f>AEM22-AEP22</f>
        <v/>
      </c>
      <c r="AER22" s="12">
        <f>IF(AEO22=0,0,IF(ADN22=1,SUMPRODUCT(--(($ADO$5:$ADO22=$ADO22-1)*($ADN$5:$ADN22&gt;=10)*($ADN$5:$ADN22&lt;=12)),$AEQ$5:$AEQ22),IF(ADN22=4,SUMPRODUCT(--(($ADO$5:$ADO22=$ADO22)*($ADN$5:$ADN22&gt;=1)*($ADN$5:$ADN22&lt;=3)),$AEQ$5:$AEQ22),IF(ADN22=7,SUMPRODUCT(--(($ADO$5:$ADO22=$ADO22)*($ADN$5:$ADN22&gt;=4)*($ADN$5:$ADN22&lt;=6)),$AEQ$5:$AEQ22),IF(ADN22=10,SUMPRODUCT(--(($ADO$5:$ADO22=$ADO22)*($ADN$5:$ADN22&gt;=7)*($ADN$5:$ADN22&lt;=9)),$AEQ$5:$AEQ22),0)))))</f>
        <v/>
      </c>
      <c r="AES22" s="12">
        <f>AES21+AEQ22-AER22</f>
        <v/>
      </c>
      <c r="AET22" s="12">
        <f>IF(ProviderDelay&gt;=1,AEP21*ProviderShare,AEP22*ProviderShare)</f>
        <v/>
      </c>
      <c r="AEU22" s="12">
        <f>AEM22*PaymentFee</f>
        <v/>
      </c>
      <c r="AEV22" s="12">
        <f>AEG22*OpsAI</f>
        <v/>
      </c>
      <c r="AEW22" s="12">
        <f>MonthlyFixed</f>
        <v/>
      </c>
      <c r="AEX22" s="12">
        <f>ADU22*ReferralReward</f>
        <v/>
      </c>
      <c r="AEY22" s="12">
        <f>ADS22</f>
        <v/>
      </c>
      <c r="AEZ22" s="9">
        <f>AEP22-AET22-AEU22-AEV22-AEW22-AEX22-AEY22</f>
        <v/>
      </c>
      <c r="AFA22" s="9">
        <f>AFA21+AEM22-(AET22+AEU22+AEV22+AEW22+AEX22+AEY22+AER22)</f>
        <v/>
      </c>
      <c r="AFB22" s="12">
        <f>IF(AEG22&gt;0,AEH22/AEG22,0)</f>
        <v/>
      </c>
      <c r="AFC22" s="11">
        <f>IF(AEG21&gt;0,MAX(0,(AEG21+ADV22-AEG22)/AEG21),0)</f>
        <v/>
      </c>
      <c r="AFE22" s="12" t="n">
        <v>18</v>
      </c>
      <c r="AFF22" s="12">
        <f>MOD(AFE22-1+LaunchMonth-1,12)+1</f>
        <v/>
      </c>
      <c r="AFG22" s="12">
        <f>INT((AFE22-1+LaunchMonth-1)/12)+1</f>
        <v/>
      </c>
      <c r="AFH22" s="12">
        <f>VLOOKUP(AFF22,SeasonTable,2,FALSE)</f>
        <v/>
      </c>
      <c r="AFI22" s="12">
        <f>(1+InflationRate)^INT((AFE22-1)/12)</f>
        <v/>
      </c>
      <c r="AFJ22" s="11">
        <f>MonthlyChurn*VLOOKUP(AFF22,ChurnSeasonTable,4,FALSE)</f>
        <v/>
      </c>
      <c r="AFK22" s="12">
        <f>MIN(MAX(MktMin13_18,AGE21*MktPct13_18),MAX(0,AGS21-CashBuffer))</f>
        <v/>
      </c>
      <c r="AFL22" s="12">
        <f>IF(AFK22&gt;0,MAX(1,ROUND(AFK22/'Sens - CAC &amp; Marketing'!$A$9*AFH22,0)),0)</f>
        <v/>
      </c>
      <c r="AFM22" s="12">
        <f>IF(AFL22&gt;0,ROUND(AFL22*ReferralMix/(1-ReferralMix),0),0)</f>
        <v/>
      </c>
      <c r="AFN22" s="12">
        <f>AFL22+AFM22</f>
        <v/>
      </c>
      <c r="AFO22" s="12">
        <f>ROUND(AFN22*(1-AnnualMix),0)</f>
        <v/>
      </c>
      <c r="AFP22" s="12">
        <f>AFN22-AFO22</f>
        <v/>
      </c>
      <c r="AFQ22" s="12">
        <f>ROUND(AFO22*EssentialMix,0)</f>
        <v/>
      </c>
      <c r="AFR22" s="12">
        <f>AFO22-AFQ22</f>
        <v/>
      </c>
      <c r="AFS22" s="12">
        <f>ROUND(AFP22*EssentialMix,0)</f>
        <v/>
      </c>
      <c r="AFT22" s="12">
        <f>AFP22-AFS22</f>
        <v/>
      </c>
      <c r="AFU22" s="12">
        <f>AFQ22+AFQ21+AFQ20+MAX(0,AFU21-AFQ21-AFQ20)*(1-AFJ22)</f>
        <v/>
      </c>
      <c r="AFV22" s="12">
        <f>AFR22+AFR21+AFR20+MAX(0,AFV21-AFR21-AFR20)*(1-AFJ22)</f>
        <v/>
      </c>
      <c r="AFW22" s="12">
        <f>AFW21+AFS22-AFS10*(AnnualChurn*VLOOKUP(AFF22,ChurnSeasonTable,4,FALSE))*POWER(1-(AnnualChurn*VLOOKUP(AFF22,ChurnSeasonTable,4,FALSE)),0)</f>
        <v/>
      </c>
      <c r="AFX22" s="12">
        <f>AFX21+AFT22-AFT10*(AnnualChurn*VLOOKUP(AFF22,ChurnSeasonTable,4,FALSE))*POWER(1-(AnnualChurn*VLOOKUP(AFF22,ChurnSeasonTable,4,FALSE)),0)</f>
        <v/>
      </c>
      <c r="AFY22" s="12">
        <f>AFU22+AFV22+AFW22+AFX22</f>
        <v/>
      </c>
      <c r="AFZ22" s="9">
        <f>AFU22*PriceEssMonthly*AFI22+AFV22*PricePremMonthly*AFI22+AFW22*PriceEssAnnual*AFI22/12+AFX22*PricePremAnnual*AFI22/12</f>
        <v/>
      </c>
      <c r="AGA22" s="9">
        <f>AFZ22*12</f>
        <v/>
      </c>
      <c r="AGB22" s="12">
        <f>AFU22*PriceEssMonthly*AFI22+AFV22*PricePremMonthly*AFI22</f>
        <v/>
      </c>
      <c r="AGC22" s="12">
        <f>AFS22*PriceEssAnnual*AFI22+AFT22*PricePremAnnual*AFI22</f>
        <v/>
      </c>
      <c r="AGD22" s="12">
        <f>AFS10*POWER(1-(AnnualChurn*VLOOKUP(AFF22,ChurnSeasonTable,4,FALSE)),1)*PriceEssAnnual*AFI22+AFT10*POWER(1-(AnnualChurn*VLOOKUP(AFF22,ChurnSeasonTable,4,FALSE)),1)*PricePremAnnual*AFI22</f>
        <v/>
      </c>
      <c r="AGE22" s="9">
        <f>AGB22+AGC22+AGD22</f>
        <v/>
      </c>
      <c r="AGF22" s="12">
        <f>SUM(AGE11:AGE22)</f>
        <v/>
      </c>
      <c r="AGG22" s="12">
        <f>OR(AGG21,AGF22&gt;=VATThreshold)</f>
        <v/>
      </c>
      <c r="AGH22" s="9">
        <f>IF(AGG22,AGE22/(1+VATRate),AGE22)</f>
        <v/>
      </c>
      <c r="AGI22" s="12">
        <f>AGE22-AGH22</f>
        <v/>
      </c>
      <c r="AGJ22" s="12">
        <f>IF(AGG22=0,0,IF(AFF22=1,SUMPRODUCT(--(($AFG$5:$AFG22=$AFG22-1)*($AFF$5:$AFF22&gt;=10)*($AFF$5:$AFF22&lt;=12)),$AGI$5:$AGI22),IF(AFF22=4,SUMPRODUCT(--(($AFG$5:$AFG22=$AFG22)*($AFF$5:$AFF22&gt;=1)*($AFF$5:$AFF22&lt;=3)),$AGI$5:$AGI22),IF(AFF22=7,SUMPRODUCT(--(($AFG$5:$AFG22=$AFG22)*($AFF$5:$AFF22&gt;=4)*($AFF$5:$AFF22&lt;=6)),$AGI$5:$AGI22),IF(AFF22=10,SUMPRODUCT(--(($AFG$5:$AFG22=$AFG22)*($AFF$5:$AFF22&gt;=7)*($AFF$5:$AFF22&lt;=9)),$AGI$5:$AGI22),0)))))</f>
        <v/>
      </c>
      <c r="AGK22" s="12">
        <f>AGK21+AGI22-AGJ22</f>
        <v/>
      </c>
      <c r="AGL22" s="12">
        <f>IF(ProviderDelay&gt;=1,AGH21*ProviderShare,AGH22*ProviderShare)</f>
        <v/>
      </c>
      <c r="AGM22" s="12">
        <f>AGE22*PaymentFee</f>
        <v/>
      </c>
      <c r="AGN22" s="12">
        <f>AFY22*OpsAI</f>
        <v/>
      </c>
      <c r="AGO22" s="12">
        <f>MonthlyFixed</f>
        <v/>
      </c>
      <c r="AGP22" s="12">
        <f>AFM22*ReferralReward</f>
        <v/>
      </c>
      <c r="AGQ22" s="12">
        <f>AFK22</f>
        <v/>
      </c>
      <c r="AGR22" s="9">
        <f>AGH22-AGL22-AGM22-AGN22-AGO22-AGP22-AGQ22</f>
        <v/>
      </c>
      <c r="AGS22" s="9">
        <f>AGS21+AGE22-(AGL22+AGM22+AGN22+AGO22+AGP22+AGQ22+AGJ22)</f>
        <v/>
      </c>
      <c r="AGT22" s="12">
        <f>IF(AFY22&gt;0,AFZ22/AFY22,0)</f>
        <v/>
      </c>
      <c r="AGU22" s="11">
        <f>IF(AFY21&gt;0,MAX(0,(AFY21+AFN22-AFY22)/AFY21),0)</f>
        <v/>
      </c>
      <c r="AGW22" s="12" t="n">
        <v>18</v>
      </c>
      <c r="AGX22" s="12">
        <f>MOD(AGW22-1+LaunchMonth-1,12)+1</f>
        <v/>
      </c>
      <c r="AGY22" s="12">
        <f>INT((AGW22-1+LaunchMonth-1)/12)+1</f>
        <v/>
      </c>
      <c r="AGZ22" s="12">
        <f>VLOOKUP(AGX22,SeasonTable,2,FALSE)</f>
        <v/>
      </c>
      <c r="AHA22" s="12">
        <f>(1+InflationRate)^INT((AGW22-1)/12)</f>
        <v/>
      </c>
      <c r="AHB22" s="11">
        <f>MonthlyChurn*VLOOKUP(AGX22,ChurnSeasonTable,4,FALSE)</f>
        <v/>
      </c>
      <c r="AHC22" s="12">
        <f>MIN(MAX(MktMin13_18,AHW21*MktPct13_18),MAX(0,AIK21-CashBuffer))</f>
        <v/>
      </c>
      <c r="AHD22" s="12">
        <f>IF(AHC22&gt;0,MAX(1,ROUND(AHC22/'Sens - CAC &amp; Marketing'!$A$10*AGZ22,0)),0)</f>
        <v/>
      </c>
      <c r="AHE22" s="12">
        <f>IF(AHD22&gt;0,ROUND(AHD22*ReferralMix/(1-ReferralMix),0),0)</f>
        <v/>
      </c>
      <c r="AHF22" s="12">
        <f>AHD22+AHE22</f>
        <v/>
      </c>
      <c r="AHG22" s="12">
        <f>ROUND(AHF22*(1-AnnualMix),0)</f>
        <v/>
      </c>
      <c r="AHH22" s="12">
        <f>AHF22-AHG22</f>
        <v/>
      </c>
      <c r="AHI22" s="12">
        <f>ROUND(AHG22*EssentialMix,0)</f>
        <v/>
      </c>
      <c r="AHJ22" s="12">
        <f>AHG22-AHI22</f>
        <v/>
      </c>
      <c r="AHK22" s="12">
        <f>ROUND(AHH22*EssentialMix,0)</f>
        <v/>
      </c>
      <c r="AHL22" s="12">
        <f>AHH22-AHK22</f>
        <v/>
      </c>
      <c r="AHM22" s="12">
        <f>AHI22+AHI21+AHI20+MAX(0,AHM21-AHI21-AHI20)*(1-AHB22)</f>
        <v/>
      </c>
      <c r="AHN22" s="12">
        <f>AHJ22+AHJ21+AHJ20+MAX(0,AHN21-AHJ21-AHJ20)*(1-AHB22)</f>
        <v/>
      </c>
      <c r="AHO22" s="12">
        <f>AHO21+AHK22-AHK10*(AnnualChurn*VLOOKUP(AGX22,ChurnSeasonTable,4,FALSE))*POWER(1-(AnnualChurn*VLOOKUP(AGX22,ChurnSeasonTable,4,FALSE)),0)</f>
        <v/>
      </c>
      <c r="AHP22" s="12">
        <f>AHP21+AHL22-AHL10*(AnnualChurn*VLOOKUP(AGX22,ChurnSeasonTable,4,FALSE))*POWER(1-(AnnualChurn*VLOOKUP(AGX22,ChurnSeasonTable,4,FALSE)),0)</f>
        <v/>
      </c>
      <c r="AHQ22" s="12">
        <f>AHM22+AHN22+AHO22+AHP22</f>
        <v/>
      </c>
      <c r="AHR22" s="9">
        <f>AHM22*PriceEssMonthly*AHA22+AHN22*PricePremMonthly*AHA22+AHO22*PriceEssAnnual*AHA22/12+AHP22*PricePremAnnual*AHA22/12</f>
        <v/>
      </c>
      <c r="AHS22" s="9">
        <f>AHR22*12</f>
        <v/>
      </c>
      <c r="AHT22" s="12">
        <f>AHM22*PriceEssMonthly*AHA22+AHN22*PricePremMonthly*AHA22</f>
        <v/>
      </c>
      <c r="AHU22" s="12">
        <f>AHK22*PriceEssAnnual*AHA22+AHL22*PricePremAnnual*AHA22</f>
        <v/>
      </c>
      <c r="AHV22" s="12">
        <f>AHK10*POWER(1-(AnnualChurn*VLOOKUP(AGX22,ChurnSeasonTable,4,FALSE)),1)*PriceEssAnnual*AHA22+AHL10*POWER(1-(AnnualChurn*VLOOKUP(AGX22,ChurnSeasonTable,4,FALSE)),1)*PricePremAnnual*AHA22</f>
        <v/>
      </c>
      <c r="AHW22" s="9">
        <f>AHT22+AHU22+AHV22</f>
        <v/>
      </c>
      <c r="AHX22" s="12">
        <f>SUM(AHW11:AHW22)</f>
        <v/>
      </c>
      <c r="AHY22" s="12">
        <f>OR(AHY21,AHX22&gt;=VATThreshold)</f>
        <v/>
      </c>
      <c r="AHZ22" s="9">
        <f>IF(AHY22,AHW22/(1+VATRate),AHW22)</f>
        <v/>
      </c>
      <c r="AIA22" s="12">
        <f>AHW22-AHZ22</f>
        <v/>
      </c>
      <c r="AIB22" s="12">
        <f>IF(AHY22=0,0,IF(AGX22=1,SUMPRODUCT(--(($AGY$5:$AGY22=$AGY22-1)*($AGX$5:$AGX22&gt;=10)*($AGX$5:$AGX22&lt;=12)),$AIA$5:$AIA22),IF(AGX22=4,SUMPRODUCT(--(($AGY$5:$AGY22=$AGY22)*($AGX$5:$AGX22&gt;=1)*($AGX$5:$AGX22&lt;=3)),$AIA$5:$AIA22),IF(AGX22=7,SUMPRODUCT(--(($AGY$5:$AGY22=$AGY22)*($AGX$5:$AGX22&gt;=4)*($AGX$5:$AGX22&lt;=6)),$AIA$5:$AIA22),IF(AGX22=10,SUMPRODUCT(--(($AGY$5:$AGY22=$AGY22)*($AGX$5:$AGX22&gt;=7)*($AGX$5:$AGX22&lt;=9)),$AIA$5:$AIA22),0)))))</f>
        <v/>
      </c>
      <c r="AIC22" s="12">
        <f>AIC21+AIA22-AIB22</f>
        <v/>
      </c>
      <c r="AID22" s="12">
        <f>IF(ProviderDelay&gt;=1,AHZ21*ProviderShare,AHZ22*ProviderShare)</f>
        <v/>
      </c>
      <c r="AIE22" s="12">
        <f>AHW22*PaymentFee</f>
        <v/>
      </c>
      <c r="AIF22" s="12">
        <f>AHQ22*OpsAI</f>
        <v/>
      </c>
      <c r="AIG22" s="12">
        <f>MonthlyFixed</f>
        <v/>
      </c>
      <c r="AIH22" s="12">
        <f>AHE22*ReferralReward</f>
        <v/>
      </c>
      <c r="AII22" s="12">
        <f>AHC22</f>
        <v/>
      </c>
      <c r="AIJ22" s="9">
        <f>AHZ22-AID22-AIE22-AIF22-AIG22-AIH22-AII22</f>
        <v/>
      </c>
      <c r="AIK22" s="9">
        <f>AIK21+AHW22-(AID22+AIE22+AIF22+AIG22+AIH22+AII22+AIB22)</f>
        <v/>
      </c>
      <c r="AIL22" s="12">
        <f>IF(AHQ22&gt;0,AHR22/AHQ22,0)</f>
        <v/>
      </c>
      <c r="AIM22" s="11">
        <f>IF(AHQ21&gt;0,MAX(0,(AHQ21+AHF22-AHQ22)/AHQ21),0)</f>
        <v/>
      </c>
      <c r="AIO22" s="12" t="n">
        <v>18</v>
      </c>
      <c r="AIP22" s="12">
        <f>MOD(AIO22-1+LaunchMonth-1,12)+1</f>
        <v/>
      </c>
      <c r="AIQ22" s="12">
        <f>INT((AIO22-1+LaunchMonth-1)/12)+1</f>
        <v/>
      </c>
      <c r="AIR22" s="12">
        <f>VLOOKUP(AIP22,SeasonTable,2,FALSE)</f>
        <v/>
      </c>
      <c r="AIS22" s="12">
        <f>(1+InflationRate)^INT((AIO22-1)/12)</f>
        <v/>
      </c>
      <c r="AIT22" s="11">
        <f>MonthlyChurn*VLOOKUP(AIP22,ChurnSeasonTable,4,FALSE)</f>
        <v/>
      </c>
      <c r="AIU22" s="12">
        <f>MIN(MAX(MktMin13_18,AJO21*MktPct13_18),MAX(0,AKC21-CashBuffer))</f>
        <v/>
      </c>
      <c r="AIV22" s="12">
        <f>IF(AIU22&gt;0,MAX(1,ROUND(AIU22/'Sens - CAC &amp; Marketing'!$A$11*AIR22,0)),0)</f>
        <v/>
      </c>
      <c r="AIW22" s="12">
        <f>IF(AIV22&gt;0,ROUND(AIV22*ReferralMix/(1-ReferralMix),0),0)</f>
        <v/>
      </c>
      <c r="AIX22" s="12">
        <f>AIV22+AIW22</f>
        <v/>
      </c>
      <c r="AIY22" s="12">
        <f>ROUND(AIX22*(1-AnnualMix),0)</f>
        <v/>
      </c>
      <c r="AIZ22" s="12">
        <f>AIX22-AIY22</f>
        <v/>
      </c>
      <c r="AJA22" s="12">
        <f>ROUND(AIY22*EssentialMix,0)</f>
        <v/>
      </c>
      <c r="AJB22" s="12">
        <f>AIY22-AJA22</f>
        <v/>
      </c>
      <c r="AJC22" s="12">
        <f>ROUND(AIZ22*EssentialMix,0)</f>
        <v/>
      </c>
      <c r="AJD22" s="12">
        <f>AIZ22-AJC22</f>
        <v/>
      </c>
      <c r="AJE22" s="12">
        <f>AJA22+AJA21+AJA20+MAX(0,AJE21-AJA21-AJA20)*(1-AIT22)</f>
        <v/>
      </c>
      <c r="AJF22" s="12">
        <f>AJB22+AJB21+AJB20+MAX(0,AJF21-AJB21-AJB20)*(1-AIT22)</f>
        <v/>
      </c>
      <c r="AJG22" s="12">
        <f>AJG21+AJC22-AJC10*(AnnualChurn*VLOOKUP(AIP22,ChurnSeasonTable,4,FALSE))*POWER(1-(AnnualChurn*VLOOKUP(AIP22,ChurnSeasonTable,4,FALSE)),0)</f>
        <v/>
      </c>
      <c r="AJH22" s="12">
        <f>AJH21+AJD22-AJD10*(AnnualChurn*VLOOKUP(AIP22,ChurnSeasonTable,4,FALSE))*POWER(1-(AnnualChurn*VLOOKUP(AIP22,ChurnSeasonTable,4,FALSE)),0)</f>
        <v/>
      </c>
      <c r="AJI22" s="12">
        <f>AJE22+AJF22+AJG22+AJH22</f>
        <v/>
      </c>
      <c r="AJJ22" s="9">
        <f>AJE22*PriceEssMonthly*AIS22+AJF22*PricePremMonthly*AIS22+AJG22*PriceEssAnnual*AIS22/12+AJH22*PricePremAnnual*AIS22/12</f>
        <v/>
      </c>
      <c r="AJK22" s="9">
        <f>AJJ22*12</f>
        <v/>
      </c>
      <c r="AJL22" s="12">
        <f>AJE22*PriceEssMonthly*AIS22+AJF22*PricePremMonthly*AIS22</f>
        <v/>
      </c>
      <c r="AJM22" s="12">
        <f>AJC22*PriceEssAnnual*AIS22+AJD22*PricePremAnnual*AIS22</f>
        <v/>
      </c>
      <c r="AJN22" s="12">
        <f>AJC10*POWER(1-(AnnualChurn*VLOOKUP(AIP22,ChurnSeasonTable,4,FALSE)),1)*PriceEssAnnual*AIS22+AJD10*POWER(1-(AnnualChurn*VLOOKUP(AIP22,ChurnSeasonTable,4,FALSE)),1)*PricePremAnnual*AIS22</f>
        <v/>
      </c>
      <c r="AJO22" s="9">
        <f>AJL22+AJM22+AJN22</f>
        <v/>
      </c>
      <c r="AJP22" s="12">
        <f>SUM(AJO11:AJO22)</f>
        <v/>
      </c>
      <c r="AJQ22" s="12">
        <f>OR(AJQ21,AJP22&gt;=VATThreshold)</f>
        <v/>
      </c>
      <c r="AJR22" s="9">
        <f>IF(AJQ22,AJO22/(1+VATRate),AJO22)</f>
        <v/>
      </c>
      <c r="AJS22" s="12">
        <f>AJO22-AJR22</f>
        <v/>
      </c>
      <c r="AJT22" s="12">
        <f>IF(AJQ22=0,0,IF(AIP22=1,SUMPRODUCT(--(($AIQ$5:$AIQ22=$AIQ22-1)*($AIP$5:$AIP22&gt;=10)*($AIP$5:$AIP22&lt;=12)),$AJS$5:$AJS22),IF(AIP22=4,SUMPRODUCT(--(($AIQ$5:$AIQ22=$AIQ22)*($AIP$5:$AIP22&gt;=1)*($AIP$5:$AIP22&lt;=3)),$AJS$5:$AJS22),IF(AIP22=7,SUMPRODUCT(--(($AIQ$5:$AIQ22=$AIQ22)*($AIP$5:$AIP22&gt;=4)*($AIP$5:$AIP22&lt;=6)),$AJS$5:$AJS22),IF(AIP22=10,SUMPRODUCT(--(($AIQ$5:$AIQ22=$AIQ22)*($AIP$5:$AIP22&gt;=7)*($AIP$5:$AIP22&lt;=9)),$AJS$5:$AJS22),0)))))</f>
        <v/>
      </c>
      <c r="AJU22" s="12">
        <f>AJU21+AJS22-AJT22</f>
        <v/>
      </c>
      <c r="AJV22" s="12">
        <f>IF(ProviderDelay&gt;=1,AJR21*ProviderShare,AJR22*ProviderShare)</f>
        <v/>
      </c>
      <c r="AJW22" s="12">
        <f>AJO22*PaymentFee</f>
        <v/>
      </c>
      <c r="AJX22" s="12">
        <f>AJI22*OpsAI</f>
        <v/>
      </c>
      <c r="AJY22" s="12">
        <f>MonthlyFixed</f>
        <v/>
      </c>
      <c r="AJZ22" s="12">
        <f>AIW22*ReferralReward</f>
        <v/>
      </c>
      <c r="AKA22" s="12">
        <f>AIU22</f>
        <v/>
      </c>
      <c r="AKB22" s="9">
        <f>AJR22-AJV22-AJW22-AJX22-AJY22-AJZ22-AKA22</f>
        <v/>
      </c>
      <c r="AKC22" s="9">
        <f>AKC21+AJO22-(AJV22+AJW22+AJX22+AJY22+AJZ22+AKA22+AJT22)</f>
        <v/>
      </c>
      <c r="AKD22" s="12">
        <f>IF(AJI22&gt;0,AJJ22/AJI22,0)</f>
        <v/>
      </c>
      <c r="AKE22" s="11">
        <f>IF(AJI21&gt;0,MAX(0,(AJI21+AIX22-AJI22)/AJI21),0)</f>
        <v/>
      </c>
      <c r="AKG22" s="12" t="n">
        <v>18</v>
      </c>
      <c r="AKH22" s="12">
        <f>MOD(AKG22-1+LaunchMonth-1,12)+1</f>
        <v/>
      </c>
      <c r="AKI22" s="12">
        <f>INT((AKG22-1+LaunchMonth-1)/12)+1</f>
        <v/>
      </c>
      <c r="AKJ22" s="12">
        <f>VLOOKUP(AKH22,SeasonTable,2,FALSE)</f>
        <v/>
      </c>
      <c r="AKK22" s="12">
        <f>(1+InflationRate)^INT((AKG22-1)/12)</f>
        <v/>
      </c>
      <c r="AKL22" s="11">
        <f>MonthlyChurn*VLOOKUP(AKH22,ChurnSeasonTable,4,FALSE)</f>
        <v/>
      </c>
      <c r="AKM22" s="12">
        <f>MIN(MAX(MktMin13_18,ALG21*MktPct13_18),MAX(0,ALU21-CashBuffer))</f>
        <v/>
      </c>
      <c r="AKN22" s="12">
        <f>IF(AKM22&gt;0,MAX(1,ROUND(AKM22/'Sens - CAC &amp; Marketing'!$A$12*AKJ22,0)),0)</f>
        <v/>
      </c>
      <c r="AKO22" s="12">
        <f>IF(AKN22&gt;0,ROUND(AKN22*ReferralMix/(1-ReferralMix),0),0)</f>
        <v/>
      </c>
      <c r="AKP22" s="12">
        <f>AKN22+AKO22</f>
        <v/>
      </c>
      <c r="AKQ22" s="12">
        <f>ROUND(AKP22*(1-AnnualMix),0)</f>
        <v/>
      </c>
      <c r="AKR22" s="12">
        <f>AKP22-AKQ22</f>
        <v/>
      </c>
      <c r="AKS22" s="12">
        <f>ROUND(AKQ22*EssentialMix,0)</f>
        <v/>
      </c>
      <c r="AKT22" s="12">
        <f>AKQ22-AKS22</f>
        <v/>
      </c>
      <c r="AKU22" s="12">
        <f>ROUND(AKR22*EssentialMix,0)</f>
        <v/>
      </c>
      <c r="AKV22" s="12">
        <f>AKR22-AKU22</f>
        <v/>
      </c>
      <c r="AKW22" s="12">
        <f>AKS22+AKS21+AKS20+MAX(0,AKW21-AKS21-AKS20)*(1-AKL22)</f>
        <v/>
      </c>
      <c r="AKX22" s="12">
        <f>AKT22+AKT21+AKT20+MAX(0,AKX21-AKT21-AKT20)*(1-AKL22)</f>
        <v/>
      </c>
      <c r="AKY22" s="12">
        <f>AKY21+AKU22-AKU10*(AnnualChurn*VLOOKUP(AKH22,ChurnSeasonTable,4,FALSE))*POWER(1-(AnnualChurn*VLOOKUP(AKH22,ChurnSeasonTable,4,FALSE)),0)</f>
        <v/>
      </c>
      <c r="AKZ22" s="12">
        <f>AKZ21+AKV22-AKV10*(AnnualChurn*VLOOKUP(AKH22,ChurnSeasonTable,4,FALSE))*POWER(1-(AnnualChurn*VLOOKUP(AKH22,ChurnSeasonTable,4,FALSE)),0)</f>
        <v/>
      </c>
      <c r="ALA22" s="12">
        <f>AKW22+AKX22+AKY22+AKZ22</f>
        <v/>
      </c>
      <c r="ALB22" s="9">
        <f>AKW22*PriceEssMonthly*AKK22+AKX22*PricePremMonthly*AKK22+AKY22*PriceEssAnnual*AKK22/12+AKZ22*PricePremAnnual*AKK22/12</f>
        <v/>
      </c>
      <c r="ALC22" s="9">
        <f>ALB22*12</f>
        <v/>
      </c>
      <c r="ALD22" s="12">
        <f>AKW22*PriceEssMonthly*AKK22+AKX22*PricePremMonthly*AKK22</f>
        <v/>
      </c>
      <c r="ALE22" s="12">
        <f>AKU22*PriceEssAnnual*AKK22+AKV22*PricePremAnnual*AKK22</f>
        <v/>
      </c>
      <c r="ALF22" s="12">
        <f>AKU10*POWER(1-(AnnualChurn*VLOOKUP(AKH22,ChurnSeasonTable,4,FALSE)),1)*PriceEssAnnual*AKK22+AKV10*POWER(1-(AnnualChurn*VLOOKUP(AKH22,ChurnSeasonTable,4,FALSE)),1)*PricePremAnnual*AKK22</f>
        <v/>
      </c>
      <c r="ALG22" s="9">
        <f>ALD22+ALE22+ALF22</f>
        <v/>
      </c>
      <c r="ALH22" s="12">
        <f>SUM(ALG11:ALG22)</f>
        <v/>
      </c>
      <c r="ALI22" s="12">
        <f>OR(ALI21,ALH22&gt;=VATThreshold)</f>
        <v/>
      </c>
      <c r="ALJ22" s="9">
        <f>IF(ALI22,ALG22/(1+VATRate),ALG22)</f>
        <v/>
      </c>
      <c r="ALK22" s="12">
        <f>ALG22-ALJ22</f>
        <v/>
      </c>
      <c r="ALL22" s="12">
        <f>IF(ALI22=0,0,IF(AKH22=1,SUMPRODUCT(--(($AKI$5:$AKI22=$AKI22-1)*($AKH$5:$AKH22&gt;=10)*($AKH$5:$AKH22&lt;=12)),$ALK$5:$ALK22),IF(AKH22=4,SUMPRODUCT(--(($AKI$5:$AKI22=$AKI22)*($AKH$5:$AKH22&gt;=1)*($AKH$5:$AKH22&lt;=3)),$ALK$5:$ALK22),IF(AKH22=7,SUMPRODUCT(--(($AKI$5:$AKI22=$AKI22)*($AKH$5:$AKH22&gt;=4)*($AKH$5:$AKH22&lt;=6)),$ALK$5:$ALK22),IF(AKH22=10,SUMPRODUCT(--(($AKI$5:$AKI22=$AKI22)*($AKH$5:$AKH22&gt;=7)*($AKH$5:$AKH22&lt;=9)),$ALK$5:$ALK22),0)))))</f>
        <v/>
      </c>
      <c r="ALM22" s="12">
        <f>ALM21+ALK22-ALL22</f>
        <v/>
      </c>
      <c r="ALN22" s="12">
        <f>IF(ProviderDelay&gt;=1,ALJ21*ProviderShare,ALJ22*ProviderShare)</f>
        <v/>
      </c>
      <c r="ALO22" s="12">
        <f>ALG22*PaymentFee</f>
        <v/>
      </c>
      <c r="ALP22" s="12">
        <f>ALA22*OpsAI</f>
        <v/>
      </c>
      <c r="ALQ22" s="12">
        <f>MonthlyFixed</f>
        <v/>
      </c>
      <c r="ALR22" s="12">
        <f>AKO22*ReferralReward</f>
        <v/>
      </c>
      <c r="ALS22" s="12">
        <f>AKM22</f>
        <v/>
      </c>
      <c r="ALT22" s="9">
        <f>ALJ22-ALN22-ALO22-ALP22-ALQ22-ALR22-ALS22</f>
        <v/>
      </c>
      <c r="ALU22" s="9">
        <f>ALU21+ALG22-(ALN22+ALO22+ALP22+ALQ22+ALR22+ALS22+ALL22)</f>
        <v/>
      </c>
      <c r="ALV22" s="12">
        <f>IF(ALA22&gt;0,ALB22/ALA22,0)</f>
        <v/>
      </c>
      <c r="ALW22" s="11">
        <f>IF(ALA21&gt;0,MAX(0,(ALA21+AKP22-ALA22)/ALA21),0)</f>
        <v/>
      </c>
      <c r="ALY22" s="12" t="n">
        <v>18</v>
      </c>
      <c r="ALZ22" s="12">
        <f>MOD(ALY22-1+LaunchMonth-1,12)+1</f>
        <v/>
      </c>
      <c r="AMA22" s="12">
        <f>INT((ALY22-1+LaunchMonth-1)/12)+1</f>
        <v/>
      </c>
      <c r="AMB22" s="12">
        <f>VLOOKUP(ALZ22,SeasonTable,2,FALSE)</f>
        <v/>
      </c>
      <c r="AMC22" s="12">
        <f>(1+InflationRate)^INT((ALY22-1)/12)</f>
        <v/>
      </c>
      <c r="AMD22" s="11">
        <f>MonthlyChurn*VLOOKUP(ALZ22,ChurnSeasonTable,4,FALSE)</f>
        <v/>
      </c>
      <c r="AME22" s="12">
        <f>MIN(MAX(MktMin13_18,AMY21*MktPct13_18),MAX(0,ANM21-CashBuffer))</f>
        <v/>
      </c>
      <c r="AMF22" s="12">
        <f>IF(AME22&gt;0,MAX(1,ROUND(AME22/'Sens - CAC &amp; Marketing'!$A$13*AMB22,0)),0)</f>
        <v/>
      </c>
      <c r="AMG22" s="12">
        <f>IF(AMF22&gt;0,ROUND(AMF22*ReferralMix/(1-ReferralMix),0),0)</f>
        <v/>
      </c>
      <c r="AMH22" s="12">
        <f>AMF22+AMG22</f>
        <v/>
      </c>
      <c r="AMI22" s="12">
        <f>ROUND(AMH22*(1-AnnualMix),0)</f>
        <v/>
      </c>
      <c r="AMJ22" s="12">
        <f>AMH22-AMI22</f>
        <v/>
      </c>
      <c r="AMK22" s="12">
        <f>ROUND(AMI22*EssentialMix,0)</f>
        <v/>
      </c>
      <c r="AML22" s="12">
        <f>AMI22-AMK22</f>
        <v/>
      </c>
      <c r="AMM22" s="12">
        <f>ROUND(AMJ22*EssentialMix,0)</f>
        <v/>
      </c>
      <c r="AMN22" s="12">
        <f>AMJ22-AMM22</f>
        <v/>
      </c>
      <c r="AMO22" s="12">
        <f>AMK22+AMK21+AMK20+MAX(0,AMO21-AMK21-AMK20)*(1-AMD22)</f>
        <v/>
      </c>
      <c r="AMP22" s="12">
        <f>AML22+AML21+AML20+MAX(0,AMP21-AML21-AML20)*(1-AMD22)</f>
        <v/>
      </c>
      <c r="AMQ22" s="12">
        <f>AMQ21+AMM22-AMM10*(AnnualChurn*VLOOKUP(ALZ22,ChurnSeasonTable,4,FALSE))*POWER(1-(AnnualChurn*VLOOKUP(ALZ22,ChurnSeasonTable,4,FALSE)),0)</f>
        <v/>
      </c>
      <c r="AMR22" s="12">
        <f>AMR21+AMN22-AMN10*(AnnualChurn*VLOOKUP(ALZ22,ChurnSeasonTable,4,FALSE))*POWER(1-(AnnualChurn*VLOOKUP(ALZ22,ChurnSeasonTable,4,FALSE)),0)</f>
        <v/>
      </c>
      <c r="AMS22" s="12">
        <f>AMO22+AMP22+AMQ22+AMR22</f>
        <v/>
      </c>
      <c r="AMT22" s="9">
        <f>AMO22*PriceEssMonthly*AMC22+AMP22*PricePremMonthly*AMC22+AMQ22*PriceEssAnnual*AMC22/12+AMR22*PricePremAnnual*AMC22/12</f>
        <v/>
      </c>
      <c r="AMU22" s="9">
        <f>AMT22*12</f>
        <v/>
      </c>
      <c r="AMV22" s="12">
        <f>AMO22*PriceEssMonthly*AMC22+AMP22*PricePremMonthly*AMC22</f>
        <v/>
      </c>
      <c r="AMW22" s="12">
        <f>AMM22*PriceEssAnnual*AMC22+AMN22*PricePremAnnual*AMC22</f>
        <v/>
      </c>
      <c r="AMX22" s="12">
        <f>AMM10*POWER(1-(AnnualChurn*VLOOKUP(ALZ22,ChurnSeasonTable,4,FALSE)),1)*PriceEssAnnual*AMC22+AMN10*POWER(1-(AnnualChurn*VLOOKUP(ALZ22,ChurnSeasonTable,4,FALSE)),1)*PricePremAnnual*AMC22</f>
        <v/>
      </c>
      <c r="AMY22" s="9">
        <f>AMV22+AMW22+AMX22</f>
        <v/>
      </c>
      <c r="AMZ22" s="12">
        <f>SUM(AMY11:AMY22)</f>
        <v/>
      </c>
      <c r="ANA22" s="12">
        <f>OR(ANA21,AMZ22&gt;=VATThreshold)</f>
        <v/>
      </c>
      <c r="ANB22" s="9">
        <f>IF(ANA22,AMY22/(1+VATRate),AMY22)</f>
        <v/>
      </c>
      <c r="ANC22" s="12">
        <f>AMY22-ANB22</f>
        <v/>
      </c>
      <c r="AND22" s="12">
        <f>IF(ANA22=0,0,IF(ALZ22=1,SUMPRODUCT(--(($AMA$5:$AMA22=$AMA22-1)*($ALZ$5:$ALZ22&gt;=10)*($ALZ$5:$ALZ22&lt;=12)),$ANC$5:$ANC22),IF(ALZ22=4,SUMPRODUCT(--(($AMA$5:$AMA22=$AMA22)*($ALZ$5:$ALZ22&gt;=1)*($ALZ$5:$ALZ22&lt;=3)),$ANC$5:$ANC22),IF(ALZ22=7,SUMPRODUCT(--(($AMA$5:$AMA22=$AMA22)*($ALZ$5:$ALZ22&gt;=4)*($ALZ$5:$ALZ22&lt;=6)),$ANC$5:$ANC22),IF(ALZ22=10,SUMPRODUCT(--(($AMA$5:$AMA22=$AMA22)*($ALZ$5:$ALZ22&gt;=7)*($ALZ$5:$ALZ22&lt;=9)),$ANC$5:$ANC22),0)))))</f>
        <v/>
      </c>
      <c r="ANE22" s="12">
        <f>ANE21+ANC22-AND22</f>
        <v/>
      </c>
      <c r="ANF22" s="12">
        <f>IF(ProviderDelay&gt;=1,ANB21*ProviderShare,ANB22*ProviderShare)</f>
        <v/>
      </c>
      <c r="ANG22" s="12">
        <f>AMY22*PaymentFee</f>
        <v/>
      </c>
      <c r="ANH22" s="12">
        <f>AMS22*OpsAI</f>
        <v/>
      </c>
      <c r="ANI22" s="12">
        <f>MonthlyFixed</f>
        <v/>
      </c>
      <c r="ANJ22" s="12">
        <f>AMG22*ReferralReward</f>
        <v/>
      </c>
      <c r="ANK22" s="12">
        <f>AME22</f>
        <v/>
      </c>
      <c r="ANL22" s="9">
        <f>ANB22-ANF22-ANG22-ANH22-ANI22-ANJ22-ANK22</f>
        <v/>
      </c>
      <c r="ANM22" s="9">
        <f>ANM21+AMY22-(ANF22+ANG22+ANH22+ANI22+ANJ22+ANK22+AND22)</f>
        <v/>
      </c>
      <c r="ANN22" s="12">
        <f>IF(AMS22&gt;0,AMT22/AMS22,0)</f>
        <v/>
      </c>
      <c r="ANO22" s="11">
        <f>IF(AMS21&gt;0,MAX(0,(AMS21+AMH22-AMS22)/AMS21),0)</f>
        <v/>
      </c>
      <c r="ANQ22" s="12" t="n">
        <v>18</v>
      </c>
      <c r="ANR22" s="12">
        <f>MOD(ANQ22-1+LaunchMonth-1,12)+1</f>
        <v/>
      </c>
      <c r="ANS22" s="12">
        <f>INT((ANQ22-1+LaunchMonth-1)/12)+1</f>
        <v/>
      </c>
      <c r="ANT22" s="12">
        <f>VLOOKUP(ANR22,SeasonTable,2,FALSE)</f>
        <v/>
      </c>
      <c r="ANU22" s="12">
        <f>(1+InflationRate)^INT((ANQ22-1)/12)</f>
        <v/>
      </c>
      <c r="ANV22" s="11">
        <f>MonthlyChurn*VLOOKUP(ANR22,ChurnSeasonTable,4,FALSE)</f>
        <v/>
      </c>
      <c r="ANW22" s="12">
        <f>MIN(MAX(MktMin13_18,AOQ21*MktPct13_18),MAX(0,APE21-CashBuffer))</f>
        <v/>
      </c>
      <c r="ANX22" s="12">
        <f>IF(ANW22&gt;0,MAX(1,ROUND(ANW22/'Sens - CAC &amp; Marketing'!$A$14*ANT22,0)),0)</f>
        <v/>
      </c>
      <c r="ANY22" s="12">
        <f>IF(ANX22&gt;0,ROUND(ANX22*ReferralMix/(1-ReferralMix),0),0)</f>
        <v/>
      </c>
      <c r="ANZ22" s="12">
        <f>ANX22+ANY22</f>
        <v/>
      </c>
      <c r="AOA22" s="12">
        <f>ROUND(ANZ22*(1-AnnualMix),0)</f>
        <v/>
      </c>
      <c r="AOB22" s="12">
        <f>ANZ22-AOA22</f>
        <v/>
      </c>
      <c r="AOC22" s="12">
        <f>ROUND(AOA22*EssentialMix,0)</f>
        <v/>
      </c>
      <c r="AOD22" s="12">
        <f>AOA22-AOC22</f>
        <v/>
      </c>
      <c r="AOE22" s="12">
        <f>ROUND(AOB22*EssentialMix,0)</f>
        <v/>
      </c>
      <c r="AOF22" s="12">
        <f>AOB22-AOE22</f>
        <v/>
      </c>
      <c r="AOG22" s="12">
        <f>AOC22+AOC21+AOC20+MAX(0,AOG21-AOC21-AOC20)*(1-ANV22)</f>
        <v/>
      </c>
      <c r="AOH22" s="12">
        <f>AOD22+AOD21+AOD20+MAX(0,AOH21-AOD21-AOD20)*(1-ANV22)</f>
        <v/>
      </c>
      <c r="AOI22" s="12">
        <f>AOI21+AOE22-AOE10*(AnnualChurn*VLOOKUP(ANR22,ChurnSeasonTable,4,FALSE))*POWER(1-(AnnualChurn*VLOOKUP(ANR22,ChurnSeasonTable,4,FALSE)),0)</f>
        <v/>
      </c>
      <c r="AOJ22" s="12">
        <f>AOJ21+AOF22-AOF10*(AnnualChurn*VLOOKUP(ANR22,ChurnSeasonTable,4,FALSE))*POWER(1-(AnnualChurn*VLOOKUP(ANR22,ChurnSeasonTable,4,FALSE)),0)</f>
        <v/>
      </c>
      <c r="AOK22" s="12">
        <f>AOG22+AOH22+AOI22+AOJ22</f>
        <v/>
      </c>
      <c r="AOL22" s="9">
        <f>AOG22*PriceEssMonthly*ANU22+AOH22*PricePremMonthly*ANU22+AOI22*PriceEssAnnual*ANU22/12+AOJ22*PricePremAnnual*ANU22/12</f>
        <v/>
      </c>
      <c r="AOM22" s="9">
        <f>AOL22*12</f>
        <v/>
      </c>
      <c r="AON22" s="12">
        <f>AOG22*PriceEssMonthly*ANU22+AOH22*PricePremMonthly*ANU22</f>
        <v/>
      </c>
      <c r="AOO22" s="12">
        <f>AOE22*PriceEssAnnual*ANU22+AOF22*PricePremAnnual*ANU22</f>
        <v/>
      </c>
      <c r="AOP22" s="12">
        <f>AOE10*POWER(1-(AnnualChurn*VLOOKUP(ANR22,ChurnSeasonTable,4,FALSE)),1)*PriceEssAnnual*ANU22+AOF10*POWER(1-(AnnualChurn*VLOOKUP(ANR22,ChurnSeasonTable,4,FALSE)),1)*PricePremAnnual*ANU22</f>
        <v/>
      </c>
      <c r="AOQ22" s="9">
        <f>AON22+AOO22+AOP22</f>
        <v/>
      </c>
      <c r="AOR22" s="12">
        <f>SUM(AOQ11:AOQ22)</f>
        <v/>
      </c>
      <c r="AOS22" s="12">
        <f>OR(AOS21,AOR22&gt;=VATThreshold)</f>
        <v/>
      </c>
      <c r="AOT22" s="9">
        <f>IF(AOS22,AOQ22/(1+VATRate),AOQ22)</f>
        <v/>
      </c>
      <c r="AOU22" s="12">
        <f>AOQ22-AOT22</f>
        <v/>
      </c>
      <c r="AOV22" s="12">
        <f>IF(AOS22=0,0,IF(ANR22=1,SUMPRODUCT(--(($ANS$5:$ANS22=$ANS22-1)*($ANR$5:$ANR22&gt;=10)*($ANR$5:$ANR22&lt;=12)),$AOU$5:$AOU22),IF(ANR22=4,SUMPRODUCT(--(($ANS$5:$ANS22=$ANS22)*($ANR$5:$ANR22&gt;=1)*($ANR$5:$ANR22&lt;=3)),$AOU$5:$AOU22),IF(ANR22=7,SUMPRODUCT(--(($ANS$5:$ANS22=$ANS22)*($ANR$5:$ANR22&gt;=4)*($ANR$5:$ANR22&lt;=6)),$AOU$5:$AOU22),IF(ANR22=10,SUMPRODUCT(--(($ANS$5:$ANS22=$ANS22)*($ANR$5:$ANR22&gt;=7)*($ANR$5:$ANR22&lt;=9)),$AOU$5:$AOU22),0)))))</f>
        <v/>
      </c>
      <c r="AOW22" s="12">
        <f>AOW21+AOU22-AOV22</f>
        <v/>
      </c>
      <c r="AOX22" s="12">
        <f>IF(ProviderDelay&gt;=1,AOT21*ProviderShare,AOT22*ProviderShare)</f>
        <v/>
      </c>
      <c r="AOY22" s="12">
        <f>AOQ22*PaymentFee</f>
        <v/>
      </c>
      <c r="AOZ22" s="12">
        <f>AOK22*OpsAI</f>
        <v/>
      </c>
      <c r="APA22" s="12">
        <f>MonthlyFixed</f>
        <v/>
      </c>
      <c r="APB22" s="12">
        <f>ANY22*ReferralReward</f>
        <v/>
      </c>
      <c r="APC22" s="12">
        <f>ANW22</f>
        <v/>
      </c>
      <c r="APD22" s="9">
        <f>AOT22-AOX22-AOY22-AOZ22-APA22-APB22-APC22</f>
        <v/>
      </c>
      <c r="APE22" s="9">
        <f>APE21+AOQ22-(AOX22+AOY22+AOZ22+APA22+APB22+APC22+AOV22)</f>
        <v/>
      </c>
      <c r="APF22" s="12">
        <f>IF(AOK22&gt;0,AOL22/AOK22,0)</f>
        <v/>
      </c>
      <c r="APG22" s="11">
        <f>IF(AOK21&gt;0,MAX(0,(AOK21+ANZ22-AOK22)/AOK21),0)</f>
        <v/>
      </c>
      <c r="API22" s="12" t="n">
        <v>18</v>
      </c>
      <c r="APJ22" s="12">
        <f>MOD(API22-1+LaunchMonth-1,12)+1</f>
        <v/>
      </c>
      <c r="APK22" s="12">
        <f>INT((API22-1+LaunchMonth-1)/12)+1</f>
        <v/>
      </c>
      <c r="APL22" s="12">
        <f>VLOOKUP(APJ22,SeasonTable,2,FALSE)</f>
        <v/>
      </c>
      <c r="APM22" s="12">
        <f>(1+InflationRate)^INT((API22-1)/12)</f>
        <v/>
      </c>
      <c r="APN22" s="11">
        <f>MonthlyChurn*VLOOKUP(APJ22,ChurnSeasonTable,4,FALSE)</f>
        <v/>
      </c>
      <c r="APO22" s="12">
        <f>MIN(MAX(MktMin13_18,AQI21*MktPct13_18),MAX(0,AQW21-CashBuffer))</f>
        <v/>
      </c>
      <c r="APP22" s="12">
        <f>IF(APO22&gt;0,MAX(1,ROUND(APO22/'Sens - CAC &amp; Marketing'!$A$15*APL22,0)),0)</f>
        <v/>
      </c>
      <c r="APQ22" s="12">
        <f>IF(APP22&gt;0,ROUND(APP22*ReferralMix/(1-ReferralMix),0),0)</f>
        <v/>
      </c>
      <c r="APR22" s="12">
        <f>APP22+APQ22</f>
        <v/>
      </c>
      <c r="APS22" s="12">
        <f>ROUND(APR22*(1-AnnualMix),0)</f>
        <v/>
      </c>
      <c r="APT22" s="12">
        <f>APR22-APS22</f>
        <v/>
      </c>
      <c r="APU22" s="12">
        <f>ROUND(APS22*EssentialMix,0)</f>
        <v/>
      </c>
      <c r="APV22" s="12">
        <f>APS22-APU22</f>
        <v/>
      </c>
      <c r="APW22" s="12">
        <f>ROUND(APT22*EssentialMix,0)</f>
        <v/>
      </c>
      <c r="APX22" s="12">
        <f>APT22-APW22</f>
        <v/>
      </c>
      <c r="APY22" s="12">
        <f>APU22+APU21+APU20+MAX(0,APY21-APU21-APU20)*(1-APN22)</f>
        <v/>
      </c>
      <c r="APZ22" s="12">
        <f>APV22+APV21+APV20+MAX(0,APZ21-APV21-APV20)*(1-APN22)</f>
        <v/>
      </c>
      <c r="AQA22" s="12">
        <f>AQA21+APW22-APW10*(AnnualChurn*VLOOKUP(APJ22,ChurnSeasonTable,4,FALSE))*POWER(1-(AnnualChurn*VLOOKUP(APJ22,ChurnSeasonTable,4,FALSE)),0)</f>
        <v/>
      </c>
      <c r="AQB22" s="12">
        <f>AQB21+APX22-APX10*(AnnualChurn*VLOOKUP(APJ22,ChurnSeasonTable,4,FALSE))*POWER(1-(AnnualChurn*VLOOKUP(APJ22,ChurnSeasonTable,4,FALSE)),0)</f>
        <v/>
      </c>
      <c r="AQC22" s="12">
        <f>APY22+APZ22+AQA22+AQB22</f>
        <v/>
      </c>
      <c r="AQD22" s="9">
        <f>APY22*PriceEssMonthly*APM22+APZ22*PricePremMonthly*APM22+AQA22*PriceEssAnnual*APM22/12+AQB22*PricePremAnnual*APM22/12</f>
        <v/>
      </c>
      <c r="AQE22" s="9">
        <f>AQD22*12</f>
        <v/>
      </c>
      <c r="AQF22" s="12">
        <f>APY22*PriceEssMonthly*APM22+APZ22*PricePremMonthly*APM22</f>
        <v/>
      </c>
      <c r="AQG22" s="12">
        <f>APW22*PriceEssAnnual*APM22+APX22*PricePremAnnual*APM22</f>
        <v/>
      </c>
      <c r="AQH22" s="12">
        <f>APW10*POWER(1-(AnnualChurn*VLOOKUP(APJ22,ChurnSeasonTable,4,FALSE)),1)*PriceEssAnnual*APM22+APX10*POWER(1-(AnnualChurn*VLOOKUP(APJ22,ChurnSeasonTable,4,FALSE)),1)*PricePremAnnual*APM22</f>
        <v/>
      </c>
      <c r="AQI22" s="9">
        <f>AQF22+AQG22+AQH22</f>
        <v/>
      </c>
      <c r="AQJ22" s="12">
        <f>SUM(AQI11:AQI22)</f>
        <v/>
      </c>
      <c r="AQK22" s="12">
        <f>OR(AQK21,AQJ22&gt;=VATThreshold)</f>
        <v/>
      </c>
      <c r="AQL22" s="9">
        <f>IF(AQK22,AQI22/(1+VATRate),AQI22)</f>
        <v/>
      </c>
      <c r="AQM22" s="12">
        <f>AQI22-AQL22</f>
        <v/>
      </c>
      <c r="AQN22" s="12">
        <f>IF(AQK22=0,0,IF(APJ22=1,SUMPRODUCT(--(($APK$5:$APK22=$APK22-1)*($APJ$5:$APJ22&gt;=10)*($APJ$5:$APJ22&lt;=12)),$AQM$5:$AQM22),IF(APJ22=4,SUMPRODUCT(--(($APK$5:$APK22=$APK22)*($APJ$5:$APJ22&gt;=1)*($APJ$5:$APJ22&lt;=3)),$AQM$5:$AQM22),IF(APJ22=7,SUMPRODUCT(--(($APK$5:$APK22=$APK22)*($APJ$5:$APJ22&gt;=4)*($APJ$5:$APJ22&lt;=6)),$AQM$5:$AQM22),IF(APJ22=10,SUMPRODUCT(--(($APK$5:$APK22=$APK22)*($APJ$5:$APJ22&gt;=7)*($APJ$5:$APJ22&lt;=9)),$AQM$5:$AQM22),0)))))</f>
        <v/>
      </c>
      <c r="AQO22" s="12">
        <f>AQO21+AQM22-AQN22</f>
        <v/>
      </c>
      <c r="AQP22" s="12">
        <f>IF(ProviderDelay&gt;=1,AQL21*ProviderShare,AQL22*ProviderShare)</f>
        <v/>
      </c>
      <c r="AQQ22" s="12">
        <f>AQI22*PaymentFee</f>
        <v/>
      </c>
      <c r="AQR22" s="12">
        <f>AQC22*OpsAI</f>
        <v/>
      </c>
      <c r="AQS22" s="12">
        <f>MonthlyFixed</f>
        <v/>
      </c>
      <c r="AQT22" s="12">
        <f>APQ22*ReferralReward</f>
        <v/>
      </c>
      <c r="AQU22" s="12">
        <f>APO22</f>
        <v/>
      </c>
      <c r="AQV22" s="9">
        <f>AQL22-AQP22-AQQ22-AQR22-AQS22-AQT22-AQU22</f>
        <v/>
      </c>
      <c r="AQW22" s="9">
        <f>AQW21+AQI22-(AQP22+AQQ22+AQR22+AQS22+AQT22+AQU22+AQN22)</f>
        <v/>
      </c>
      <c r="AQX22" s="12">
        <f>IF(AQC22&gt;0,AQD22/AQC22,0)</f>
        <v/>
      </c>
      <c r="AQY22" s="11">
        <f>IF(AQC21&gt;0,MAX(0,(AQC21+APR22-AQC22)/AQC21),0)</f>
        <v/>
      </c>
      <c r="ARA22" s="12" t="n">
        <v>18</v>
      </c>
      <c r="ARB22" s="12">
        <f>MOD(ARA22-1+LaunchMonth-1,12)+1</f>
        <v/>
      </c>
      <c r="ARC22" s="12">
        <f>INT((ARA22-1+LaunchMonth-1)/12)+1</f>
        <v/>
      </c>
      <c r="ARD22" s="12">
        <f>VLOOKUP(ARB22,WinterPivotSeasonTable,5,FALSE)</f>
        <v/>
      </c>
      <c r="ARE22" s="12">
        <f>(1+InflationRate)^INT((ARA22-1)/12)</f>
        <v/>
      </c>
      <c r="ARF22" s="11">
        <f>MonthlyChurn*VLOOKUP(ARB22,WinterPivotChurnTable,6,FALSE)</f>
        <v/>
      </c>
      <c r="ARG22" s="12">
        <f>MIN(MAX(MktMin13_18,ASA21*MktPct13_18),MAX(0,ASO21-CashBuffer))</f>
        <v/>
      </c>
      <c r="ARH22" s="12">
        <f>IF(ARG22&gt;0,MAX(1,ROUND(ARG22/CAC*ARD22,0)),0)</f>
        <v/>
      </c>
      <c r="ARI22" s="12">
        <f>IF(ARH22&gt;0,ROUND(ARH22*ReferralMix/(1-ReferralMix),0),0)</f>
        <v/>
      </c>
      <c r="ARJ22" s="12">
        <f>ARH22+ARI22</f>
        <v/>
      </c>
      <c r="ARK22" s="12">
        <f>ROUND(ARJ22*(1-AnnualMix),0)</f>
        <v/>
      </c>
      <c r="ARL22" s="12">
        <f>ARJ22-ARK22</f>
        <v/>
      </c>
      <c r="ARM22" s="12">
        <f>ROUND(ARK22*'Sens - Winter Pivot'!$B$6,0)</f>
        <v/>
      </c>
      <c r="ARN22" s="12">
        <f>ARK22-ARM22</f>
        <v/>
      </c>
      <c r="ARO22" s="12">
        <f>ROUND(ARL22*'Sens - Winter Pivot'!$B$6,0)</f>
        <v/>
      </c>
      <c r="ARP22" s="12">
        <f>ARL22-ARO22</f>
        <v/>
      </c>
      <c r="ARQ22" s="12">
        <f>ARM22+ARM21+ARM20+MAX(0,ARQ21-ARM21-ARM20)*(1-ARF22)</f>
        <v/>
      </c>
      <c r="ARR22" s="12">
        <f>ARN22+ARN21+ARN20+MAX(0,ARR21-ARN21-ARN20)*(1-ARF22)</f>
        <v/>
      </c>
      <c r="ARS22" s="12">
        <f>ARS21+ARO22-ARO10*(AnnualChurn*VLOOKUP(ARB22,WinterPivotChurnTable,6,FALSE))*POWER(1-(AnnualChurn*VLOOKUP(ARB22,WinterPivotChurnTable,6,FALSE)),0)</f>
        <v/>
      </c>
      <c r="ART22" s="12">
        <f>ART21+ARP22-ARP10*(AnnualChurn*VLOOKUP(ARB22,WinterPivotChurnTable,6,FALSE))*POWER(1-(AnnualChurn*VLOOKUP(ARB22,WinterPivotChurnTable,6,FALSE)),0)</f>
        <v/>
      </c>
      <c r="ARU22" s="12">
        <f>ARQ22+ARR22+ARS22+ART22</f>
        <v/>
      </c>
      <c r="ARV22" s="9">
        <f>ARQ22*PriceEssMonthly*ARE22+ARR22*(PricePremMonthly+'Sens - Winter Pivot'!$B$7)*ARE22+ARS22*PriceEssAnnual*ARE22/12+ART22*(PricePremAnnual+'Sens - Winter Pivot'!$B$7*12)*ARE22/12</f>
        <v/>
      </c>
      <c r="ARW22" s="9">
        <f>ARV22*12</f>
        <v/>
      </c>
      <c r="ARX22" s="12">
        <f>ARQ22*PriceEssMonthly*ARE22+ARR22*(PricePremMonthly+'Sens - Winter Pivot'!$B$7)*ARE22</f>
        <v/>
      </c>
      <c r="ARY22" s="12">
        <f>ARO22*PriceEssAnnual*ARE22+ARP22*(PricePremAnnual+'Sens - Winter Pivot'!$B$7*12)*ARE22</f>
        <v/>
      </c>
      <c r="ARZ22" s="12">
        <f>ARO10*POWER(1-(AnnualChurn*VLOOKUP(ARB22,WinterPivotChurnTable,6,FALSE)),1)*PriceEssAnnual*ARE22+ARP10*POWER(1-(AnnualChurn*VLOOKUP(ARB22,WinterPivotChurnTable,6,FALSE)),1)*PricePremAnnual*ARE22</f>
        <v/>
      </c>
      <c r="ASA22" s="9">
        <f>ARX22+ARY22+ARZ22</f>
        <v/>
      </c>
      <c r="ASB22" s="12">
        <f>SUM(ASA11:ASA22)</f>
        <v/>
      </c>
      <c r="ASC22" s="12">
        <f>OR(ASC21,ASB22&gt;=VATThreshold)</f>
        <v/>
      </c>
      <c r="ASD22" s="9">
        <f>IF(ASC22,ASA22/(1+VATRate),ASA22)</f>
        <v/>
      </c>
      <c r="ASE22" s="12">
        <f>ASA22-ASD22</f>
        <v/>
      </c>
      <c r="ASF22" s="12">
        <f>IF(ASC22=0,0,IF(ARB22=1,SUMPRODUCT(--(($ARC$5:$ARC22=$ARC22-1)*($ARB$5:$ARB22&gt;=10)*($ARB$5:$ARB22&lt;=12)),$ASE$5:$ASE22),IF(ARB22=4,SUMPRODUCT(--(($ARC$5:$ARC22=$ARC22)*($ARB$5:$ARB22&gt;=1)*($ARB$5:$ARB22&lt;=3)),$ASE$5:$ASE22),IF(ARB22=7,SUMPRODUCT(--(($ARC$5:$ARC22=$ARC22)*($ARB$5:$ARB22&gt;=4)*($ARB$5:$ARB22&lt;=6)),$ASE$5:$ASE22),IF(ARB22=10,SUMPRODUCT(--(($ARC$5:$ARC22=$ARC22)*($ARB$5:$ARB22&gt;=7)*($ARB$5:$ARB22&lt;=9)),$ASE$5:$ASE22),0)))))</f>
        <v/>
      </c>
      <c r="ASG22" s="12">
        <f>ASG21+ASE22-ASF22</f>
        <v/>
      </c>
      <c r="ASH22" s="12">
        <f>IF(ProviderDelay&gt;=1,ASD21*ProviderShare,ASD22*ProviderShare)</f>
        <v/>
      </c>
      <c r="ASI22" s="12">
        <f>ASA22*PaymentFee</f>
        <v/>
      </c>
      <c r="ASJ22" s="12">
        <f>ARU22*OpsAI</f>
        <v/>
      </c>
      <c r="ASK22" s="12">
        <f>MonthlyFixed</f>
        <v/>
      </c>
      <c r="ASL22" s="12">
        <f>ARI22*ReferralReward</f>
        <v/>
      </c>
      <c r="ASM22" s="12">
        <f>ARG22</f>
        <v/>
      </c>
      <c r="ASN22" s="9">
        <f>ASD22-ASH22-ASI22-ASJ22-ASK22-ASL22-ASM22</f>
        <v/>
      </c>
      <c r="ASO22" s="9">
        <f>ASO21+ASA22-(ASH22+ASI22+ASJ22+ASK22+ASL22+ASM22+ASF22)</f>
        <v/>
      </c>
      <c r="ASP22" s="12">
        <f>IF(ARU22&gt;0,ARV22/ARU22,0)</f>
        <v/>
      </c>
      <c r="ASQ22" s="11">
        <f>IF(ARU21&gt;0,MAX(0,(ARU21+ARJ22-ARU22)/ARU21),0)</f>
        <v/>
      </c>
    </row>
    <row r="23">
      <c r="A23" s="12" t="n">
        <v>19</v>
      </c>
      <c r="B23" s="12">
        <f>MOD(A23-1+LaunchMonth-1,12)+1</f>
        <v/>
      </c>
      <c r="C23" s="12">
        <f>INT((A23-1+LaunchMonth-1)/12)+1</f>
        <v/>
      </c>
      <c r="D23" s="12">
        <f>VLOOKUP(B23,SeasonTable,2,FALSE)</f>
        <v/>
      </c>
      <c r="E23" s="12">
        <f>(1+InflationRate)^INT((A23-1)/12)</f>
        <v/>
      </c>
      <c r="F23" s="11">
        <f>'Sens - Scenarios'!$B$5*VLOOKUP(B23,ChurnSeasonTable,4,FALSE)</f>
        <v/>
      </c>
      <c r="G23" s="12">
        <f>MIN(MAX(MktMin19plus,AA22*MktPct19plus),MAX(0,AO22-CashBuffer))</f>
        <v/>
      </c>
      <c r="H23" s="12">
        <f>IF(G23&gt;0,MAX(1,ROUND(G23/'Sens - Scenarios'!$B$8*D23,0)),0)</f>
        <v/>
      </c>
      <c r="I23" s="12">
        <f>IF(H23&gt;0,ROUND(H23*ReferralMix/(1-ReferralMix),0),0)</f>
        <v/>
      </c>
      <c r="J23" s="12">
        <f>H23+I23</f>
        <v/>
      </c>
      <c r="K23" s="12">
        <f>ROUND(J23*(1-'Sens - Scenarios'!$B$7),0)</f>
        <v/>
      </c>
      <c r="L23" s="12">
        <f>J23-K23</f>
        <v/>
      </c>
      <c r="M23" s="12">
        <f>ROUND(K23*EssentialMix,0)</f>
        <v/>
      </c>
      <c r="N23" s="12">
        <f>K23-M23</f>
        <v/>
      </c>
      <c r="O23" s="12">
        <f>ROUND(L23*EssentialMix,0)</f>
        <v/>
      </c>
      <c r="P23" s="12">
        <f>L23-O23</f>
        <v/>
      </c>
      <c r="Q23" s="12">
        <f>M23+M22+M21+MAX(0,Q22-M22-M21)*(1-F23)</f>
        <v/>
      </c>
      <c r="R23" s="12">
        <f>N23+N22+N21+MAX(0,R22-N22-N21)*(1-F23)</f>
        <v/>
      </c>
      <c r="S23" s="12">
        <f>S22+O23-O11*('Sens - Scenarios'!$B$6*VLOOKUP(B23,ChurnSeasonTable,4,FALSE))*POWER(1-('Sens - Scenarios'!$B$6*VLOOKUP(B23,ChurnSeasonTable,4,FALSE)),0)</f>
        <v/>
      </c>
      <c r="T23" s="12">
        <f>T22+P23-P11*('Sens - Scenarios'!$B$6*VLOOKUP(B23,ChurnSeasonTable,4,FALSE))*POWER(1-('Sens - Scenarios'!$B$6*VLOOKUP(B23,ChurnSeasonTable,4,FALSE)),0)</f>
        <v/>
      </c>
      <c r="U23" s="12">
        <f>Q23+R23+S23+T23</f>
        <v/>
      </c>
      <c r="V23" s="9">
        <f>Q23*PriceEssMonthly*E23+R23*PricePremMonthly*E23+S23*PriceEssAnnual*E23/12+T23*PricePremAnnual*E23/12</f>
        <v/>
      </c>
      <c r="W23" s="9">
        <f>V23*12</f>
        <v/>
      </c>
      <c r="X23" s="12">
        <f>Q23*PriceEssMonthly*E23+R23*PricePremMonthly*E23</f>
        <v/>
      </c>
      <c r="Y23" s="12">
        <f>O23*PriceEssAnnual*E23+P23*PricePremAnnual*E23</f>
        <v/>
      </c>
      <c r="Z23" s="12">
        <f>O11*POWER(1-('Sens - Scenarios'!$B$6*VLOOKUP(B23,ChurnSeasonTable,4,FALSE)),1)*PriceEssAnnual*E23+P11*POWER(1-('Sens - Scenarios'!$B$6*VLOOKUP(B23,ChurnSeasonTable,4,FALSE)),1)*PricePremAnnual*E23</f>
        <v/>
      </c>
      <c r="AA23" s="9">
        <f>X23+Y23+Z23</f>
        <v/>
      </c>
      <c r="AB23" s="12">
        <f>SUM(AA12:AA23)</f>
        <v/>
      </c>
      <c r="AC23" s="12">
        <f>OR(AC22,AB23&gt;=VATThreshold)</f>
        <v/>
      </c>
      <c r="AD23" s="9">
        <f>IF(AC23,AA23/(1+VATRate),AA23)</f>
        <v/>
      </c>
      <c r="AE23" s="12">
        <f>AA23-AD23</f>
        <v/>
      </c>
      <c r="AF23" s="12">
        <f>IF(AC23=0,0,IF(B23=1,SUMPRODUCT(--(($C$5:$C23=$C23-1)*($B$5:$B23&gt;=10)*($B$5:$B23&lt;=12)),$AE$5:$AE23),IF(B23=4,SUMPRODUCT(--(($C$5:$C23=$C23)*($B$5:$B23&gt;=1)*($B$5:$B23&lt;=3)),$AE$5:$AE23),IF(B23=7,SUMPRODUCT(--(($C$5:$C23=$C23)*($B$5:$B23&gt;=4)*($B$5:$B23&lt;=6)),$AE$5:$AE23),IF(B23=10,SUMPRODUCT(--(($C$5:$C23=$C23)*($B$5:$B23&gt;=7)*($B$5:$B23&lt;=9)),$AE$5:$AE23),0)))))</f>
        <v/>
      </c>
      <c r="AG23" s="12">
        <f>AG22+AE23-AF23</f>
        <v/>
      </c>
      <c r="AH23" s="12">
        <f>IF(ProviderDelay&gt;=1,AD22*ProviderShare,AD23*ProviderShare)</f>
        <v/>
      </c>
      <c r="AI23" s="12">
        <f>AA23*PaymentFee</f>
        <v/>
      </c>
      <c r="AJ23" s="12">
        <f>U23*OpsAI</f>
        <v/>
      </c>
      <c r="AK23" s="12">
        <f>MonthlyFixed</f>
        <v/>
      </c>
      <c r="AL23" s="12">
        <f>I23*ReferralReward</f>
        <v/>
      </c>
      <c r="AM23" s="12">
        <f>G23</f>
        <v/>
      </c>
      <c r="AN23" s="9">
        <f>AD23-AH23-AI23-AJ23-AK23-AL23-AM23</f>
        <v/>
      </c>
      <c r="AO23" s="9">
        <f>AO22+AA23-(AH23+AI23+AJ23+AK23+AL23+AM23+AF23)</f>
        <v/>
      </c>
      <c r="AP23" s="12">
        <f>IF(U23&gt;0,V23/U23,0)</f>
        <v/>
      </c>
      <c r="AQ23" s="11">
        <f>IF(U22&gt;0,MAX(0,(U22+J23-U23)/U22),0)</f>
        <v/>
      </c>
      <c r="AS23" s="12" t="n">
        <v>19</v>
      </c>
      <c r="AT23" s="12">
        <f>MOD(AS23-1+LaunchMonth-1,12)+1</f>
        <v/>
      </c>
      <c r="AU23" s="12">
        <f>INT((AS23-1+LaunchMonth-1)/12)+1</f>
        <v/>
      </c>
      <c r="AV23" s="12">
        <f>VLOOKUP(AT23,SeasonTable,2,FALSE)</f>
        <v/>
      </c>
      <c r="AW23" s="12">
        <f>(1+InflationRate)^INT((AS23-1)/12)</f>
        <v/>
      </c>
      <c r="AX23" s="11">
        <f>MonthlyChurn*VLOOKUP(AT23,ChurnSeasonTable,4,FALSE)</f>
        <v/>
      </c>
      <c r="AY23" s="12">
        <f>MIN(MAX(MktMin19plus,BS22*MktPct19plus),MAX(0,CG22-CashBuffer))</f>
        <v/>
      </c>
      <c r="AZ23" s="12">
        <f>IF(AY23&gt;0,MAX(1,ROUND(AY23/CAC*AV23,0)),0)</f>
        <v/>
      </c>
      <c r="BA23" s="12">
        <f>IF(AZ23&gt;0,ROUND(AZ23*ReferralMix/(1-ReferralMix),0),0)</f>
        <v/>
      </c>
      <c r="BB23" s="12">
        <f>AZ23+BA23</f>
        <v/>
      </c>
      <c r="BC23" s="12">
        <f>ROUND(BB23*(1-AnnualMix),0)</f>
        <v/>
      </c>
      <c r="BD23" s="12">
        <f>BB23-BC23</f>
        <v/>
      </c>
      <c r="BE23" s="12">
        <f>ROUND(BC23*EssentialMix,0)</f>
        <v/>
      </c>
      <c r="BF23" s="12">
        <f>BC23-BE23</f>
        <v/>
      </c>
      <c r="BG23" s="12">
        <f>ROUND(BD23*EssentialMix,0)</f>
        <v/>
      </c>
      <c r="BH23" s="12">
        <f>BD23-BG23</f>
        <v/>
      </c>
      <c r="BI23" s="12">
        <f>BE23+BE22+BE21+MAX(0,BI22-BE22-BE21)*(1-AX23)</f>
        <v/>
      </c>
      <c r="BJ23" s="12">
        <f>BF23+BF22+BF21+MAX(0,BJ22-BF22-BF21)*(1-AX23)</f>
        <v/>
      </c>
      <c r="BK23" s="12">
        <f>BK22+BG23-BG11*(AnnualChurn*VLOOKUP(AT23,ChurnSeasonTable,4,FALSE))*POWER(1-(AnnualChurn*VLOOKUP(AT23,ChurnSeasonTable,4,FALSE)),0)</f>
        <v/>
      </c>
      <c r="BL23" s="12">
        <f>BL22+BH23-BH11*(AnnualChurn*VLOOKUP(AT23,ChurnSeasonTable,4,FALSE))*POWER(1-(AnnualChurn*VLOOKUP(AT23,ChurnSeasonTable,4,FALSE)),0)</f>
        <v/>
      </c>
      <c r="BM23" s="12">
        <f>BI23+BJ23+BK23+BL23</f>
        <v/>
      </c>
      <c r="BN23" s="9">
        <f>BI23*PriceEssMonthly*AW23+BJ23*PricePremMonthly*AW23+BK23*PriceEssAnnual*AW23/12+BL23*PricePremAnnual*AW23/12</f>
        <v/>
      </c>
      <c r="BO23" s="9">
        <f>BN23*12</f>
        <v/>
      </c>
      <c r="BP23" s="12">
        <f>BI23*PriceEssMonthly*AW23+BJ23*PricePremMonthly*AW23</f>
        <v/>
      </c>
      <c r="BQ23" s="12">
        <f>BG23*PriceEssAnnual*AW23+BH23*PricePremAnnual*AW23</f>
        <v/>
      </c>
      <c r="BR23" s="12">
        <f>BG11*POWER(1-(AnnualChurn*VLOOKUP(AT23,ChurnSeasonTable,4,FALSE)),1)*PriceEssAnnual*AW23+BH11*POWER(1-(AnnualChurn*VLOOKUP(AT23,ChurnSeasonTable,4,FALSE)),1)*PricePremAnnual*AW23</f>
        <v/>
      </c>
      <c r="BS23" s="9">
        <f>BP23+BQ23+BR23</f>
        <v/>
      </c>
      <c r="BT23" s="12">
        <f>SUM(BS12:BS23)</f>
        <v/>
      </c>
      <c r="BU23" s="12">
        <f>OR(BU22,BT23&gt;=VATThreshold)</f>
        <v/>
      </c>
      <c r="BV23" s="9">
        <f>IF(BU23,BS23/(1+VATRate),BS23)</f>
        <v/>
      </c>
      <c r="BW23" s="12">
        <f>BS23-BV23</f>
        <v/>
      </c>
      <c r="BX23" s="12">
        <f>IF(BU23=0,0,IF(AT23=1,SUMPRODUCT(--(($AU$5:$AU23=$AU23-1)*($AT$5:$AT23&gt;=10)*($AT$5:$AT23&lt;=12)),$BW$5:$BW23),IF(AT23=4,SUMPRODUCT(--(($AU$5:$AU23=$AU23)*($AT$5:$AT23&gt;=1)*($AT$5:$AT23&lt;=3)),$BW$5:$BW23),IF(AT23=7,SUMPRODUCT(--(($AU$5:$AU23=$AU23)*($AT$5:$AT23&gt;=4)*($AT$5:$AT23&lt;=6)),$BW$5:$BW23),IF(AT23=10,SUMPRODUCT(--(($AU$5:$AU23=$AU23)*($AT$5:$AT23&gt;=7)*($AT$5:$AT23&lt;=9)),$BW$5:$BW23),0)))))</f>
        <v/>
      </c>
      <c r="BY23" s="12">
        <f>BY22+BW23-BX23</f>
        <v/>
      </c>
      <c r="BZ23" s="12">
        <f>IF(ProviderDelay&gt;=1,BV22*ProviderShare,BV23*ProviderShare)</f>
        <v/>
      </c>
      <c r="CA23" s="12">
        <f>BS23*PaymentFee</f>
        <v/>
      </c>
      <c r="CB23" s="12">
        <f>BM23*OpsAI</f>
        <v/>
      </c>
      <c r="CC23" s="12">
        <f>MonthlyFixed</f>
        <v/>
      </c>
      <c r="CD23" s="12">
        <f>BA23*ReferralReward</f>
        <v/>
      </c>
      <c r="CE23" s="12">
        <f>AY23</f>
        <v/>
      </c>
      <c r="CF23" s="9">
        <f>BV23-BZ23-CA23-CB23-CC23-CD23-CE23</f>
        <v/>
      </c>
      <c r="CG23" s="9">
        <f>CG22+BS23-(BZ23+CA23+CB23+CC23+CD23+CE23+BX23)</f>
        <v/>
      </c>
      <c r="CH23" s="12">
        <f>IF(BM23&gt;0,BN23/BM23,0)</f>
        <v/>
      </c>
      <c r="CI23" s="11">
        <f>IF(BM22&gt;0,MAX(0,(BM22+BB23-BM23)/BM22),0)</f>
        <v/>
      </c>
      <c r="CK23" s="12" t="n">
        <v>19</v>
      </c>
      <c r="CL23" s="12">
        <f>MOD(CK23-1+LaunchMonth-1,12)+1</f>
        <v/>
      </c>
      <c r="CM23" s="12">
        <f>INT((CK23-1+LaunchMonth-1)/12)+1</f>
        <v/>
      </c>
      <c r="CN23" s="12">
        <f>VLOOKUP(CL23,SeasonTable,2,FALSE)</f>
        <v/>
      </c>
      <c r="CO23" s="12">
        <f>(1+InflationRate)^INT((CK23-1)/12)</f>
        <v/>
      </c>
      <c r="CP23" s="11">
        <f>'Sens - Scenarios'!$D$5*VLOOKUP(CL23,ChurnSeasonTable,4,FALSE)</f>
        <v/>
      </c>
      <c r="CQ23" s="12">
        <f>MIN(MAX(MktMin19plus,DK22*MktPct19plus),MAX(0,DY22-CashBuffer))</f>
        <v/>
      </c>
      <c r="CR23" s="12">
        <f>IF(CQ23&gt;0,MAX(1,ROUND(CQ23/'Sens - Scenarios'!$D$8*CN23,0)),0)</f>
        <v/>
      </c>
      <c r="CS23" s="12">
        <f>IF(CR23&gt;0,ROUND(CR23*ReferralMix/(1-ReferralMix),0),0)</f>
        <v/>
      </c>
      <c r="CT23" s="12">
        <f>CR23+CS23</f>
        <v/>
      </c>
      <c r="CU23" s="12">
        <f>ROUND(CT23*(1-'Sens - Scenarios'!$D$7),0)</f>
        <v/>
      </c>
      <c r="CV23" s="12">
        <f>CT23-CU23</f>
        <v/>
      </c>
      <c r="CW23" s="12">
        <f>ROUND(CU23*EssentialMix,0)</f>
        <v/>
      </c>
      <c r="CX23" s="12">
        <f>CU23-CW23</f>
        <v/>
      </c>
      <c r="CY23" s="12">
        <f>ROUND(CV23*EssentialMix,0)</f>
        <v/>
      </c>
      <c r="CZ23" s="12">
        <f>CV23-CY23</f>
        <v/>
      </c>
      <c r="DA23" s="12">
        <f>CW23+CW22+CW21+MAX(0,DA22-CW22-CW21)*(1-CP23)</f>
        <v/>
      </c>
      <c r="DB23" s="12">
        <f>CX23+CX22+CX21+MAX(0,DB22-CX22-CX21)*(1-CP23)</f>
        <v/>
      </c>
      <c r="DC23" s="12">
        <f>DC22+CY23-CY11*('Sens - Scenarios'!$D$6*VLOOKUP(CL23,ChurnSeasonTable,4,FALSE))*POWER(1-('Sens - Scenarios'!$D$6*VLOOKUP(CL23,ChurnSeasonTable,4,FALSE)),0)</f>
        <v/>
      </c>
      <c r="DD23" s="12">
        <f>DD22+CZ23-CZ11*('Sens - Scenarios'!$D$6*VLOOKUP(CL23,ChurnSeasonTable,4,FALSE))*POWER(1-('Sens - Scenarios'!$D$6*VLOOKUP(CL23,ChurnSeasonTable,4,FALSE)),0)</f>
        <v/>
      </c>
      <c r="DE23" s="12">
        <f>DA23+DB23+DC23+DD23</f>
        <v/>
      </c>
      <c r="DF23" s="9">
        <f>DA23*PriceEssMonthly*CO23+DB23*PricePremMonthly*CO23+DC23*PriceEssAnnual*CO23/12+DD23*PricePremAnnual*CO23/12</f>
        <v/>
      </c>
      <c r="DG23" s="9">
        <f>DF23*12</f>
        <v/>
      </c>
      <c r="DH23" s="12">
        <f>DA23*PriceEssMonthly*CO23+DB23*PricePremMonthly*CO23</f>
        <v/>
      </c>
      <c r="DI23" s="12">
        <f>CY23*PriceEssAnnual*CO23+CZ23*PricePremAnnual*CO23</f>
        <v/>
      </c>
      <c r="DJ23" s="12">
        <f>CY11*POWER(1-('Sens - Scenarios'!$D$6*VLOOKUP(CL23,ChurnSeasonTable,4,FALSE)),1)*PriceEssAnnual*CO23+CZ11*POWER(1-('Sens - Scenarios'!$D$6*VLOOKUP(CL23,ChurnSeasonTable,4,FALSE)),1)*PricePremAnnual*CO23</f>
        <v/>
      </c>
      <c r="DK23" s="9">
        <f>DH23+DI23+DJ23</f>
        <v/>
      </c>
      <c r="DL23" s="12">
        <f>SUM(DK12:DK23)</f>
        <v/>
      </c>
      <c r="DM23" s="12">
        <f>OR(DM22,DL23&gt;=VATThreshold)</f>
        <v/>
      </c>
      <c r="DN23" s="9">
        <f>IF(DM23,DK23/(1+VATRate),DK23)</f>
        <v/>
      </c>
      <c r="DO23" s="12">
        <f>DK23-DN23</f>
        <v/>
      </c>
      <c r="DP23" s="12">
        <f>IF(DM23=0,0,IF(CL23=1,SUMPRODUCT(--(($CM$5:$CM23=$CM23-1)*($CL$5:$CL23&gt;=10)*($CL$5:$CL23&lt;=12)),$DO$5:$DO23),IF(CL23=4,SUMPRODUCT(--(($CM$5:$CM23=$CM23)*($CL$5:$CL23&gt;=1)*($CL$5:$CL23&lt;=3)),$DO$5:$DO23),IF(CL23=7,SUMPRODUCT(--(($CM$5:$CM23=$CM23)*($CL$5:$CL23&gt;=4)*($CL$5:$CL23&lt;=6)),$DO$5:$DO23),IF(CL23=10,SUMPRODUCT(--(($CM$5:$CM23=$CM23)*($CL$5:$CL23&gt;=7)*($CL$5:$CL23&lt;=9)),$DO$5:$DO23),0)))))</f>
        <v/>
      </c>
      <c r="DQ23" s="12">
        <f>DQ22+DO23-DP23</f>
        <v/>
      </c>
      <c r="DR23" s="12">
        <f>IF(ProviderDelay&gt;=1,DN22*ProviderShare,DN23*ProviderShare)</f>
        <v/>
      </c>
      <c r="DS23" s="12">
        <f>DK23*PaymentFee</f>
        <v/>
      </c>
      <c r="DT23" s="12">
        <f>DE23*OpsAI</f>
        <v/>
      </c>
      <c r="DU23" s="12">
        <f>MonthlyFixed</f>
        <v/>
      </c>
      <c r="DV23" s="12">
        <f>CS23*ReferralReward</f>
        <v/>
      </c>
      <c r="DW23" s="12">
        <f>CQ23</f>
        <v/>
      </c>
      <c r="DX23" s="9">
        <f>DN23-DR23-DS23-DT23-DU23-DV23-DW23</f>
        <v/>
      </c>
      <c r="DY23" s="9">
        <f>DY22+DK23-(DR23+DS23+DT23+DU23+DV23+DW23+DP23)</f>
        <v/>
      </c>
      <c r="DZ23" s="12">
        <f>IF(DE23&gt;0,DF23/DE23,0)</f>
        <v/>
      </c>
      <c r="EA23" s="11">
        <f>IF(DE22&gt;0,MAX(0,(DE22+CT23-DE23)/DE22),0)</f>
        <v/>
      </c>
      <c r="EC23" s="12" t="n">
        <v>19</v>
      </c>
      <c r="ED23" s="12">
        <f>MOD(EC23-1+LaunchMonth-1,12)+1</f>
        <v/>
      </c>
      <c r="EE23" s="12">
        <f>INT((EC23-1+LaunchMonth-1)/12)+1</f>
        <v/>
      </c>
      <c r="EF23" s="12">
        <f>VLOOKUP(ED23,SeasonTable,2,FALSE)</f>
        <v/>
      </c>
      <c r="EG23" s="12">
        <f>(1+InflationRate)^INT((EC23-1)/12)</f>
        <v/>
      </c>
      <c r="EH23" s="11">
        <f>'Sens - Churn'!$A$13*VLOOKUP(ED23,ChurnSeasonTable,4,FALSE)</f>
        <v/>
      </c>
      <c r="EI23" s="12">
        <f>MIN(MAX(MktMin19plus,FC22*MktPct19plus),MAX(0,FQ22-CashBuffer))</f>
        <v/>
      </c>
      <c r="EJ23" s="12">
        <f>IF(EI23&gt;0,MAX(1,ROUND(EI23/CAC*EF23,0)),0)</f>
        <v/>
      </c>
      <c r="EK23" s="12">
        <f>IF(EJ23&gt;0,ROUND(EJ23*ReferralMix/(1-ReferralMix),0),0)</f>
        <v/>
      </c>
      <c r="EL23" s="12">
        <f>EJ23+EK23</f>
        <v/>
      </c>
      <c r="EM23" s="12">
        <f>ROUND(EL23*(1-AnnualMix),0)</f>
        <v/>
      </c>
      <c r="EN23" s="12">
        <f>EL23-EM23</f>
        <v/>
      </c>
      <c r="EO23" s="12">
        <f>ROUND(EM23*EssentialMix,0)</f>
        <v/>
      </c>
      <c r="EP23" s="12">
        <f>EM23-EO23</f>
        <v/>
      </c>
      <c r="EQ23" s="12">
        <f>ROUND(EN23*EssentialMix,0)</f>
        <v/>
      </c>
      <c r="ER23" s="12">
        <f>EN23-EQ23</f>
        <v/>
      </c>
      <c r="ES23" s="12">
        <f>EO23+EO22+EO21+MAX(0,ES22-EO22-EO21)*(1-EH23)</f>
        <v/>
      </c>
      <c r="ET23" s="12">
        <f>EP23+EP22+EP21+MAX(0,ET22-EP22-EP21)*(1-EH23)</f>
        <v/>
      </c>
      <c r="EU23" s="12">
        <f>EU22+EQ23-EQ11*(AnnualChurn*VLOOKUP(ED23,ChurnSeasonTable,4,FALSE))*POWER(1-(AnnualChurn*VLOOKUP(ED23,ChurnSeasonTable,4,FALSE)),0)</f>
        <v/>
      </c>
      <c r="EV23" s="12">
        <f>EV22+ER23-ER11*(AnnualChurn*VLOOKUP(ED23,ChurnSeasonTable,4,FALSE))*POWER(1-(AnnualChurn*VLOOKUP(ED23,ChurnSeasonTable,4,FALSE)),0)</f>
        <v/>
      </c>
      <c r="EW23" s="12">
        <f>ES23+ET23+EU23+EV23</f>
        <v/>
      </c>
      <c r="EX23" s="9">
        <f>ES23*PriceEssMonthly*EG23+ET23*PricePremMonthly*EG23+EU23*PriceEssAnnual*EG23/12+EV23*PricePremAnnual*EG23/12</f>
        <v/>
      </c>
      <c r="EY23" s="9">
        <f>EX23*12</f>
        <v/>
      </c>
      <c r="EZ23" s="12">
        <f>ES23*PriceEssMonthly*EG23+ET23*PricePremMonthly*EG23</f>
        <v/>
      </c>
      <c r="FA23" s="12">
        <f>EQ23*PriceEssAnnual*EG23+ER23*PricePremAnnual*EG23</f>
        <v/>
      </c>
      <c r="FB23" s="12">
        <f>EQ11*POWER(1-(AnnualChurn*VLOOKUP(ED23,ChurnSeasonTable,4,FALSE)),1)*PriceEssAnnual*EG23+ER11*POWER(1-(AnnualChurn*VLOOKUP(ED23,ChurnSeasonTable,4,FALSE)),1)*PricePremAnnual*EG23</f>
        <v/>
      </c>
      <c r="FC23" s="9">
        <f>EZ23+FA23+FB23</f>
        <v/>
      </c>
      <c r="FD23" s="12">
        <f>SUM(FC12:FC23)</f>
        <v/>
      </c>
      <c r="FE23" s="12">
        <f>OR(FE22,FD23&gt;=VATThreshold)</f>
        <v/>
      </c>
      <c r="FF23" s="9">
        <f>IF(FE23,FC23/(1+VATRate),FC23)</f>
        <v/>
      </c>
      <c r="FG23" s="12">
        <f>FC23-FF23</f>
        <v/>
      </c>
      <c r="FH23" s="12">
        <f>IF(FE23=0,0,IF(ED23=1,SUMPRODUCT(--(($EE$5:$EE23=$EE23-1)*($ED$5:$ED23&gt;=10)*($ED$5:$ED23&lt;=12)),$FG$5:$FG23),IF(ED23=4,SUMPRODUCT(--(($EE$5:$EE23=$EE23)*($ED$5:$ED23&gt;=1)*($ED$5:$ED23&lt;=3)),$FG$5:$FG23),IF(ED23=7,SUMPRODUCT(--(($EE$5:$EE23=$EE23)*($ED$5:$ED23&gt;=4)*($ED$5:$ED23&lt;=6)),$FG$5:$FG23),IF(ED23=10,SUMPRODUCT(--(($EE$5:$EE23=$EE23)*($ED$5:$ED23&gt;=7)*($ED$5:$ED23&lt;=9)),$FG$5:$FG23),0)))))</f>
        <v/>
      </c>
      <c r="FI23" s="12">
        <f>FI22+FG23-FH23</f>
        <v/>
      </c>
      <c r="FJ23" s="12">
        <f>IF(ProviderDelay&gt;=1,FF22*ProviderShare,FF23*ProviderShare)</f>
        <v/>
      </c>
      <c r="FK23" s="12">
        <f>FC23*PaymentFee</f>
        <v/>
      </c>
      <c r="FL23" s="12">
        <f>EW23*OpsAI</f>
        <v/>
      </c>
      <c r="FM23" s="12">
        <f>MonthlyFixed</f>
        <v/>
      </c>
      <c r="FN23" s="12">
        <f>EK23*ReferralReward</f>
        <v/>
      </c>
      <c r="FO23" s="12">
        <f>EI23</f>
        <v/>
      </c>
      <c r="FP23" s="9">
        <f>FF23-FJ23-FK23-FL23-FM23-FN23-FO23</f>
        <v/>
      </c>
      <c r="FQ23" s="9">
        <f>FQ22+FC23-(FJ23+FK23+FL23+FM23+FN23+FO23+FH23)</f>
        <v/>
      </c>
      <c r="FR23" s="12">
        <f>IF(EW23&gt;0,EX23/EW23,0)</f>
        <v/>
      </c>
      <c r="FS23" s="11">
        <f>IF(EW22&gt;0,MAX(0,(EW22+EL23-EW23)/EW22),0)</f>
        <v/>
      </c>
      <c r="FU23" s="12" t="n">
        <v>19</v>
      </c>
      <c r="FV23" s="12">
        <f>MOD(FU23-1+LaunchMonth-1,12)+1</f>
        <v/>
      </c>
      <c r="FW23" s="12">
        <f>INT((FU23-1+LaunchMonth-1)/12)+1</f>
        <v/>
      </c>
      <c r="FX23" s="12">
        <f>VLOOKUP(FV23,SeasonTable,2,FALSE)</f>
        <v/>
      </c>
      <c r="FY23" s="12">
        <f>(1+InflationRate)^INT((FU23-1)/12)</f>
        <v/>
      </c>
      <c r="FZ23" s="11">
        <f>'Sens - Churn'!$A$14*VLOOKUP(FV23,ChurnSeasonTable,4,FALSE)</f>
        <v/>
      </c>
      <c r="GA23" s="12">
        <f>MIN(MAX(MktMin19plus,GU22*MktPct19plus),MAX(0,HI22-CashBuffer))</f>
        <v/>
      </c>
      <c r="GB23" s="12">
        <f>IF(GA23&gt;0,MAX(1,ROUND(GA23/CAC*FX23,0)),0)</f>
        <v/>
      </c>
      <c r="GC23" s="12">
        <f>IF(GB23&gt;0,ROUND(GB23*ReferralMix/(1-ReferralMix),0),0)</f>
        <v/>
      </c>
      <c r="GD23" s="12">
        <f>GB23+GC23</f>
        <v/>
      </c>
      <c r="GE23" s="12">
        <f>ROUND(GD23*(1-AnnualMix),0)</f>
        <v/>
      </c>
      <c r="GF23" s="12">
        <f>GD23-GE23</f>
        <v/>
      </c>
      <c r="GG23" s="12">
        <f>ROUND(GE23*EssentialMix,0)</f>
        <v/>
      </c>
      <c r="GH23" s="12">
        <f>GE23-GG23</f>
        <v/>
      </c>
      <c r="GI23" s="12">
        <f>ROUND(GF23*EssentialMix,0)</f>
        <v/>
      </c>
      <c r="GJ23" s="12">
        <f>GF23-GI23</f>
        <v/>
      </c>
      <c r="GK23" s="12">
        <f>GG23+GG22+GG21+MAX(0,GK22-GG22-GG21)*(1-FZ23)</f>
        <v/>
      </c>
      <c r="GL23" s="12">
        <f>GH23+GH22+GH21+MAX(0,GL22-GH22-GH21)*(1-FZ23)</f>
        <v/>
      </c>
      <c r="GM23" s="12">
        <f>GM22+GI23-GI11*(AnnualChurn*VLOOKUP(FV23,ChurnSeasonTable,4,FALSE))*POWER(1-(AnnualChurn*VLOOKUP(FV23,ChurnSeasonTable,4,FALSE)),0)</f>
        <v/>
      </c>
      <c r="GN23" s="12">
        <f>GN22+GJ23-GJ11*(AnnualChurn*VLOOKUP(FV23,ChurnSeasonTable,4,FALSE))*POWER(1-(AnnualChurn*VLOOKUP(FV23,ChurnSeasonTable,4,FALSE)),0)</f>
        <v/>
      </c>
      <c r="GO23" s="12">
        <f>GK23+GL23+GM23+GN23</f>
        <v/>
      </c>
      <c r="GP23" s="9">
        <f>GK23*PriceEssMonthly*FY23+GL23*PricePremMonthly*FY23+GM23*PriceEssAnnual*FY23/12+GN23*PricePremAnnual*FY23/12</f>
        <v/>
      </c>
      <c r="GQ23" s="9">
        <f>GP23*12</f>
        <v/>
      </c>
      <c r="GR23" s="12">
        <f>GK23*PriceEssMonthly*FY23+GL23*PricePremMonthly*FY23</f>
        <v/>
      </c>
      <c r="GS23" s="12">
        <f>GI23*PriceEssAnnual*FY23+GJ23*PricePremAnnual*FY23</f>
        <v/>
      </c>
      <c r="GT23" s="12">
        <f>GI11*POWER(1-(AnnualChurn*VLOOKUP(FV23,ChurnSeasonTable,4,FALSE)),1)*PriceEssAnnual*FY23+GJ11*POWER(1-(AnnualChurn*VLOOKUP(FV23,ChurnSeasonTable,4,FALSE)),1)*PricePremAnnual*FY23</f>
        <v/>
      </c>
      <c r="GU23" s="9">
        <f>GR23+GS23+GT23</f>
        <v/>
      </c>
      <c r="GV23" s="12">
        <f>SUM(GU12:GU23)</f>
        <v/>
      </c>
      <c r="GW23" s="12">
        <f>OR(GW22,GV23&gt;=VATThreshold)</f>
        <v/>
      </c>
      <c r="GX23" s="9">
        <f>IF(GW23,GU23/(1+VATRate),GU23)</f>
        <v/>
      </c>
      <c r="GY23" s="12">
        <f>GU23-GX23</f>
        <v/>
      </c>
      <c r="GZ23" s="12">
        <f>IF(GW23=0,0,IF(FV23=1,SUMPRODUCT(--(($FW$5:$FW23=$FW23-1)*($FV$5:$FV23&gt;=10)*($FV$5:$FV23&lt;=12)),$GY$5:$GY23),IF(FV23=4,SUMPRODUCT(--(($FW$5:$FW23=$FW23)*($FV$5:$FV23&gt;=1)*($FV$5:$FV23&lt;=3)),$GY$5:$GY23),IF(FV23=7,SUMPRODUCT(--(($FW$5:$FW23=$FW23)*($FV$5:$FV23&gt;=4)*($FV$5:$FV23&lt;=6)),$GY$5:$GY23),IF(FV23=10,SUMPRODUCT(--(($FW$5:$FW23=$FW23)*($FV$5:$FV23&gt;=7)*($FV$5:$FV23&lt;=9)),$GY$5:$GY23),0)))))</f>
        <v/>
      </c>
      <c r="HA23" s="12">
        <f>HA22+GY23-GZ23</f>
        <v/>
      </c>
      <c r="HB23" s="12">
        <f>IF(ProviderDelay&gt;=1,GX22*ProviderShare,GX23*ProviderShare)</f>
        <v/>
      </c>
      <c r="HC23" s="12">
        <f>GU23*PaymentFee</f>
        <v/>
      </c>
      <c r="HD23" s="12">
        <f>GO23*OpsAI</f>
        <v/>
      </c>
      <c r="HE23" s="12">
        <f>MonthlyFixed</f>
        <v/>
      </c>
      <c r="HF23" s="12">
        <f>GC23*ReferralReward</f>
        <v/>
      </c>
      <c r="HG23" s="12">
        <f>GA23</f>
        <v/>
      </c>
      <c r="HH23" s="9">
        <f>GX23-HB23-HC23-HD23-HE23-HF23-HG23</f>
        <v/>
      </c>
      <c r="HI23" s="9">
        <f>HI22+GU23-(HB23+HC23+HD23+HE23+HF23+HG23+GZ23)</f>
        <v/>
      </c>
      <c r="HJ23" s="12">
        <f>IF(GO23&gt;0,GP23/GO23,0)</f>
        <v/>
      </c>
      <c r="HK23" s="11">
        <f>IF(GO22&gt;0,MAX(0,(GO22+GD23-GO23)/GO22),0)</f>
        <v/>
      </c>
      <c r="HM23" s="12" t="n">
        <v>19</v>
      </c>
      <c r="HN23" s="12">
        <f>MOD(HM23-1+LaunchMonth-1,12)+1</f>
        <v/>
      </c>
      <c r="HO23" s="12">
        <f>INT((HM23-1+LaunchMonth-1)/12)+1</f>
        <v/>
      </c>
      <c r="HP23" s="12">
        <f>VLOOKUP(HN23,SeasonTable,2,FALSE)</f>
        <v/>
      </c>
      <c r="HQ23" s="12">
        <f>(1+InflationRate)^INT((HM23-1)/12)</f>
        <v/>
      </c>
      <c r="HR23" s="11">
        <f>'Sens - Churn'!$A$15*VLOOKUP(HN23,ChurnSeasonTable,4,FALSE)</f>
        <v/>
      </c>
      <c r="HS23" s="12">
        <f>MIN(MAX(MktMin19plus,IM22*MktPct19plus),MAX(0,JA22-CashBuffer))</f>
        <v/>
      </c>
      <c r="HT23" s="12">
        <f>IF(HS23&gt;0,MAX(1,ROUND(HS23/CAC*HP23,0)),0)</f>
        <v/>
      </c>
      <c r="HU23" s="12">
        <f>IF(HT23&gt;0,ROUND(HT23*ReferralMix/(1-ReferralMix),0),0)</f>
        <v/>
      </c>
      <c r="HV23" s="12">
        <f>HT23+HU23</f>
        <v/>
      </c>
      <c r="HW23" s="12">
        <f>ROUND(HV23*(1-AnnualMix),0)</f>
        <v/>
      </c>
      <c r="HX23" s="12">
        <f>HV23-HW23</f>
        <v/>
      </c>
      <c r="HY23" s="12">
        <f>ROUND(HW23*EssentialMix,0)</f>
        <v/>
      </c>
      <c r="HZ23" s="12">
        <f>HW23-HY23</f>
        <v/>
      </c>
      <c r="IA23" s="12">
        <f>ROUND(HX23*EssentialMix,0)</f>
        <v/>
      </c>
      <c r="IB23" s="12">
        <f>HX23-IA23</f>
        <v/>
      </c>
      <c r="IC23" s="12">
        <f>HY23+HY22+HY21+MAX(0,IC22-HY22-HY21)*(1-HR23)</f>
        <v/>
      </c>
      <c r="ID23" s="12">
        <f>HZ23+HZ22+HZ21+MAX(0,ID22-HZ22-HZ21)*(1-HR23)</f>
        <v/>
      </c>
      <c r="IE23" s="12">
        <f>IE22+IA23-IA11*(AnnualChurn*VLOOKUP(HN23,ChurnSeasonTable,4,FALSE))*POWER(1-(AnnualChurn*VLOOKUP(HN23,ChurnSeasonTable,4,FALSE)),0)</f>
        <v/>
      </c>
      <c r="IF23" s="12">
        <f>IF22+IB23-IB11*(AnnualChurn*VLOOKUP(HN23,ChurnSeasonTable,4,FALSE))*POWER(1-(AnnualChurn*VLOOKUP(HN23,ChurnSeasonTable,4,FALSE)),0)</f>
        <v/>
      </c>
      <c r="IG23" s="12">
        <f>IC23+ID23+IE23+IF23</f>
        <v/>
      </c>
      <c r="IH23" s="9">
        <f>IC23*PriceEssMonthly*HQ23+ID23*PricePremMonthly*HQ23+IE23*PriceEssAnnual*HQ23/12+IF23*PricePremAnnual*HQ23/12</f>
        <v/>
      </c>
      <c r="II23" s="9">
        <f>IH23*12</f>
        <v/>
      </c>
      <c r="IJ23" s="12">
        <f>IC23*PriceEssMonthly*HQ23+ID23*PricePremMonthly*HQ23</f>
        <v/>
      </c>
      <c r="IK23" s="12">
        <f>IA23*PriceEssAnnual*HQ23+IB23*PricePremAnnual*HQ23</f>
        <v/>
      </c>
      <c r="IL23" s="12">
        <f>IA11*POWER(1-(AnnualChurn*VLOOKUP(HN23,ChurnSeasonTable,4,FALSE)),1)*PriceEssAnnual*HQ23+IB11*POWER(1-(AnnualChurn*VLOOKUP(HN23,ChurnSeasonTable,4,FALSE)),1)*PricePremAnnual*HQ23</f>
        <v/>
      </c>
      <c r="IM23" s="9">
        <f>IJ23+IK23+IL23</f>
        <v/>
      </c>
      <c r="IN23" s="12">
        <f>SUM(IM12:IM23)</f>
        <v/>
      </c>
      <c r="IO23" s="12">
        <f>OR(IO22,IN23&gt;=VATThreshold)</f>
        <v/>
      </c>
      <c r="IP23" s="9">
        <f>IF(IO23,IM23/(1+VATRate),IM23)</f>
        <v/>
      </c>
      <c r="IQ23" s="12">
        <f>IM23-IP23</f>
        <v/>
      </c>
      <c r="IR23" s="12">
        <f>IF(IO23=0,0,IF(HN23=1,SUMPRODUCT(--(($HO$5:$HO23=$HO23-1)*($HN$5:$HN23&gt;=10)*($HN$5:$HN23&lt;=12)),$IQ$5:$IQ23),IF(HN23=4,SUMPRODUCT(--(($HO$5:$HO23=$HO23)*($HN$5:$HN23&gt;=1)*($HN$5:$HN23&lt;=3)),$IQ$5:$IQ23),IF(HN23=7,SUMPRODUCT(--(($HO$5:$HO23=$HO23)*($HN$5:$HN23&gt;=4)*($HN$5:$HN23&lt;=6)),$IQ$5:$IQ23),IF(HN23=10,SUMPRODUCT(--(($HO$5:$HO23=$HO23)*($HN$5:$HN23&gt;=7)*($HN$5:$HN23&lt;=9)),$IQ$5:$IQ23),0)))))</f>
        <v/>
      </c>
      <c r="IS23" s="12">
        <f>IS22+IQ23-IR23</f>
        <v/>
      </c>
      <c r="IT23" s="12">
        <f>IF(ProviderDelay&gt;=1,IP22*ProviderShare,IP23*ProviderShare)</f>
        <v/>
      </c>
      <c r="IU23" s="12">
        <f>IM23*PaymentFee</f>
        <v/>
      </c>
      <c r="IV23" s="12">
        <f>IG23*OpsAI</f>
        <v/>
      </c>
      <c r="IW23" s="12">
        <f>MonthlyFixed</f>
        <v/>
      </c>
      <c r="IX23" s="12">
        <f>HU23*ReferralReward</f>
        <v/>
      </c>
      <c r="IY23" s="12">
        <f>HS23</f>
        <v/>
      </c>
      <c r="IZ23" s="9">
        <f>IP23-IT23-IU23-IV23-IW23-IX23-IY23</f>
        <v/>
      </c>
      <c r="JA23" s="9">
        <f>JA22+IM23-(IT23+IU23+IV23+IW23+IX23+IY23+IR23)</f>
        <v/>
      </c>
      <c r="JB23" s="12">
        <f>IF(IG23&gt;0,IH23/IG23,0)</f>
        <v/>
      </c>
      <c r="JC23" s="11">
        <f>IF(IG22&gt;0,MAX(0,(IG22+HV23-IG23)/IG22),0)</f>
        <v/>
      </c>
      <c r="JE23" s="12" t="n">
        <v>19</v>
      </c>
      <c r="JF23" s="12">
        <f>MOD(JE23-1+LaunchMonth-1,12)+1</f>
        <v/>
      </c>
      <c r="JG23" s="12">
        <f>INT((JE23-1+LaunchMonth-1)/12)+1</f>
        <v/>
      </c>
      <c r="JH23" s="12">
        <f>VLOOKUP(JF23,SeasonTable,2,FALSE)</f>
        <v/>
      </c>
      <c r="JI23" s="12">
        <f>(1+InflationRate)^INT((JE23-1)/12)</f>
        <v/>
      </c>
      <c r="JJ23" s="11">
        <f>'Sens - Churn'!$A$16*VLOOKUP(JF23,ChurnSeasonTable,4,FALSE)</f>
        <v/>
      </c>
      <c r="JK23" s="12">
        <f>MIN(MAX(MktMin19plus,KE22*MktPct19plus),MAX(0,KS22-CashBuffer))</f>
        <v/>
      </c>
      <c r="JL23" s="12">
        <f>IF(JK23&gt;0,MAX(1,ROUND(JK23/CAC*JH23,0)),0)</f>
        <v/>
      </c>
      <c r="JM23" s="12">
        <f>IF(JL23&gt;0,ROUND(JL23*ReferralMix/(1-ReferralMix),0),0)</f>
        <v/>
      </c>
      <c r="JN23" s="12">
        <f>JL23+JM23</f>
        <v/>
      </c>
      <c r="JO23" s="12">
        <f>ROUND(JN23*(1-AnnualMix),0)</f>
        <v/>
      </c>
      <c r="JP23" s="12">
        <f>JN23-JO23</f>
        <v/>
      </c>
      <c r="JQ23" s="12">
        <f>ROUND(JO23*EssentialMix,0)</f>
        <v/>
      </c>
      <c r="JR23" s="12">
        <f>JO23-JQ23</f>
        <v/>
      </c>
      <c r="JS23" s="12">
        <f>ROUND(JP23*EssentialMix,0)</f>
        <v/>
      </c>
      <c r="JT23" s="12">
        <f>JP23-JS23</f>
        <v/>
      </c>
      <c r="JU23" s="12">
        <f>JQ23+JQ22+JQ21+MAX(0,JU22-JQ22-JQ21)*(1-JJ23)</f>
        <v/>
      </c>
      <c r="JV23" s="12">
        <f>JR23+JR22+JR21+MAX(0,JV22-JR22-JR21)*(1-JJ23)</f>
        <v/>
      </c>
      <c r="JW23" s="12">
        <f>JW22+JS23-JS11*(AnnualChurn*VLOOKUP(JF23,ChurnSeasonTable,4,FALSE))*POWER(1-(AnnualChurn*VLOOKUP(JF23,ChurnSeasonTable,4,FALSE)),0)</f>
        <v/>
      </c>
      <c r="JX23" s="12">
        <f>JX22+JT23-JT11*(AnnualChurn*VLOOKUP(JF23,ChurnSeasonTable,4,FALSE))*POWER(1-(AnnualChurn*VLOOKUP(JF23,ChurnSeasonTable,4,FALSE)),0)</f>
        <v/>
      </c>
      <c r="JY23" s="12">
        <f>JU23+JV23+JW23+JX23</f>
        <v/>
      </c>
      <c r="JZ23" s="9">
        <f>JU23*PriceEssMonthly*JI23+JV23*PricePremMonthly*JI23+JW23*PriceEssAnnual*JI23/12+JX23*PricePremAnnual*JI23/12</f>
        <v/>
      </c>
      <c r="KA23" s="9">
        <f>JZ23*12</f>
        <v/>
      </c>
      <c r="KB23" s="12">
        <f>JU23*PriceEssMonthly*JI23+JV23*PricePremMonthly*JI23</f>
        <v/>
      </c>
      <c r="KC23" s="12">
        <f>JS23*PriceEssAnnual*JI23+JT23*PricePremAnnual*JI23</f>
        <v/>
      </c>
      <c r="KD23" s="12">
        <f>JS11*POWER(1-(AnnualChurn*VLOOKUP(JF23,ChurnSeasonTable,4,FALSE)),1)*PriceEssAnnual*JI23+JT11*POWER(1-(AnnualChurn*VLOOKUP(JF23,ChurnSeasonTable,4,FALSE)),1)*PricePremAnnual*JI23</f>
        <v/>
      </c>
      <c r="KE23" s="9">
        <f>KB23+KC23+KD23</f>
        <v/>
      </c>
      <c r="KF23" s="12">
        <f>SUM(KE12:KE23)</f>
        <v/>
      </c>
      <c r="KG23" s="12">
        <f>OR(KG22,KF23&gt;=VATThreshold)</f>
        <v/>
      </c>
      <c r="KH23" s="9">
        <f>IF(KG23,KE23/(1+VATRate),KE23)</f>
        <v/>
      </c>
      <c r="KI23" s="12">
        <f>KE23-KH23</f>
        <v/>
      </c>
      <c r="KJ23" s="12">
        <f>IF(KG23=0,0,IF(JF23=1,SUMPRODUCT(--(($JG$5:$JG23=$JG23-1)*($JF$5:$JF23&gt;=10)*($JF$5:$JF23&lt;=12)),$KI$5:$KI23),IF(JF23=4,SUMPRODUCT(--(($JG$5:$JG23=$JG23)*($JF$5:$JF23&gt;=1)*($JF$5:$JF23&lt;=3)),$KI$5:$KI23),IF(JF23=7,SUMPRODUCT(--(($JG$5:$JG23=$JG23)*($JF$5:$JF23&gt;=4)*($JF$5:$JF23&lt;=6)),$KI$5:$KI23),IF(JF23=10,SUMPRODUCT(--(($JG$5:$JG23=$JG23)*($JF$5:$JF23&gt;=7)*($JF$5:$JF23&lt;=9)),$KI$5:$KI23),0)))))</f>
        <v/>
      </c>
      <c r="KK23" s="12">
        <f>KK22+KI23-KJ23</f>
        <v/>
      </c>
      <c r="KL23" s="12">
        <f>IF(ProviderDelay&gt;=1,KH22*ProviderShare,KH23*ProviderShare)</f>
        <v/>
      </c>
      <c r="KM23" s="12">
        <f>KE23*PaymentFee</f>
        <v/>
      </c>
      <c r="KN23" s="12">
        <f>JY23*OpsAI</f>
        <v/>
      </c>
      <c r="KO23" s="12">
        <f>MonthlyFixed</f>
        <v/>
      </c>
      <c r="KP23" s="12">
        <f>JM23*ReferralReward</f>
        <v/>
      </c>
      <c r="KQ23" s="12">
        <f>JK23</f>
        <v/>
      </c>
      <c r="KR23" s="9">
        <f>KH23-KL23-KM23-KN23-KO23-KP23-KQ23</f>
        <v/>
      </c>
      <c r="KS23" s="9">
        <f>KS22+KE23-(KL23+KM23+KN23+KO23+KP23+KQ23+KJ23)</f>
        <v/>
      </c>
      <c r="KT23" s="12">
        <f>IF(JY23&gt;0,JZ23/JY23,0)</f>
        <v/>
      </c>
      <c r="KU23" s="11">
        <f>IF(JY22&gt;0,MAX(0,(JY22+JN23-JY23)/JY22),0)</f>
        <v/>
      </c>
      <c r="KW23" s="12" t="n">
        <v>19</v>
      </c>
      <c r="KX23" s="12">
        <f>MOD(KW23-1+LaunchMonth-1,12)+1</f>
        <v/>
      </c>
      <c r="KY23" s="12">
        <f>INT((KW23-1+LaunchMonth-1)/12)+1</f>
        <v/>
      </c>
      <c r="KZ23" s="12">
        <f>VLOOKUP(KX23,SeasonTable,2,FALSE)</f>
        <v/>
      </c>
      <c r="LA23" s="12">
        <f>(1+InflationRate)^INT((KW23-1)/12)</f>
        <v/>
      </c>
      <c r="LB23" s="11">
        <f>'Sens - Churn'!$A$17*VLOOKUP(KX23,ChurnSeasonTable,4,FALSE)</f>
        <v/>
      </c>
      <c r="LC23" s="12">
        <f>MIN(MAX(MktMin19plus,LW22*MktPct19plus),MAX(0,MK22-CashBuffer))</f>
        <v/>
      </c>
      <c r="LD23" s="12">
        <f>IF(LC23&gt;0,MAX(1,ROUND(LC23/CAC*KZ23,0)),0)</f>
        <v/>
      </c>
      <c r="LE23" s="12">
        <f>IF(LD23&gt;0,ROUND(LD23*ReferralMix/(1-ReferralMix),0),0)</f>
        <v/>
      </c>
      <c r="LF23" s="12">
        <f>LD23+LE23</f>
        <v/>
      </c>
      <c r="LG23" s="12">
        <f>ROUND(LF23*(1-AnnualMix),0)</f>
        <v/>
      </c>
      <c r="LH23" s="12">
        <f>LF23-LG23</f>
        <v/>
      </c>
      <c r="LI23" s="12">
        <f>ROUND(LG23*EssentialMix,0)</f>
        <v/>
      </c>
      <c r="LJ23" s="12">
        <f>LG23-LI23</f>
        <v/>
      </c>
      <c r="LK23" s="12">
        <f>ROUND(LH23*EssentialMix,0)</f>
        <v/>
      </c>
      <c r="LL23" s="12">
        <f>LH23-LK23</f>
        <v/>
      </c>
      <c r="LM23" s="12">
        <f>LI23+LI22+LI21+MAX(0,LM22-LI22-LI21)*(1-LB23)</f>
        <v/>
      </c>
      <c r="LN23" s="12">
        <f>LJ23+LJ22+LJ21+MAX(0,LN22-LJ22-LJ21)*(1-LB23)</f>
        <v/>
      </c>
      <c r="LO23" s="12">
        <f>LO22+LK23-LK11*(AnnualChurn*VLOOKUP(KX23,ChurnSeasonTable,4,FALSE))*POWER(1-(AnnualChurn*VLOOKUP(KX23,ChurnSeasonTable,4,FALSE)),0)</f>
        <v/>
      </c>
      <c r="LP23" s="12">
        <f>LP22+LL23-LL11*(AnnualChurn*VLOOKUP(KX23,ChurnSeasonTable,4,FALSE))*POWER(1-(AnnualChurn*VLOOKUP(KX23,ChurnSeasonTable,4,FALSE)),0)</f>
        <v/>
      </c>
      <c r="LQ23" s="12">
        <f>LM23+LN23+LO23+LP23</f>
        <v/>
      </c>
      <c r="LR23" s="9">
        <f>LM23*PriceEssMonthly*LA23+LN23*PricePremMonthly*LA23+LO23*PriceEssAnnual*LA23/12+LP23*PricePremAnnual*LA23/12</f>
        <v/>
      </c>
      <c r="LS23" s="9">
        <f>LR23*12</f>
        <v/>
      </c>
      <c r="LT23" s="12">
        <f>LM23*PriceEssMonthly*LA23+LN23*PricePremMonthly*LA23</f>
        <v/>
      </c>
      <c r="LU23" s="12">
        <f>LK23*PriceEssAnnual*LA23+LL23*PricePremAnnual*LA23</f>
        <v/>
      </c>
      <c r="LV23" s="12">
        <f>LK11*POWER(1-(AnnualChurn*VLOOKUP(KX23,ChurnSeasonTable,4,FALSE)),1)*PriceEssAnnual*LA23+LL11*POWER(1-(AnnualChurn*VLOOKUP(KX23,ChurnSeasonTable,4,FALSE)),1)*PricePremAnnual*LA23</f>
        <v/>
      </c>
      <c r="LW23" s="9">
        <f>LT23+LU23+LV23</f>
        <v/>
      </c>
      <c r="LX23" s="12">
        <f>SUM(LW12:LW23)</f>
        <v/>
      </c>
      <c r="LY23" s="12">
        <f>OR(LY22,LX23&gt;=VATThreshold)</f>
        <v/>
      </c>
      <c r="LZ23" s="9">
        <f>IF(LY23,LW23/(1+VATRate),LW23)</f>
        <v/>
      </c>
      <c r="MA23" s="12">
        <f>LW23-LZ23</f>
        <v/>
      </c>
      <c r="MB23" s="12">
        <f>IF(LY23=0,0,IF(KX23=1,SUMPRODUCT(--(($KY$5:$KY23=$KY23-1)*($KX$5:$KX23&gt;=10)*($KX$5:$KX23&lt;=12)),$MA$5:$MA23),IF(KX23=4,SUMPRODUCT(--(($KY$5:$KY23=$KY23)*($KX$5:$KX23&gt;=1)*($KX$5:$KX23&lt;=3)),$MA$5:$MA23),IF(KX23=7,SUMPRODUCT(--(($KY$5:$KY23=$KY23)*($KX$5:$KX23&gt;=4)*($KX$5:$KX23&lt;=6)),$MA$5:$MA23),IF(KX23=10,SUMPRODUCT(--(($KY$5:$KY23=$KY23)*($KX$5:$KX23&gt;=7)*($KX$5:$KX23&lt;=9)),$MA$5:$MA23),0)))))</f>
        <v/>
      </c>
      <c r="MC23" s="12">
        <f>MC22+MA23-MB23</f>
        <v/>
      </c>
      <c r="MD23" s="12">
        <f>IF(ProviderDelay&gt;=1,LZ22*ProviderShare,LZ23*ProviderShare)</f>
        <v/>
      </c>
      <c r="ME23" s="12">
        <f>LW23*PaymentFee</f>
        <v/>
      </c>
      <c r="MF23" s="12">
        <f>LQ23*OpsAI</f>
        <v/>
      </c>
      <c r="MG23" s="12">
        <f>MonthlyFixed</f>
        <v/>
      </c>
      <c r="MH23" s="12">
        <f>LE23*ReferralReward</f>
        <v/>
      </c>
      <c r="MI23" s="12">
        <f>LC23</f>
        <v/>
      </c>
      <c r="MJ23" s="9">
        <f>LZ23-MD23-ME23-MF23-MG23-MH23-MI23</f>
        <v/>
      </c>
      <c r="MK23" s="9">
        <f>MK22+LW23-(MD23+ME23+MF23+MG23+MH23+MI23+MB23)</f>
        <v/>
      </c>
      <c r="ML23" s="12">
        <f>IF(LQ23&gt;0,LR23/LQ23,0)</f>
        <v/>
      </c>
      <c r="MM23" s="11">
        <f>IF(LQ22&gt;0,MAX(0,(LQ22+LF23-LQ23)/LQ22),0)</f>
        <v/>
      </c>
      <c r="MO23" s="12" t="n">
        <v>19</v>
      </c>
      <c r="MP23" s="12">
        <f>MOD(MO23-1+LaunchMonth-1,12)+1</f>
        <v/>
      </c>
      <c r="MQ23" s="12">
        <f>INT((MO23-1+LaunchMonth-1)/12)+1</f>
        <v/>
      </c>
      <c r="MR23" s="12">
        <f>VLOOKUP(MP23,SeasonTable,2,FALSE)</f>
        <v/>
      </c>
      <c r="MS23" s="12">
        <f>(1+InflationRate)^INT((MO23-1)/12)</f>
        <v/>
      </c>
      <c r="MT23" s="11">
        <f>'Sens - Churn'!$A$18*VLOOKUP(MP23,ChurnSeasonTable,4,FALSE)</f>
        <v/>
      </c>
      <c r="MU23" s="12">
        <f>MIN(MAX(MktMin19plus,NO22*MktPct19plus),MAX(0,OC22-CashBuffer))</f>
        <v/>
      </c>
      <c r="MV23" s="12">
        <f>IF(MU23&gt;0,MAX(1,ROUND(MU23/CAC*MR23,0)),0)</f>
        <v/>
      </c>
      <c r="MW23" s="12">
        <f>IF(MV23&gt;0,ROUND(MV23*ReferralMix/(1-ReferralMix),0),0)</f>
        <v/>
      </c>
      <c r="MX23" s="12">
        <f>MV23+MW23</f>
        <v/>
      </c>
      <c r="MY23" s="12">
        <f>ROUND(MX23*(1-AnnualMix),0)</f>
        <v/>
      </c>
      <c r="MZ23" s="12">
        <f>MX23-MY23</f>
        <v/>
      </c>
      <c r="NA23" s="12">
        <f>ROUND(MY23*EssentialMix,0)</f>
        <v/>
      </c>
      <c r="NB23" s="12">
        <f>MY23-NA23</f>
        <v/>
      </c>
      <c r="NC23" s="12">
        <f>ROUND(MZ23*EssentialMix,0)</f>
        <v/>
      </c>
      <c r="ND23" s="12">
        <f>MZ23-NC23</f>
        <v/>
      </c>
      <c r="NE23" s="12">
        <f>NA23+NA22+NA21+MAX(0,NE22-NA22-NA21)*(1-MT23)</f>
        <v/>
      </c>
      <c r="NF23" s="12">
        <f>NB23+NB22+NB21+MAX(0,NF22-NB22-NB21)*(1-MT23)</f>
        <v/>
      </c>
      <c r="NG23" s="12">
        <f>NG22+NC23-NC11*(AnnualChurn*VLOOKUP(MP23,ChurnSeasonTable,4,FALSE))*POWER(1-(AnnualChurn*VLOOKUP(MP23,ChurnSeasonTable,4,FALSE)),0)</f>
        <v/>
      </c>
      <c r="NH23" s="12">
        <f>NH22+ND23-ND11*(AnnualChurn*VLOOKUP(MP23,ChurnSeasonTable,4,FALSE))*POWER(1-(AnnualChurn*VLOOKUP(MP23,ChurnSeasonTable,4,FALSE)),0)</f>
        <v/>
      </c>
      <c r="NI23" s="12">
        <f>NE23+NF23+NG23+NH23</f>
        <v/>
      </c>
      <c r="NJ23" s="9">
        <f>NE23*PriceEssMonthly*MS23+NF23*PricePremMonthly*MS23+NG23*PriceEssAnnual*MS23/12+NH23*PricePremAnnual*MS23/12</f>
        <v/>
      </c>
      <c r="NK23" s="9">
        <f>NJ23*12</f>
        <v/>
      </c>
      <c r="NL23" s="12">
        <f>NE23*PriceEssMonthly*MS23+NF23*PricePremMonthly*MS23</f>
        <v/>
      </c>
      <c r="NM23" s="12">
        <f>NC23*PriceEssAnnual*MS23+ND23*PricePremAnnual*MS23</f>
        <v/>
      </c>
      <c r="NN23" s="12">
        <f>NC11*POWER(1-(AnnualChurn*VLOOKUP(MP23,ChurnSeasonTable,4,FALSE)),1)*PriceEssAnnual*MS23+ND11*POWER(1-(AnnualChurn*VLOOKUP(MP23,ChurnSeasonTable,4,FALSE)),1)*PricePremAnnual*MS23</f>
        <v/>
      </c>
      <c r="NO23" s="9">
        <f>NL23+NM23+NN23</f>
        <v/>
      </c>
      <c r="NP23" s="12">
        <f>SUM(NO12:NO23)</f>
        <v/>
      </c>
      <c r="NQ23" s="12">
        <f>OR(NQ22,NP23&gt;=VATThreshold)</f>
        <v/>
      </c>
      <c r="NR23" s="9">
        <f>IF(NQ23,NO23/(1+VATRate),NO23)</f>
        <v/>
      </c>
      <c r="NS23" s="12">
        <f>NO23-NR23</f>
        <v/>
      </c>
      <c r="NT23" s="12">
        <f>IF(NQ23=0,0,IF(MP23=1,SUMPRODUCT(--(($MQ$5:$MQ23=$MQ23-1)*($MP$5:$MP23&gt;=10)*($MP$5:$MP23&lt;=12)),$NS$5:$NS23),IF(MP23=4,SUMPRODUCT(--(($MQ$5:$MQ23=$MQ23)*($MP$5:$MP23&gt;=1)*($MP$5:$MP23&lt;=3)),$NS$5:$NS23),IF(MP23=7,SUMPRODUCT(--(($MQ$5:$MQ23=$MQ23)*($MP$5:$MP23&gt;=4)*($MP$5:$MP23&lt;=6)),$NS$5:$NS23),IF(MP23=10,SUMPRODUCT(--(($MQ$5:$MQ23=$MQ23)*($MP$5:$MP23&gt;=7)*($MP$5:$MP23&lt;=9)),$NS$5:$NS23),0)))))</f>
        <v/>
      </c>
      <c r="NU23" s="12">
        <f>NU22+NS23-NT23</f>
        <v/>
      </c>
      <c r="NV23" s="12">
        <f>IF(ProviderDelay&gt;=1,NR22*ProviderShare,NR23*ProviderShare)</f>
        <v/>
      </c>
      <c r="NW23" s="12">
        <f>NO23*PaymentFee</f>
        <v/>
      </c>
      <c r="NX23" s="12">
        <f>NI23*OpsAI</f>
        <v/>
      </c>
      <c r="NY23" s="12">
        <f>MonthlyFixed</f>
        <v/>
      </c>
      <c r="NZ23" s="12">
        <f>MW23*ReferralReward</f>
        <v/>
      </c>
      <c r="OA23" s="12">
        <f>MU23</f>
        <v/>
      </c>
      <c r="OB23" s="9">
        <f>NR23-NV23-NW23-NX23-NY23-NZ23-OA23</f>
        <v/>
      </c>
      <c r="OC23" s="9">
        <f>OC22+NO23-(NV23+NW23+NX23+NY23+NZ23+OA23+NT23)</f>
        <v/>
      </c>
      <c r="OD23" s="12">
        <f>IF(NI23&gt;0,NJ23/NI23,0)</f>
        <v/>
      </c>
      <c r="OE23" s="11">
        <f>IF(NI22&gt;0,MAX(0,(NI22+MX23-NI23)/NI22),0)</f>
        <v/>
      </c>
      <c r="OG23" s="12" t="n">
        <v>19</v>
      </c>
      <c r="OH23" s="12">
        <f>MOD(OG23-1+LaunchMonth-1,12)+1</f>
        <v/>
      </c>
      <c r="OI23" s="12">
        <f>INT((OG23-1+LaunchMonth-1)/12)+1</f>
        <v/>
      </c>
      <c r="OJ23" s="12">
        <f>VLOOKUP(OH23,SeasonTable,2,FALSE)</f>
        <v/>
      </c>
      <c r="OK23" s="12">
        <f>(1+InflationRate)^INT((OG23-1)/12)</f>
        <v/>
      </c>
      <c r="OL23" s="11">
        <f>'Sens - Churn'!$A$19*VLOOKUP(OH23,ChurnSeasonTable,4,FALSE)</f>
        <v/>
      </c>
      <c r="OM23" s="12">
        <f>MIN(MAX(MktMin19plus,PG22*MktPct19plus),MAX(0,PU22-CashBuffer))</f>
        <v/>
      </c>
      <c r="ON23" s="12">
        <f>IF(OM23&gt;0,MAX(1,ROUND(OM23/CAC*OJ23,0)),0)</f>
        <v/>
      </c>
      <c r="OO23" s="12">
        <f>IF(ON23&gt;0,ROUND(ON23*ReferralMix/(1-ReferralMix),0),0)</f>
        <v/>
      </c>
      <c r="OP23" s="12">
        <f>ON23+OO23</f>
        <v/>
      </c>
      <c r="OQ23" s="12">
        <f>ROUND(OP23*(1-AnnualMix),0)</f>
        <v/>
      </c>
      <c r="OR23" s="12">
        <f>OP23-OQ23</f>
        <v/>
      </c>
      <c r="OS23" s="12">
        <f>ROUND(OQ23*EssentialMix,0)</f>
        <v/>
      </c>
      <c r="OT23" s="12">
        <f>OQ23-OS23</f>
        <v/>
      </c>
      <c r="OU23" s="12">
        <f>ROUND(OR23*EssentialMix,0)</f>
        <v/>
      </c>
      <c r="OV23" s="12">
        <f>OR23-OU23</f>
        <v/>
      </c>
      <c r="OW23" s="12">
        <f>OS23+OS22+OS21+MAX(0,OW22-OS22-OS21)*(1-OL23)</f>
        <v/>
      </c>
      <c r="OX23" s="12">
        <f>OT23+OT22+OT21+MAX(0,OX22-OT22-OT21)*(1-OL23)</f>
        <v/>
      </c>
      <c r="OY23" s="12">
        <f>OY22+OU23-OU11*(AnnualChurn*VLOOKUP(OH23,ChurnSeasonTable,4,FALSE))*POWER(1-(AnnualChurn*VLOOKUP(OH23,ChurnSeasonTable,4,FALSE)),0)</f>
        <v/>
      </c>
      <c r="OZ23" s="12">
        <f>OZ22+OV23-OV11*(AnnualChurn*VLOOKUP(OH23,ChurnSeasonTable,4,FALSE))*POWER(1-(AnnualChurn*VLOOKUP(OH23,ChurnSeasonTable,4,FALSE)),0)</f>
        <v/>
      </c>
      <c r="PA23" s="12">
        <f>OW23+OX23+OY23+OZ23</f>
        <v/>
      </c>
      <c r="PB23" s="9">
        <f>OW23*PriceEssMonthly*OK23+OX23*PricePremMonthly*OK23+OY23*PriceEssAnnual*OK23/12+OZ23*PricePremAnnual*OK23/12</f>
        <v/>
      </c>
      <c r="PC23" s="9">
        <f>PB23*12</f>
        <v/>
      </c>
      <c r="PD23" s="12">
        <f>OW23*PriceEssMonthly*OK23+OX23*PricePremMonthly*OK23</f>
        <v/>
      </c>
      <c r="PE23" s="12">
        <f>OU23*PriceEssAnnual*OK23+OV23*PricePremAnnual*OK23</f>
        <v/>
      </c>
      <c r="PF23" s="12">
        <f>OU11*POWER(1-(AnnualChurn*VLOOKUP(OH23,ChurnSeasonTable,4,FALSE)),1)*PriceEssAnnual*OK23+OV11*POWER(1-(AnnualChurn*VLOOKUP(OH23,ChurnSeasonTable,4,FALSE)),1)*PricePremAnnual*OK23</f>
        <v/>
      </c>
      <c r="PG23" s="9">
        <f>PD23+PE23+PF23</f>
        <v/>
      </c>
      <c r="PH23" s="12">
        <f>SUM(PG12:PG23)</f>
        <v/>
      </c>
      <c r="PI23" s="12">
        <f>OR(PI22,PH23&gt;=VATThreshold)</f>
        <v/>
      </c>
      <c r="PJ23" s="9">
        <f>IF(PI23,PG23/(1+VATRate),PG23)</f>
        <v/>
      </c>
      <c r="PK23" s="12">
        <f>PG23-PJ23</f>
        <v/>
      </c>
      <c r="PL23" s="12">
        <f>IF(PI23=0,0,IF(OH23=1,SUMPRODUCT(--(($OI$5:$OI23=$OI23-1)*($OH$5:$OH23&gt;=10)*($OH$5:$OH23&lt;=12)),$PK$5:$PK23),IF(OH23=4,SUMPRODUCT(--(($OI$5:$OI23=$OI23)*($OH$5:$OH23&gt;=1)*($OH$5:$OH23&lt;=3)),$PK$5:$PK23),IF(OH23=7,SUMPRODUCT(--(($OI$5:$OI23=$OI23)*($OH$5:$OH23&gt;=4)*($OH$5:$OH23&lt;=6)),$PK$5:$PK23),IF(OH23=10,SUMPRODUCT(--(($OI$5:$OI23=$OI23)*($OH$5:$OH23&gt;=7)*($OH$5:$OH23&lt;=9)),$PK$5:$PK23),0)))))</f>
        <v/>
      </c>
      <c r="PM23" s="12">
        <f>PM22+PK23-PL23</f>
        <v/>
      </c>
      <c r="PN23" s="12">
        <f>IF(ProviderDelay&gt;=1,PJ22*ProviderShare,PJ23*ProviderShare)</f>
        <v/>
      </c>
      <c r="PO23" s="12">
        <f>PG23*PaymentFee</f>
        <v/>
      </c>
      <c r="PP23" s="12">
        <f>PA23*OpsAI</f>
        <v/>
      </c>
      <c r="PQ23" s="12">
        <f>MonthlyFixed</f>
        <v/>
      </c>
      <c r="PR23" s="12">
        <f>OO23*ReferralReward</f>
        <v/>
      </c>
      <c r="PS23" s="12">
        <f>OM23</f>
        <v/>
      </c>
      <c r="PT23" s="9">
        <f>PJ23-PN23-PO23-PP23-PQ23-PR23-PS23</f>
        <v/>
      </c>
      <c r="PU23" s="9">
        <f>PU22+PG23-(PN23+PO23+PP23+PQ23+PR23+PS23+PL23)</f>
        <v/>
      </c>
      <c r="PV23" s="12">
        <f>IF(PA23&gt;0,PB23/PA23,0)</f>
        <v/>
      </c>
      <c r="PW23" s="11">
        <f>IF(PA22&gt;0,MAX(0,(PA22+OP23-PA23)/PA22),0)</f>
        <v/>
      </c>
      <c r="PY23" s="12" t="n">
        <v>19</v>
      </c>
      <c r="PZ23" s="12">
        <f>MOD(PY23-1+LaunchMonth-1,12)+1</f>
        <v/>
      </c>
      <c r="QA23" s="12">
        <f>INT((PY23-1+LaunchMonth-1)/12)+1</f>
        <v/>
      </c>
      <c r="QB23" s="12">
        <f>VLOOKUP(PZ23,SeasonTable,2,FALSE)</f>
        <v/>
      </c>
      <c r="QC23" s="12">
        <f>(1+InflationRate)^INT((PY23-1)/12)</f>
        <v/>
      </c>
      <c r="QD23" s="11">
        <f>'Sens - Churn'!$A$20*VLOOKUP(PZ23,ChurnSeasonTable,4,FALSE)</f>
        <v/>
      </c>
      <c r="QE23" s="12">
        <f>MIN(MAX(MktMin19plus,QY22*MktPct19plus),MAX(0,RM22-CashBuffer))</f>
        <v/>
      </c>
      <c r="QF23" s="12">
        <f>IF(QE23&gt;0,MAX(1,ROUND(QE23/CAC*QB23,0)),0)</f>
        <v/>
      </c>
      <c r="QG23" s="12">
        <f>IF(QF23&gt;0,ROUND(QF23*ReferralMix/(1-ReferralMix),0),0)</f>
        <v/>
      </c>
      <c r="QH23" s="12">
        <f>QF23+QG23</f>
        <v/>
      </c>
      <c r="QI23" s="12">
        <f>ROUND(QH23*(1-AnnualMix),0)</f>
        <v/>
      </c>
      <c r="QJ23" s="12">
        <f>QH23-QI23</f>
        <v/>
      </c>
      <c r="QK23" s="12">
        <f>ROUND(QI23*EssentialMix,0)</f>
        <v/>
      </c>
      <c r="QL23" s="12">
        <f>QI23-QK23</f>
        <v/>
      </c>
      <c r="QM23" s="12">
        <f>ROUND(QJ23*EssentialMix,0)</f>
        <v/>
      </c>
      <c r="QN23" s="12">
        <f>QJ23-QM23</f>
        <v/>
      </c>
      <c r="QO23" s="12">
        <f>QK23+QK22+QK21+MAX(0,QO22-QK22-QK21)*(1-QD23)</f>
        <v/>
      </c>
      <c r="QP23" s="12">
        <f>QL23+QL22+QL21+MAX(0,QP22-QL22-QL21)*(1-QD23)</f>
        <v/>
      </c>
      <c r="QQ23" s="12">
        <f>QQ22+QM23-QM11*(AnnualChurn*VLOOKUP(PZ23,ChurnSeasonTable,4,FALSE))*POWER(1-(AnnualChurn*VLOOKUP(PZ23,ChurnSeasonTable,4,FALSE)),0)</f>
        <v/>
      </c>
      <c r="QR23" s="12">
        <f>QR22+QN23-QN11*(AnnualChurn*VLOOKUP(PZ23,ChurnSeasonTable,4,FALSE))*POWER(1-(AnnualChurn*VLOOKUP(PZ23,ChurnSeasonTable,4,FALSE)),0)</f>
        <v/>
      </c>
      <c r="QS23" s="12">
        <f>QO23+QP23+QQ23+QR23</f>
        <v/>
      </c>
      <c r="QT23" s="9">
        <f>QO23*PriceEssMonthly*QC23+QP23*PricePremMonthly*QC23+QQ23*PriceEssAnnual*QC23/12+QR23*PricePremAnnual*QC23/12</f>
        <v/>
      </c>
      <c r="QU23" s="9">
        <f>QT23*12</f>
        <v/>
      </c>
      <c r="QV23" s="12">
        <f>QO23*PriceEssMonthly*QC23+QP23*PricePremMonthly*QC23</f>
        <v/>
      </c>
      <c r="QW23" s="12">
        <f>QM23*PriceEssAnnual*QC23+QN23*PricePremAnnual*QC23</f>
        <v/>
      </c>
      <c r="QX23" s="12">
        <f>QM11*POWER(1-(AnnualChurn*VLOOKUP(PZ23,ChurnSeasonTable,4,FALSE)),1)*PriceEssAnnual*QC23+QN11*POWER(1-(AnnualChurn*VLOOKUP(PZ23,ChurnSeasonTable,4,FALSE)),1)*PricePremAnnual*QC23</f>
        <v/>
      </c>
      <c r="QY23" s="9">
        <f>QV23+QW23+QX23</f>
        <v/>
      </c>
      <c r="QZ23" s="12">
        <f>SUM(QY12:QY23)</f>
        <v/>
      </c>
      <c r="RA23" s="12">
        <f>OR(RA22,QZ23&gt;=VATThreshold)</f>
        <v/>
      </c>
      <c r="RB23" s="9">
        <f>IF(RA23,QY23/(1+VATRate),QY23)</f>
        <v/>
      </c>
      <c r="RC23" s="12">
        <f>QY23-RB23</f>
        <v/>
      </c>
      <c r="RD23" s="12">
        <f>IF(RA23=0,0,IF(PZ23=1,SUMPRODUCT(--(($QA$5:$QA23=$QA23-1)*($PZ$5:$PZ23&gt;=10)*($PZ$5:$PZ23&lt;=12)),$RC$5:$RC23),IF(PZ23=4,SUMPRODUCT(--(($QA$5:$QA23=$QA23)*($PZ$5:$PZ23&gt;=1)*($PZ$5:$PZ23&lt;=3)),$RC$5:$RC23),IF(PZ23=7,SUMPRODUCT(--(($QA$5:$QA23=$QA23)*($PZ$5:$PZ23&gt;=4)*($PZ$5:$PZ23&lt;=6)),$RC$5:$RC23),IF(PZ23=10,SUMPRODUCT(--(($QA$5:$QA23=$QA23)*($PZ$5:$PZ23&gt;=7)*($PZ$5:$PZ23&lt;=9)),$RC$5:$RC23),0)))))</f>
        <v/>
      </c>
      <c r="RE23" s="12">
        <f>RE22+RC23-RD23</f>
        <v/>
      </c>
      <c r="RF23" s="12">
        <f>IF(ProviderDelay&gt;=1,RB22*ProviderShare,RB23*ProviderShare)</f>
        <v/>
      </c>
      <c r="RG23" s="12">
        <f>QY23*PaymentFee</f>
        <v/>
      </c>
      <c r="RH23" s="12">
        <f>QS23*OpsAI</f>
        <v/>
      </c>
      <c r="RI23" s="12">
        <f>MonthlyFixed</f>
        <v/>
      </c>
      <c r="RJ23" s="12">
        <f>QG23*ReferralReward</f>
        <v/>
      </c>
      <c r="RK23" s="12">
        <f>QE23</f>
        <v/>
      </c>
      <c r="RL23" s="9">
        <f>RB23-RF23-RG23-RH23-RI23-RJ23-RK23</f>
        <v/>
      </c>
      <c r="RM23" s="9">
        <f>RM22+QY23-(RF23+RG23+RH23+RI23+RJ23+RK23+RD23)</f>
        <v/>
      </c>
      <c r="RN23" s="12">
        <f>IF(QS23&gt;0,QT23/QS23,0)</f>
        <v/>
      </c>
      <c r="RO23" s="11">
        <f>IF(QS22&gt;0,MAX(0,(QS22+QH23-QS23)/QS22),0)</f>
        <v/>
      </c>
      <c r="RQ23" s="12" t="n">
        <v>19</v>
      </c>
      <c r="RR23" s="12">
        <f>MOD(RQ23-1+LaunchMonth-1,12)+1</f>
        <v/>
      </c>
      <c r="RS23" s="12">
        <f>INT((RQ23-1+LaunchMonth-1)/12)+1</f>
        <v/>
      </c>
      <c r="RT23" s="12">
        <f>VLOOKUP(RR23,SeasonTable,2,FALSE)</f>
        <v/>
      </c>
      <c r="RU23" s="12">
        <f>(1+InflationRate)^INT((RQ23-1)/12)</f>
        <v/>
      </c>
      <c r="RV23" s="11">
        <f>'Sens - Churn'!$A$21*VLOOKUP(RR23,ChurnSeasonTable,4,FALSE)</f>
        <v/>
      </c>
      <c r="RW23" s="12">
        <f>MIN(MAX(MktMin19plus,SQ22*MktPct19plus),MAX(0,TE22-CashBuffer))</f>
        <v/>
      </c>
      <c r="RX23" s="12">
        <f>IF(RW23&gt;0,MAX(1,ROUND(RW23/CAC*RT23,0)),0)</f>
        <v/>
      </c>
      <c r="RY23" s="12">
        <f>IF(RX23&gt;0,ROUND(RX23*ReferralMix/(1-ReferralMix),0),0)</f>
        <v/>
      </c>
      <c r="RZ23" s="12">
        <f>RX23+RY23</f>
        <v/>
      </c>
      <c r="SA23" s="12">
        <f>ROUND(RZ23*(1-AnnualMix),0)</f>
        <v/>
      </c>
      <c r="SB23" s="12">
        <f>RZ23-SA23</f>
        <v/>
      </c>
      <c r="SC23" s="12">
        <f>ROUND(SA23*EssentialMix,0)</f>
        <v/>
      </c>
      <c r="SD23" s="12">
        <f>SA23-SC23</f>
        <v/>
      </c>
      <c r="SE23" s="12">
        <f>ROUND(SB23*EssentialMix,0)</f>
        <v/>
      </c>
      <c r="SF23" s="12">
        <f>SB23-SE23</f>
        <v/>
      </c>
      <c r="SG23" s="12">
        <f>SC23+SC22+SC21+MAX(0,SG22-SC22-SC21)*(1-RV23)</f>
        <v/>
      </c>
      <c r="SH23" s="12">
        <f>SD23+SD22+SD21+MAX(0,SH22-SD22-SD21)*(1-RV23)</f>
        <v/>
      </c>
      <c r="SI23" s="12">
        <f>SI22+SE23-SE11*(AnnualChurn*VLOOKUP(RR23,ChurnSeasonTable,4,FALSE))*POWER(1-(AnnualChurn*VLOOKUP(RR23,ChurnSeasonTable,4,FALSE)),0)</f>
        <v/>
      </c>
      <c r="SJ23" s="12">
        <f>SJ22+SF23-SF11*(AnnualChurn*VLOOKUP(RR23,ChurnSeasonTable,4,FALSE))*POWER(1-(AnnualChurn*VLOOKUP(RR23,ChurnSeasonTable,4,FALSE)),0)</f>
        <v/>
      </c>
      <c r="SK23" s="12">
        <f>SG23+SH23+SI23+SJ23</f>
        <v/>
      </c>
      <c r="SL23" s="9">
        <f>SG23*PriceEssMonthly*RU23+SH23*PricePremMonthly*RU23+SI23*PriceEssAnnual*RU23/12+SJ23*PricePremAnnual*RU23/12</f>
        <v/>
      </c>
      <c r="SM23" s="9">
        <f>SL23*12</f>
        <v/>
      </c>
      <c r="SN23" s="12">
        <f>SG23*PriceEssMonthly*RU23+SH23*PricePremMonthly*RU23</f>
        <v/>
      </c>
      <c r="SO23" s="12">
        <f>SE23*PriceEssAnnual*RU23+SF23*PricePremAnnual*RU23</f>
        <v/>
      </c>
      <c r="SP23" s="12">
        <f>SE11*POWER(1-(AnnualChurn*VLOOKUP(RR23,ChurnSeasonTable,4,FALSE)),1)*PriceEssAnnual*RU23+SF11*POWER(1-(AnnualChurn*VLOOKUP(RR23,ChurnSeasonTable,4,FALSE)),1)*PricePremAnnual*RU23</f>
        <v/>
      </c>
      <c r="SQ23" s="9">
        <f>SN23+SO23+SP23</f>
        <v/>
      </c>
      <c r="SR23" s="12">
        <f>SUM(SQ12:SQ23)</f>
        <v/>
      </c>
      <c r="SS23" s="12">
        <f>OR(SS22,SR23&gt;=VATThreshold)</f>
        <v/>
      </c>
      <c r="ST23" s="9">
        <f>IF(SS23,SQ23/(1+VATRate),SQ23)</f>
        <v/>
      </c>
      <c r="SU23" s="12">
        <f>SQ23-ST23</f>
        <v/>
      </c>
      <c r="SV23" s="12">
        <f>IF(SS23=0,0,IF(RR23=1,SUMPRODUCT(--(($RS$5:$RS23=$RS23-1)*($RR$5:$RR23&gt;=10)*($RR$5:$RR23&lt;=12)),$SU$5:$SU23),IF(RR23=4,SUMPRODUCT(--(($RS$5:$RS23=$RS23)*($RR$5:$RR23&gt;=1)*($RR$5:$RR23&lt;=3)),$SU$5:$SU23),IF(RR23=7,SUMPRODUCT(--(($RS$5:$RS23=$RS23)*($RR$5:$RR23&gt;=4)*($RR$5:$RR23&lt;=6)),$SU$5:$SU23),IF(RR23=10,SUMPRODUCT(--(($RS$5:$RS23=$RS23)*($RR$5:$RR23&gt;=7)*($RR$5:$RR23&lt;=9)),$SU$5:$SU23),0)))))</f>
        <v/>
      </c>
      <c r="SW23" s="12">
        <f>SW22+SU23-SV23</f>
        <v/>
      </c>
      <c r="SX23" s="12">
        <f>IF(ProviderDelay&gt;=1,ST22*ProviderShare,ST23*ProviderShare)</f>
        <v/>
      </c>
      <c r="SY23" s="12">
        <f>SQ23*PaymentFee</f>
        <v/>
      </c>
      <c r="SZ23" s="12">
        <f>SK23*OpsAI</f>
        <v/>
      </c>
      <c r="TA23" s="12">
        <f>MonthlyFixed</f>
        <v/>
      </c>
      <c r="TB23" s="12">
        <f>RY23*ReferralReward</f>
        <v/>
      </c>
      <c r="TC23" s="12">
        <f>RW23</f>
        <v/>
      </c>
      <c r="TD23" s="9">
        <f>ST23-SX23-SY23-SZ23-TA23-TB23-TC23</f>
        <v/>
      </c>
      <c r="TE23" s="9">
        <f>TE22+SQ23-(SX23+SY23+SZ23+TA23+TB23+TC23+SV23)</f>
        <v/>
      </c>
      <c r="TF23" s="12">
        <f>IF(SK23&gt;0,SL23/SK23,0)</f>
        <v/>
      </c>
      <c r="TG23" s="11">
        <f>IF(SK22&gt;0,MAX(0,(SK22+RZ23-SK23)/SK22),0)</f>
        <v/>
      </c>
      <c r="TI23" s="12" t="n">
        <v>19</v>
      </c>
      <c r="TJ23" s="12">
        <f>MOD(TI23-1+LaunchMonth-1,12)+1</f>
        <v/>
      </c>
      <c r="TK23" s="12">
        <f>INT((TI23-1+LaunchMonth-1)/12)+1</f>
        <v/>
      </c>
      <c r="TL23" s="12">
        <f>VLOOKUP(TJ23,SeasonTable,2,FALSE)</f>
        <v/>
      </c>
      <c r="TM23" s="12">
        <f>(1+InflationRate)^INT((TI23-1)/12)</f>
        <v/>
      </c>
      <c r="TN23" s="11">
        <f>MonthlyChurn*VLOOKUP(TJ23,ChurnSeasonTable,4,FALSE)</f>
        <v/>
      </c>
      <c r="TO23" s="12">
        <f>MIN(MAX(MktMin19plus,UI22*MktPct19plus),MAX(0,UW22-CashBuffer))</f>
        <v/>
      </c>
      <c r="TP23" s="12">
        <f>IF(TO23&gt;0,MAX(1,ROUND(TO23/CAC*TL23,0)),0)</f>
        <v/>
      </c>
      <c r="TQ23" s="12">
        <f>IF(TP23&gt;0,ROUND(TP23*ReferralMix/(1-ReferralMix),0),0)</f>
        <v/>
      </c>
      <c r="TR23" s="12">
        <f>TP23+TQ23</f>
        <v/>
      </c>
      <c r="TS23" s="12">
        <f>ROUND(TR23*(1-'Sens - Annual Mix'!$A$9),0)</f>
        <v/>
      </c>
      <c r="TT23" s="12">
        <f>TR23-TS23</f>
        <v/>
      </c>
      <c r="TU23" s="12">
        <f>ROUND(TS23*EssentialMix,0)</f>
        <v/>
      </c>
      <c r="TV23" s="12">
        <f>TS23-TU23</f>
        <v/>
      </c>
      <c r="TW23" s="12">
        <f>ROUND(TT23*EssentialMix,0)</f>
        <v/>
      </c>
      <c r="TX23" s="12">
        <f>TT23-TW23</f>
        <v/>
      </c>
      <c r="TY23" s="12">
        <f>TU23+TU22+TU21+MAX(0,TY22-TU22-TU21)*(1-TN23)</f>
        <v/>
      </c>
      <c r="TZ23" s="12">
        <f>TV23+TV22+TV21+MAX(0,TZ22-TV22-TV21)*(1-TN23)</f>
        <v/>
      </c>
      <c r="UA23" s="12">
        <f>UA22+TW23-TW11*(AnnualChurn*VLOOKUP(TJ23,ChurnSeasonTable,4,FALSE))*POWER(1-(AnnualChurn*VLOOKUP(TJ23,ChurnSeasonTable,4,FALSE)),0)</f>
        <v/>
      </c>
      <c r="UB23" s="12">
        <f>UB22+TX23-TX11*(AnnualChurn*VLOOKUP(TJ23,ChurnSeasonTable,4,FALSE))*POWER(1-(AnnualChurn*VLOOKUP(TJ23,ChurnSeasonTable,4,FALSE)),0)</f>
        <v/>
      </c>
      <c r="UC23" s="12">
        <f>TY23+TZ23+UA23+UB23</f>
        <v/>
      </c>
      <c r="UD23" s="9">
        <f>TY23*PriceEssMonthly*TM23+TZ23*PricePremMonthly*TM23+UA23*PriceEssAnnual*TM23/12+UB23*PricePremAnnual*TM23/12</f>
        <v/>
      </c>
      <c r="UE23" s="9">
        <f>UD23*12</f>
        <v/>
      </c>
      <c r="UF23" s="12">
        <f>TY23*PriceEssMonthly*TM23+TZ23*PricePremMonthly*TM23</f>
        <v/>
      </c>
      <c r="UG23" s="12">
        <f>TW23*PriceEssAnnual*TM23+TX23*PricePremAnnual*TM23</f>
        <v/>
      </c>
      <c r="UH23" s="12">
        <f>TW11*POWER(1-(AnnualChurn*VLOOKUP(TJ23,ChurnSeasonTable,4,FALSE)),1)*PriceEssAnnual*TM23+TX11*POWER(1-(AnnualChurn*VLOOKUP(TJ23,ChurnSeasonTable,4,FALSE)),1)*PricePremAnnual*TM23</f>
        <v/>
      </c>
      <c r="UI23" s="9">
        <f>UF23+UG23+UH23</f>
        <v/>
      </c>
      <c r="UJ23" s="12">
        <f>SUM(UI12:UI23)</f>
        <v/>
      </c>
      <c r="UK23" s="12">
        <f>OR(UK22,UJ23&gt;=VATThreshold)</f>
        <v/>
      </c>
      <c r="UL23" s="9">
        <f>IF(UK23,UI23/(1+VATRate),UI23)</f>
        <v/>
      </c>
      <c r="UM23" s="12">
        <f>UI23-UL23</f>
        <v/>
      </c>
      <c r="UN23" s="12">
        <f>IF(UK23=0,0,IF(TJ23=1,SUMPRODUCT(--(($TK$5:$TK23=$TK23-1)*($TJ$5:$TJ23&gt;=10)*($TJ$5:$TJ23&lt;=12)),$UM$5:$UM23),IF(TJ23=4,SUMPRODUCT(--(($TK$5:$TK23=$TK23)*($TJ$5:$TJ23&gt;=1)*($TJ$5:$TJ23&lt;=3)),$UM$5:$UM23),IF(TJ23=7,SUMPRODUCT(--(($TK$5:$TK23=$TK23)*($TJ$5:$TJ23&gt;=4)*($TJ$5:$TJ23&lt;=6)),$UM$5:$UM23),IF(TJ23=10,SUMPRODUCT(--(($TK$5:$TK23=$TK23)*($TJ$5:$TJ23&gt;=7)*($TJ$5:$TJ23&lt;=9)),$UM$5:$UM23),0)))))</f>
        <v/>
      </c>
      <c r="UO23" s="12">
        <f>UO22+UM23-UN23</f>
        <v/>
      </c>
      <c r="UP23" s="12">
        <f>IF(ProviderDelay&gt;=1,UL22*ProviderShare,UL23*ProviderShare)</f>
        <v/>
      </c>
      <c r="UQ23" s="12">
        <f>UI23*PaymentFee</f>
        <v/>
      </c>
      <c r="UR23" s="12">
        <f>UC23*OpsAI</f>
        <v/>
      </c>
      <c r="US23" s="12">
        <f>MonthlyFixed</f>
        <v/>
      </c>
      <c r="UT23" s="12">
        <f>TQ23*ReferralReward</f>
        <v/>
      </c>
      <c r="UU23" s="12">
        <f>TO23</f>
        <v/>
      </c>
      <c r="UV23" s="9">
        <f>UL23-UP23-UQ23-UR23-US23-UT23-UU23</f>
        <v/>
      </c>
      <c r="UW23" s="9">
        <f>UW22+UI23-(UP23+UQ23+UR23+US23+UT23+UU23+UN23)</f>
        <v/>
      </c>
      <c r="UX23" s="12">
        <f>IF(UC23&gt;0,UD23/UC23,0)</f>
        <v/>
      </c>
      <c r="UY23" s="11">
        <f>IF(UC22&gt;0,MAX(0,(UC22+TR23-UC23)/UC22),0)</f>
        <v/>
      </c>
      <c r="VA23" s="12" t="n">
        <v>19</v>
      </c>
      <c r="VB23" s="12">
        <f>MOD(VA23-1+LaunchMonth-1,12)+1</f>
        <v/>
      </c>
      <c r="VC23" s="12">
        <f>INT((VA23-1+LaunchMonth-1)/12)+1</f>
        <v/>
      </c>
      <c r="VD23" s="12">
        <f>VLOOKUP(VB23,SeasonTable,2,FALSE)</f>
        <v/>
      </c>
      <c r="VE23" s="12">
        <f>(1+InflationRate)^INT((VA23-1)/12)</f>
        <v/>
      </c>
      <c r="VF23" s="11">
        <f>MonthlyChurn*VLOOKUP(VB23,ChurnSeasonTable,4,FALSE)</f>
        <v/>
      </c>
      <c r="VG23" s="12">
        <f>MIN(MAX(MktMin19plus,WA22*MktPct19plus),MAX(0,WO22-CashBuffer))</f>
        <v/>
      </c>
      <c r="VH23" s="12">
        <f>IF(VG23&gt;0,MAX(1,ROUND(VG23/CAC*VD23,0)),0)</f>
        <v/>
      </c>
      <c r="VI23" s="12">
        <f>IF(VH23&gt;0,ROUND(VH23*ReferralMix/(1-ReferralMix),0),0)</f>
        <v/>
      </c>
      <c r="VJ23" s="12">
        <f>VH23+VI23</f>
        <v/>
      </c>
      <c r="VK23" s="12">
        <f>ROUND(VJ23*(1-'Sens - Annual Mix'!$A$10),0)</f>
        <v/>
      </c>
      <c r="VL23" s="12">
        <f>VJ23-VK23</f>
        <v/>
      </c>
      <c r="VM23" s="12">
        <f>ROUND(VK23*EssentialMix,0)</f>
        <v/>
      </c>
      <c r="VN23" s="12">
        <f>VK23-VM23</f>
        <v/>
      </c>
      <c r="VO23" s="12">
        <f>ROUND(VL23*EssentialMix,0)</f>
        <v/>
      </c>
      <c r="VP23" s="12">
        <f>VL23-VO23</f>
        <v/>
      </c>
      <c r="VQ23" s="12">
        <f>VM23+VM22+VM21+MAX(0,VQ22-VM22-VM21)*(1-VF23)</f>
        <v/>
      </c>
      <c r="VR23" s="12">
        <f>VN23+VN22+VN21+MAX(0,VR22-VN22-VN21)*(1-VF23)</f>
        <v/>
      </c>
      <c r="VS23" s="12">
        <f>VS22+VO23-VO11*(AnnualChurn*VLOOKUP(VB23,ChurnSeasonTable,4,FALSE))*POWER(1-(AnnualChurn*VLOOKUP(VB23,ChurnSeasonTable,4,FALSE)),0)</f>
        <v/>
      </c>
      <c r="VT23" s="12">
        <f>VT22+VP23-VP11*(AnnualChurn*VLOOKUP(VB23,ChurnSeasonTable,4,FALSE))*POWER(1-(AnnualChurn*VLOOKUP(VB23,ChurnSeasonTable,4,FALSE)),0)</f>
        <v/>
      </c>
      <c r="VU23" s="12">
        <f>VQ23+VR23+VS23+VT23</f>
        <v/>
      </c>
      <c r="VV23" s="9">
        <f>VQ23*PriceEssMonthly*VE23+VR23*PricePremMonthly*VE23+VS23*PriceEssAnnual*VE23/12+VT23*PricePremAnnual*VE23/12</f>
        <v/>
      </c>
      <c r="VW23" s="9">
        <f>VV23*12</f>
        <v/>
      </c>
      <c r="VX23" s="12">
        <f>VQ23*PriceEssMonthly*VE23+VR23*PricePremMonthly*VE23</f>
        <v/>
      </c>
      <c r="VY23" s="12">
        <f>VO23*PriceEssAnnual*VE23+VP23*PricePremAnnual*VE23</f>
        <v/>
      </c>
      <c r="VZ23" s="12">
        <f>VO11*POWER(1-(AnnualChurn*VLOOKUP(VB23,ChurnSeasonTable,4,FALSE)),1)*PriceEssAnnual*VE23+VP11*POWER(1-(AnnualChurn*VLOOKUP(VB23,ChurnSeasonTable,4,FALSE)),1)*PricePremAnnual*VE23</f>
        <v/>
      </c>
      <c r="WA23" s="9">
        <f>VX23+VY23+VZ23</f>
        <v/>
      </c>
      <c r="WB23" s="12">
        <f>SUM(WA12:WA23)</f>
        <v/>
      </c>
      <c r="WC23" s="12">
        <f>OR(WC22,WB23&gt;=VATThreshold)</f>
        <v/>
      </c>
      <c r="WD23" s="9">
        <f>IF(WC23,WA23/(1+VATRate),WA23)</f>
        <v/>
      </c>
      <c r="WE23" s="12">
        <f>WA23-WD23</f>
        <v/>
      </c>
      <c r="WF23" s="12">
        <f>IF(WC23=0,0,IF(VB23=1,SUMPRODUCT(--(($VC$5:$VC23=$VC23-1)*($VB$5:$VB23&gt;=10)*($VB$5:$VB23&lt;=12)),$WE$5:$WE23),IF(VB23=4,SUMPRODUCT(--(($VC$5:$VC23=$VC23)*($VB$5:$VB23&gt;=1)*($VB$5:$VB23&lt;=3)),$WE$5:$WE23),IF(VB23=7,SUMPRODUCT(--(($VC$5:$VC23=$VC23)*($VB$5:$VB23&gt;=4)*($VB$5:$VB23&lt;=6)),$WE$5:$WE23),IF(VB23=10,SUMPRODUCT(--(($VC$5:$VC23=$VC23)*($VB$5:$VB23&gt;=7)*($VB$5:$VB23&lt;=9)),$WE$5:$WE23),0)))))</f>
        <v/>
      </c>
      <c r="WG23" s="12">
        <f>WG22+WE23-WF23</f>
        <v/>
      </c>
      <c r="WH23" s="12">
        <f>IF(ProviderDelay&gt;=1,WD22*ProviderShare,WD23*ProviderShare)</f>
        <v/>
      </c>
      <c r="WI23" s="12">
        <f>WA23*PaymentFee</f>
        <v/>
      </c>
      <c r="WJ23" s="12">
        <f>VU23*OpsAI</f>
        <v/>
      </c>
      <c r="WK23" s="12">
        <f>MonthlyFixed</f>
        <v/>
      </c>
      <c r="WL23" s="12">
        <f>VI23*ReferralReward</f>
        <v/>
      </c>
      <c r="WM23" s="12">
        <f>VG23</f>
        <v/>
      </c>
      <c r="WN23" s="9">
        <f>WD23-WH23-WI23-WJ23-WK23-WL23-WM23</f>
        <v/>
      </c>
      <c r="WO23" s="9">
        <f>WO22+WA23-(WH23+WI23+WJ23+WK23+WL23+WM23+WF23)</f>
        <v/>
      </c>
      <c r="WP23" s="12">
        <f>IF(VU23&gt;0,VV23/VU23,0)</f>
        <v/>
      </c>
      <c r="WQ23" s="11">
        <f>IF(VU22&gt;0,MAX(0,(VU22+VJ23-VU23)/VU22),0)</f>
        <v/>
      </c>
      <c r="WS23" s="12" t="n">
        <v>19</v>
      </c>
      <c r="WT23" s="12">
        <f>MOD(WS23-1+LaunchMonth-1,12)+1</f>
        <v/>
      </c>
      <c r="WU23" s="12">
        <f>INT((WS23-1+LaunchMonth-1)/12)+1</f>
        <v/>
      </c>
      <c r="WV23" s="12">
        <f>VLOOKUP(WT23,SeasonTable,2,FALSE)</f>
        <v/>
      </c>
      <c r="WW23" s="12">
        <f>(1+InflationRate)^INT((WS23-1)/12)</f>
        <v/>
      </c>
      <c r="WX23" s="11">
        <f>MonthlyChurn*VLOOKUP(WT23,ChurnSeasonTable,4,FALSE)</f>
        <v/>
      </c>
      <c r="WY23" s="12">
        <f>MIN(MAX(MktMin19plus,XS22*MktPct19plus),MAX(0,YG22-CashBuffer))</f>
        <v/>
      </c>
      <c r="WZ23" s="12">
        <f>IF(WY23&gt;0,MAX(1,ROUND(WY23/CAC*WV23,0)),0)</f>
        <v/>
      </c>
      <c r="XA23" s="12">
        <f>IF(WZ23&gt;0,ROUND(WZ23*ReferralMix/(1-ReferralMix),0),0)</f>
        <v/>
      </c>
      <c r="XB23" s="12">
        <f>WZ23+XA23</f>
        <v/>
      </c>
      <c r="XC23" s="12">
        <f>ROUND(XB23*(1-'Sens - Annual Mix'!$A$11),0)</f>
        <v/>
      </c>
      <c r="XD23" s="12">
        <f>XB23-XC23</f>
        <v/>
      </c>
      <c r="XE23" s="12">
        <f>ROUND(XC23*EssentialMix,0)</f>
        <v/>
      </c>
      <c r="XF23" s="12">
        <f>XC23-XE23</f>
        <v/>
      </c>
      <c r="XG23" s="12">
        <f>ROUND(XD23*EssentialMix,0)</f>
        <v/>
      </c>
      <c r="XH23" s="12">
        <f>XD23-XG23</f>
        <v/>
      </c>
      <c r="XI23" s="12">
        <f>XE23+XE22+XE21+MAX(0,XI22-XE22-XE21)*(1-WX23)</f>
        <v/>
      </c>
      <c r="XJ23" s="12">
        <f>XF23+XF22+XF21+MAX(0,XJ22-XF22-XF21)*(1-WX23)</f>
        <v/>
      </c>
      <c r="XK23" s="12">
        <f>XK22+XG23-XG11*(AnnualChurn*VLOOKUP(WT23,ChurnSeasonTable,4,FALSE))*POWER(1-(AnnualChurn*VLOOKUP(WT23,ChurnSeasonTable,4,FALSE)),0)</f>
        <v/>
      </c>
      <c r="XL23" s="12">
        <f>XL22+XH23-XH11*(AnnualChurn*VLOOKUP(WT23,ChurnSeasonTable,4,FALSE))*POWER(1-(AnnualChurn*VLOOKUP(WT23,ChurnSeasonTable,4,FALSE)),0)</f>
        <v/>
      </c>
      <c r="XM23" s="12">
        <f>XI23+XJ23+XK23+XL23</f>
        <v/>
      </c>
      <c r="XN23" s="9">
        <f>XI23*PriceEssMonthly*WW23+XJ23*PricePremMonthly*WW23+XK23*PriceEssAnnual*WW23/12+XL23*PricePremAnnual*WW23/12</f>
        <v/>
      </c>
      <c r="XO23" s="9">
        <f>XN23*12</f>
        <v/>
      </c>
      <c r="XP23" s="12">
        <f>XI23*PriceEssMonthly*WW23+XJ23*PricePremMonthly*WW23</f>
        <v/>
      </c>
      <c r="XQ23" s="12">
        <f>XG23*PriceEssAnnual*WW23+XH23*PricePremAnnual*WW23</f>
        <v/>
      </c>
      <c r="XR23" s="12">
        <f>XG11*POWER(1-(AnnualChurn*VLOOKUP(WT23,ChurnSeasonTable,4,FALSE)),1)*PriceEssAnnual*WW23+XH11*POWER(1-(AnnualChurn*VLOOKUP(WT23,ChurnSeasonTable,4,FALSE)),1)*PricePremAnnual*WW23</f>
        <v/>
      </c>
      <c r="XS23" s="9">
        <f>XP23+XQ23+XR23</f>
        <v/>
      </c>
      <c r="XT23" s="12">
        <f>SUM(XS12:XS23)</f>
        <v/>
      </c>
      <c r="XU23" s="12">
        <f>OR(XU22,XT23&gt;=VATThreshold)</f>
        <v/>
      </c>
      <c r="XV23" s="9">
        <f>IF(XU23,XS23/(1+VATRate),XS23)</f>
        <v/>
      </c>
      <c r="XW23" s="12">
        <f>XS23-XV23</f>
        <v/>
      </c>
      <c r="XX23" s="12">
        <f>IF(XU23=0,0,IF(WT23=1,SUMPRODUCT(--(($WU$5:$WU23=$WU23-1)*($WT$5:$WT23&gt;=10)*($WT$5:$WT23&lt;=12)),$XW$5:$XW23),IF(WT23=4,SUMPRODUCT(--(($WU$5:$WU23=$WU23)*($WT$5:$WT23&gt;=1)*($WT$5:$WT23&lt;=3)),$XW$5:$XW23),IF(WT23=7,SUMPRODUCT(--(($WU$5:$WU23=$WU23)*($WT$5:$WT23&gt;=4)*($WT$5:$WT23&lt;=6)),$XW$5:$XW23),IF(WT23=10,SUMPRODUCT(--(($WU$5:$WU23=$WU23)*($WT$5:$WT23&gt;=7)*($WT$5:$WT23&lt;=9)),$XW$5:$XW23),0)))))</f>
        <v/>
      </c>
      <c r="XY23" s="12">
        <f>XY22+XW23-XX23</f>
        <v/>
      </c>
      <c r="XZ23" s="12">
        <f>IF(ProviderDelay&gt;=1,XV22*ProviderShare,XV23*ProviderShare)</f>
        <v/>
      </c>
      <c r="YA23" s="12">
        <f>XS23*PaymentFee</f>
        <v/>
      </c>
      <c r="YB23" s="12">
        <f>XM23*OpsAI</f>
        <v/>
      </c>
      <c r="YC23" s="12">
        <f>MonthlyFixed</f>
        <v/>
      </c>
      <c r="YD23" s="12">
        <f>XA23*ReferralReward</f>
        <v/>
      </c>
      <c r="YE23" s="12">
        <f>WY23</f>
        <v/>
      </c>
      <c r="YF23" s="9">
        <f>XV23-XZ23-YA23-YB23-YC23-YD23-YE23</f>
        <v/>
      </c>
      <c r="YG23" s="9">
        <f>YG22+XS23-(XZ23+YA23+YB23+YC23+YD23+YE23+XX23)</f>
        <v/>
      </c>
      <c r="YH23" s="12">
        <f>IF(XM23&gt;0,XN23/XM23,0)</f>
        <v/>
      </c>
      <c r="YI23" s="11">
        <f>IF(XM22&gt;0,MAX(0,(XM22+XB23-XM23)/XM22),0)</f>
        <v/>
      </c>
      <c r="YK23" s="12" t="n">
        <v>19</v>
      </c>
      <c r="YL23" s="12">
        <f>MOD(YK23-1+LaunchMonth-1,12)+1</f>
        <v/>
      </c>
      <c r="YM23" s="12">
        <f>INT((YK23-1+LaunchMonth-1)/12)+1</f>
        <v/>
      </c>
      <c r="YN23" s="12">
        <f>VLOOKUP(YL23,SeasonTable,2,FALSE)</f>
        <v/>
      </c>
      <c r="YO23" s="12">
        <f>(1+InflationRate)^INT((YK23-1)/12)</f>
        <v/>
      </c>
      <c r="YP23" s="11">
        <f>MonthlyChurn*VLOOKUP(YL23,ChurnSeasonTable,4,FALSE)</f>
        <v/>
      </c>
      <c r="YQ23" s="12">
        <f>MIN(MAX(MktMin19plus,ZK22*MktPct19plus),MAX(0,ZY22-CashBuffer))</f>
        <v/>
      </c>
      <c r="YR23" s="12">
        <f>IF(YQ23&gt;0,MAX(1,ROUND(YQ23/CAC*YN23,0)),0)</f>
        <v/>
      </c>
      <c r="YS23" s="12">
        <f>IF(YR23&gt;0,ROUND(YR23*ReferralMix/(1-ReferralMix),0),0)</f>
        <v/>
      </c>
      <c r="YT23" s="12">
        <f>YR23+YS23</f>
        <v/>
      </c>
      <c r="YU23" s="12">
        <f>ROUND(YT23*(1-'Sens - Annual Mix'!$A$12),0)</f>
        <v/>
      </c>
      <c r="YV23" s="12">
        <f>YT23-YU23</f>
        <v/>
      </c>
      <c r="YW23" s="12">
        <f>ROUND(YU23*EssentialMix,0)</f>
        <v/>
      </c>
      <c r="YX23" s="12">
        <f>YU23-YW23</f>
        <v/>
      </c>
      <c r="YY23" s="12">
        <f>ROUND(YV23*EssentialMix,0)</f>
        <v/>
      </c>
      <c r="YZ23" s="12">
        <f>YV23-YY23</f>
        <v/>
      </c>
      <c r="ZA23" s="12">
        <f>YW23+YW22+YW21+MAX(0,ZA22-YW22-YW21)*(1-YP23)</f>
        <v/>
      </c>
      <c r="ZB23" s="12">
        <f>YX23+YX22+YX21+MAX(0,ZB22-YX22-YX21)*(1-YP23)</f>
        <v/>
      </c>
      <c r="ZC23" s="12">
        <f>ZC22+YY23-YY11*(AnnualChurn*VLOOKUP(YL23,ChurnSeasonTable,4,FALSE))*POWER(1-(AnnualChurn*VLOOKUP(YL23,ChurnSeasonTable,4,FALSE)),0)</f>
        <v/>
      </c>
      <c r="ZD23" s="12">
        <f>ZD22+YZ23-YZ11*(AnnualChurn*VLOOKUP(YL23,ChurnSeasonTable,4,FALSE))*POWER(1-(AnnualChurn*VLOOKUP(YL23,ChurnSeasonTable,4,FALSE)),0)</f>
        <v/>
      </c>
      <c r="ZE23" s="12">
        <f>ZA23+ZB23+ZC23+ZD23</f>
        <v/>
      </c>
      <c r="ZF23" s="9">
        <f>ZA23*PriceEssMonthly*YO23+ZB23*PricePremMonthly*YO23+ZC23*PriceEssAnnual*YO23/12+ZD23*PricePremAnnual*YO23/12</f>
        <v/>
      </c>
      <c r="ZG23" s="9">
        <f>ZF23*12</f>
        <v/>
      </c>
      <c r="ZH23" s="12">
        <f>ZA23*PriceEssMonthly*YO23+ZB23*PricePremMonthly*YO23</f>
        <v/>
      </c>
      <c r="ZI23" s="12">
        <f>YY23*PriceEssAnnual*YO23+YZ23*PricePremAnnual*YO23</f>
        <v/>
      </c>
      <c r="ZJ23" s="12">
        <f>YY11*POWER(1-(AnnualChurn*VLOOKUP(YL23,ChurnSeasonTable,4,FALSE)),1)*PriceEssAnnual*YO23+YZ11*POWER(1-(AnnualChurn*VLOOKUP(YL23,ChurnSeasonTable,4,FALSE)),1)*PricePremAnnual*YO23</f>
        <v/>
      </c>
      <c r="ZK23" s="9">
        <f>ZH23+ZI23+ZJ23</f>
        <v/>
      </c>
      <c r="ZL23" s="12">
        <f>SUM(ZK12:ZK23)</f>
        <v/>
      </c>
      <c r="ZM23" s="12">
        <f>OR(ZM22,ZL23&gt;=VATThreshold)</f>
        <v/>
      </c>
      <c r="ZN23" s="9">
        <f>IF(ZM23,ZK23/(1+VATRate),ZK23)</f>
        <v/>
      </c>
      <c r="ZO23" s="12">
        <f>ZK23-ZN23</f>
        <v/>
      </c>
      <c r="ZP23" s="12">
        <f>IF(ZM23=0,0,IF(YL23=1,SUMPRODUCT(--(($YM$5:$YM23=$YM23-1)*($YL$5:$YL23&gt;=10)*($YL$5:$YL23&lt;=12)),$ZO$5:$ZO23),IF(YL23=4,SUMPRODUCT(--(($YM$5:$YM23=$YM23)*($YL$5:$YL23&gt;=1)*($YL$5:$YL23&lt;=3)),$ZO$5:$ZO23),IF(YL23=7,SUMPRODUCT(--(($YM$5:$YM23=$YM23)*($YL$5:$YL23&gt;=4)*($YL$5:$YL23&lt;=6)),$ZO$5:$ZO23),IF(YL23=10,SUMPRODUCT(--(($YM$5:$YM23=$YM23)*($YL$5:$YL23&gt;=7)*($YL$5:$YL23&lt;=9)),$ZO$5:$ZO23),0)))))</f>
        <v/>
      </c>
      <c r="ZQ23" s="12">
        <f>ZQ22+ZO23-ZP23</f>
        <v/>
      </c>
      <c r="ZR23" s="12">
        <f>IF(ProviderDelay&gt;=1,ZN22*ProviderShare,ZN23*ProviderShare)</f>
        <v/>
      </c>
      <c r="ZS23" s="12">
        <f>ZK23*PaymentFee</f>
        <v/>
      </c>
      <c r="ZT23" s="12">
        <f>ZE23*OpsAI</f>
        <v/>
      </c>
      <c r="ZU23" s="12">
        <f>MonthlyFixed</f>
        <v/>
      </c>
      <c r="ZV23" s="12">
        <f>YS23*ReferralReward</f>
        <v/>
      </c>
      <c r="ZW23" s="12">
        <f>YQ23</f>
        <v/>
      </c>
      <c r="ZX23" s="9">
        <f>ZN23-ZR23-ZS23-ZT23-ZU23-ZV23-ZW23</f>
        <v/>
      </c>
      <c r="ZY23" s="9">
        <f>ZY22+ZK23-(ZR23+ZS23+ZT23+ZU23+ZV23+ZW23+ZP23)</f>
        <v/>
      </c>
      <c r="ZZ23" s="12">
        <f>IF(ZE23&gt;0,ZF23/ZE23,0)</f>
        <v/>
      </c>
      <c r="AAA23" s="11">
        <f>IF(ZE22&gt;0,MAX(0,(ZE22+YT23-ZE23)/ZE22),0)</f>
        <v/>
      </c>
      <c r="AAC23" s="12" t="n">
        <v>19</v>
      </c>
      <c r="AAD23" s="12">
        <f>MOD(AAC23-1+LaunchMonth-1,12)+1</f>
        <v/>
      </c>
      <c r="AAE23" s="12">
        <f>INT((AAC23-1+LaunchMonth-1)/12)+1</f>
        <v/>
      </c>
      <c r="AAF23" s="12">
        <f>VLOOKUP(AAD23,SeasonTable,2,FALSE)</f>
        <v/>
      </c>
      <c r="AAG23" s="12">
        <f>(1+InflationRate)^INT((AAC23-1)/12)</f>
        <v/>
      </c>
      <c r="AAH23" s="11">
        <f>MonthlyChurn*VLOOKUP(AAD23,ChurnSeasonTable,4,FALSE)</f>
        <v/>
      </c>
      <c r="AAI23" s="12">
        <f>MIN(MAX(MktMin19plus,ABC22*MktPct19plus),MAX(0,ABQ22-CashBuffer))</f>
        <v/>
      </c>
      <c r="AAJ23" s="12">
        <f>IF(AAI23&gt;0,MAX(1,ROUND(AAI23/CAC*AAF23,0)),0)</f>
        <v/>
      </c>
      <c r="AAK23" s="12">
        <f>IF(AAJ23&gt;0,ROUND(AAJ23*ReferralMix/(1-ReferralMix),0),0)</f>
        <v/>
      </c>
      <c r="AAL23" s="12">
        <f>AAJ23+AAK23</f>
        <v/>
      </c>
      <c r="AAM23" s="12">
        <f>ROUND(AAL23*(1-'Sens - Annual Mix'!$A$13),0)</f>
        <v/>
      </c>
      <c r="AAN23" s="12">
        <f>AAL23-AAM23</f>
        <v/>
      </c>
      <c r="AAO23" s="12">
        <f>ROUND(AAM23*EssentialMix,0)</f>
        <v/>
      </c>
      <c r="AAP23" s="12">
        <f>AAM23-AAO23</f>
        <v/>
      </c>
      <c r="AAQ23" s="12">
        <f>ROUND(AAN23*EssentialMix,0)</f>
        <v/>
      </c>
      <c r="AAR23" s="12">
        <f>AAN23-AAQ23</f>
        <v/>
      </c>
      <c r="AAS23" s="12">
        <f>AAO23+AAO22+AAO21+MAX(0,AAS22-AAO22-AAO21)*(1-AAH23)</f>
        <v/>
      </c>
      <c r="AAT23" s="12">
        <f>AAP23+AAP22+AAP21+MAX(0,AAT22-AAP22-AAP21)*(1-AAH23)</f>
        <v/>
      </c>
      <c r="AAU23" s="12">
        <f>AAU22+AAQ23-AAQ11*(AnnualChurn*VLOOKUP(AAD23,ChurnSeasonTable,4,FALSE))*POWER(1-(AnnualChurn*VLOOKUP(AAD23,ChurnSeasonTable,4,FALSE)),0)</f>
        <v/>
      </c>
      <c r="AAV23" s="12">
        <f>AAV22+AAR23-AAR11*(AnnualChurn*VLOOKUP(AAD23,ChurnSeasonTable,4,FALSE))*POWER(1-(AnnualChurn*VLOOKUP(AAD23,ChurnSeasonTable,4,FALSE)),0)</f>
        <v/>
      </c>
      <c r="AAW23" s="12">
        <f>AAS23+AAT23+AAU23+AAV23</f>
        <v/>
      </c>
      <c r="AAX23" s="9">
        <f>AAS23*PriceEssMonthly*AAG23+AAT23*PricePremMonthly*AAG23+AAU23*PriceEssAnnual*AAG23/12+AAV23*PricePremAnnual*AAG23/12</f>
        <v/>
      </c>
      <c r="AAY23" s="9">
        <f>AAX23*12</f>
        <v/>
      </c>
      <c r="AAZ23" s="12">
        <f>AAS23*PriceEssMonthly*AAG23+AAT23*PricePremMonthly*AAG23</f>
        <v/>
      </c>
      <c r="ABA23" s="12">
        <f>AAQ23*PriceEssAnnual*AAG23+AAR23*PricePremAnnual*AAG23</f>
        <v/>
      </c>
      <c r="ABB23" s="12">
        <f>AAQ11*POWER(1-(AnnualChurn*VLOOKUP(AAD23,ChurnSeasonTable,4,FALSE)),1)*PriceEssAnnual*AAG23+AAR11*POWER(1-(AnnualChurn*VLOOKUP(AAD23,ChurnSeasonTable,4,FALSE)),1)*PricePremAnnual*AAG23</f>
        <v/>
      </c>
      <c r="ABC23" s="9">
        <f>AAZ23+ABA23+ABB23</f>
        <v/>
      </c>
      <c r="ABD23" s="12">
        <f>SUM(ABC12:ABC23)</f>
        <v/>
      </c>
      <c r="ABE23" s="12">
        <f>OR(ABE22,ABD23&gt;=VATThreshold)</f>
        <v/>
      </c>
      <c r="ABF23" s="9">
        <f>IF(ABE23,ABC23/(1+VATRate),ABC23)</f>
        <v/>
      </c>
      <c r="ABG23" s="12">
        <f>ABC23-ABF23</f>
        <v/>
      </c>
      <c r="ABH23" s="12">
        <f>IF(ABE23=0,0,IF(AAD23=1,SUMPRODUCT(--(($AAE$5:$AAE23=$AAE23-1)*($AAD$5:$AAD23&gt;=10)*($AAD$5:$AAD23&lt;=12)),$ABG$5:$ABG23),IF(AAD23=4,SUMPRODUCT(--(($AAE$5:$AAE23=$AAE23)*($AAD$5:$AAD23&gt;=1)*($AAD$5:$AAD23&lt;=3)),$ABG$5:$ABG23),IF(AAD23=7,SUMPRODUCT(--(($AAE$5:$AAE23=$AAE23)*($AAD$5:$AAD23&gt;=4)*($AAD$5:$AAD23&lt;=6)),$ABG$5:$ABG23),IF(AAD23=10,SUMPRODUCT(--(($AAE$5:$AAE23=$AAE23)*($AAD$5:$AAD23&gt;=7)*($AAD$5:$AAD23&lt;=9)),$ABG$5:$ABG23),0)))))</f>
        <v/>
      </c>
      <c r="ABI23" s="12">
        <f>ABI22+ABG23-ABH23</f>
        <v/>
      </c>
      <c r="ABJ23" s="12">
        <f>IF(ProviderDelay&gt;=1,ABF22*ProviderShare,ABF23*ProviderShare)</f>
        <v/>
      </c>
      <c r="ABK23" s="12">
        <f>ABC23*PaymentFee</f>
        <v/>
      </c>
      <c r="ABL23" s="12">
        <f>AAW23*OpsAI</f>
        <v/>
      </c>
      <c r="ABM23" s="12">
        <f>MonthlyFixed</f>
        <v/>
      </c>
      <c r="ABN23" s="12">
        <f>AAK23*ReferralReward</f>
        <v/>
      </c>
      <c r="ABO23" s="12">
        <f>AAI23</f>
        <v/>
      </c>
      <c r="ABP23" s="9">
        <f>ABF23-ABJ23-ABK23-ABL23-ABM23-ABN23-ABO23</f>
        <v/>
      </c>
      <c r="ABQ23" s="9">
        <f>ABQ22+ABC23-(ABJ23+ABK23+ABL23+ABM23+ABN23+ABO23+ABH23)</f>
        <v/>
      </c>
      <c r="ABR23" s="12">
        <f>IF(AAW23&gt;0,AAX23/AAW23,0)</f>
        <v/>
      </c>
      <c r="ABS23" s="11">
        <f>IF(AAW22&gt;0,MAX(0,(AAW22+AAL23-AAW23)/AAW22),0)</f>
        <v/>
      </c>
      <c r="ABU23" s="12" t="n">
        <v>19</v>
      </c>
      <c r="ABV23" s="12">
        <f>MOD(ABU23-1+LaunchMonth-1,12)+1</f>
        <v/>
      </c>
      <c r="ABW23" s="12">
        <f>INT((ABU23-1+LaunchMonth-1)/12)+1</f>
        <v/>
      </c>
      <c r="ABX23" s="12">
        <f>VLOOKUP(ABV23,SeasonTable,2,FALSE)</f>
        <v/>
      </c>
      <c r="ABY23" s="12">
        <f>(1+InflationRate)^INT((ABU23-1)/12)</f>
        <v/>
      </c>
      <c r="ABZ23" s="11">
        <f>MonthlyChurn*VLOOKUP(ABV23,ChurnSeasonTable,4,FALSE)</f>
        <v/>
      </c>
      <c r="ACA23" s="12">
        <f>MIN(MAX(MktMin19plus,ACU22*MktPct19plus),MAX(0,ADI22-CashBuffer))</f>
        <v/>
      </c>
      <c r="ACB23" s="12">
        <f>IF(ACA23&gt;0,MAX(1,ROUND(ACA23/CAC*ABX23,0)),0)</f>
        <v/>
      </c>
      <c r="ACC23" s="12">
        <f>IF(ACB23&gt;0,ROUND(ACB23*ReferralMix/(1-ReferralMix),0),0)</f>
        <v/>
      </c>
      <c r="ACD23" s="12">
        <f>ACB23+ACC23</f>
        <v/>
      </c>
      <c r="ACE23" s="12">
        <f>ROUND(ACD23*(1-'Sens - Annual Mix'!$A$14),0)</f>
        <v/>
      </c>
      <c r="ACF23" s="12">
        <f>ACD23-ACE23</f>
        <v/>
      </c>
      <c r="ACG23" s="12">
        <f>ROUND(ACE23*EssentialMix,0)</f>
        <v/>
      </c>
      <c r="ACH23" s="12">
        <f>ACE23-ACG23</f>
        <v/>
      </c>
      <c r="ACI23" s="12">
        <f>ROUND(ACF23*EssentialMix,0)</f>
        <v/>
      </c>
      <c r="ACJ23" s="12">
        <f>ACF23-ACI23</f>
        <v/>
      </c>
      <c r="ACK23" s="12">
        <f>ACG23+ACG22+ACG21+MAX(0,ACK22-ACG22-ACG21)*(1-ABZ23)</f>
        <v/>
      </c>
      <c r="ACL23" s="12">
        <f>ACH23+ACH22+ACH21+MAX(0,ACL22-ACH22-ACH21)*(1-ABZ23)</f>
        <v/>
      </c>
      <c r="ACM23" s="12">
        <f>ACM22+ACI23-ACI11*(AnnualChurn*VLOOKUP(ABV23,ChurnSeasonTable,4,FALSE))*POWER(1-(AnnualChurn*VLOOKUP(ABV23,ChurnSeasonTable,4,FALSE)),0)</f>
        <v/>
      </c>
      <c r="ACN23" s="12">
        <f>ACN22+ACJ23-ACJ11*(AnnualChurn*VLOOKUP(ABV23,ChurnSeasonTable,4,FALSE))*POWER(1-(AnnualChurn*VLOOKUP(ABV23,ChurnSeasonTable,4,FALSE)),0)</f>
        <v/>
      </c>
      <c r="ACO23" s="12">
        <f>ACK23+ACL23+ACM23+ACN23</f>
        <v/>
      </c>
      <c r="ACP23" s="9">
        <f>ACK23*PriceEssMonthly*ABY23+ACL23*PricePremMonthly*ABY23+ACM23*PriceEssAnnual*ABY23/12+ACN23*PricePremAnnual*ABY23/12</f>
        <v/>
      </c>
      <c r="ACQ23" s="9">
        <f>ACP23*12</f>
        <v/>
      </c>
      <c r="ACR23" s="12">
        <f>ACK23*PriceEssMonthly*ABY23+ACL23*PricePremMonthly*ABY23</f>
        <v/>
      </c>
      <c r="ACS23" s="12">
        <f>ACI23*PriceEssAnnual*ABY23+ACJ23*PricePremAnnual*ABY23</f>
        <v/>
      </c>
      <c r="ACT23" s="12">
        <f>ACI11*POWER(1-(AnnualChurn*VLOOKUP(ABV23,ChurnSeasonTable,4,FALSE)),1)*PriceEssAnnual*ABY23+ACJ11*POWER(1-(AnnualChurn*VLOOKUP(ABV23,ChurnSeasonTable,4,FALSE)),1)*PricePremAnnual*ABY23</f>
        <v/>
      </c>
      <c r="ACU23" s="9">
        <f>ACR23+ACS23+ACT23</f>
        <v/>
      </c>
      <c r="ACV23" s="12">
        <f>SUM(ACU12:ACU23)</f>
        <v/>
      </c>
      <c r="ACW23" s="12">
        <f>OR(ACW22,ACV23&gt;=VATThreshold)</f>
        <v/>
      </c>
      <c r="ACX23" s="9">
        <f>IF(ACW23,ACU23/(1+VATRate),ACU23)</f>
        <v/>
      </c>
      <c r="ACY23" s="12">
        <f>ACU23-ACX23</f>
        <v/>
      </c>
      <c r="ACZ23" s="12">
        <f>IF(ACW23=0,0,IF(ABV23=1,SUMPRODUCT(--(($ABW$5:$ABW23=$ABW23-1)*($ABV$5:$ABV23&gt;=10)*($ABV$5:$ABV23&lt;=12)),$ACY$5:$ACY23),IF(ABV23=4,SUMPRODUCT(--(($ABW$5:$ABW23=$ABW23)*($ABV$5:$ABV23&gt;=1)*($ABV$5:$ABV23&lt;=3)),$ACY$5:$ACY23),IF(ABV23=7,SUMPRODUCT(--(($ABW$5:$ABW23=$ABW23)*($ABV$5:$ABV23&gt;=4)*($ABV$5:$ABV23&lt;=6)),$ACY$5:$ACY23),IF(ABV23=10,SUMPRODUCT(--(($ABW$5:$ABW23=$ABW23)*($ABV$5:$ABV23&gt;=7)*($ABV$5:$ABV23&lt;=9)),$ACY$5:$ACY23),0)))))</f>
        <v/>
      </c>
      <c r="ADA23" s="12">
        <f>ADA22+ACY23-ACZ23</f>
        <v/>
      </c>
      <c r="ADB23" s="12">
        <f>IF(ProviderDelay&gt;=1,ACX22*ProviderShare,ACX23*ProviderShare)</f>
        <v/>
      </c>
      <c r="ADC23" s="12">
        <f>ACU23*PaymentFee</f>
        <v/>
      </c>
      <c r="ADD23" s="12">
        <f>ACO23*OpsAI</f>
        <v/>
      </c>
      <c r="ADE23" s="12">
        <f>MonthlyFixed</f>
        <v/>
      </c>
      <c r="ADF23" s="12">
        <f>ACC23*ReferralReward</f>
        <v/>
      </c>
      <c r="ADG23" s="12">
        <f>ACA23</f>
        <v/>
      </c>
      <c r="ADH23" s="9">
        <f>ACX23-ADB23-ADC23-ADD23-ADE23-ADF23-ADG23</f>
        <v/>
      </c>
      <c r="ADI23" s="9">
        <f>ADI22+ACU23-(ADB23+ADC23+ADD23+ADE23+ADF23+ADG23+ACZ23)</f>
        <v/>
      </c>
      <c r="ADJ23" s="12">
        <f>IF(ACO23&gt;0,ACP23/ACO23,0)</f>
        <v/>
      </c>
      <c r="ADK23" s="11">
        <f>IF(ACO22&gt;0,MAX(0,(ACO22+ACD23-ACO23)/ACO22),0)</f>
        <v/>
      </c>
      <c r="ADM23" s="12" t="n">
        <v>19</v>
      </c>
      <c r="ADN23" s="12">
        <f>MOD(ADM23-1+LaunchMonth-1,12)+1</f>
        <v/>
      </c>
      <c r="ADO23" s="12">
        <f>INT((ADM23-1+LaunchMonth-1)/12)+1</f>
        <v/>
      </c>
      <c r="ADP23" s="12">
        <f>VLOOKUP(ADN23,SeasonTable,2,FALSE)</f>
        <v/>
      </c>
      <c r="ADQ23" s="12">
        <f>(1+InflationRate)^INT((ADM23-1)/12)</f>
        <v/>
      </c>
      <c r="ADR23" s="11">
        <f>MonthlyChurn*VLOOKUP(ADN23,ChurnSeasonTable,4,FALSE)</f>
        <v/>
      </c>
      <c r="ADS23" s="12">
        <f>MIN(MAX(MktMin19plus,AEM22*MktPct19plus),MAX(0,AFA22-CashBuffer))</f>
        <v/>
      </c>
      <c r="ADT23" s="12">
        <f>IF(ADS23&gt;0,MAX(1,ROUND(ADS23/CAC*ADP23,0)),0)</f>
        <v/>
      </c>
      <c r="ADU23" s="12">
        <f>IF(ADT23&gt;0,ROUND(ADT23*ReferralMix/(1-ReferralMix),0),0)</f>
        <v/>
      </c>
      <c r="ADV23" s="12">
        <f>ADT23+ADU23</f>
        <v/>
      </c>
      <c r="ADW23" s="12">
        <f>ROUND(ADV23*(1-'Sens - Annual Mix'!$A$15),0)</f>
        <v/>
      </c>
      <c r="ADX23" s="12">
        <f>ADV23-ADW23</f>
        <v/>
      </c>
      <c r="ADY23" s="12">
        <f>ROUND(ADW23*EssentialMix,0)</f>
        <v/>
      </c>
      <c r="ADZ23" s="12">
        <f>ADW23-ADY23</f>
        <v/>
      </c>
      <c r="AEA23" s="12">
        <f>ROUND(ADX23*EssentialMix,0)</f>
        <v/>
      </c>
      <c r="AEB23" s="12">
        <f>ADX23-AEA23</f>
        <v/>
      </c>
      <c r="AEC23" s="12">
        <f>ADY23+ADY22+ADY21+MAX(0,AEC22-ADY22-ADY21)*(1-ADR23)</f>
        <v/>
      </c>
      <c r="AED23" s="12">
        <f>ADZ23+ADZ22+ADZ21+MAX(0,AED22-ADZ22-ADZ21)*(1-ADR23)</f>
        <v/>
      </c>
      <c r="AEE23" s="12">
        <f>AEE22+AEA23-AEA11*(AnnualChurn*VLOOKUP(ADN23,ChurnSeasonTable,4,FALSE))*POWER(1-(AnnualChurn*VLOOKUP(ADN23,ChurnSeasonTable,4,FALSE)),0)</f>
        <v/>
      </c>
      <c r="AEF23" s="12">
        <f>AEF22+AEB23-AEB11*(AnnualChurn*VLOOKUP(ADN23,ChurnSeasonTable,4,FALSE))*POWER(1-(AnnualChurn*VLOOKUP(ADN23,ChurnSeasonTable,4,FALSE)),0)</f>
        <v/>
      </c>
      <c r="AEG23" s="12">
        <f>AEC23+AED23+AEE23+AEF23</f>
        <v/>
      </c>
      <c r="AEH23" s="9">
        <f>AEC23*PriceEssMonthly*ADQ23+AED23*PricePremMonthly*ADQ23+AEE23*PriceEssAnnual*ADQ23/12+AEF23*PricePremAnnual*ADQ23/12</f>
        <v/>
      </c>
      <c r="AEI23" s="9">
        <f>AEH23*12</f>
        <v/>
      </c>
      <c r="AEJ23" s="12">
        <f>AEC23*PriceEssMonthly*ADQ23+AED23*PricePremMonthly*ADQ23</f>
        <v/>
      </c>
      <c r="AEK23" s="12">
        <f>AEA23*PriceEssAnnual*ADQ23+AEB23*PricePremAnnual*ADQ23</f>
        <v/>
      </c>
      <c r="AEL23" s="12">
        <f>AEA11*POWER(1-(AnnualChurn*VLOOKUP(ADN23,ChurnSeasonTable,4,FALSE)),1)*PriceEssAnnual*ADQ23+AEB11*POWER(1-(AnnualChurn*VLOOKUP(ADN23,ChurnSeasonTable,4,FALSE)),1)*PricePremAnnual*ADQ23</f>
        <v/>
      </c>
      <c r="AEM23" s="9">
        <f>AEJ23+AEK23+AEL23</f>
        <v/>
      </c>
      <c r="AEN23" s="12">
        <f>SUM(AEM12:AEM23)</f>
        <v/>
      </c>
      <c r="AEO23" s="12">
        <f>OR(AEO22,AEN23&gt;=VATThreshold)</f>
        <v/>
      </c>
      <c r="AEP23" s="9">
        <f>IF(AEO23,AEM23/(1+VATRate),AEM23)</f>
        <v/>
      </c>
      <c r="AEQ23" s="12">
        <f>AEM23-AEP23</f>
        <v/>
      </c>
      <c r="AER23" s="12">
        <f>IF(AEO23=0,0,IF(ADN23=1,SUMPRODUCT(--(($ADO$5:$ADO23=$ADO23-1)*($ADN$5:$ADN23&gt;=10)*($ADN$5:$ADN23&lt;=12)),$AEQ$5:$AEQ23),IF(ADN23=4,SUMPRODUCT(--(($ADO$5:$ADO23=$ADO23)*($ADN$5:$ADN23&gt;=1)*($ADN$5:$ADN23&lt;=3)),$AEQ$5:$AEQ23),IF(ADN23=7,SUMPRODUCT(--(($ADO$5:$ADO23=$ADO23)*($ADN$5:$ADN23&gt;=4)*($ADN$5:$ADN23&lt;=6)),$AEQ$5:$AEQ23),IF(ADN23=10,SUMPRODUCT(--(($ADO$5:$ADO23=$ADO23)*($ADN$5:$ADN23&gt;=7)*($ADN$5:$ADN23&lt;=9)),$AEQ$5:$AEQ23),0)))))</f>
        <v/>
      </c>
      <c r="AES23" s="12">
        <f>AES22+AEQ23-AER23</f>
        <v/>
      </c>
      <c r="AET23" s="12">
        <f>IF(ProviderDelay&gt;=1,AEP22*ProviderShare,AEP23*ProviderShare)</f>
        <v/>
      </c>
      <c r="AEU23" s="12">
        <f>AEM23*PaymentFee</f>
        <v/>
      </c>
      <c r="AEV23" s="12">
        <f>AEG23*OpsAI</f>
        <v/>
      </c>
      <c r="AEW23" s="12">
        <f>MonthlyFixed</f>
        <v/>
      </c>
      <c r="AEX23" s="12">
        <f>ADU23*ReferralReward</f>
        <v/>
      </c>
      <c r="AEY23" s="12">
        <f>ADS23</f>
        <v/>
      </c>
      <c r="AEZ23" s="9">
        <f>AEP23-AET23-AEU23-AEV23-AEW23-AEX23-AEY23</f>
        <v/>
      </c>
      <c r="AFA23" s="9">
        <f>AFA22+AEM23-(AET23+AEU23+AEV23+AEW23+AEX23+AEY23+AER23)</f>
        <v/>
      </c>
      <c r="AFB23" s="12">
        <f>IF(AEG23&gt;0,AEH23/AEG23,0)</f>
        <v/>
      </c>
      <c r="AFC23" s="11">
        <f>IF(AEG22&gt;0,MAX(0,(AEG22+ADV23-AEG23)/AEG22),0)</f>
        <v/>
      </c>
      <c r="AFE23" s="12" t="n">
        <v>19</v>
      </c>
      <c r="AFF23" s="12">
        <f>MOD(AFE23-1+LaunchMonth-1,12)+1</f>
        <v/>
      </c>
      <c r="AFG23" s="12">
        <f>INT((AFE23-1+LaunchMonth-1)/12)+1</f>
        <v/>
      </c>
      <c r="AFH23" s="12">
        <f>VLOOKUP(AFF23,SeasonTable,2,FALSE)</f>
        <v/>
      </c>
      <c r="AFI23" s="12">
        <f>(1+InflationRate)^INT((AFE23-1)/12)</f>
        <v/>
      </c>
      <c r="AFJ23" s="11">
        <f>MonthlyChurn*VLOOKUP(AFF23,ChurnSeasonTable,4,FALSE)</f>
        <v/>
      </c>
      <c r="AFK23" s="12">
        <f>MIN(MAX(MktMin19plus,AGE22*MktPct19plus),MAX(0,AGS22-CashBuffer))</f>
        <v/>
      </c>
      <c r="AFL23" s="12">
        <f>IF(AFK23&gt;0,MAX(1,ROUND(AFK23/'Sens - CAC &amp; Marketing'!$A$9*AFH23,0)),0)</f>
        <v/>
      </c>
      <c r="AFM23" s="12">
        <f>IF(AFL23&gt;0,ROUND(AFL23*ReferralMix/(1-ReferralMix),0),0)</f>
        <v/>
      </c>
      <c r="AFN23" s="12">
        <f>AFL23+AFM23</f>
        <v/>
      </c>
      <c r="AFO23" s="12">
        <f>ROUND(AFN23*(1-AnnualMix),0)</f>
        <v/>
      </c>
      <c r="AFP23" s="12">
        <f>AFN23-AFO23</f>
        <v/>
      </c>
      <c r="AFQ23" s="12">
        <f>ROUND(AFO23*EssentialMix,0)</f>
        <v/>
      </c>
      <c r="AFR23" s="12">
        <f>AFO23-AFQ23</f>
        <v/>
      </c>
      <c r="AFS23" s="12">
        <f>ROUND(AFP23*EssentialMix,0)</f>
        <v/>
      </c>
      <c r="AFT23" s="12">
        <f>AFP23-AFS23</f>
        <v/>
      </c>
      <c r="AFU23" s="12">
        <f>AFQ23+AFQ22+AFQ21+MAX(0,AFU22-AFQ22-AFQ21)*(1-AFJ23)</f>
        <v/>
      </c>
      <c r="AFV23" s="12">
        <f>AFR23+AFR22+AFR21+MAX(0,AFV22-AFR22-AFR21)*(1-AFJ23)</f>
        <v/>
      </c>
      <c r="AFW23" s="12">
        <f>AFW22+AFS23-AFS11*(AnnualChurn*VLOOKUP(AFF23,ChurnSeasonTable,4,FALSE))*POWER(1-(AnnualChurn*VLOOKUP(AFF23,ChurnSeasonTable,4,FALSE)),0)</f>
        <v/>
      </c>
      <c r="AFX23" s="12">
        <f>AFX22+AFT23-AFT11*(AnnualChurn*VLOOKUP(AFF23,ChurnSeasonTable,4,FALSE))*POWER(1-(AnnualChurn*VLOOKUP(AFF23,ChurnSeasonTable,4,FALSE)),0)</f>
        <v/>
      </c>
      <c r="AFY23" s="12">
        <f>AFU23+AFV23+AFW23+AFX23</f>
        <v/>
      </c>
      <c r="AFZ23" s="9">
        <f>AFU23*PriceEssMonthly*AFI23+AFV23*PricePremMonthly*AFI23+AFW23*PriceEssAnnual*AFI23/12+AFX23*PricePremAnnual*AFI23/12</f>
        <v/>
      </c>
      <c r="AGA23" s="9">
        <f>AFZ23*12</f>
        <v/>
      </c>
      <c r="AGB23" s="12">
        <f>AFU23*PriceEssMonthly*AFI23+AFV23*PricePremMonthly*AFI23</f>
        <v/>
      </c>
      <c r="AGC23" s="12">
        <f>AFS23*PriceEssAnnual*AFI23+AFT23*PricePremAnnual*AFI23</f>
        <v/>
      </c>
      <c r="AGD23" s="12">
        <f>AFS11*POWER(1-(AnnualChurn*VLOOKUP(AFF23,ChurnSeasonTable,4,FALSE)),1)*PriceEssAnnual*AFI23+AFT11*POWER(1-(AnnualChurn*VLOOKUP(AFF23,ChurnSeasonTable,4,FALSE)),1)*PricePremAnnual*AFI23</f>
        <v/>
      </c>
      <c r="AGE23" s="9">
        <f>AGB23+AGC23+AGD23</f>
        <v/>
      </c>
      <c r="AGF23" s="12">
        <f>SUM(AGE12:AGE23)</f>
        <v/>
      </c>
      <c r="AGG23" s="12">
        <f>OR(AGG22,AGF23&gt;=VATThreshold)</f>
        <v/>
      </c>
      <c r="AGH23" s="9">
        <f>IF(AGG23,AGE23/(1+VATRate),AGE23)</f>
        <v/>
      </c>
      <c r="AGI23" s="12">
        <f>AGE23-AGH23</f>
        <v/>
      </c>
      <c r="AGJ23" s="12">
        <f>IF(AGG23=0,0,IF(AFF23=1,SUMPRODUCT(--(($AFG$5:$AFG23=$AFG23-1)*($AFF$5:$AFF23&gt;=10)*($AFF$5:$AFF23&lt;=12)),$AGI$5:$AGI23),IF(AFF23=4,SUMPRODUCT(--(($AFG$5:$AFG23=$AFG23)*($AFF$5:$AFF23&gt;=1)*($AFF$5:$AFF23&lt;=3)),$AGI$5:$AGI23),IF(AFF23=7,SUMPRODUCT(--(($AFG$5:$AFG23=$AFG23)*($AFF$5:$AFF23&gt;=4)*($AFF$5:$AFF23&lt;=6)),$AGI$5:$AGI23),IF(AFF23=10,SUMPRODUCT(--(($AFG$5:$AFG23=$AFG23)*($AFF$5:$AFF23&gt;=7)*($AFF$5:$AFF23&lt;=9)),$AGI$5:$AGI23),0)))))</f>
        <v/>
      </c>
      <c r="AGK23" s="12">
        <f>AGK22+AGI23-AGJ23</f>
        <v/>
      </c>
      <c r="AGL23" s="12">
        <f>IF(ProviderDelay&gt;=1,AGH22*ProviderShare,AGH23*ProviderShare)</f>
        <v/>
      </c>
      <c r="AGM23" s="12">
        <f>AGE23*PaymentFee</f>
        <v/>
      </c>
      <c r="AGN23" s="12">
        <f>AFY23*OpsAI</f>
        <v/>
      </c>
      <c r="AGO23" s="12">
        <f>MonthlyFixed</f>
        <v/>
      </c>
      <c r="AGP23" s="12">
        <f>AFM23*ReferralReward</f>
        <v/>
      </c>
      <c r="AGQ23" s="12">
        <f>AFK23</f>
        <v/>
      </c>
      <c r="AGR23" s="9">
        <f>AGH23-AGL23-AGM23-AGN23-AGO23-AGP23-AGQ23</f>
        <v/>
      </c>
      <c r="AGS23" s="9">
        <f>AGS22+AGE23-(AGL23+AGM23+AGN23+AGO23+AGP23+AGQ23+AGJ23)</f>
        <v/>
      </c>
      <c r="AGT23" s="12">
        <f>IF(AFY23&gt;0,AFZ23/AFY23,0)</f>
        <v/>
      </c>
      <c r="AGU23" s="11">
        <f>IF(AFY22&gt;0,MAX(0,(AFY22+AFN23-AFY23)/AFY22),0)</f>
        <v/>
      </c>
      <c r="AGW23" s="12" t="n">
        <v>19</v>
      </c>
      <c r="AGX23" s="12">
        <f>MOD(AGW23-1+LaunchMonth-1,12)+1</f>
        <v/>
      </c>
      <c r="AGY23" s="12">
        <f>INT((AGW23-1+LaunchMonth-1)/12)+1</f>
        <v/>
      </c>
      <c r="AGZ23" s="12">
        <f>VLOOKUP(AGX23,SeasonTable,2,FALSE)</f>
        <v/>
      </c>
      <c r="AHA23" s="12">
        <f>(1+InflationRate)^INT((AGW23-1)/12)</f>
        <v/>
      </c>
      <c r="AHB23" s="11">
        <f>MonthlyChurn*VLOOKUP(AGX23,ChurnSeasonTable,4,FALSE)</f>
        <v/>
      </c>
      <c r="AHC23" s="12">
        <f>MIN(MAX(MktMin19plus,AHW22*MktPct19plus),MAX(0,AIK22-CashBuffer))</f>
        <v/>
      </c>
      <c r="AHD23" s="12">
        <f>IF(AHC23&gt;0,MAX(1,ROUND(AHC23/'Sens - CAC &amp; Marketing'!$A$10*AGZ23,0)),0)</f>
        <v/>
      </c>
      <c r="AHE23" s="12">
        <f>IF(AHD23&gt;0,ROUND(AHD23*ReferralMix/(1-ReferralMix),0),0)</f>
        <v/>
      </c>
      <c r="AHF23" s="12">
        <f>AHD23+AHE23</f>
        <v/>
      </c>
      <c r="AHG23" s="12">
        <f>ROUND(AHF23*(1-AnnualMix),0)</f>
        <v/>
      </c>
      <c r="AHH23" s="12">
        <f>AHF23-AHG23</f>
        <v/>
      </c>
      <c r="AHI23" s="12">
        <f>ROUND(AHG23*EssentialMix,0)</f>
        <v/>
      </c>
      <c r="AHJ23" s="12">
        <f>AHG23-AHI23</f>
        <v/>
      </c>
      <c r="AHK23" s="12">
        <f>ROUND(AHH23*EssentialMix,0)</f>
        <v/>
      </c>
      <c r="AHL23" s="12">
        <f>AHH23-AHK23</f>
        <v/>
      </c>
      <c r="AHM23" s="12">
        <f>AHI23+AHI22+AHI21+MAX(0,AHM22-AHI22-AHI21)*(1-AHB23)</f>
        <v/>
      </c>
      <c r="AHN23" s="12">
        <f>AHJ23+AHJ22+AHJ21+MAX(0,AHN22-AHJ22-AHJ21)*(1-AHB23)</f>
        <v/>
      </c>
      <c r="AHO23" s="12">
        <f>AHO22+AHK23-AHK11*(AnnualChurn*VLOOKUP(AGX23,ChurnSeasonTable,4,FALSE))*POWER(1-(AnnualChurn*VLOOKUP(AGX23,ChurnSeasonTable,4,FALSE)),0)</f>
        <v/>
      </c>
      <c r="AHP23" s="12">
        <f>AHP22+AHL23-AHL11*(AnnualChurn*VLOOKUP(AGX23,ChurnSeasonTable,4,FALSE))*POWER(1-(AnnualChurn*VLOOKUP(AGX23,ChurnSeasonTable,4,FALSE)),0)</f>
        <v/>
      </c>
      <c r="AHQ23" s="12">
        <f>AHM23+AHN23+AHO23+AHP23</f>
        <v/>
      </c>
      <c r="AHR23" s="9">
        <f>AHM23*PriceEssMonthly*AHA23+AHN23*PricePremMonthly*AHA23+AHO23*PriceEssAnnual*AHA23/12+AHP23*PricePremAnnual*AHA23/12</f>
        <v/>
      </c>
      <c r="AHS23" s="9">
        <f>AHR23*12</f>
        <v/>
      </c>
      <c r="AHT23" s="12">
        <f>AHM23*PriceEssMonthly*AHA23+AHN23*PricePremMonthly*AHA23</f>
        <v/>
      </c>
      <c r="AHU23" s="12">
        <f>AHK23*PriceEssAnnual*AHA23+AHL23*PricePremAnnual*AHA23</f>
        <v/>
      </c>
      <c r="AHV23" s="12">
        <f>AHK11*POWER(1-(AnnualChurn*VLOOKUP(AGX23,ChurnSeasonTable,4,FALSE)),1)*PriceEssAnnual*AHA23+AHL11*POWER(1-(AnnualChurn*VLOOKUP(AGX23,ChurnSeasonTable,4,FALSE)),1)*PricePremAnnual*AHA23</f>
        <v/>
      </c>
      <c r="AHW23" s="9">
        <f>AHT23+AHU23+AHV23</f>
        <v/>
      </c>
      <c r="AHX23" s="12">
        <f>SUM(AHW12:AHW23)</f>
        <v/>
      </c>
      <c r="AHY23" s="12">
        <f>OR(AHY22,AHX23&gt;=VATThreshold)</f>
        <v/>
      </c>
      <c r="AHZ23" s="9">
        <f>IF(AHY23,AHW23/(1+VATRate),AHW23)</f>
        <v/>
      </c>
      <c r="AIA23" s="12">
        <f>AHW23-AHZ23</f>
        <v/>
      </c>
      <c r="AIB23" s="12">
        <f>IF(AHY23=0,0,IF(AGX23=1,SUMPRODUCT(--(($AGY$5:$AGY23=$AGY23-1)*($AGX$5:$AGX23&gt;=10)*($AGX$5:$AGX23&lt;=12)),$AIA$5:$AIA23),IF(AGX23=4,SUMPRODUCT(--(($AGY$5:$AGY23=$AGY23)*($AGX$5:$AGX23&gt;=1)*($AGX$5:$AGX23&lt;=3)),$AIA$5:$AIA23),IF(AGX23=7,SUMPRODUCT(--(($AGY$5:$AGY23=$AGY23)*($AGX$5:$AGX23&gt;=4)*($AGX$5:$AGX23&lt;=6)),$AIA$5:$AIA23),IF(AGX23=10,SUMPRODUCT(--(($AGY$5:$AGY23=$AGY23)*($AGX$5:$AGX23&gt;=7)*($AGX$5:$AGX23&lt;=9)),$AIA$5:$AIA23),0)))))</f>
        <v/>
      </c>
      <c r="AIC23" s="12">
        <f>AIC22+AIA23-AIB23</f>
        <v/>
      </c>
      <c r="AID23" s="12">
        <f>IF(ProviderDelay&gt;=1,AHZ22*ProviderShare,AHZ23*ProviderShare)</f>
        <v/>
      </c>
      <c r="AIE23" s="12">
        <f>AHW23*PaymentFee</f>
        <v/>
      </c>
      <c r="AIF23" s="12">
        <f>AHQ23*OpsAI</f>
        <v/>
      </c>
      <c r="AIG23" s="12">
        <f>MonthlyFixed</f>
        <v/>
      </c>
      <c r="AIH23" s="12">
        <f>AHE23*ReferralReward</f>
        <v/>
      </c>
      <c r="AII23" s="12">
        <f>AHC23</f>
        <v/>
      </c>
      <c r="AIJ23" s="9">
        <f>AHZ23-AID23-AIE23-AIF23-AIG23-AIH23-AII23</f>
        <v/>
      </c>
      <c r="AIK23" s="9">
        <f>AIK22+AHW23-(AID23+AIE23+AIF23+AIG23+AIH23+AII23+AIB23)</f>
        <v/>
      </c>
      <c r="AIL23" s="12">
        <f>IF(AHQ23&gt;0,AHR23/AHQ23,0)</f>
        <v/>
      </c>
      <c r="AIM23" s="11">
        <f>IF(AHQ22&gt;0,MAX(0,(AHQ22+AHF23-AHQ23)/AHQ22),0)</f>
        <v/>
      </c>
      <c r="AIO23" s="12" t="n">
        <v>19</v>
      </c>
      <c r="AIP23" s="12">
        <f>MOD(AIO23-1+LaunchMonth-1,12)+1</f>
        <v/>
      </c>
      <c r="AIQ23" s="12">
        <f>INT((AIO23-1+LaunchMonth-1)/12)+1</f>
        <v/>
      </c>
      <c r="AIR23" s="12">
        <f>VLOOKUP(AIP23,SeasonTable,2,FALSE)</f>
        <v/>
      </c>
      <c r="AIS23" s="12">
        <f>(1+InflationRate)^INT((AIO23-1)/12)</f>
        <v/>
      </c>
      <c r="AIT23" s="11">
        <f>MonthlyChurn*VLOOKUP(AIP23,ChurnSeasonTable,4,FALSE)</f>
        <v/>
      </c>
      <c r="AIU23" s="12">
        <f>MIN(MAX(MktMin19plus,AJO22*MktPct19plus),MAX(0,AKC22-CashBuffer))</f>
        <v/>
      </c>
      <c r="AIV23" s="12">
        <f>IF(AIU23&gt;0,MAX(1,ROUND(AIU23/'Sens - CAC &amp; Marketing'!$A$11*AIR23,0)),0)</f>
        <v/>
      </c>
      <c r="AIW23" s="12">
        <f>IF(AIV23&gt;0,ROUND(AIV23*ReferralMix/(1-ReferralMix),0),0)</f>
        <v/>
      </c>
      <c r="AIX23" s="12">
        <f>AIV23+AIW23</f>
        <v/>
      </c>
      <c r="AIY23" s="12">
        <f>ROUND(AIX23*(1-AnnualMix),0)</f>
        <v/>
      </c>
      <c r="AIZ23" s="12">
        <f>AIX23-AIY23</f>
        <v/>
      </c>
      <c r="AJA23" s="12">
        <f>ROUND(AIY23*EssentialMix,0)</f>
        <v/>
      </c>
      <c r="AJB23" s="12">
        <f>AIY23-AJA23</f>
        <v/>
      </c>
      <c r="AJC23" s="12">
        <f>ROUND(AIZ23*EssentialMix,0)</f>
        <v/>
      </c>
      <c r="AJD23" s="12">
        <f>AIZ23-AJC23</f>
        <v/>
      </c>
      <c r="AJE23" s="12">
        <f>AJA23+AJA22+AJA21+MAX(0,AJE22-AJA22-AJA21)*(1-AIT23)</f>
        <v/>
      </c>
      <c r="AJF23" s="12">
        <f>AJB23+AJB22+AJB21+MAX(0,AJF22-AJB22-AJB21)*(1-AIT23)</f>
        <v/>
      </c>
      <c r="AJG23" s="12">
        <f>AJG22+AJC23-AJC11*(AnnualChurn*VLOOKUP(AIP23,ChurnSeasonTable,4,FALSE))*POWER(1-(AnnualChurn*VLOOKUP(AIP23,ChurnSeasonTable,4,FALSE)),0)</f>
        <v/>
      </c>
      <c r="AJH23" s="12">
        <f>AJH22+AJD23-AJD11*(AnnualChurn*VLOOKUP(AIP23,ChurnSeasonTable,4,FALSE))*POWER(1-(AnnualChurn*VLOOKUP(AIP23,ChurnSeasonTable,4,FALSE)),0)</f>
        <v/>
      </c>
      <c r="AJI23" s="12">
        <f>AJE23+AJF23+AJG23+AJH23</f>
        <v/>
      </c>
      <c r="AJJ23" s="9">
        <f>AJE23*PriceEssMonthly*AIS23+AJF23*PricePremMonthly*AIS23+AJG23*PriceEssAnnual*AIS23/12+AJH23*PricePremAnnual*AIS23/12</f>
        <v/>
      </c>
      <c r="AJK23" s="9">
        <f>AJJ23*12</f>
        <v/>
      </c>
      <c r="AJL23" s="12">
        <f>AJE23*PriceEssMonthly*AIS23+AJF23*PricePremMonthly*AIS23</f>
        <v/>
      </c>
      <c r="AJM23" s="12">
        <f>AJC23*PriceEssAnnual*AIS23+AJD23*PricePremAnnual*AIS23</f>
        <v/>
      </c>
      <c r="AJN23" s="12">
        <f>AJC11*POWER(1-(AnnualChurn*VLOOKUP(AIP23,ChurnSeasonTable,4,FALSE)),1)*PriceEssAnnual*AIS23+AJD11*POWER(1-(AnnualChurn*VLOOKUP(AIP23,ChurnSeasonTable,4,FALSE)),1)*PricePremAnnual*AIS23</f>
        <v/>
      </c>
      <c r="AJO23" s="9">
        <f>AJL23+AJM23+AJN23</f>
        <v/>
      </c>
      <c r="AJP23" s="12">
        <f>SUM(AJO12:AJO23)</f>
        <v/>
      </c>
      <c r="AJQ23" s="12">
        <f>OR(AJQ22,AJP23&gt;=VATThreshold)</f>
        <v/>
      </c>
      <c r="AJR23" s="9">
        <f>IF(AJQ23,AJO23/(1+VATRate),AJO23)</f>
        <v/>
      </c>
      <c r="AJS23" s="12">
        <f>AJO23-AJR23</f>
        <v/>
      </c>
      <c r="AJT23" s="12">
        <f>IF(AJQ23=0,0,IF(AIP23=1,SUMPRODUCT(--(($AIQ$5:$AIQ23=$AIQ23-1)*($AIP$5:$AIP23&gt;=10)*($AIP$5:$AIP23&lt;=12)),$AJS$5:$AJS23),IF(AIP23=4,SUMPRODUCT(--(($AIQ$5:$AIQ23=$AIQ23)*($AIP$5:$AIP23&gt;=1)*($AIP$5:$AIP23&lt;=3)),$AJS$5:$AJS23),IF(AIP23=7,SUMPRODUCT(--(($AIQ$5:$AIQ23=$AIQ23)*($AIP$5:$AIP23&gt;=4)*($AIP$5:$AIP23&lt;=6)),$AJS$5:$AJS23),IF(AIP23=10,SUMPRODUCT(--(($AIQ$5:$AIQ23=$AIQ23)*($AIP$5:$AIP23&gt;=7)*($AIP$5:$AIP23&lt;=9)),$AJS$5:$AJS23),0)))))</f>
        <v/>
      </c>
      <c r="AJU23" s="12">
        <f>AJU22+AJS23-AJT23</f>
        <v/>
      </c>
      <c r="AJV23" s="12">
        <f>IF(ProviderDelay&gt;=1,AJR22*ProviderShare,AJR23*ProviderShare)</f>
        <v/>
      </c>
      <c r="AJW23" s="12">
        <f>AJO23*PaymentFee</f>
        <v/>
      </c>
      <c r="AJX23" s="12">
        <f>AJI23*OpsAI</f>
        <v/>
      </c>
      <c r="AJY23" s="12">
        <f>MonthlyFixed</f>
        <v/>
      </c>
      <c r="AJZ23" s="12">
        <f>AIW23*ReferralReward</f>
        <v/>
      </c>
      <c r="AKA23" s="12">
        <f>AIU23</f>
        <v/>
      </c>
      <c r="AKB23" s="9">
        <f>AJR23-AJV23-AJW23-AJX23-AJY23-AJZ23-AKA23</f>
        <v/>
      </c>
      <c r="AKC23" s="9">
        <f>AKC22+AJO23-(AJV23+AJW23+AJX23+AJY23+AJZ23+AKA23+AJT23)</f>
        <v/>
      </c>
      <c r="AKD23" s="12">
        <f>IF(AJI23&gt;0,AJJ23/AJI23,0)</f>
        <v/>
      </c>
      <c r="AKE23" s="11">
        <f>IF(AJI22&gt;0,MAX(0,(AJI22+AIX23-AJI23)/AJI22),0)</f>
        <v/>
      </c>
      <c r="AKG23" s="12" t="n">
        <v>19</v>
      </c>
      <c r="AKH23" s="12">
        <f>MOD(AKG23-1+LaunchMonth-1,12)+1</f>
        <v/>
      </c>
      <c r="AKI23" s="12">
        <f>INT((AKG23-1+LaunchMonth-1)/12)+1</f>
        <v/>
      </c>
      <c r="AKJ23" s="12">
        <f>VLOOKUP(AKH23,SeasonTable,2,FALSE)</f>
        <v/>
      </c>
      <c r="AKK23" s="12">
        <f>(1+InflationRate)^INT((AKG23-1)/12)</f>
        <v/>
      </c>
      <c r="AKL23" s="11">
        <f>MonthlyChurn*VLOOKUP(AKH23,ChurnSeasonTable,4,FALSE)</f>
        <v/>
      </c>
      <c r="AKM23" s="12">
        <f>MIN(MAX(MktMin19plus,ALG22*MktPct19plus),MAX(0,ALU22-CashBuffer))</f>
        <v/>
      </c>
      <c r="AKN23" s="12">
        <f>IF(AKM23&gt;0,MAX(1,ROUND(AKM23/'Sens - CAC &amp; Marketing'!$A$12*AKJ23,0)),0)</f>
        <v/>
      </c>
      <c r="AKO23" s="12">
        <f>IF(AKN23&gt;0,ROUND(AKN23*ReferralMix/(1-ReferralMix),0),0)</f>
        <v/>
      </c>
      <c r="AKP23" s="12">
        <f>AKN23+AKO23</f>
        <v/>
      </c>
      <c r="AKQ23" s="12">
        <f>ROUND(AKP23*(1-AnnualMix),0)</f>
        <v/>
      </c>
      <c r="AKR23" s="12">
        <f>AKP23-AKQ23</f>
        <v/>
      </c>
      <c r="AKS23" s="12">
        <f>ROUND(AKQ23*EssentialMix,0)</f>
        <v/>
      </c>
      <c r="AKT23" s="12">
        <f>AKQ23-AKS23</f>
        <v/>
      </c>
      <c r="AKU23" s="12">
        <f>ROUND(AKR23*EssentialMix,0)</f>
        <v/>
      </c>
      <c r="AKV23" s="12">
        <f>AKR23-AKU23</f>
        <v/>
      </c>
      <c r="AKW23" s="12">
        <f>AKS23+AKS22+AKS21+MAX(0,AKW22-AKS22-AKS21)*(1-AKL23)</f>
        <v/>
      </c>
      <c r="AKX23" s="12">
        <f>AKT23+AKT22+AKT21+MAX(0,AKX22-AKT22-AKT21)*(1-AKL23)</f>
        <v/>
      </c>
      <c r="AKY23" s="12">
        <f>AKY22+AKU23-AKU11*(AnnualChurn*VLOOKUP(AKH23,ChurnSeasonTable,4,FALSE))*POWER(1-(AnnualChurn*VLOOKUP(AKH23,ChurnSeasonTable,4,FALSE)),0)</f>
        <v/>
      </c>
      <c r="AKZ23" s="12">
        <f>AKZ22+AKV23-AKV11*(AnnualChurn*VLOOKUP(AKH23,ChurnSeasonTable,4,FALSE))*POWER(1-(AnnualChurn*VLOOKUP(AKH23,ChurnSeasonTable,4,FALSE)),0)</f>
        <v/>
      </c>
      <c r="ALA23" s="12">
        <f>AKW23+AKX23+AKY23+AKZ23</f>
        <v/>
      </c>
      <c r="ALB23" s="9">
        <f>AKW23*PriceEssMonthly*AKK23+AKX23*PricePremMonthly*AKK23+AKY23*PriceEssAnnual*AKK23/12+AKZ23*PricePremAnnual*AKK23/12</f>
        <v/>
      </c>
      <c r="ALC23" s="9">
        <f>ALB23*12</f>
        <v/>
      </c>
      <c r="ALD23" s="12">
        <f>AKW23*PriceEssMonthly*AKK23+AKX23*PricePremMonthly*AKK23</f>
        <v/>
      </c>
      <c r="ALE23" s="12">
        <f>AKU23*PriceEssAnnual*AKK23+AKV23*PricePremAnnual*AKK23</f>
        <v/>
      </c>
      <c r="ALF23" s="12">
        <f>AKU11*POWER(1-(AnnualChurn*VLOOKUP(AKH23,ChurnSeasonTable,4,FALSE)),1)*PriceEssAnnual*AKK23+AKV11*POWER(1-(AnnualChurn*VLOOKUP(AKH23,ChurnSeasonTable,4,FALSE)),1)*PricePremAnnual*AKK23</f>
        <v/>
      </c>
      <c r="ALG23" s="9">
        <f>ALD23+ALE23+ALF23</f>
        <v/>
      </c>
      <c r="ALH23" s="12">
        <f>SUM(ALG12:ALG23)</f>
        <v/>
      </c>
      <c r="ALI23" s="12">
        <f>OR(ALI22,ALH23&gt;=VATThreshold)</f>
        <v/>
      </c>
      <c r="ALJ23" s="9">
        <f>IF(ALI23,ALG23/(1+VATRate),ALG23)</f>
        <v/>
      </c>
      <c r="ALK23" s="12">
        <f>ALG23-ALJ23</f>
        <v/>
      </c>
      <c r="ALL23" s="12">
        <f>IF(ALI23=0,0,IF(AKH23=1,SUMPRODUCT(--(($AKI$5:$AKI23=$AKI23-1)*($AKH$5:$AKH23&gt;=10)*($AKH$5:$AKH23&lt;=12)),$ALK$5:$ALK23),IF(AKH23=4,SUMPRODUCT(--(($AKI$5:$AKI23=$AKI23)*($AKH$5:$AKH23&gt;=1)*($AKH$5:$AKH23&lt;=3)),$ALK$5:$ALK23),IF(AKH23=7,SUMPRODUCT(--(($AKI$5:$AKI23=$AKI23)*($AKH$5:$AKH23&gt;=4)*($AKH$5:$AKH23&lt;=6)),$ALK$5:$ALK23),IF(AKH23=10,SUMPRODUCT(--(($AKI$5:$AKI23=$AKI23)*($AKH$5:$AKH23&gt;=7)*($AKH$5:$AKH23&lt;=9)),$ALK$5:$ALK23),0)))))</f>
        <v/>
      </c>
      <c r="ALM23" s="12">
        <f>ALM22+ALK23-ALL23</f>
        <v/>
      </c>
      <c r="ALN23" s="12">
        <f>IF(ProviderDelay&gt;=1,ALJ22*ProviderShare,ALJ23*ProviderShare)</f>
        <v/>
      </c>
      <c r="ALO23" s="12">
        <f>ALG23*PaymentFee</f>
        <v/>
      </c>
      <c r="ALP23" s="12">
        <f>ALA23*OpsAI</f>
        <v/>
      </c>
      <c r="ALQ23" s="12">
        <f>MonthlyFixed</f>
        <v/>
      </c>
      <c r="ALR23" s="12">
        <f>AKO23*ReferralReward</f>
        <v/>
      </c>
      <c r="ALS23" s="12">
        <f>AKM23</f>
        <v/>
      </c>
      <c r="ALT23" s="9">
        <f>ALJ23-ALN23-ALO23-ALP23-ALQ23-ALR23-ALS23</f>
        <v/>
      </c>
      <c r="ALU23" s="9">
        <f>ALU22+ALG23-(ALN23+ALO23+ALP23+ALQ23+ALR23+ALS23+ALL23)</f>
        <v/>
      </c>
      <c r="ALV23" s="12">
        <f>IF(ALA23&gt;0,ALB23/ALA23,0)</f>
        <v/>
      </c>
      <c r="ALW23" s="11">
        <f>IF(ALA22&gt;0,MAX(0,(ALA22+AKP23-ALA23)/ALA22),0)</f>
        <v/>
      </c>
      <c r="ALY23" s="12" t="n">
        <v>19</v>
      </c>
      <c r="ALZ23" s="12">
        <f>MOD(ALY23-1+LaunchMonth-1,12)+1</f>
        <v/>
      </c>
      <c r="AMA23" s="12">
        <f>INT((ALY23-1+LaunchMonth-1)/12)+1</f>
        <v/>
      </c>
      <c r="AMB23" s="12">
        <f>VLOOKUP(ALZ23,SeasonTable,2,FALSE)</f>
        <v/>
      </c>
      <c r="AMC23" s="12">
        <f>(1+InflationRate)^INT((ALY23-1)/12)</f>
        <v/>
      </c>
      <c r="AMD23" s="11">
        <f>MonthlyChurn*VLOOKUP(ALZ23,ChurnSeasonTable,4,FALSE)</f>
        <v/>
      </c>
      <c r="AME23" s="12">
        <f>MIN(MAX(MktMin19plus,AMY22*MktPct19plus),MAX(0,ANM22-CashBuffer))</f>
        <v/>
      </c>
      <c r="AMF23" s="12">
        <f>IF(AME23&gt;0,MAX(1,ROUND(AME23/'Sens - CAC &amp; Marketing'!$A$13*AMB23,0)),0)</f>
        <v/>
      </c>
      <c r="AMG23" s="12">
        <f>IF(AMF23&gt;0,ROUND(AMF23*ReferralMix/(1-ReferralMix),0),0)</f>
        <v/>
      </c>
      <c r="AMH23" s="12">
        <f>AMF23+AMG23</f>
        <v/>
      </c>
      <c r="AMI23" s="12">
        <f>ROUND(AMH23*(1-AnnualMix),0)</f>
        <v/>
      </c>
      <c r="AMJ23" s="12">
        <f>AMH23-AMI23</f>
        <v/>
      </c>
      <c r="AMK23" s="12">
        <f>ROUND(AMI23*EssentialMix,0)</f>
        <v/>
      </c>
      <c r="AML23" s="12">
        <f>AMI23-AMK23</f>
        <v/>
      </c>
      <c r="AMM23" s="12">
        <f>ROUND(AMJ23*EssentialMix,0)</f>
        <v/>
      </c>
      <c r="AMN23" s="12">
        <f>AMJ23-AMM23</f>
        <v/>
      </c>
      <c r="AMO23" s="12">
        <f>AMK23+AMK22+AMK21+MAX(0,AMO22-AMK22-AMK21)*(1-AMD23)</f>
        <v/>
      </c>
      <c r="AMP23" s="12">
        <f>AML23+AML22+AML21+MAX(0,AMP22-AML22-AML21)*(1-AMD23)</f>
        <v/>
      </c>
      <c r="AMQ23" s="12">
        <f>AMQ22+AMM23-AMM11*(AnnualChurn*VLOOKUP(ALZ23,ChurnSeasonTable,4,FALSE))*POWER(1-(AnnualChurn*VLOOKUP(ALZ23,ChurnSeasonTable,4,FALSE)),0)</f>
        <v/>
      </c>
      <c r="AMR23" s="12">
        <f>AMR22+AMN23-AMN11*(AnnualChurn*VLOOKUP(ALZ23,ChurnSeasonTable,4,FALSE))*POWER(1-(AnnualChurn*VLOOKUP(ALZ23,ChurnSeasonTable,4,FALSE)),0)</f>
        <v/>
      </c>
      <c r="AMS23" s="12">
        <f>AMO23+AMP23+AMQ23+AMR23</f>
        <v/>
      </c>
      <c r="AMT23" s="9">
        <f>AMO23*PriceEssMonthly*AMC23+AMP23*PricePremMonthly*AMC23+AMQ23*PriceEssAnnual*AMC23/12+AMR23*PricePremAnnual*AMC23/12</f>
        <v/>
      </c>
      <c r="AMU23" s="9">
        <f>AMT23*12</f>
        <v/>
      </c>
      <c r="AMV23" s="12">
        <f>AMO23*PriceEssMonthly*AMC23+AMP23*PricePremMonthly*AMC23</f>
        <v/>
      </c>
      <c r="AMW23" s="12">
        <f>AMM23*PriceEssAnnual*AMC23+AMN23*PricePremAnnual*AMC23</f>
        <v/>
      </c>
      <c r="AMX23" s="12">
        <f>AMM11*POWER(1-(AnnualChurn*VLOOKUP(ALZ23,ChurnSeasonTable,4,FALSE)),1)*PriceEssAnnual*AMC23+AMN11*POWER(1-(AnnualChurn*VLOOKUP(ALZ23,ChurnSeasonTable,4,FALSE)),1)*PricePremAnnual*AMC23</f>
        <v/>
      </c>
      <c r="AMY23" s="9">
        <f>AMV23+AMW23+AMX23</f>
        <v/>
      </c>
      <c r="AMZ23" s="12">
        <f>SUM(AMY12:AMY23)</f>
        <v/>
      </c>
      <c r="ANA23" s="12">
        <f>OR(ANA22,AMZ23&gt;=VATThreshold)</f>
        <v/>
      </c>
      <c r="ANB23" s="9">
        <f>IF(ANA23,AMY23/(1+VATRate),AMY23)</f>
        <v/>
      </c>
      <c r="ANC23" s="12">
        <f>AMY23-ANB23</f>
        <v/>
      </c>
      <c r="AND23" s="12">
        <f>IF(ANA23=0,0,IF(ALZ23=1,SUMPRODUCT(--(($AMA$5:$AMA23=$AMA23-1)*($ALZ$5:$ALZ23&gt;=10)*($ALZ$5:$ALZ23&lt;=12)),$ANC$5:$ANC23),IF(ALZ23=4,SUMPRODUCT(--(($AMA$5:$AMA23=$AMA23)*($ALZ$5:$ALZ23&gt;=1)*($ALZ$5:$ALZ23&lt;=3)),$ANC$5:$ANC23),IF(ALZ23=7,SUMPRODUCT(--(($AMA$5:$AMA23=$AMA23)*($ALZ$5:$ALZ23&gt;=4)*($ALZ$5:$ALZ23&lt;=6)),$ANC$5:$ANC23),IF(ALZ23=10,SUMPRODUCT(--(($AMA$5:$AMA23=$AMA23)*($ALZ$5:$ALZ23&gt;=7)*($ALZ$5:$ALZ23&lt;=9)),$ANC$5:$ANC23),0)))))</f>
        <v/>
      </c>
      <c r="ANE23" s="12">
        <f>ANE22+ANC23-AND23</f>
        <v/>
      </c>
      <c r="ANF23" s="12">
        <f>IF(ProviderDelay&gt;=1,ANB22*ProviderShare,ANB23*ProviderShare)</f>
        <v/>
      </c>
      <c r="ANG23" s="12">
        <f>AMY23*PaymentFee</f>
        <v/>
      </c>
      <c r="ANH23" s="12">
        <f>AMS23*OpsAI</f>
        <v/>
      </c>
      <c r="ANI23" s="12">
        <f>MonthlyFixed</f>
        <v/>
      </c>
      <c r="ANJ23" s="12">
        <f>AMG23*ReferralReward</f>
        <v/>
      </c>
      <c r="ANK23" s="12">
        <f>AME23</f>
        <v/>
      </c>
      <c r="ANL23" s="9">
        <f>ANB23-ANF23-ANG23-ANH23-ANI23-ANJ23-ANK23</f>
        <v/>
      </c>
      <c r="ANM23" s="9">
        <f>ANM22+AMY23-(ANF23+ANG23+ANH23+ANI23+ANJ23+ANK23+AND23)</f>
        <v/>
      </c>
      <c r="ANN23" s="12">
        <f>IF(AMS23&gt;0,AMT23/AMS23,0)</f>
        <v/>
      </c>
      <c r="ANO23" s="11">
        <f>IF(AMS22&gt;0,MAX(0,(AMS22+AMH23-AMS23)/AMS22),0)</f>
        <v/>
      </c>
      <c r="ANQ23" s="12" t="n">
        <v>19</v>
      </c>
      <c r="ANR23" s="12">
        <f>MOD(ANQ23-1+LaunchMonth-1,12)+1</f>
        <v/>
      </c>
      <c r="ANS23" s="12">
        <f>INT((ANQ23-1+LaunchMonth-1)/12)+1</f>
        <v/>
      </c>
      <c r="ANT23" s="12">
        <f>VLOOKUP(ANR23,SeasonTable,2,FALSE)</f>
        <v/>
      </c>
      <c r="ANU23" s="12">
        <f>(1+InflationRate)^INT((ANQ23-1)/12)</f>
        <v/>
      </c>
      <c r="ANV23" s="11">
        <f>MonthlyChurn*VLOOKUP(ANR23,ChurnSeasonTable,4,FALSE)</f>
        <v/>
      </c>
      <c r="ANW23" s="12">
        <f>MIN(MAX(MktMin19plus,AOQ22*MktPct19plus),MAX(0,APE22-CashBuffer))</f>
        <v/>
      </c>
      <c r="ANX23" s="12">
        <f>IF(ANW23&gt;0,MAX(1,ROUND(ANW23/'Sens - CAC &amp; Marketing'!$A$14*ANT23,0)),0)</f>
        <v/>
      </c>
      <c r="ANY23" s="12">
        <f>IF(ANX23&gt;0,ROUND(ANX23*ReferralMix/(1-ReferralMix),0),0)</f>
        <v/>
      </c>
      <c r="ANZ23" s="12">
        <f>ANX23+ANY23</f>
        <v/>
      </c>
      <c r="AOA23" s="12">
        <f>ROUND(ANZ23*(1-AnnualMix),0)</f>
        <v/>
      </c>
      <c r="AOB23" s="12">
        <f>ANZ23-AOA23</f>
        <v/>
      </c>
      <c r="AOC23" s="12">
        <f>ROUND(AOA23*EssentialMix,0)</f>
        <v/>
      </c>
      <c r="AOD23" s="12">
        <f>AOA23-AOC23</f>
        <v/>
      </c>
      <c r="AOE23" s="12">
        <f>ROUND(AOB23*EssentialMix,0)</f>
        <v/>
      </c>
      <c r="AOF23" s="12">
        <f>AOB23-AOE23</f>
        <v/>
      </c>
      <c r="AOG23" s="12">
        <f>AOC23+AOC22+AOC21+MAX(0,AOG22-AOC22-AOC21)*(1-ANV23)</f>
        <v/>
      </c>
      <c r="AOH23" s="12">
        <f>AOD23+AOD22+AOD21+MAX(0,AOH22-AOD22-AOD21)*(1-ANV23)</f>
        <v/>
      </c>
      <c r="AOI23" s="12">
        <f>AOI22+AOE23-AOE11*(AnnualChurn*VLOOKUP(ANR23,ChurnSeasonTable,4,FALSE))*POWER(1-(AnnualChurn*VLOOKUP(ANR23,ChurnSeasonTable,4,FALSE)),0)</f>
        <v/>
      </c>
      <c r="AOJ23" s="12">
        <f>AOJ22+AOF23-AOF11*(AnnualChurn*VLOOKUP(ANR23,ChurnSeasonTable,4,FALSE))*POWER(1-(AnnualChurn*VLOOKUP(ANR23,ChurnSeasonTable,4,FALSE)),0)</f>
        <v/>
      </c>
      <c r="AOK23" s="12">
        <f>AOG23+AOH23+AOI23+AOJ23</f>
        <v/>
      </c>
      <c r="AOL23" s="9">
        <f>AOG23*PriceEssMonthly*ANU23+AOH23*PricePremMonthly*ANU23+AOI23*PriceEssAnnual*ANU23/12+AOJ23*PricePremAnnual*ANU23/12</f>
        <v/>
      </c>
      <c r="AOM23" s="9">
        <f>AOL23*12</f>
        <v/>
      </c>
      <c r="AON23" s="12">
        <f>AOG23*PriceEssMonthly*ANU23+AOH23*PricePremMonthly*ANU23</f>
        <v/>
      </c>
      <c r="AOO23" s="12">
        <f>AOE23*PriceEssAnnual*ANU23+AOF23*PricePremAnnual*ANU23</f>
        <v/>
      </c>
      <c r="AOP23" s="12">
        <f>AOE11*POWER(1-(AnnualChurn*VLOOKUP(ANR23,ChurnSeasonTable,4,FALSE)),1)*PriceEssAnnual*ANU23+AOF11*POWER(1-(AnnualChurn*VLOOKUP(ANR23,ChurnSeasonTable,4,FALSE)),1)*PricePremAnnual*ANU23</f>
        <v/>
      </c>
      <c r="AOQ23" s="9">
        <f>AON23+AOO23+AOP23</f>
        <v/>
      </c>
      <c r="AOR23" s="12">
        <f>SUM(AOQ12:AOQ23)</f>
        <v/>
      </c>
      <c r="AOS23" s="12">
        <f>OR(AOS22,AOR23&gt;=VATThreshold)</f>
        <v/>
      </c>
      <c r="AOT23" s="9">
        <f>IF(AOS23,AOQ23/(1+VATRate),AOQ23)</f>
        <v/>
      </c>
      <c r="AOU23" s="12">
        <f>AOQ23-AOT23</f>
        <v/>
      </c>
      <c r="AOV23" s="12">
        <f>IF(AOS23=0,0,IF(ANR23=1,SUMPRODUCT(--(($ANS$5:$ANS23=$ANS23-1)*($ANR$5:$ANR23&gt;=10)*($ANR$5:$ANR23&lt;=12)),$AOU$5:$AOU23),IF(ANR23=4,SUMPRODUCT(--(($ANS$5:$ANS23=$ANS23)*($ANR$5:$ANR23&gt;=1)*($ANR$5:$ANR23&lt;=3)),$AOU$5:$AOU23),IF(ANR23=7,SUMPRODUCT(--(($ANS$5:$ANS23=$ANS23)*($ANR$5:$ANR23&gt;=4)*($ANR$5:$ANR23&lt;=6)),$AOU$5:$AOU23),IF(ANR23=10,SUMPRODUCT(--(($ANS$5:$ANS23=$ANS23)*($ANR$5:$ANR23&gt;=7)*($ANR$5:$ANR23&lt;=9)),$AOU$5:$AOU23),0)))))</f>
        <v/>
      </c>
      <c r="AOW23" s="12">
        <f>AOW22+AOU23-AOV23</f>
        <v/>
      </c>
      <c r="AOX23" s="12">
        <f>IF(ProviderDelay&gt;=1,AOT22*ProviderShare,AOT23*ProviderShare)</f>
        <v/>
      </c>
      <c r="AOY23" s="12">
        <f>AOQ23*PaymentFee</f>
        <v/>
      </c>
      <c r="AOZ23" s="12">
        <f>AOK23*OpsAI</f>
        <v/>
      </c>
      <c r="APA23" s="12">
        <f>MonthlyFixed</f>
        <v/>
      </c>
      <c r="APB23" s="12">
        <f>ANY23*ReferralReward</f>
        <v/>
      </c>
      <c r="APC23" s="12">
        <f>ANW23</f>
        <v/>
      </c>
      <c r="APD23" s="9">
        <f>AOT23-AOX23-AOY23-AOZ23-APA23-APB23-APC23</f>
        <v/>
      </c>
      <c r="APE23" s="9">
        <f>APE22+AOQ23-(AOX23+AOY23+AOZ23+APA23+APB23+APC23+AOV23)</f>
        <v/>
      </c>
      <c r="APF23" s="12">
        <f>IF(AOK23&gt;0,AOL23/AOK23,0)</f>
        <v/>
      </c>
      <c r="APG23" s="11">
        <f>IF(AOK22&gt;0,MAX(0,(AOK22+ANZ23-AOK23)/AOK22),0)</f>
        <v/>
      </c>
      <c r="API23" s="12" t="n">
        <v>19</v>
      </c>
      <c r="APJ23" s="12">
        <f>MOD(API23-1+LaunchMonth-1,12)+1</f>
        <v/>
      </c>
      <c r="APK23" s="12">
        <f>INT((API23-1+LaunchMonth-1)/12)+1</f>
        <v/>
      </c>
      <c r="APL23" s="12">
        <f>VLOOKUP(APJ23,SeasonTable,2,FALSE)</f>
        <v/>
      </c>
      <c r="APM23" s="12">
        <f>(1+InflationRate)^INT((API23-1)/12)</f>
        <v/>
      </c>
      <c r="APN23" s="11">
        <f>MonthlyChurn*VLOOKUP(APJ23,ChurnSeasonTable,4,FALSE)</f>
        <v/>
      </c>
      <c r="APO23" s="12">
        <f>MIN(MAX(MktMin19plus,AQI22*MktPct19plus),MAX(0,AQW22-CashBuffer))</f>
        <v/>
      </c>
      <c r="APP23" s="12">
        <f>IF(APO23&gt;0,MAX(1,ROUND(APO23/'Sens - CAC &amp; Marketing'!$A$15*APL23,0)),0)</f>
        <v/>
      </c>
      <c r="APQ23" s="12">
        <f>IF(APP23&gt;0,ROUND(APP23*ReferralMix/(1-ReferralMix),0),0)</f>
        <v/>
      </c>
      <c r="APR23" s="12">
        <f>APP23+APQ23</f>
        <v/>
      </c>
      <c r="APS23" s="12">
        <f>ROUND(APR23*(1-AnnualMix),0)</f>
        <v/>
      </c>
      <c r="APT23" s="12">
        <f>APR23-APS23</f>
        <v/>
      </c>
      <c r="APU23" s="12">
        <f>ROUND(APS23*EssentialMix,0)</f>
        <v/>
      </c>
      <c r="APV23" s="12">
        <f>APS23-APU23</f>
        <v/>
      </c>
      <c r="APW23" s="12">
        <f>ROUND(APT23*EssentialMix,0)</f>
        <v/>
      </c>
      <c r="APX23" s="12">
        <f>APT23-APW23</f>
        <v/>
      </c>
      <c r="APY23" s="12">
        <f>APU23+APU22+APU21+MAX(0,APY22-APU22-APU21)*(1-APN23)</f>
        <v/>
      </c>
      <c r="APZ23" s="12">
        <f>APV23+APV22+APV21+MAX(0,APZ22-APV22-APV21)*(1-APN23)</f>
        <v/>
      </c>
      <c r="AQA23" s="12">
        <f>AQA22+APW23-APW11*(AnnualChurn*VLOOKUP(APJ23,ChurnSeasonTable,4,FALSE))*POWER(1-(AnnualChurn*VLOOKUP(APJ23,ChurnSeasonTable,4,FALSE)),0)</f>
        <v/>
      </c>
      <c r="AQB23" s="12">
        <f>AQB22+APX23-APX11*(AnnualChurn*VLOOKUP(APJ23,ChurnSeasonTable,4,FALSE))*POWER(1-(AnnualChurn*VLOOKUP(APJ23,ChurnSeasonTable,4,FALSE)),0)</f>
        <v/>
      </c>
      <c r="AQC23" s="12">
        <f>APY23+APZ23+AQA23+AQB23</f>
        <v/>
      </c>
      <c r="AQD23" s="9">
        <f>APY23*PriceEssMonthly*APM23+APZ23*PricePremMonthly*APM23+AQA23*PriceEssAnnual*APM23/12+AQB23*PricePremAnnual*APM23/12</f>
        <v/>
      </c>
      <c r="AQE23" s="9">
        <f>AQD23*12</f>
        <v/>
      </c>
      <c r="AQF23" s="12">
        <f>APY23*PriceEssMonthly*APM23+APZ23*PricePremMonthly*APM23</f>
        <v/>
      </c>
      <c r="AQG23" s="12">
        <f>APW23*PriceEssAnnual*APM23+APX23*PricePremAnnual*APM23</f>
        <v/>
      </c>
      <c r="AQH23" s="12">
        <f>APW11*POWER(1-(AnnualChurn*VLOOKUP(APJ23,ChurnSeasonTable,4,FALSE)),1)*PriceEssAnnual*APM23+APX11*POWER(1-(AnnualChurn*VLOOKUP(APJ23,ChurnSeasonTable,4,FALSE)),1)*PricePremAnnual*APM23</f>
        <v/>
      </c>
      <c r="AQI23" s="9">
        <f>AQF23+AQG23+AQH23</f>
        <v/>
      </c>
      <c r="AQJ23" s="12">
        <f>SUM(AQI12:AQI23)</f>
        <v/>
      </c>
      <c r="AQK23" s="12">
        <f>OR(AQK22,AQJ23&gt;=VATThreshold)</f>
        <v/>
      </c>
      <c r="AQL23" s="9">
        <f>IF(AQK23,AQI23/(1+VATRate),AQI23)</f>
        <v/>
      </c>
      <c r="AQM23" s="12">
        <f>AQI23-AQL23</f>
        <v/>
      </c>
      <c r="AQN23" s="12">
        <f>IF(AQK23=0,0,IF(APJ23=1,SUMPRODUCT(--(($APK$5:$APK23=$APK23-1)*($APJ$5:$APJ23&gt;=10)*($APJ$5:$APJ23&lt;=12)),$AQM$5:$AQM23),IF(APJ23=4,SUMPRODUCT(--(($APK$5:$APK23=$APK23)*($APJ$5:$APJ23&gt;=1)*($APJ$5:$APJ23&lt;=3)),$AQM$5:$AQM23),IF(APJ23=7,SUMPRODUCT(--(($APK$5:$APK23=$APK23)*($APJ$5:$APJ23&gt;=4)*($APJ$5:$APJ23&lt;=6)),$AQM$5:$AQM23),IF(APJ23=10,SUMPRODUCT(--(($APK$5:$APK23=$APK23)*($APJ$5:$APJ23&gt;=7)*($APJ$5:$APJ23&lt;=9)),$AQM$5:$AQM23),0)))))</f>
        <v/>
      </c>
      <c r="AQO23" s="12">
        <f>AQO22+AQM23-AQN23</f>
        <v/>
      </c>
      <c r="AQP23" s="12">
        <f>IF(ProviderDelay&gt;=1,AQL22*ProviderShare,AQL23*ProviderShare)</f>
        <v/>
      </c>
      <c r="AQQ23" s="12">
        <f>AQI23*PaymentFee</f>
        <v/>
      </c>
      <c r="AQR23" s="12">
        <f>AQC23*OpsAI</f>
        <v/>
      </c>
      <c r="AQS23" s="12">
        <f>MonthlyFixed</f>
        <v/>
      </c>
      <c r="AQT23" s="12">
        <f>APQ23*ReferralReward</f>
        <v/>
      </c>
      <c r="AQU23" s="12">
        <f>APO23</f>
        <v/>
      </c>
      <c r="AQV23" s="9">
        <f>AQL23-AQP23-AQQ23-AQR23-AQS23-AQT23-AQU23</f>
        <v/>
      </c>
      <c r="AQW23" s="9">
        <f>AQW22+AQI23-(AQP23+AQQ23+AQR23+AQS23+AQT23+AQU23+AQN23)</f>
        <v/>
      </c>
      <c r="AQX23" s="12">
        <f>IF(AQC23&gt;0,AQD23/AQC23,0)</f>
        <v/>
      </c>
      <c r="AQY23" s="11">
        <f>IF(AQC22&gt;0,MAX(0,(AQC22+APR23-AQC23)/AQC22),0)</f>
        <v/>
      </c>
      <c r="ARA23" s="12" t="n">
        <v>19</v>
      </c>
      <c r="ARB23" s="12">
        <f>MOD(ARA23-1+LaunchMonth-1,12)+1</f>
        <v/>
      </c>
      <c r="ARC23" s="12">
        <f>INT((ARA23-1+LaunchMonth-1)/12)+1</f>
        <v/>
      </c>
      <c r="ARD23" s="12">
        <f>VLOOKUP(ARB23,WinterPivotSeasonTable,5,FALSE)</f>
        <v/>
      </c>
      <c r="ARE23" s="12">
        <f>(1+InflationRate)^INT((ARA23-1)/12)</f>
        <v/>
      </c>
      <c r="ARF23" s="11">
        <f>MonthlyChurn*VLOOKUP(ARB23,WinterPivotChurnTable,6,FALSE)</f>
        <v/>
      </c>
      <c r="ARG23" s="12">
        <f>MIN(MAX(MktMin19plus,ASA22*MktPct19plus),MAX(0,ASO22-CashBuffer))</f>
        <v/>
      </c>
      <c r="ARH23" s="12">
        <f>IF(ARG23&gt;0,MAX(1,ROUND(ARG23/CAC*ARD23,0)),0)</f>
        <v/>
      </c>
      <c r="ARI23" s="12">
        <f>IF(ARH23&gt;0,ROUND(ARH23*ReferralMix/(1-ReferralMix),0),0)</f>
        <v/>
      </c>
      <c r="ARJ23" s="12">
        <f>ARH23+ARI23</f>
        <v/>
      </c>
      <c r="ARK23" s="12">
        <f>ROUND(ARJ23*(1-AnnualMix),0)</f>
        <v/>
      </c>
      <c r="ARL23" s="12">
        <f>ARJ23-ARK23</f>
        <v/>
      </c>
      <c r="ARM23" s="12">
        <f>ROUND(ARK23*'Sens - Winter Pivot'!$B$6,0)</f>
        <v/>
      </c>
      <c r="ARN23" s="12">
        <f>ARK23-ARM23</f>
        <v/>
      </c>
      <c r="ARO23" s="12">
        <f>ROUND(ARL23*'Sens - Winter Pivot'!$B$6,0)</f>
        <v/>
      </c>
      <c r="ARP23" s="12">
        <f>ARL23-ARO23</f>
        <v/>
      </c>
      <c r="ARQ23" s="12">
        <f>ARM23+ARM22+ARM21+MAX(0,ARQ22-ARM22-ARM21)*(1-ARF23)</f>
        <v/>
      </c>
      <c r="ARR23" s="12">
        <f>ARN23+ARN22+ARN21+MAX(0,ARR22-ARN22-ARN21)*(1-ARF23)</f>
        <v/>
      </c>
      <c r="ARS23" s="12">
        <f>ARS22+ARO23-ARO11*(AnnualChurn*VLOOKUP(ARB23,WinterPivotChurnTable,6,FALSE))*POWER(1-(AnnualChurn*VLOOKUP(ARB23,WinterPivotChurnTable,6,FALSE)),0)</f>
        <v/>
      </c>
      <c r="ART23" s="12">
        <f>ART22+ARP23-ARP11*(AnnualChurn*VLOOKUP(ARB23,WinterPivotChurnTable,6,FALSE))*POWER(1-(AnnualChurn*VLOOKUP(ARB23,WinterPivotChurnTable,6,FALSE)),0)</f>
        <v/>
      </c>
      <c r="ARU23" s="12">
        <f>ARQ23+ARR23+ARS23+ART23</f>
        <v/>
      </c>
      <c r="ARV23" s="9">
        <f>ARQ23*PriceEssMonthly*ARE23+ARR23*(PricePremMonthly+'Sens - Winter Pivot'!$B$7)*ARE23+ARS23*PriceEssAnnual*ARE23/12+ART23*(PricePremAnnual+'Sens - Winter Pivot'!$B$7*12)*ARE23/12</f>
        <v/>
      </c>
      <c r="ARW23" s="9">
        <f>ARV23*12</f>
        <v/>
      </c>
      <c r="ARX23" s="12">
        <f>ARQ23*PriceEssMonthly*ARE23+ARR23*(PricePremMonthly+'Sens - Winter Pivot'!$B$7)*ARE23</f>
        <v/>
      </c>
      <c r="ARY23" s="12">
        <f>ARO23*PriceEssAnnual*ARE23+ARP23*(PricePremAnnual+'Sens - Winter Pivot'!$B$7*12)*ARE23</f>
        <v/>
      </c>
      <c r="ARZ23" s="12">
        <f>ARO11*POWER(1-(AnnualChurn*VLOOKUP(ARB23,WinterPivotChurnTable,6,FALSE)),1)*PriceEssAnnual*ARE23+ARP11*POWER(1-(AnnualChurn*VLOOKUP(ARB23,WinterPivotChurnTable,6,FALSE)),1)*PricePremAnnual*ARE23</f>
        <v/>
      </c>
      <c r="ASA23" s="9">
        <f>ARX23+ARY23+ARZ23</f>
        <v/>
      </c>
      <c r="ASB23" s="12">
        <f>SUM(ASA12:ASA23)</f>
        <v/>
      </c>
      <c r="ASC23" s="12">
        <f>OR(ASC22,ASB23&gt;=VATThreshold)</f>
        <v/>
      </c>
      <c r="ASD23" s="9">
        <f>IF(ASC23,ASA23/(1+VATRate),ASA23)</f>
        <v/>
      </c>
      <c r="ASE23" s="12">
        <f>ASA23-ASD23</f>
        <v/>
      </c>
      <c r="ASF23" s="12">
        <f>IF(ASC23=0,0,IF(ARB23=1,SUMPRODUCT(--(($ARC$5:$ARC23=$ARC23-1)*($ARB$5:$ARB23&gt;=10)*($ARB$5:$ARB23&lt;=12)),$ASE$5:$ASE23),IF(ARB23=4,SUMPRODUCT(--(($ARC$5:$ARC23=$ARC23)*($ARB$5:$ARB23&gt;=1)*($ARB$5:$ARB23&lt;=3)),$ASE$5:$ASE23),IF(ARB23=7,SUMPRODUCT(--(($ARC$5:$ARC23=$ARC23)*($ARB$5:$ARB23&gt;=4)*($ARB$5:$ARB23&lt;=6)),$ASE$5:$ASE23),IF(ARB23=10,SUMPRODUCT(--(($ARC$5:$ARC23=$ARC23)*($ARB$5:$ARB23&gt;=7)*($ARB$5:$ARB23&lt;=9)),$ASE$5:$ASE23),0)))))</f>
        <v/>
      </c>
      <c r="ASG23" s="12">
        <f>ASG22+ASE23-ASF23</f>
        <v/>
      </c>
      <c r="ASH23" s="12">
        <f>IF(ProviderDelay&gt;=1,ASD22*ProviderShare,ASD23*ProviderShare)</f>
        <v/>
      </c>
      <c r="ASI23" s="12">
        <f>ASA23*PaymentFee</f>
        <v/>
      </c>
      <c r="ASJ23" s="12">
        <f>ARU23*OpsAI</f>
        <v/>
      </c>
      <c r="ASK23" s="12">
        <f>MonthlyFixed</f>
        <v/>
      </c>
      <c r="ASL23" s="12">
        <f>ARI23*ReferralReward</f>
        <v/>
      </c>
      <c r="ASM23" s="12">
        <f>ARG23</f>
        <v/>
      </c>
      <c r="ASN23" s="9">
        <f>ASD23-ASH23-ASI23-ASJ23-ASK23-ASL23-ASM23</f>
        <v/>
      </c>
      <c r="ASO23" s="9">
        <f>ASO22+ASA23-(ASH23+ASI23+ASJ23+ASK23+ASL23+ASM23+ASF23)</f>
        <v/>
      </c>
      <c r="ASP23" s="12">
        <f>IF(ARU23&gt;0,ARV23/ARU23,0)</f>
        <v/>
      </c>
      <c r="ASQ23" s="11">
        <f>IF(ARU22&gt;0,MAX(0,(ARU22+ARJ23-ARU23)/ARU22),0)</f>
        <v/>
      </c>
    </row>
    <row r="24">
      <c r="A24" s="12" t="n">
        <v>20</v>
      </c>
      <c r="B24" s="12">
        <f>MOD(A24-1+LaunchMonth-1,12)+1</f>
        <v/>
      </c>
      <c r="C24" s="12">
        <f>INT((A24-1+LaunchMonth-1)/12)+1</f>
        <v/>
      </c>
      <c r="D24" s="12">
        <f>VLOOKUP(B24,SeasonTable,2,FALSE)</f>
        <v/>
      </c>
      <c r="E24" s="12">
        <f>(1+InflationRate)^INT((A24-1)/12)</f>
        <v/>
      </c>
      <c r="F24" s="11">
        <f>'Sens - Scenarios'!$B$5*VLOOKUP(B24,ChurnSeasonTable,4,FALSE)</f>
        <v/>
      </c>
      <c r="G24" s="12">
        <f>MIN(MAX(MktMin19plus,AA23*MktPct19plus),MAX(0,AO23-CashBuffer))</f>
        <v/>
      </c>
      <c r="H24" s="12">
        <f>IF(G24&gt;0,MAX(1,ROUND(G24/'Sens - Scenarios'!$B$8*D24,0)),0)</f>
        <v/>
      </c>
      <c r="I24" s="12">
        <f>IF(H24&gt;0,ROUND(H24*ReferralMix/(1-ReferralMix),0),0)</f>
        <v/>
      </c>
      <c r="J24" s="12">
        <f>H24+I24</f>
        <v/>
      </c>
      <c r="K24" s="12">
        <f>ROUND(J24*(1-'Sens - Scenarios'!$B$7),0)</f>
        <v/>
      </c>
      <c r="L24" s="12">
        <f>J24-K24</f>
        <v/>
      </c>
      <c r="M24" s="12">
        <f>ROUND(K24*EssentialMix,0)</f>
        <v/>
      </c>
      <c r="N24" s="12">
        <f>K24-M24</f>
        <v/>
      </c>
      <c r="O24" s="12">
        <f>ROUND(L24*EssentialMix,0)</f>
        <v/>
      </c>
      <c r="P24" s="12">
        <f>L24-O24</f>
        <v/>
      </c>
      <c r="Q24" s="12">
        <f>M24+M23+M22+MAX(0,Q23-M23-M22)*(1-F24)</f>
        <v/>
      </c>
      <c r="R24" s="12">
        <f>N24+N23+N22+MAX(0,R23-N23-N22)*(1-F24)</f>
        <v/>
      </c>
      <c r="S24" s="12">
        <f>S23+O24-O12*('Sens - Scenarios'!$B$6*VLOOKUP(B24,ChurnSeasonTable,4,FALSE))*POWER(1-('Sens - Scenarios'!$B$6*VLOOKUP(B24,ChurnSeasonTable,4,FALSE)),0)</f>
        <v/>
      </c>
      <c r="T24" s="12">
        <f>T23+P24-P12*('Sens - Scenarios'!$B$6*VLOOKUP(B24,ChurnSeasonTable,4,FALSE))*POWER(1-('Sens - Scenarios'!$B$6*VLOOKUP(B24,ChurnSeasonTable,4,FALSE)),0)</f>
        <v/>
      </c>
      <c r="U24" s="12">
        <f>Q24+R24+S24+T24</f>
        <v/>
      </c>
      <c r="V24" s="9">
        <f>Q24*PriceEssMonthly*E24+R24*PricePremMonthly*E24+S24*PriceEssAnnual*E24/12+T24*PricePremAnnual*E24/12</f>
        <v/>
      </c>
      <c r="W24" s="9">
        <f>V24*12</f>
        <v/>
      </c>
      <c r="X24" s="12">
        <f>Q24*PriceEssMonthly*E24+R24*PricePremMonthly*E24</f>
        <v/>
      </c>
      <c r="Y24" s="12">
        <f>O24*PriceEssAnnual*E24+P24*PricePremAnnual*E24</f>
        <v/>
      </c>
      <c r="Z24" s="12">
        <f>O12*POWER(1-('Sens - Scenarios'!$B$6*VLOOKUP(B24,ChurnSeasonTable,4,FALSE)),1)*PriceEssAnnual*E24+P12*POWER(1-('Sens - Scenarios'!$B$6*VLOOKUP(B24,ChurnSeasonTable,4,FALSE)),1)*PricePremAnnual*E24</f>
        <v/>
      </c>
      <c r="AA24" s="9">
        <f>X24+Y24+Z24</f>
        <v/>
      </c>
      <c r="AB24" s="12">
        <f>SUM(AA13:AA24)</f>
        <v/>
      </c>
      <c r="AC24" s="12">
        <f>OR(AC23,AB24&gt;=VATThreshold)</f>
        <v/>
      </c>
      <c r="AD24" s="9">
        <f>IF(AC24,AA24/(1+VATRate),AA24)</f>
        <v/>
      </c>
      <c r="AE24" s="12">
        <f>AA24-AD24</f>
        <v/>
      </c>
      <c r="AF24" s="12">
        <f>IF(AC24=0,0,IF(B24=1,SUMPRODUCT(--(($C$5:$C24=$C24-1)*($B$5:$B24&gt;=10)*($B$5:$B24&lt;=12)),$AE$5:$AE24),IF(B24=4,SUMPRODUCT(--(($C$5:$C24=$C24)*($B$5:$B24&gt;=1)*($B$5:$B24&lt;=3)),$AE$5:$AE24),IF(B24=7,SUMPRODUCT(--(($C$5:$C24=$C24)*($B$5:$B24&gt;=4)*($B$5:$B24&lt;=6)),$AE$5:$AE24),IF(B24=10,SUMPRODUCT(--(($C$5:$C24=$C24)*($B$5:$B24&gt;=7)*($B$5:$B24&lt;=9)),$AE$5:$AE24),0)))))</f>
        <v/>
      </c>
      <c r="AG24" s="12">
        <f>AG23+AE24-AF24</f>
        <v/>
      </c>
      <c r="AH24" s="12">
        <f>IF(ProviderDelay&gt;=1,AD23*ProviderShare,AD24*ProviderShare)</f>
        <v/>
      </c>
      <c r="AI24" s="12">
        <f>AA24*PaymentFee</f>
        <v/>
      </c>
      <c r="AJ24" s="12">
        <f>U24*OpsAI</f>
        <v/>
      </c>
      <c r="AK24" s="12">
        <f>MonthlyFixed</f>
        <v/>
      </c>
      <c r="AL24" s="12">
        <f>I24*ReferralReward</f>
        <v/>
      </c>
      <c r="AM24" s="12">
        <f>G24</f>
        <v/>
      </c>
      <c r="AN24" s="9">
        <f>AD24-AH24-AI24-AJ24-AK24-AL24-AM24</f>
        <v/>
      </c>
      <c r="AO24" s="9">
        <f>AO23+AA24-(AH24+AI24+AJ24+AK24+AL24+AM24+AF24)</f>
        <v/>
      </c>
      <c r="AP24" s="12">
        <f>IF(U24&gt;0,V24/U24,0)</f>
        <v/>
      </c>
      <c r="AQ24" s="11">
        <f>IF(U23&gt;0,MAX(0,(U23+J24-U24)/U23),0)</f>
        <v/>
      </c>
      <c r="AS24" s="12" t="n">
        <v>20</v>
      </c>
      <c r="AT24" s="12">
        <f>MOD(AS24-1+LaunchMonth-1,12)+1</f>
        <v/>
      </c>
      <c r="AU24" s="12">
        <f>INT((AS24-1+LaunchMonth-1)/12)+1</f>
        <v/>
      </c>
      <c r="AV24" s="12">
        <f>VLOOKUP(AT24,SeasonTable,2,FALSE)</f>
        <v/>
      </c>
      <c r="AW24" s="12">
        <f>(1+InflationRate)^INT((AS24-1)/12)</f>
        <v/>
      </c>
      <c r="AX24" s="11">
        <f>MonthlyChurn*VLOOKUP(AT24,ChurnSeasonTable,4,FALSE)</f>
        <v/>
      </c>
      <c r="AY24" s="12">
        <f>MIN(MAX(MktMin19plus,BS23*MktPct19plus),MAX(0,CG23-CashBuffer))</f>
        <v/>
      </c>
      <c r="AZ24" s="12">
        <f>IF(AY24&gt;0,MAX(1,ROUND(AY24/CAC*AV24,0)),0)</f>
        <v/>
      </c>
      <c r="BA24" s="12">
        <f>IF(AZ24&gt;0,ROUND(AZ24*ReferralMix/(1-ReferralMix),0),0)</f>
        <v/>
      </c>
      <c r="BB24" s="12">
        <f>AZ24+BA24</f>
        <v/>
      </c>
      <c r="BC24" s="12">
        <f>ROUND(BB24*(1-AnnualMix),0)</f>
        <v/>
      </c>
      <c r="BD24" s="12">
        <f>BB24-BC24</f>
        <v/>
      </c>
      <c r="BE24" s="12">
        <f>ROUND(BC24*EssentialMix,0)</f>
        <v/>
      </c>
      <c r="BF24" s="12">
        <f>BC24-BE24</f>
        <v/>
      </c>
      <c r="BG24" s="12">
        <f>ROUND(BD24*EssentialMix,0)</f>
        <v/>
      </c>
      <c r="BH24" s="12">
        <f>BD24-BG24</f>
        <v/>
      </c>
      <c r="BI24" s="12">
        <f>BE24+BE23+BE22+MAX(0,BI23-BE23-BE22)*(1-AX24)</f>
        <v/>
      </c>
      <c r="BJ24" s="12">
        <f>BF24+BF23+BF22+MAX(0,BJ23-BF23-BF22)*(1-AX24)</f>
        <v/>
      </c>
      <c r="BK24" s="12">
        <f>BK23+BG24-BG12*(AnnualChurn*VLOOKUP(AT24,ChurnSeasonTable,4,FALSE))*POWER(1-(AnnualChurn*VLOOKUP(AT24,ChurnSeasonTable,4,FALSE)),0)</f>
        <v/>
      </c>
      <c r="BL24" s="12">
        <f>BL23+BH24-BH12*(AnnualChurn*VLOOKUP(AT24,ChurnSeasonTable,4,FALSE))*POWER(1-(AnnualChurn*VLOOKUP(AT24,ChurnSeasonTable,4,FALSE)),0)</f>
        <v/>
      </c>
      <c r="BM24" s="12">
        <f>BI24+BJ24+BK24+BL24</f>
        <v/>
      </c>
      <c r="BN24" s="9">
        <f>BI24*PriceEssMonthly*AW24+BJ24*PricePremMonthly*AW24+BK24*PriceEssAnnual*AW24/12+BL24*PricePremAnnual*AW24/12</f>
        <v/>
      </c>
      <c r="BO24" s="9">
        <f>BN24*12</f>
        <v/>
      </c>
      <c r="BP24" s="12">
        <f>BI24*PriceEssMonthly*AW24+BJ24*PricePremMonthly*AW24</f>
        <v/>
      </c>
      <c r="BQ24" s="12">
        <f>BG24*PriceEssAnnual*AW24+BH24*PricePremAnnual*AW24</f>
        <v/>
      </c>
      <c r="BR24" s="12">
        <f>BG12*POWER(1-(AnnualChurn*VLOOKUP(AT24,ChurnSeasonTable,4,FALSE)),1)*PriceEssAnnual*AW24+BH12*POWER(1-(AnnualChurn*VLOOKUP(AT24,ChurnSeasonTable,4,FALSE)),1)*PricePremAnnual*AW24</f>
        <v/>
      </c>
      <c r="BS24" s="9">
        <f>BP24+BQ24+BR24</f>
        <v/>
      </c>
      <c r="BT24" s="12">
        <f>SUM(BS13:BS24)</f>
        <v/>
      </c>
      <c r="BU24" s="12">
        <f>OR(BU23,BT24&gt;=VATThreshold)</f>
        <v/>
      </c>
      <c r="BV24" s="9">
        <f>IF(BU24,BS24/(1+VATRate),BS24)</f>
        <v/>
      </c>
      <c r="BW24" s="12">
        <f>BS24-BV24</f>
        <v/>
      </c>
      <c r="BX24" s="12">
        <f>IF(BU24=0,0,IF(AT24=1,SUMPRODUCT(--(($AU$5:$AU24=$AU24-1)*($AT$5:$AT24&gt;=10)*($AT$5:$AT24&lt;=12)),$BW$5:$BW24),IF(AT24=4,SUMPRODUCT(--(($AU$5:$AU24=$AU24)*($AT$5:$AT24&gt;=1)*($AT$5:$AT24&lt;=3)),$BW$5:$BW24),IF(AT24=7,SUMPRODUCT(--(($AU$5:$AU24=$AU24)*($AT$5:$AT24&gt;=4)*($AT$5:$AT24&lt;=6)),$BW$5:$BW24),IF(AT24=10,SUMPRODUCT(--(($AU$5:$AU24=$AU24)*($AT$5:$AT24&gt;=7)*($AT$5:$AT24&lt;=9)),$BW$5:$BW24),0)))))</f>
        <v/>
      </c>
      <c r="BY24" s="12">
        <f>BY23+BW24-BX24</f>
        <v/>
      </c>
      <c r="BZ24" s="12">
        <f>IF(ProviderDelay&gt;=1,BV23*ProviderShare,BV24*ProviderShare)</f>
        <v/>
      </c>
      <c r="CA24" s="12">
        <f>BS24*PaymentFee</f>
        <v/>
      </c>
      <c r="CB24" s="12">
        <f>BM24*OpsAI</f>
        <v/>
      </c>
      <c r="CC24" s="12">
        <f>MonthlyFixed</f>
        <v/>
      </c>
      <c r="CD24" s="12">
        <f>BA24*ReferralReward</f>
        <v/>
      </c>
      <c r="CE24" s="12">
        <f>AY24</f>
        <v/>
      </c>
      <c r="CF24" s="9">
        <f>BV24-BZ24-CA24-CB24-CC24-CD24-CE24</f>
        <v/>
      </c>
      <c r="CG24" s="9">
        <f>CG23+BS24-(BZ24+CA24+CB24+CC24+CD24+CE24+BX24)</f>
        <v/>
      </c>
      <c r="CH24" s="12">
        <f>IF(BM24&gt;0,BN24/BM24,0)</f>
        <v/>
      </c>
      <c r="CI24" s="11">
        <f>IF(BM23&gt;0,MAX(0,(BM23+BB24-BM24)/BM23),0)</f>
        <v/>
      </c>
      <c r="CK24" s="12" t="n">
        <v>20</v>
      </c>
      <c r="CL24" s="12">
        <f>MOD(CK24-1+LaunchMonth-1,12)+1</f>
        <v/>
      </c>
      <c r="CM24" s="12">
        <f>INT((CK24-1+LaunchMonth-1)/12)+1</f>
        <v/>
      </c>
      <c r="CN24" s="12">
        <f>VLOOKUP(CL24,SeasonTable,2,FALSE)</f>
        <v/>
      </c>
      <c r="CO24" s="12">
        <f>(1+InflationRate)^INT((CK24-1)/12)</f>
        <v/>
      </c>
      <c r="CP24" s="11">
        <f>'Sens - Scenarios'!$D$5*VLOOKUP(CL24,ChurnSeasonTable,4,FALSE)</f>
        <v/>
      </c>
      <c r="CQ24" s="12">
        <f>MIN(MAX(MktMin19plus,DK23*MktPct19plus),MAX(0,DY23-CashBuffer))</f>
        <v/>
      </c>
      <c r="CR24" s="12">
        <f>IF(CQ24&gt;0,MAX(1,ROUND(CQ24/'Sens - Scenarios'!$D$8*CN24,0)),0)</f>
        <v/>
      </c>
      <c r="CS24" s="12">
        <f>IF(CR24&gt;0,ROUND(CR24*ReferralMix/(1-ReferralMix),0),0)</f>
        <v/>
      </c>
      <c r="CT24" s="12">
        <f>CR24+CS24</f>
        <v/>
      </c>
      <c r="CU24" s="12">
        <f>ROUND(CT24*(1-'Sens - Scenarios'!$D$7),0)</f>
        <v/>
      </c>
      <c r="CV24" s="12">
        <f>CT24-CU24</f>
        <v/>
      </c>
      <c r="CW24" s="12">
        <f>ROUND(CU24*EssentialMix,0)</f>
        <v/>
      </c>
      <c r="CX24" s="12">
        <f>CU24-CW24</f>
        <v/>
      </c>
      <c r="CY24" s="12">
        <f>ROUND(CV24*EssentialMix,0)</f>
        <v/>
      </c>
      <c r="CZ24" s="12">
        <f>CV24-CY24</f>
        <v/>
      </c>
      <c r="DA24" s="12">
        <f>CW24+CW23+CW22+MAX(0,DA23-CW23-CW22)*(1-CP24)</f>
        <v/>
      </c>
      <c r="DB24" s="12">
        <f>CX24+CX23+CX22+MAX(0,DB23-CX23-CX22)*(1-CP24)</f>
        <v/>
      </c>
      <c r="DC24" s="12">
        <f>DC23+CY24-CY12*('Sens - Scenarios'!$D$6*VLOOKUP(CL24,ChurnSeasonTable,4,FALSE))*POWER(1-('Sens - Scenarios'!$D$6*VLOOKUP(CL24,ChurnSeasonTable,4,FALSE)),0)</f>
        <v/>
      </c>
      <c r="DD24" s="12">
        <f>DD23+CZ24-CZ12*('Sens - Scenarios'!$D$6*VLOOKUP(CL24,ChurnSeasonTable,4,FALSE))*POWER(1-('Sens - Scenarios'!$D$6*VLOOKUP(CL24,ChurnSeasonTable,4,FALSE)),0)</f>
        <v/>
      </c>
      <c r="DE24" s="12">
        <f>DA24+DB24+DC24+DD24</f>
        <v/>
      </c>
      <c r="DF24" s="9">
        <f>DA24*PriceEssMonthly*CO24+DB24*PricePremMonthly*CO24+DC24*PriceEssAnnual*CO24/12+DD24*PricePremAnnual*CO24/12</f>
        <v/>
      </c>
      <c r="DG24" s="9">
        <f>DF24*12</f>
        <v/>
      </c>
      <c r="DH24" s="12">
        <f>DA24*PriceEssMonthly*CO24+DB24*PricePremMonthly*CO24</f>
        <v/>
      </c>
      <c r="DI24" s="12">
        <f>CY24*PriceEssAnnual*CO24+CZ24*PricePremAnnual*CO24</f>
        <v/>
      </c>
      <c r="DJ24" s="12">
        <f>CY12*POWER(1-('Sens - Scenarios'!$D$6*VLOOKUP(CL24,ChurnSeasonTable,4,FALSE)),1)*PriceEssAnnual*CO24+CZ12*POWER(1-('Sens - Scenarios'!$D$6*VLOOKUP(CL24,ChurnSeasonTable,4,FALSE)),1)*PricePremAnnual*CO24</f>
        <v/>
      </c>
      <c r="DK24" s="9">
        <f>DH24+DI24+DJ24</f>
        <v/>
      </c>
      <c r="DL24" s="12">
        <f>SUM(DK13:DK24)</f>
        <v/>
      </c>
      <c r="DM24" s="12">
        <f>OR(DM23,DL24&gt;=VATThreshold)</f>
        <v/>
      </c>
      <c r="DN24" s="9">
        <f>IF(DM24,DK24/(1+VATRate),DK24)</f>
        <v/>
      </c>
      <c r="DO24" s="12">
        <f>DK24-DN24</f>
        <v/>
      </c>
      <c r="DP24" s="12">
        <f>IF(DM24=0,0,IF(CL24=1,SUMPRODUCT(--(($CM$5:$CM24=$CM24-1)*($CL$5:$CL24&gt;=10)*($CL$5:$CL24&lt;=12)),$DO$5:$DO24),IF(CL24=4,SUMPRODUCT(--(($CM$5:$CM24=$CM24)*($CL$5:$CL24&gt;=1)*($CL$5:$CL24&lt;=3)),$DO$5:$DO24),IF(CL24=7,SUMPRODUCT(--(($CM$5:$CM24=$CM24)*($CL$5:$CL24&gt;=4)*($CL$5:$CL24&lt;=6)),$DO$5:$DO24),IF(CL24=10,SUMPRODUCT(--(($CM$5:$CM24=$CM24)*($CL$5:$CL24&gt;=7)*($CL$5:$CL24&lt;=9)),$DO$5:$DO24),0)))))</f>
        <v/>
      </c>
      <c r="DQ24" s="12">
        <f>DQ23+DO24-DP24</f>
        <v/>
      </c>
      <c r="DR24" s="12">
        <f>IF(ProviderDelay&gt;=1,DN23*ProviderShare,DN24*ProviderShare)</f>
        <v/>
      </c>
      <c r="DS24" s="12">
        <f>DK24*PaymentFee</f>
        <v/>
      </c>
      <c r="DT24" s="12">
        <f>DE24*OpsAI</f>
        <v/>
      </c>
      <c r="DU24" s="12">
        <f>MonthlyFixed</f>
        <v/>
      </c>
      <c r="DV24" s="12">
        <f>CS24*ReferralReward</f>
        <v/>
      </c>
      <c r="DW24" s="12">
        <f>CQ24</f>
        <v/>
      </c>
      <c r="DX24" s="9">
        <f>DN24-DR24-DS24-DT24-DU24-DV24-DW24</f>
        <v/>
      </c>
      <c r="DY24" s="9">
        <f>DY23+DK24-(DR24+DS24+DT24+DU24+DV24+DW24+DP24)</f>
        <v/>
      </c>
      <c r="DZ24" s="12">
        <f>IF(DE24&gt;0,DF24/DE24,0)</f>
        <v/>
      </c>
      <c r="EA24" s="11">
        <f>IF(DE23&gt;0,MAX(0,(DE23+CT24-DE24)/DE23),0)</f>
        <v/>
      </c>
      <c r="EC24" s="12" t="n">
        <v>20</v>
      </c>
      <c r="ED24" s="12">
        <f>MOD(EC24-1+LaunchMonth-1,12)+1</f>
        <v/>
      </c>
      <c r="EE24" s="12">
        <f>INT((EC24-1+LaunchMonth-1)/12)+1</f>
        <v/>
      </c>
      <c r="EF24" s="12">
        <f>VLOOKUP(ED24,SeasonTable,2,FALSE)</f>
        <v/>
      </c>
      <c r="EG24" s="12">
        <f>(1+InflationRate)^INT((EC24-1)/12)</f>
        <v/>
      </c>
      <c r="EH24" s="11">
        <f>'Sens - Churn'!$A$13*VLOOKUP(ED24,ChurnSeasonTable,4,FALSE)</f>
        <v/>
      </c>
      <c r="EI24" s="12">
        <f>MIN(MAX(MktMin19plus,FC23*MktPct19plus),MAX(0,FQ23-CashBuffer))</f>
        <v/>
      </c>
      <c r="EJ24" s="12">
        <f>IF(EI24&gt;0,MAX(1,ROUND(EI24/CAC*EF24,0)),0)</f>
        <v/>
      </c>
      <c r="EK24" s="12">
        <f>IF(EJ24&gt;0,ROUND(EJ24*ReferralMix/(1-ReferralMix),0),0)</f>
        <v/>
      </c>
      <c r="EL24" s="12">
        <f>EJ24+EK24</f>
        <v/>
      </c>
      <c r="EM24" s="12">
        <f>ROUND(EL24*(1-AnnualMix),0)</f>
        <v/>
      </c>
      <c r="EN24" s="12">
        <f>EL24-EM24</f>
        <v/>
      </c>
      <c r="EO24" s="12">
        <f>ROUND(EM24*EssentialMix,0)</f>
        <v/>
      </c>
      <c r="EP24" s="12">
        <f>EM24-EO24</f>
        <v/>
      </c>
      <c r="EQ24" s="12">
        <f>ROUND(EN24*EssentialMix,0)</f>
        <v/>
      </c>
      <c r="ER24" s="12">
        <f>EN24-EQ24</f>
        <v/>
      </c>
      <c r="ES24" s="12">
        <f>EO24+EO23+EO22+MAX(0,ES23-EO23-EO22)*(1-EH24)</f>
        <v/>
      </c>
      <c r="ET24" s="12">
        <f>EP24+EP23+EP22+MAX(0,ET23-EP23-EP22)*(1-EH24)</f>
        <v/>
      </c>
      <c r="EU24" s="12">
        <f>EU23+EQ24-EQ12*(AnnualChurn*VLOOKUP(ED24,ChurnSeasonTable,4,FALSE))*POWER(1-(AnnualChurn*VLOOKUP(ED24,ChurnSeasonTable,4,FALSE)),0)</f>
        <v/>
      </c>
      <c r="EV24" s="12">
        <f>EV23+ER24-ER12*(AnnualChurn*VLOOKUP(ED24,ChurnSeasonTable,4,FALSE))*POWER(1-(AnnualChurn*VLOOKUP(ED24,ChurnSeasonTable,4,FALSE)),0)</f>
        <v/>
      </c>
      <c r="EW24" s="12">
        <f>ES24+ET24+EU24+EV24</f>
        <v/>
      </c>
      <c r="EX24" s="9">
        <f>ES24*PriceEssMonthly*EG24+ET24*PricePremMonthly*EG24+EU24*PriceEssAnnual*EG24/12+EV24*PricePremAnnual*EG24/12</f>
        <v/>
      </c>
      <c r="EY24" s="9">
        <f>EX24*12</f>
        <v/>
      </c>
      <c r="EZ24" s="12">
        <f>ES24*PriceEssMonthly*EG24+ET24*PricePremMonthly*EG24</f>
        <v/>
      </c>
      <c r="FA24" s="12">
        <f>EQ24*PriceEssAnnual*EG24+ER24*PricePremAnnual*EG24</f>
        <v/>
      </c>
      <c r="FB24" s="12">
        <f>EQ12*POWER(1-(AnnualChurn*VLOOKUP(ED24,ChurnSeasonTable,4,FALSE)),1)*PriceEssAnnual*EG24+ER12*POWER(1-(AnnualChurn*VLOOKUP(ED24,ChurnSeasonTable,4,FALSE)),1)*PricePremAnnual*EG24</f>
        <v/>
      </c>
      <c r="FC24" s="9">
        <f>EZ24+FA24+FB24</f>
        <v/>
      </c>
      <c r="FD24" s="12">
        <f>SUM(FC13:FC24)</f>
        <v/>
      </c>
      <c r="FE24" s="12">
        <f>OR(FE23,FD24&gt;=VATThreshold)</f>
        <v/>
      </c>
      <c r="FF24" s="9">
        <f>IF(FE24,FC24/(1+VATRate),FC24)</f>
        <v/>
      </c>
      <c r="FG24" s="12">
        <f>FC24-FF24</f>
        <v/>
      </c>
      <c r="FH24" s="12">
        <f>IF(FE24=0,0,IF(ED24=1,SUMPRODUCT(--(($EE$5:$EE24=$EE24-1)*($ED$5:$ED24&gt;=10)*($ED$5:$ED24&lt;=12)),$FG$5:$FG24),IF(ED24=4,SUMPRODUCT(--(($EE$5:$EE24=$EE24)*($ED$5:$ED24&gt;=1)*($ED$5:$ED24&lt;=3)),$FG$5:$FG24),IF(ED24=7,SUMPRODUCT(--(($EE$5:$EE24=$EE24)*($ED$5:$ED24&gt;=4)*($ED$5:$ED24&lt;=6)),$FG$5:$FG24),IF(ED24=10,SUMPRODUCT(--(($EE$5:$EE24=$EE24)*($ED$5:$ED24&gt;=7)*($ED$5:$ED24&lt;=9)),$FG$5:$FG24),0)))))</f>
        <v/>
      </c>
      <c r="FI24" s="12">
        <f>FI23+FG24-FH24</f>
        <v/>
      </c>
      <c r="FJ24" s="12">
        <f>IF(ProviderDelay&gt;=1,FF23*ProviderShare,FF24*ProviderShare)</f>
        <v/>
      </c>
      <c r="FK24" s="12">
        <f>FC24*PaymentFee</f>
        <v/>
      </c>
      <c r="FL24" s="12">
        <f>EW24*OpsAI</f>
        <v/>
      </c>
      <c r="FM24" s="12">
        <f>MonthlyFixed</f>
        <v/>
      </c>
      <c r="FN24" s="12">
        <f>EK24*ReferralReward</f>
        <v/>
      </c>
      <c r="FO24" s="12">
        <f>EI24</f>
        <v/>
      </c>
      <c r="FP24" s="9">
        <f>FF24-FJ24-FK24-FL24-FM24-FN24-FO24</f>
        <v/>
      </c>
      <c r="FQ24" s="9">
        <f>FQ23+FC24-(FJ24+FK24+FL24+FM24+FN24+FO24+FH24)</f>
        <v/>
      </c>
      <c r="FR24" s="12">
        <f>IF(EW24&gt;0,EX24/EW24,0)</f>
        <v/>
      </c>
      <c r="FS24" s="11">
        <f>IF(EW23&gt;0,MAX(0,(EW23+EL24-EW24)/EW23),0)</f>
        <v/>
      </c>
      <c r="FU24" s="12" t="n">
        <v>20</v>
      </c>
      <c r="FV24" s="12">
        <f>MOD(FU24-1+LaunchMonth-1,12)+1</f>
        <v/>
      </c>
      <c r="FW24" s="12">
        <f>INT((FU24-1+LaunchMonth-1)/12)+1</f>
        <v/>
      </c>
      <c r="FX24" s="12">
        <f>VLOOKUP(FV24,SeasonTable,2,FALSE)</f>
        <v/>
      </c>
      <c r="FY24" s="12">
        <f>(1+InflationRate)^INT((FU24-1)/12)</f>
        <v/>
      </c>
      <c r="FZ24" s="11">
        <f>'Sens - Churn'!$A$14*VLOOKUP(FV24,ChurnSeasonTable,4,FALSE)</f>
        <v/>
      </c>
      <c r="GA24" s="12">
        <f>MIN(MAX(MktMin19plus,GU23*MktPct19plus),MAX(0,HI23-CashBuffer))</f>
        <v/>
      </c>
      <c r="GB24" s="12">
        <f>IF(GA24&gt;0,MAX(1,ROUND(GA24/CAC*FX24,0)),0)</f>
        <v/>
      </c>
      <c r="GC24" s="12">
        <f>IF(GB24&gt;0,ROUND(GB24*ReferralMix/(1-ReferralMix),0),0)</f>
        <v/>
      </c>
      <c r="GD24" s="12">
        <f>GB24+GC24</f>
        <v/>
      </c>
      <c r="GE24" s="12">
        <f>ROUND(GD24*(1-AnnualMix),0)</f>
        <v/>
      </c>
      <c r="GF24" s="12">
        <f>GD24-GE24</f>
        <v/>
      </c>
      <c r="GG24" s="12">
        <f>ROUND(GE24*EssentialMix,0)</f>
        <v/>
      </c>
      <c r="GH24" s="12">
        <f>GE24-GG24</f>
        <v/>
      </c>
      <c r="GI24" s="12">
        <f>ROUND(GF24*EssentialMix,0)</f>
        <v/>
      </c>
      <c r="GJ24" s="12">
        <f>GF24-GI24</f>
        <v/>
      </c>
      <c r="GK24" s="12">
        <f>GG24+GG23+GG22+MAX(0,GK23-GG23-GG22)*(1-FZ24)</f>
        <v/>
      </c>
      <c r="GL24" s="12">
        <f>GH24+GH23+GH22+MAX(0,GL23-GH23-GH22)*(1-FZ24)</f>
        <v/>
      </c>
      <c r="GM24" s="12">
        <f>GM23+GI24-GI12*(AnnualChurn*VLOOKUP(FV24,ChurnSeasonTable,4,FALSE))*POWER(1-(AnnualChurn*VLOOKUP(FV24,ChurnSeasonTable,4,FALSE)),0)</f>
        <v/>
      </c>
      <c r="GN24" s="12">
        <f>GN23+GJ24-GJ12*(AnnualChurn*VLOOKUP(FV24,ChurnSeasonTable,4,FALSE))*POWER(1-(AnnualChurn*VLOOKUP(FV24,ChurnSeasonTable,4,FALSE)),0)</f>
        <v/>
      </c>
      <c r="GO24" s="12">
        <f>GK24+GL24+GM24+GN24</f>
        <v/>
      </c>
      <c r="GP24" s="9">
        <f>GK24*PriceEssMonthly*FY24+GL24*PricePremMonthly*FY24+GM24*PriceEssAnnual*FY24/12+GN24*PricePremAnnual*FY24/12</f>
        <v/>
      </c>
      <c r="GQ24" s="9">
        <f>GP24*12</f>
        <v/>
      </c>
      <c r="GR24" s="12">
        <f>GK24*PriceEssMonthly*FY24+GL24*PricePremMonthly*FY24</f>
        <v/>
      </c>
      <c r="GS24" s="12">
        <f>GI24*PriceEssAnnual*FY24+GJ24*PricePremAnnual*FY24</f>
        <v/>
      </c>
      <c r="GT24" s="12">
        <f>GI12*POWER(1-(AnnualChurn*VLOOKUP(FV24,ChurnSeasonTable,4,FALSE)),1)*PriceEssAnnual*FY24+GJ12*POWER(1-(AnnualChurn*VLOOKUP(FV24,ChurnSeasonTable,4,FALSE)),1)*PricePremAnnual*FY24</f>
        <v/>
      </c>
      <c r="GU24" s="9">
        <f>GR24+GS24+GT24</f>
        <v/>
      </c>
      <c r="GV24" s="12">
        <f>SUM(GU13:GU24)</f>
        <v/>
      </c>
      <c r="GW24" s="12">
        <f>OR(GW23,GV24&gt;=VATThreshold)</f>
        <v/>
      </c>
      <c r="GX24" s="9">
        <f>IF(GW24,GU24/(1+VATRate),GU24)</f>
        <v/>
      </c>
      <c r="GY24" s="12">
        <f>GU24-GX24</f>
        <v/>
      </c>
      <c r="GZ24" s="12">
        <f>IF(GW24=0,0,IF(FV24=1,SUMPRODUCT(--(($FW$5:$FW24=$FW24-1)*($FV$5:$FV24&gt;=10)*($FV$5:$FV24&lt;=12)),$GY$5:$GY24),IF(FV24=4,SUMPRODUCT(--(($FW$5:$FW24=$FW24)*($FV$5:$FV24&gt;=1)*($FV$5:$FV24&lt;=3)),$GY$5:$GY24),IF(FV24=7,SUMPRODUCT(--(($FW$5:$FW24=$FW24)*($FV$5:$FV24&gt;=4)*($FV$5:$FV24&lt;=6)),$GY$5:$GY24),IF(FV24=10,SUMPRODUCT(--(($FW$5:$FW24=$FW24)*($FV$5:$FV24&gt;=7)*($FV$5:$FV24&lt;=9)),$GY$5:$GY24),0)))))</f>
        <v/>
      </c>
      <c r="HA24" s="12">
        <f>HA23+GY24-GZ24</f>
        <v/>
      </c>
      <c r="HB24" s="12">
        <f>IF(ProviderDelay&gt;=1,GX23*ProviderShare,GX24*ProviderShare)</f>
        <v/>
      </c>
      <c r="HC24" s="12">
        <f>GU24*PaymentFee</f>
        <v/>
      </c>
      <c r="HD24" s="12">
        <f>GO24*OpsAI</f>
        <v/>
      </c>
      <c r="HE24" s="12">
        <f>MonthlyFixed</f>
        <v/>
      </c>
      <c r="HF24" s="12">
        <f>GC24*ReferralReward</f>
        <v/>
      </c>
      <c r="HG24" s="12">
        <f>GA24</f>
        <v/>
      </c>
      <c r="HH24" s="9">
        <f>GX24-HB24-HC24-HD24-HE24-HF24-HG24</f>
        <v/>
      </c>
      <c r="HI24" s="9">
        <f>HI23+GU24-(HB24+HC24+HD24+HE24+HF24+HG24+GZ24)</f>
        <v/>
      </c>
      <c r="HJ24" s="12">
        <f>IF(GO24&gt;0,GP24/GO24,0)</f>
        <v/>
      </c>
      <c r="HK24" s="11">
        <f>IF(GO23&gt;0,MAX(0,(GO23+GD24-GO24)/GO23),0)</f>
        <v/>
      </c>
      <c r="HM24" s="12" t="n">
        <v>20</v>
      </c>
      <c r="HN24" s="12">
        <f>MOD(HM24-1+LaunchMonth-1,12)+1</f>
        <v/>
      </c>
      <c r="HO24" s="12">
        <f>INT((HM24-1+LaunchMonth-1)/12)+1</f>
        <v/>
      </c>
      <c r="HP24" s="12">
        <f>VLOOKUP(HN24,SeasonTable,2,FALSE)</f>
        <v/>
      </c>
      <c r="HQ24" s="12">
        <f>(1+InflationRate)^INT((HM24-1)/12)</f>
        <v/>
      </c>
      <c r="HR24" s="11">
        <f>'Sens - Churn'!$A$15*VLOOKUP(HN24,ChurnSeasonTable,4,FALSE)</f>
        <v/>
      </c>
      <c r="HS24" s="12">
        <f>MIN(MAX(MktMin19plus,IM23*MktPct19plus),MAX(0,JA23-CashBuffer))</f>
        <v/>
      </c>
      <c r="HT24" s="12">
        <f>IF(HS24&gt;0,MAX(1,ROUND(HS24/CAC*HP24,0)),0)</f>
        <v/>
      </c>
      <c r="HU24" s="12">
        <f>IF(HT24&gt;0,ROUND(HT24*ReferralMix/(1-ReferralMix),0),0)</f>
        <v/>
      </c>
      <c r="HV24" s="12">
        <f>HT24+HU24</f>
        <v/>
      </c>
      <c r="HW24" s="12">
        <f>ROUND(HV24*(1-AnnualMix),0)</f>
        <v/>
      </c>
      <c r="HX24" s="12">
        <f>HV24-HW24</f>
        <v/>
      </c>
      <c r="HY24" s="12">
        <f>ROUND(HW24*EssentialMix,0)</f>
        <v/>
      </c>
      <c r="HZ24" s="12">
        <f>HW24-HY24</f>
        <v/>
      </c>
      <c r="IA24" s="12">
        <f>ROUND(HX24*EssentialMix,0)</f>
        <v/>
      </c>
      <c r="IB24" s="12">
        <f>HX24-IA24</f>
        <v/>
      </c>
      <c r="IC24" s="12">
        <f>HY24+HY23+HY22+MAX(0,IC23-HY23-HY22)*(1-HR24)</f>
        <v/>
      </c>
      <c r="ID24" s="12">
        <f>HZ24+HZ23+HZ22+MAX(0,ID23-HZ23-HZ22)*(1-HR24)</f>
        <v/>
      </c>
      <c r="IE24" s="12">
        <f>IE23+IA24-IA12*(AnnualChurn*VLOOKUP(HN24,ChurnSeasonTable,4,FALSE))*POWER(1-(AnnualChurn*VLOOKUP(HN24,ChurnSeasonTable,4,FALSE)),0)</f>
        <v/>
      </c>
      <c r="IF24" s="12">
        <f>IF23+IB24-IB12*(AnnualChurn*VLOOKUP(HN24,ChurnSeasonTable,4,FALSE))*POWER(1-(AnnualChurn*VLOOKUP(HN24,ChurnSeasonTable,4,FALSE)),0)</f>
        <v/>
      </c>
      <c r="IG24" s="12">
        <f>IC24+ID24+IE24+IF24</f>
        <v/>
      </c>
      <c r="IH24" s="9">
        <f>IC24*PriceEssMonthly*HQ24+ID24*PricePremMonthly*HQ24+IE24*PriceEssAnnual*HQ24/12+IF24*PricePremAnnual*HQ24/12</f>
        <v/>
      </c>
      <c r="II24" s="9">
        <f>IH24*12</f>
        <v/>
      </c>
      <c r="IJ24" s="12">
        <f>IC24*PriceEssMonthly*HQ24+ID24*PricePremMonthly*HQ24</f>
        <v/>
      </c>
      <c r="IK24" s="12">
        <f>IA24*PriceEssAnnual*HQ24+IB24*PricePremAnnual*HQ24</f>
        <v/>
      </c>
      <c r="IL24" s="12">
        <f>IA12*POWER(1-(AnnualChurn*VLOOKUP(HN24,ChurnSeasonTable,4,FALSE)),1)*PriceEssAnnual*HQ24+IB12*POWER(1-(AnnualChurn*VLOOKUP(HN24,ChurnSeasonTable,4,FALSE)),1)*PricePremAnnual*HQ24</f>
        <v/>
      </c>
      <c r="IM24" s="9">
        <f>IJ24+IK24+IL24</f>
        <v/>
      </c>
      <c r="IN24" s="12">
        <f>SUM(IM13:IM24)</f>
        <v/>
      </c>
      <c r="IO24" s="12">
        <f>OR(IO23,IN24&gt;=VATThreshold)</f>
        <v/>
      </c>
      <c r="IP24" s="9">
        <f>IF(IO24,IM24/(1+VATRate),IM24)</f>
        <v/>
      </c>
      <c r="IQ24" s="12">
        <f>IM24-IP24</f>
        <v/>
      </c>
      <c r="IR24" s="12">
        <f>IF(IO24=0,0,IF(HN24=1,SUMPRODUCT(--(($HO$5:$HO24=$HO24-1)*($HN$5:$HN24&gt;=10)*($HN$5:$HN24&lt;=12)),$IQ$5:$IQ24),IF(HN24=4,SUMPRODUCT(--(($HO$5:$HO24=$HO24)*($HN$5:$HN24&gt;=1)*($HN$5:$HN24&lt;=3)),$IQ$5:$IQ24),IF(HN24=7,SUMPRODUCT(--(($HO$5:$HO24=$HO24)*($HN$5:$HN24&gt;=4)*($HN$5:$HN24&lt;=6)),$IQ$5:$IQ24),IF(HN24=10,SUMPRODUCT(--(($HO$5:$HO24=$HO24)*($HN$5:$HN24&gt;=7)*($HN$5:$HN24&lt;=9)),$IQ$5:$IQ24),0)))))</f>
        <v/>
      </c>
      <c r="IS24" s="12">
        <f>IS23+IQ24-IR24</f>
        <v/>
      </c>
      <c r="IT24" s="12">
        <f>IF(ProviderDelay&gt;=1,IP23*ProviderShare,IP24*ProviderShare)</f>
        <v/>
      </c>
      <c r="IU24" s="12">
        <f>IM24*PaymentFee</f>
        <v/>
      </c>
      <c r="IV24" s="12">
        <f>IG24*OpsAI</f>
        <v/>
      </c>
      <c r="IW24" s="12">
        <f>MonthlyFixed</f>
        <v/>
      </c>
      <c r="IX24" s="12">
        <f>HU24*ReferralReward</f>
        <v/>
      </c>
      <c r="IY24" s="12">
        <f>HS24</f>
        <v/>
      </c>
      <c r="IZ24" s="9">
        <f>IP24-IT24-IU24-IV24-IW24-IX24-IY24</f>
        <v/>
      </c>
      <c r="JA24" s="9">
        <f>JA23+IM24-(IT24+IU24+IV24+IW24+IX24+IY24+IR24)</f>
        <v/>
      </c>
      <c r="JB24" s="12">
        <f>IF(IG24&gt;0,IH24/IG24,0)</f>
        <v/>
      </c>
      <c r="JC24" s="11">
        <f>IF(IG23&gt;0,MAX(0,(IG23+HV24-IG24)/IG23),0)</f>
        <v/>
      </c>
      <c r="JE24" s="12" t="n">
        <v>20</v>
      </c>
      <c r="JF24" s="12">
        <f>MOD(JE24-1+LaunchMonth-1,12)+1</f>
        <v/>
      </c>
      <c r="JG24" s="12">
        <f>INT((JE24-1+LaunchMonth-1)/12)+1</f>
        <v/>
      </c>
      <c r="JH24" s="12">
        <f>VLOOKUP(JF24,SeasonTable,2,FALSE)</f>
        <v/>
      </c>
      <c r="JI24" s="12">
        <f>(1+InflationRate)^INT((JE24-1)/12)</f>
        <v/>
      </c>
      <c r="JJ24" s="11">
        <f>'Sens - Churn'!$A$16*VLOOKUP(JF24,ChurnSeasonTable,4,FALSE)</f>
        <v/>
      </c>
      <c r="JK24" s="12">
        <f>MIN(MAX(MktMin19plus,KE23*MktPct19plus),MAX(0,KS23-CashBuffer))</f>
        <v/>
      </c>
      <c r="JL24" s="12">
        <f>IF(JK24&gt;0,MAX(1,ROUND(JK24/CAC*JH24,0)),0)</f>
        <v/>
      </c>
      <c r="JM24" s="12">
        <f>IF(JL24&gt;0,ROUND(JL24*ReferralMix/(1-ReferralMix),0),0)</f>
        <v/>
      </c>
      <c r="JN24" s="12">
        <f>JL24+JM24</f>
        <v/>
      </c>
      <c r="JO24" s="12">
        <f>ROUND(JN24*(1-AnnualMix),0)</f>
        <v/>
      </c>
      <c r="JP24" s="12">
        <f>JN24-JO24</f>
        <v/>
      </c>
      <c r="JQ24" s="12">
        <f>ROUND(JO24*EssentialMix,0)</f>
        <v/>
      </c>
      <c r="JR24" s="12">
        <f>JO24-JQ24</f>
        <v/>
      </c>
      <c r="JS24" s="12">
        <f>ROUND(JP24*EssentialMix,0)</f>
        <v/>
      </c>
      <c r="JT24" s="12">
        <f>JP24-JS24</f>
        <v/>
      </c>
      <c r="JU24" s="12">
        <f>JQ24+JQ23+JQ22+MAX(0,JU23-JQ23-JQ22)*(1-JJ24)</f>
        <v/>
      </c>
      <c r="JV24" s="12">
        <f>JR24+JR23+JR22+MAX(0,JV23-JR23-JR22)*(1-JJ24)</f>
        <v/>
      </c>
      <c r="JW24" s="12">
        <f>JW23+JS24-JS12*(AnnualChurn*VLOOKUP(JF24,ChurnSeasonTable,4,FALSE))*POWER(1-(AnnualChurn*VLOOKUP(JF24,ChurnSeasonTable,4,FALSE)),0)</f>
        <v/>
      </c>
      <c r="JX24" s="12">
        <f>JX23+JT24-JT12*(AnnualChurn*VLOOKUP(JF24,ChurnSeasonTable,4,FALSE))*POWER(1-(AnnualChurn*VLOOKUP(JF24,ChurnSeasonTable,4,FALSE)),0)</f>
        <v/>
      </c>
      <c r="JY24" s="12">
        <f>JU24+JV24+JW24+JX24</f>
        <v/>
      </c>
      <c r="JZ24" s="9">
        <f>JU24*PriceEssMonthly*JI24+JV24*PricePremMonthly*JI24+JW24*PriceEssAnnual*JI24/12+JX24*PricePremAnnual*JI24/12</f>
        <v/>
      </c>
      <c r="KA24" s="9">
        <f>JZ24*12</f>
        <v/>
      </c>
      <c r="KB24" s="12">
        <f>JU24*PriceEssMonthly*JI24+JV24*PricePremMonthly*JI24</f>
        <v/>
      </c>
      <c r="KC24" s="12">
        <f>JS24*PriceEssAnnual*JI24+JT24*PricePremAnnual*JI24</f>
        <v/>
      </c>
      <c r="KD24" s="12">
        <f>JS12*POWER(1-(AnnualChurn*VLOOKUP(JF24,ChurnSeasonTable,4,FALSE)),1)*PriceEssAnnual*JI24+JT12*POWER(1-(AnnualChurn*VLOOKUP(JF24,ChurnSeasonTable,4,FALSE)),1)*PricePremAnnual*JI24</f>
        <v/>
      </c>
      <c r="KE24" s="9">
        <f>KB24+KC24+KD24</f>
        <v/>
      </c>
      <c r="KF24" s="12">
        <f>SUM(KE13:KE24)</f>
        <v/>
      </c>
      <c r="KG24" s="12">
        <f>OR(KG23,KF24&gt;=VATThreshold)</f>
        <v/>
      </c>
      <c r="KH24" s="9">
        <f>IF(KG24,KE24/(1+VATRate),KE24)</f>
        <v/>
      </c>
      <c r="KI24" s="12">
        <f>KE24-KH24</f>
        <v/>
      </c>
      <c r="KJ24" s="12">
        <f>IF(KG24=0,0,IF(JF24=1,SUMPRODUCT(--(($JG$5:$JG24=$JG24-1)*($JF$5:$JF24&gt;=10)*($JF$5:$JF24&lt;=12)),$KI$5:$KI24),IF(JF24=4,SUMPRODUCT(--(($JG$5:$JG24=$JG24)*($JF$5:$JF24&gt;=1)*($JF$5:$JF24&lt;=3)),$KI$5:$KI24),IF(JF24=7,SUMPRODUCT(--(($JG$5:$JG24=$JG24)*($JF$5:$JF24&gt;=4)*($JF$5:$JF24&lt;=6)),$KI$5:$KI24),IF(JF24=10,SUMPRODUCT(--(($JG$5:$JG24=$JG24)*($JF$5:$JF24&gt;=7)*($JF$5:$JF24&lt;=9)),$KI$5:$KI24),0)))))</f>
        <v/>
      </c>
      <c r="KK24" s="12">
        <f>KK23+KI24-KJ24</f>
        <v/>
      </c>
      <c r="KL24" s="12">
        <f>IF(ProviderDelay&gt;=1,KH23*ProviderShare,KH24*ProviderShare)</f>
        <v/>
      </c>
      <c r="KM24" s="12">
        <f>KE24*PaymentFee</f>
        <v/>
      </c>
      <c r="KN24" s="12">
        <f>JY24*OpsAI</f>
        <v/>
      </c>
      <c r="KO24" s="12">
        <f>MonthlyFixed</f>
        <v/>
      </c>
      <c r="KP24" s="12">
        <f>JM24*ReferralReward</f>
        <v/>
      </c>
      <c r="KQ24" s="12">
        <f>JK24</f>
        <v/>
      </c>
      <c r="KR24" s="9">
        <f>KH24-KL24-KM24-KN24-KO24-KP24-KQ24</f>
        <v/>
      </c>
      <c r="KS24" s="9">
        <f>KS23+KE24-(KL24+KM24+KN24+KO24+KP24+KQ24+KJ24)</f>
        <v/>
      </c>
      <c r="KT24" s="12">
        <f>IF(JY24&gt;0,JZ24/JY24,0)</f>
        <v/>
      </c>
      <c r="KU24" s="11">
        <f>IF(JY23&gt;0,MAX(0,(JY23+JN24-JY24)/JY23),0)</f>
        <v/>
      </c>
      <c r="KW24" s="12" t="n">
        <v>20</v>
      </c>
      <c r="KX24" s="12">
        <f>MOD(KW24-1+LaunchMonth-1,12)+1</f>
        <v/>
      </c>
      <c r="KY24" s="12">
        <f>INT((KW24-1+LaunchMonth-1)/12)+1</f>
        <v/>
      </c>
      <c r="KZ24" s="12">
        <f>VLOOKUP(KX24,SeasonTable,2,FALSE)</f>
        <v/>
      </c>
      <c r="LA24" s="12">
        <f>(1+InflationRate)^INT((KW24-1)/12)</f>
        <v/>
      </c>
      <c r="LB24" s="11">
        <f>'Sens - Churn'!$A$17*VLOOKUP(KX24,ChurnSeasonTable,4,FALSE)</f>
        <v/>
      </c>
      <c r="LC24" s="12">
        <f>MIN(MAX(MktMin19plus,LW23*MktPct19plus),MAX(0,MK23-CashBuffer))</f>
        <v/>
      </c>
      <c r="LD24" s="12">
        <f>IF(LC24&gt;0,MAX(1,ROUND(LC24/CAC*KZ24,0)),0)</f>
        <v/>
      </c>
      <c r="LE24" s="12">
        <f>IF(LD24&gt;0,ROUND(LD24*ReferralMix/(1-ReferralMix),0),0)</f>
        <v/>
      </c>
      <c r="LF24" s="12">
        <f>LD24+LE24</f>
        <v/>
      </c>
      <c r="LG24" s="12">
        <f>ROUND(LF24*(1-AnnualMix),0)</f>
        <v/>
      </c>
      <c r="LH24" s="12">
        <f>LF24-LG24</f>
        <v/>
      </c>
      <c r="LI24" s="12">
        <f>ROUND(LG24*EssentialMix,0)</f>
        <v/>
      </c>
      <c r="LJ24" s="12">
        <f>LG24-LI24</f>
        <v/>
      </c>
      <c r="LK24" s="12">
        <f>ROUND(LH24*EssentialMix,0)</f>
        <v/>
      </c>
      <c r="LL24" s="12">
        <f>LH24-LK24</f>
        <v/>
      </c>
      <c r="LM24" s="12">
        <f>LI24+LI23+LI22+MAX(0,LM23-LI23-LI22)*(1-LB24)</f>
        <v/>
      </c>
      <c r="LN24" s="12">
        <f>LJ24+LJ23+LJ22+MAX(0,LN23-LJ23-LJ22)*(1-LB24)</f>
        <v/>
      </c>
      <c r="LO24" s="12">
        <f>LO23+LK24-LK12*(AnnualChurn*VLOOKUP(KX24,ChurnSeasonTable,4,FALSE))*POWER(1-(AnnualChurn*VLOOKUP(KX24,ChurnSeasonTable,4,FALSE)),0)</f>
        <v/>
      </c>
      <c r="LP24" s="12">
        <f>LP23+LL24-LL12*(AnnualChurn*VLOOKUP(KX24,ChurnSeasonTable,4,FALSE))*POWER(1-(AnnualChurn*VLOOKUP(KX24,ChurnSeasonTable,4,FALSE)),0)</f>
        <v/>
      </c>
      <c r="LQ24" s="12">
        <f>LM24+LN24+LO24+LP24</f>
        <v/>
      </c>
      <c r="LR24" s="9">
        <f>LM24*PriceEssMonthly*LA24+LN24*PricePremMonthly*LA24+LO24*PriceEssAnnual*LA24/12+LP24*PricePremAnnual*LA24/12</f>
        <v/>
      </c>
      <c r="LS24" s="9">
        <f>LR24*12</f>
        <v/>
      </c>
      <c r="LT24" s="12">
        <f>LM24*PriceEssMonthly*LA24+LN24*PricePremMonthly*LA24</f>
        <v/>
      </c>
      <c r="LU24" s="12">
        <f>LK24*PriceEssAnnual*LA24+LL24*PricePremAnnual*LA24</f>
        <v/>
      </c>
      <c r="LV24" s="12">
        <f>LK12*POWER(1-(AnnualChurn*VLOOKUP(KX24,ChurnSeasonTable,4,FALSE)),1)*PriceEssAnnual*LA24+LL12*POWER(1-(AnnualChurn*VLOOKUP(KX24,ChurnSeasonTable,4,FALSE)),1)*PricePremAnnual*LA24</f>
        <v/>
      </c>
      <c r="LW24" s="9">
        <f>LT24+LU24+LV24</f>
        <v/>
      </c>
      <c r="LX24" s="12">
        <f>SUM(LW13:LW24)</f>
        <v/>
      </c>
      <c r="LY24" s="12">
        <f>OR(LY23,LX24&gt;=VATThreshold)</f>
        <v/>
      </c>
      <c r="LZ24" s="9">
        <f>IF(LY24,LW24/(1+VATRate),LW24)</f>
        <v/>
      </c>
      <c r="MA24" s="12">
        <f>LW24-LZ24</f>
        <v/>
      </c>
      <c r="MB24" s="12">
        <f>IF(LY24=0,0,IF(KX24=1,SUMPRODUCT(--(($KY$5:$KY24=$KY24-1)*($KX$5:$KX24&gt;=10)*($KX$5:$KX24&lt;=12)),$MA$5:$MA24),IF(KX24=4,SUMPRODUCT(--(($KY$5:$KY24=$KY24)*($KX$5:$KX24&gt;=1)*($KX$5:$KX24&lt;=3)),$MA$5:$MA24),IF(KX24=7,SUMPRODUCT(--(($KY$5:$KY24=$KY24)*($KX$5:$KX24&gt;=4)*($KX$5:$KX24&lt;=6)),$MA$5:$MA24),IF(KX24=10,SUMPRODUCT(--(($KY$5:$KY24=$KY24)*($KX$5:$KX24&gt;=7)*($KX$5:$KX24&lt;=9)),$MA$5:$MA24),0)))))</f>
        <v/>
      </c>
      <c r="MC24" s="12">
        <f>MC23+MA24-MB24</f>
        <v/>
      </c>
      <c r="MD24" s="12">
        <f>IF(ProviderDelay&gt;=1,LZ23*ProviderShare,LZ24*ProviderShare)</f>
        <v/>
      </c>
      <c r="ME24" s="12">
        <f>LW24*PaymentFee</f>
        <v/>
      </c>
      <c r="MF24" s="12">
        <f>LQ24*OpsAI</f>
        <v/>
      </c>
      <c r="MG24" s="12">
        <f>MonthlyFixed</f>
        <v/>
      </c>
      <c r="MH24" s="12">
        <f>LE24*ReferralReward</f>
        <v/>
      </c>
      <c r="MI24" s="12">
        <f>LC24</f>
        <v/>
      </c>
      <c r="MJ24" s="9">
        <f>LZ24-MD24-ME24-MF24-MG24-MH24-MI24</f>
        <v/>
      </c>
      <c r="MK24" s="9">
        <f>MK23+LW24-(MD24+ME24+MF24+MG24+MH24+MI24+MB24)</f>
        <v/>
      </c>
      <c r="ML24" s="12">
        <f>IF(LQ24&gt;0,LR24/LQ24,0)</f>
        <v/>
      </c>
      <c r="MM24" s="11">
        <f>IF(LQ23&gt;0,MAX(0,(LQ23+LF24-LQ24)/LQ23),0)</f>
        <v/>
      </c>
      <c r="MO24" s="12" t="n">
        <v>20</v>
      </c>
      <c r="MP24" s="12">
        <f>MOD(MO24-1+LaunchMonth-1,12)+1</f>
        <v/>
      </c>
      <c r="MQ24" s="12">
        <f>INT((MO24-1+LaunchMonth-1)/12)+1</f>
        <v/>
      </c>
      <c r="MR24" s="12">
        <f>VLOOKUP(MP24,SeasonTable,2,FALSE)</f>
        <v/>
      </c>
      <c r="MS24" s="12">
        <f>(1+InflationRate)^INT((MO24-1)/12)</f>
        <v/>
      </c>
      <c r="MT24" s="11">
        <f>'Sens - Churn'!$A$18*VLOOKUP(MP24,ChurnSeasonTable,4,FALSE)</f>
        <v/>
      </c>
      <c r="MU24" s="12">
        <f>MIN(MAX(MktMin19plus,NO23*MktPct19plus),MAX(0,OC23-CashBuffer))</f>
        <v/>
      </c>
      <c r="MV24" s="12">
        <f>IF(MU24&gt;0,MAX(1,ROUND(MU24/CAC*MR24,0)),0)</f>
        <v/>
      </c>
      <c r="MW24" s="12">
        <f>IF(MV24&gt;0,ROUND(MV24*ReferralMix/(1-ReferralMix),0),0)</f>
        <v/>
      </c>
      <c r="MX24" s="12">
        <f>MV24+MW24</f>
        <v/>
      </c>
      <c r="MY24" s="12">
        <f>ROUND(MX24*(1-AnnualMix),0)</f>
        <v/>
      </c>
      <c r="MZ24" s="12">
        <f>MX24-MY24</f>
        <v/>
      </c>
      <c r="NA24" s="12">
        <f>ROUND(MY24*EssentialMix,0)</f>
        <v/>
      </c>
      <c r="NB24" s="12">
        <f>MY24-NA24</f>
        <v/>
      </c>
      <c r="NC24" s="12">
        <f>ROUND(MZ24*EssentialMix,0)</f>
        <v/>
      </c>
      <c r="ND24" s="12">
        <f>MZ24-NC24</f>
        <v/>
      </c>
      <c r="NE24" s="12">
        <f>NA24+NA23+NA22+MAX(0,NE23-NA23-NA22)*(1-MT24)</f>
        <v/>
      </c>
      <c r="NF24" s="12">
        <f>NB24+NB23+NB22+MAX(0,NF23-NB23-NB22)*(1-MT24)</f>
        <v/>
      </c>
      <c r="NG24" s="12">
        <f>NG23+NC24-NC12*(AnnualChurn*VLOOKUP(MP24,ChurnSeasonTable,4,FALSE))*POWER(1-(AnnualChurn*VLOOKUP(MP24,ChurnSeasonTable,4,FALSE)),0)</f>
        <v/>
      </c>
      <c r="NH24" s="12">
        <f>NH23+ND24-ND12*(AnnualChurn*VLOOKUP(MP24,ChurnSeasonTable,4,FALSE))*POWER(1-(AnnualChurn*VLOOKUP(MP24,ChurnSeasonTable,4,FALSE)),0)</f>
        <v/>
      </c>
      <c r="NI24" s="12">
        <f>NE24+NF24+NG24+NH24</f>
        <v/>
      </c>
      <c r="NJ24" s="9">
        <f>NE24*PriceEssMonthly*MS24+NF24*PricePremMonthly*MS24+NG24*PriceEssAnnual*MS24/12+NH24*PricePremAnnual*MS24/12</f>
        <v/>
      </c>
      <c r="NK24" s="9">
        <f>NJ24*12</f>
        <v/>
      </c>
      <c r="NL24" s="12">
        <f>NE24*PriceEssMonthly*MS24+NF24*PricePremMonthly*MS24</f>
        <v/>
      </c>
      <c r="NM24" s="12">
        <f>NC24*PriceEssAnnual*MS24+ND24*PricePremAnnual*MS24</f>
        <v/>
      </c>
      <c r="NN24" s="12">
        <f>NC12*POWER(1-(AnnualChurn*VLOOKUP(MP24,ChurnSeasonTable,4,FALSE)),1)*PriceEssAnnual*MS24+ND12*POWER(1-(AnnualChurn*VLOOKUP(MP24,ChurnSeasonTable,4,FALSE)),1)*PricePremAnnual*MS24</f>
        <v/>
      </c>
      <c r="NO24" s="9">
        <f>NL24+NM24+NN24</f>
        <v/>
      </c>
      <c r="NP24" s="12">
        <f>SUM(NO13:NO24)</f>
        <v/>
      </c>
      <c r="NQ24" s="12">
        <f>OR(NQ23,NP24&gt;=VATThreshold)</f>
        <v/>
      </c>
      <c r="NR24" s="9">
        <f>IF(NQ24,NO24/(1+VATRate),NO24)</f>
        <v/>
      </c>
      <c r="NS24" s="12">
        <f>NO24-NR24</f>
        <v/>
      </c>
      <c r="NT24" s="12">
        <f>IF(NQ24=0,0,IF(MP24=1,SUMPRODUCT(--(($MQ$5:$MQ24=$MQ24-1)*($MP$5:$MP24&gt;=10)*($MP$5:$MP24&lt;=12)),$NS$5:$NS24),IF(MP24=4,SUMPRODUCT(--(($MQ$5:$MQ24=$MQ24)*($MP$5:$MP24&gt;=1)*($MP$5:$MP24&lt;=3)),$NS$5:$NS24),IF(MP24=7,SUMPRODUCT(--(($MQ$5:$MQ24=$MQ24)*($MP$5:$MP24&gt;=4)*($MP$5:$MP24&lt;=6)),$NS$5:$NS24),IF(MP24=10,SUMPRODUCT(--(($MQ$5:$MQ24=$MQ24)*($MP$5:$MP24&gt;=7)*($MP$5:$MP24&lt;=9)),$NS$5:$NS24),0)))))</f>
        <v/>
      </c>
      <c r="NU24" s="12">
        <f>NU23+NS24-NT24</f>
        <v/>
      </c>
      <c r="NV24" s="12">
        <f>IF(ProviderDelay&gt;=1,NR23*ProviderShare,NR24*ProviderShare)</f>
        <v/>
      </c>
      <c r="NW24" s="12">
        <f>NO24*PaymentFee</f>
        <v/>
      </c>
      <c r="NX24" s="12">
        <f>NI24*OpsAI</f>
        <v/>
      </c>
      <c r="NY24" s="12">
        <f>MonthlyFixed</f>
        <v/>
      </c>
      <c r="NZ24" s="12">
        <f>MW24*ReferralReward</f>
        <v/>
      </c>
      <c r="OA24" s="12">
        <f>MU24</f>
        <v/>
      </c>
      <c r="OB24" s="9">
        <f>NR24-NV24-NW24-NX24-NY24-NZ24-OA24</f>
        <v/>
      </c>
      <c r="OC24" s="9">
        <f>OC23+NO24-(NV24+NW24+NX24+NY24+NZ24+OA24+NT24)</f>
        <v/>
      </c>
      <c r="OD24" s="12">
        <f>IF(NI24&gt;0,NJ24/NI24,0)</f>
        <v/>
      </c>
      <c r="OE24" s="11">
        <f>IF(NI23&gt;0,MAX(0,(NI23+MX24-NI24)/NI23),0)</f>
        <v/>
      </c>
      <c r="OG24" s="12" t="n">
        <v>20</v>
      </c>
      <c r="OH24" s="12">
        <f>MOD(OG24-1+LaunchMonth-1,12)+1</f>
        <v/>
      </c>
      <c r="OI24" s="12">
        <f>INT((OG24-1+LaunchMonth-1)/12)+1</f>
        <v/>
      </c>
      <c r="OJ24" s="12">
        <f>VLOOKUP(OH24,SeasonTable,2,FALSE)</f>
        <v/>
      </c>
      <c r="OK24" s="12">
        <f>(1+InflationRate)^INT((OG24-1)/12)</f>
        <v/>
      </c>
      <c r="OL24" s="11">
        <f>'Sens - Churn'!$A$19*VLOOKUP(OH24,ChurnSeasonTable,4,FALSE)</f>
        <v/>
      </c>
      <c r="OM24" s="12">
        <f>MIN(MAX(MktMin19plus,PG23*MktPct19plus),MAX(0,PU23-CashBuffer))</f>
        <v/>
      </c>
      <c r="ON24" s="12">
        <f>IF(OM24&gt;0,MAX(1,ROUND(OM24/CAC*OJ24,0)),0)</f>
        <v/>
      </c>
      <c r="OO24" s="12">
        <f>IF(ON24&gt;0,ROUND(ON24*ReferralMix/(1-ReferralMix),0),0)</f>
        <v/>
      </c>
      <c r="OP24" s="12">
        <f>ON24+OO24</f>
        <v/>
      </c>
      <c r="OQ24" s="12">
        <f>ROUND(OP24*(1-AnnualMix),0)</f>
        <v/>
      </c>
      <c r="OR24" s="12">
        <f>OP24-OQ24</f>
        <v/>
      </c>
      <c r="OS24" s="12">
        <f>ROUND(OQ24*EssentialMix,0)</f>
        <v/>
      </c>
      <c r="OT24" s="12">
        <f>OQ24-OS24</f>
        <v/>
      </c>
      <c r="OU24" s="12">
        <f>ROUND(OR24*EssentialMix,0)</f>
        <v/>
      </c>
      <c r="OV24" s="12">
        <f>OR24-OU24</f>
        <v/>
      </c>
      <c r="OW24" s="12">
        <f>OS24+OS23+OS22+MAX(0,OW23-OS23-OS22)*(1-OL24)</f>
        <v/>
      </c>
      <c r="OX24" s="12">
        <f>OT24+OT23+OT22+MAX(0,OX23-OT23-OT22)*(1-OL24)</f>
        <v/>
      </c>
      <c r="OY24" s="12">
        <f>OY23+OU24-OU12*(AnnualChurn*VLOOKUP(OH24,ChurnSeasonTable,4,FALSE))*POWER(1-(AnnualChurn*VLOOKUP(OH24,ChurnSeasonTable,4,FALSE)),0)</f>
        <v/>
      </c>
      <c r="OZ24" s="12">
        <f>OZ23+OV24-OV12*(AnnualChurn*VLOOKUP(OH24,ChurnSeasonTable,4,FALSE))*POWER(1-(AnnualChurn*VLOOKUP(OH24,ChurnSeasonTable,4,FALSE)),0)</f>
        <v/>
      </c>
      <c r="PA24" s="12">
        <f>OW24+OX24+OY24+OZ24</f>
        <v/>
      </c>
      <c r="PB24" s="9">
        <f>OW24*PriceEssMonthly*OK24+OX24*PricePremMonthly*OK24+OY24*PriceEssAnnual*OK24/12+OZ24*PricePremAnnual*OK24/12</f>
        <v/>
      </c>
      <c r="PC24" s="9">
        <f>PB24*12</f>
        <v/>
      </c>
      <c r="PD24" s="12">
        <f>OW24*PriceEssMonthly*OK24+OX24*PricePremMonthly*OK24</f>
        <v/>
      </c>
      <c r="PE24" s="12">
        <f>OU24*PriceEssAnnual*OK24+OV24*PricePremAnnual*OK24</f>
        <v/>
      </c>
      <c r="PF24" s="12">
        <f>OU12*POWER(1-(AnnualChurn*VLOOKUP(OH24,ChurnSeasonTable,4,FALSE)),1)*PriceEssAnnual*OK24+OV12*POWER(1-(AnnualChurn*VLOOKUP(OH24,ChurnSeasonTable,4,FALSE)),1)*PricePremAnnual*OK24</f>
        <v/>
      </c>
      <c r="PG24" s="9">
        <f>PD24+PE24+PF24</f>
        <v/>
      </c>
      <c r="PH24" s="12">
        <f>SUM(PG13:PG24)</f>
        <v/>
      </c>
      <c r="PI24" s="12">
        <f>OR(PI23,PH24&gt;=VATThreshold)</f>
        <v/>
      </c>
      <c r="PJ24" s="9">
        <f>IF(PI24,PG24/(1+VATRate),PG24)</f>
        <v/>
      </c>
      <c r="PK24" s="12">
        <f>PG24-PJ24</f>
        <v/>
      </c>
      <c r="PL24" s="12">
        <f>IF(PI24=0,0,IF(OH24=1,SUMPRODUCT(--(($OI$5:$OI24=$OI24-1)*($OH$5:$OH24&gt;=10)*($OH$5:$OH24&lt;=12)),$PK$5:$PK24),IF(OH24=4,SUMPRODUCT(--(($OI$5:$OI24=$OI24)*($OH$5:$OH24&gt;=1)*($OH$5:$OH24&lt;=3)),$PK$5:$PK24),IF(OH24=7,SUMPRODUCT(--(($OI$5:$OI24=$OI24)*($OH$5:$OH24&gt;=4)*($OH$5:$OH24&lt;=6)),$PK$5:$PK24),IF(OH24=10,SUMPRODUCT(--(($OI$5:$OI24=$OI24)*($OH$5:$OH24&gt;=7)*($OH$5:$OH24&lt;=9)),$PK$5:$PK24),0)))))</f>
        <v/>
      </c>
      <c r="PM24" s="12">
        <f>PM23+PK24-PL24</f>
        <v/>
      </c>
      <c r="PN24" s="12">
        <f>IF(ProviderDelay&gt;=1,PJ23*ProviderShare,PJ24*ProviderShare)</f>
        <v/>
      </c>
      <c r="PO24" s="12">
        <f>PG24*PaymentFee</f>
        <v/>
      </c>
      <c r="PP24" s="12">
        <f>PA24*OpsAI</f>
        <v/>
      </c>
      <c r="PQ24" s="12">
        <f>MonthlyFixed</f>
        <v/>
      </c>
      <c r="PR24" s="12">
        <f>OO24*ReferralReward</f>
        <v/>
      </c>
      <c r="PS24" s="12">
        <f>OM24</f>
        <v/>
      </c>
      <c r="PT24" s="9">
        <f>PJ24-PN24-PO24-PP24-PQ24-PR24-PS24</f>
        <v/>
      </c>
      <c r="PU24" s="9">
        <f>PU23+PG24-(PN24+PO24+PP24+PQ24+PR24+PS24+PL24)</f>
        <v/>
      </c>
      <c r="PV24" s="12">
        <f>IF(PA24&gt;0,PB24/PA24,0)</f>
        <v/>
      </c>
      <c r="PW24" s="11">
        <f>IF(PA23&gt;0,MAX(0,(PA23+OP24-PA24)/PA23),0)</f>
        <v/>
      </c>
      <c r="PY24" s="12" t="n">
        <v>20</v>
      </c>
      <c r="PZ24" s="12">
        <f>MOD(PY24-1+LaunchMonth-1,12)+1</f>
        <v/>
      </c>
      <c r="QA24" s="12">
        <f>INT((PY24-1+LaunchMonth-1)/12)+1</f>
        <v/>
      </c>
      <c r="QB24" s="12">
        <f>VLOOKUP(PZ24,SeasonTable,2,FALSE)</f>
        <v/>
      </c>
      <c r="QC24" s="12">
        <f>(1+InflationRate)^INT((PY24-1)/12)</f>
        <v/>
      </c>
      <c r="QD24" s="11">
        <f>'Sens - Churn'!$A$20*VLOOKUP(PZ24,ChurnSeasonTable,4,FALSE)</f>
        <v/>
      </c>
      <c r="QE24" s="12">
        <f>MIN(MAX(MktMin19plus,QY23*MktPct19plus),MAX(0,RM23-CashBuffer))</f>
        <v/>
      </c>
      <c r="QF24" s="12">
        <f>IF(QE24&gt;0,MAX(1,ROUND(QE24/CAC*QB24,0)),0)</f>
        <v/>
      </c>
      <c r="QG24" s="12">
        <f>IF(QF24&gt;0,ROUND(QF24*ReferralMix/(1-ReferralMix),0),0)</f>
        <v/>
      </c>
      <c r="QH24" s="12">
        <f>QF24+QG24</f>
        <v/>
      </c>
      <c r="QI24" s="12">
        <f>ROUND(QH24*(1-AnnualMix),0)</f>
        <v/>
      </c>
      <c r="QJ24" s="12">
        <f>QH24-QI24</f>
        <v/>
      </c>
      <c r="QK24" s="12">
        <f>ROUND(QI24*EssentialMix,0)</f>
        <v/>
      </c>
      <c r="QL24" s="12">
        <f>QI24-QK24</f>
        <v/>
      </c>
      <c r="QM24" s="12">
        <f>ROUND(QJ24*EssentialMix,0)</f>
        <v/>
      </c>
      <c r="QN24" s="12">
        <f>QJ24-QM24</f>
        <v/>
      </c>
      <c r="QO24" s="12">
        <f>QK24+QK23+QK22+MAX(0,QO23-QK23-QK22)*(1-QD24)</f>
        <v/>
      </c>
      <c r="QP24" s="12">
        <f>QL24+QL23+QL22+MAX(0,QP23-QL23-QL22)*(1-QD24)</f>
        <v/>
      </c>
      <c r="QQ24" s="12">
        <f>QQ23+QM24-QM12*(AnnualChurn*VLOOKUP(PZ24,ChurnSeasonTable,4,FALSE))*POWER(1-(AnnualChurn*VLOOKUP(PZ24,ChurnSeasonTable,4,FALSE)),0)</f>
        <v/>
      </c>
      <c r="QR24" s="12">
        <f>QR23+QN24-QN12*(AnnualChurn*VLOOKUP(PZ24,ChurnSeasonTable,4,FALSE))*POWER(1-(AnnualChurn*VLOOKUP(PZ24,ChurnSeasonTable,4,FALSE)),0)</f>
        <v/>
      </c>
      <c r="QS24" s="12">
        <f>QO24+QP24+QQ24+QR24</f>
        <v/>
      </c>
      <c r="QT24" s="9">
        <f>QO24*PriceEssMonthly*QC24+QP24*PricePremMonthly*QC24+QQ24*PriceEssAnnual*QC24/12+QR24*PricePremAnnual*QC24/12</f>
        <v/>
      </c>
      <c r="QU24" s="9">
        <f>QT24*12</f>
        <v/>
      </c>
      <c r="QV24" s="12">
        <f>QO24*PriceEssMonthly*QC24+QP24*PricePremMonthly*QC24</f>
        <v/>
      </c>
      <c r="QW24" s="12">
        <f>QM24*PriceEssAnnual*QC24+QN24*PricePremAnnual*QC24</f>
        <v/>
      </c>
      <c r="QX24" s="12">
        <f>QM12*POWER(1-(AnnualChurn*VLOOKUP(PZ24,ChurnSeasonTable,4,FALSE)),1)*PriceEssAnnual*QC24+QN12*POWER(1-(AnnualChurn*VLOOKUP(PZ24,ChurnSeasonTable,4,FALSE)),1)*PricePremAnnual*QC24</f>
        <v/>
      </c>
      <c r="QY24" s="9">
        <f>QV24+QW24+QX24</f>
        <v/>
      </c>
      <c r="QZ24" s="12">
        <f>SUM(QY13:QY24)</f>
        <v/>
      </c>
      <c r="RA24" s="12">
        <f>OR(RA23,QZ24&gt;=VATThreshold)</f>
        <v/>
      </c>
      <c r="RB24" s="9">
        <f>IF(RA24,QY24/(1+VATRate),QY24)</f>
        <v/>
      </c>
      <c r="RC24" s="12">
        <f>QY24-RB24</f>
        <v/>
      </c>
      <c r="RD24" s="12">
        <f>IF(RA24=0,0,IF(PZ24=1,SUMPRODUCT(--(($QA$5:$QA24=$QA24-1)*($PZ$5:$PZ24&gt;=10)*($PZ$5:$PZ24&lt;=12)),$RC$5:$RC24),IF(PZ24=4,SUMPRODUCT(--(($QA$5:$QA24=$QA24)*($PZ$5:$PZ24&gt;=1)*($PZ$5:$PZ24&lt;=3)),$RC$5:$RC24),IF(PZ24=7,SUMPRODUCT(--(($QA$5:$QA24=$QA24)*($PZ$5:$PZ24&gt;=4)*($PZ$5:$PZ24&lt;=6)),$RC$5:$RC24),IF(PZ24=10,SUMPRODUCT(--(($QA$5:$QA24=$QA24)*($PZ$5:$PZ24&gt;=7)*($PZ$5:$PZ24&lt;=9)),$RC$5:$RC24),0)))))</f>
        <v/>
      </c>
      <c r="RE24" s="12">
        <f>RE23+RC24-RD24</f>
        <v/>
      </c>
      <c r="RF24" s="12">
        <f>IF(ProviderDelay&gt;=1,RB23*ProviderShare,RB24*ProviderShare)</f>
        <v/>
      </c>
      <c r="RG24" s="12">
        <f>QY24*PaymentFee</f>
        <v/>
      </c>
      <c r="RH24" s="12">
        <f>QS24*OpsAI</f>
        <v/>
      </c>
      <c r="RI24" s="12">
        <f>MonthlyFixed</f>
        <v/>
      </c>
      <c r="RJ24" s="12">
        <f>QG24*ReferralReward</f>
        <v/>
      </c>
      <c r="RK24" s="12">
        <f>QE24</f>
        <v/>
      </c>
      <c r="RL24" s="9">
        <f>RB24-RF24-RG24-RH24-RI24-RJ24-RK24</f>
        <v/>
      </c>
      <c r="RM24" s="9">
        <f>RM23+QY24-(RF24+RG24+RH24+RI24+RJ24+RK24+RD24)</f>
        <v/>
      </c>
      <c r="RN24" s="12">
        <f>IF(QS24&gt;0,QT24/QS24,0)</f>
        <v/>
      </c>
      <c r="RO24" s="11">
        <f>IF(QS23&gt;0,MAX(0,(QS23+QH24-QS24)/QS23),0)</f>
        <v/>
      </c>
      <c r="RQ24" s="12" t="n">
        <v>20</v>
      </c>
      <c r="RR24" s="12">
        <f>MOD(RQ24-1+LaunchMonth-1,12)+1</f>
        <v/>
      </c>
      <c r="RS24" s="12">
        <f>INT((RQ24-1+LaunchMonth-1)/12)+1</f>
        <v/>
      </c>
      <c r="RT24" s="12">
        <f>VLOOKUP(RR24,SeasonTable,2,FALSE)</f>
        <v/>
      </c>
      <c r="RU24" s="12">
        <f>(1+InflationRate)^INT((RQ24-1)/12)</f>
        <v/>
      </c>
      <c r="RV24" s="11">
        <f>'Sens - Churn'!$A$21*VLOOKUP(RR24,ChurnSeasonTable,4,FALSE)</f>
        <v/>
      </c>
      <c r="RW24" s="12">
        <f>MIN(MAX(MktMin19plus,SQ23*MktPct19plus),MAX(0,TE23-CashBuffer))</f>
        <v/>
      </c>
      <c r="RX24" s="12">
        <f>IF(RW24&gt;0,MAX(1,ROUND(RW24/CAC*RT24,0)),0)</f>
        <v/>
      </c>
      <c r="RY24" s="12">
        <f>IF(RX24&gt;0,ROUND(RX24*ReferralMix/(1-ReferralMix),0),0)</f>
        <v/>
      </c>
      <c r="RZ24" s="12">
        <f>RX24+RY24</f>
        <v/>
      </c>
      <c r="SA24" s="12">
        <f>ROUND(RZ24*(1-AnnualMix),0)</f>
        <v/>
      </c>
      <c r="SB24" s="12">
        <f>RZ24-SA24</f>
        <v/>
      </c>
      <c r="SC24" s="12">
        <f>ROUND(SA24*EssentialMix,0)</f>
        <v/>
      </c>
      <c r="SD24" s="12">
        <f>SA24-SC24</f>
        <v/>
      </c>
      <c r="SE24" s="12">
        <f>ROUND(SB24*EssentialMix,0)</f>
        <v/>
      </c>
      <c r="SF24" s="12">
        <f>SB24-SE24</f>
        <v/>
      </c>
      <c r="SG24" s="12">
        <f>SC24+SC23+SC22+MAX(0,SG23-SC23-SC22)*(1-RV24)</f>
        <v/>
      </c>
      <c r="SH24" s="12">
        <f>SD24+SD23+SD22+MAX(0,SH23-SD23-SD22)*(1-RV24)</f>
        <v/>
      </c>
      <c r="SI24" s="12">
        <f>SI23+SE24-SE12*(AnnualChurn*VLOOKUP(RR24,ChurnSeasonTable,4,FALSE))*POWER(1-(AnnualChurn*VLOOKUP(RR24,ChurnSeasonTable,4,FALSE)),0)</f>
        <v/>
      </c>
      <c r="SJ24" s="12">
        <f>SJ23+SF24-SF12*(AnnualChurn*VLOOKUP(RR24,ChurnSeasonTable,4,FALSE))*POWER(1-(AnnualChurn*VLOOKUP(RR24,ChurnSeasonTable,4,FALSE)),0)</f>
        <v/>
      </c>
      <c r="SK24" s="12">
        <f>SG24+SH24+SI24+SJ24</f>
        <v/>
      </c>
      <c r="SL24" s="9">
        <f>SG24*PriceEssMonthly*RU24+SH24*PricePremMonthly*RU24+SI24*PriceEssAnnual*RU24/12+SJ24*PricePremAnnual*RU24/12</f>
        <v/>
      </c>
      <c r="SM24" s="9">
        <f>SL24*12</f>
        <v/>
      </c>
      <c r="SN24" s="12">
        <f>SG24*PriceEssMonthly*RU24+SH24*PricePremMonthly*RU24</f>
        <v/>
      </c>
      <c r="SO24" s="12">
        <f>SE24*PriceEssAnnual*RU24+SF24*PricePremAnnual*RU24</f>
        <v/>
      </c>
      <c r="SP24" s="12">
        <f>SE12*POWER(1-(AnnualChurn*VLOOKUP(RR24,ChurnSeasonTable,4,FALSE)),1)*PriceEssAnnual*RU24+SF12*POWER(1-(AnnualChurn*VLOOKUP(RR24,ChurnSeasonTable,4,FALSE)),1)*PricePremAnnual*RU24</f>
        <v/>
      </c>
      <c r="SQ24" s="9">
        <f>SN24+SO24+SP24</f>
        <v/>
      </c>
      <c r="SR24" s="12">
        <f>SUM(SQ13:SQ24)</f>
        <v/>
      </c>
      <c r="SS24" s="12">
        <f>OR(SS23,SR24&gt;=VATThreshold)</f>
        <v/>
      </c>
      <c r="ST24" s="9">
        <f>IF(SS24,SQ24/(1+VATRate),SQ24)</f>
        <v/>
      </c>
      <c r="SU24" s="12">
        <f>SQ24-ST24</f>
        <v/>
      </c>
      <c r="SV24" s="12">
        <f>IF(SS24=0,0,IF(RR24=1,SUMPRODUCT(--(($RS$5:$RS24=$RS24-1)*($RR$5:$RR24&gt;=10)*($RR$5:$RR24&lt;=12)),$SU$5:$SU24),IF(RR24=4,SUMPRODUCT(--(($RS$5:$RS24=$RS24)*($RR$5:$RR24&gt;=1)*($RR$5:$RR24&lt;=3)),$SU$5:$SU24),IF(RR24=7,SUMPRODUCT(--(($RS$5:$RS24=$RS24)*($RR$5:$RR24&gt;=4)*($RR$5:$RR24&lt;=6)),$SU$5:$SU24),IF(RR24=10,SUMPRODUCT(--(($RS$5:$RS24=$RS24)*($RR$5:$RR24&gt;=7)*($RR$5:$RR24&lt;=9)),$SU$5:$SU24),0)))))</f>
        <v/>
      </c>
      <c r="SW24" s="12">
        <f>SW23+SU24-SV24</f>
        <v/>
      </c>
      <c r="SX24" s="12">
        <f>IF(ProviderDelay&gt;=1,ST23*ProviderShare,ST24*ProviderShare)</f>
        <v/>
      </c>
      <c r="SY24" s="12">
        <f>SQ24*PaymentFee</f>
        <v/>
      </c>
      <c r="SZ24" s="12">
        <f>SK24*OpsAI</f>
        <v/>
      </c>
      <c r="TA24" s="12">
        <f>MonthlyFixed</f>
        <v/>
      </c>
      <c r="TB24" s="12">
        <f>RY24*ReferralReward</f>
        <v/>
      </c>
      <c r="TC24" s="12">
        <f>RW24</f>
        <v/>
      </c>
      <c r="TD24" s="9">
        <f>ST24-SX24-SY24-SZ24-TA24-TB24-TC24</f>
        <v/>
      </c>
      <c r="TE24" s="9">
        <f>TE23+SQ24-(SX24+SY24+SZ24+TA24+TB24+TC24+SV24)</f>
        <v/>
      </c>
      <c r="TF24" s="12">
        <f>IF(SK24&gt;0,SL24/SK24,0)</f>
        <v/>
      </c>
      <c r="TG24" s="11">
        <f>IF(SK23&gt;0,MAX(0,(SK23+RZ24-SK24)/SK23),0)</f>
        <v/>
      </c>
      <c r="TI24" s="12" t="n">
        <v>20</v>
      </c>
      <c r="TJ24" s="12">
        <f>MOD(TI24-1+LaunchMonth-1,12)+1</f>
        <v/>
      </c>
      <c r="TK24" s="12">
        <f>INT((TI24-1+LaunchMonth-1)/12)+1</f>
        <v/>
      </c>
      <c r="TL24" s="12">
        <f>VLOOKUP(TJ24,SeasonTable,2,FALSE)</f>
        <v/>
      </c>
      <c r="TM24" s="12">
        <f>(1+InflationRate)^INT((TI24-1)/12)</f>
        <v/>
      </c>
      <c r="TN24" s="11">
        <f>MonthlyChurn*VLOOKUP(TJ24,ChurnSeasonTable,4,FALSE)</f>
        <v/>
      </c>
      <c r="TO24" s="12">
        <f>MIN(MAX(MktMin19plus,UI23*MktPct19plus),MAX(0,UW23-CashBuffer))</f>
        <v/>
      </c>
      <c r="TP24" s="12">
        <f>IF(TO24&gt;0,MAX(1,ROUND(TO24/CAC*TL24,0)),0)</f>
        <v/>
      </c>
      <c r="TQ24" s="12">
        <f>IF(TP24&gt;0,ROUND(TP24*ReferralMix/(1-ReferralMix),0),0)</f>
        <v/>
      </c>
      <c r="TR24" s="12">
        <f>TP24+TQ24</f>
        <v/>
      </c>
      <c r="TS24" s="12">
        <f>ROUND(TR24*(1-'Sens - Annual Mix'!$A$9),0)</f>
        <v/>
      </c>
      <c r="TT24" s="12">
        <f>TR24-TS24</f>
        <v/>
      </c>
      <c r="TU24" s="12">
        <f>ROUND(TS24*EssentialMix,0)</f>
        <v/>
      </c>
      <c r="TV24" s="12">
        <f>TS24-TU24</f>
        <v/>
      </c>
      <c r="TW24" s="12">
        <f>ROUND(TT24*EssentialMix,0)</f>
        <v/>
      </c>
      <c r="TX24" s="12">
        <f>TT24-TW24</f>
        <v/>
      </c>
      <c r="TY24" s="12">
        <f>TU24+TU23+TU22+MAX(0,TY23-TU23-TU22)*(1-TN24)</f>
        <v/>
      </c>
      <c r="TZ24" s="12">
        <f>TV24+TV23+TV22+MAX(0,TZ23-TV23-TV22)*(1-TN24)</f>
        <v/>
      </c>
      <c r="UA24" s="12">
        <f>UA23+TW24-TW12*(AnnualChurn*VLOOKUP(TJ24,ChurnSeasonTable,4,FALSE))*POWER(1-(AnnualChurn*VLOOKUP(TJ24,ChurnSeasonTable,4,FALSE)),0)</f>
        <v/>
      </c>
      <c r="UB24" s="12">
        <f>UB23+TX24-TX12*(AnnualChurn*VLOOKUP(TJ24,ChurnSeasonTable,4,FALSE))*POWER(1-(AnnualChurn*VLOOKUP(TJ24,ChurnSeasonTable,4,FALSE)),0)</f>
        <v/>
      </c>
      <c r="UC24" s="12">
        <f>TY24+TZ24+UA24+UB24</f>
        <v/>
      </c>
      <c r="UD24" s="9">
        <f>TY24*PriceEssMonthly*TM24+TZ24*PricePremMonthly*TM24+UA24*PriceEssAnnual*TM24/12+UB24*PricePremAnnual*TM24/12</f>
        <v/>
      </c>
      <c r="UE24" s="9">
        <f>UD24*12</f>
        <v/>
      </c>
      <c r="UF24" s="12">
        <f>TY24*PriceEssMonthly*TM24+TZ24*PricePremMonthly*TM24</f>
        <v/>
      </c>
      <c r="UG24" s="12">
        <f>TW24*PriceEssAnnual*TM24+TX24*PricePremAnnual*TM24</f>
        <v/>
      </c>
      <c r="UH24" s="12">
        <f>TW12*POWER(1-(AnnualChurn*VLOOKUP(TJ24,ChurnSeasonTable,4,FALSE)),1)*PriceEssAnnual*TM24+TX12*POWER(1-(AnnualChurn*VLOOKUP(TJ24,ChurnSeasonTable,4,FALSE)),1)*PricePremAnnual*TM24</f>
        <v/>
      </c>
      <c r="UI24" s="9">
        <f>UF24+UG24+UH24</f>
        <v/>
      </c>
      <c r="UJ24" s="12">
        <f>SUM(UI13:UI24)</f>
        <v/>
      </c>
      <c r="UK24" s="12">
        <f>OR(UK23,UJ24&gt;=VATThreshold)</f>
        <v/>
      </c>
      <c r="UL24" s="9">
        <f>IF(UK24,UI24/(1+VATRate),UI24)</f>
        <v/>
      </c>
      <c r="UM24" s="12">
        <f>UI24-UL24</f>
        <v/>
      </c>
      <c r="UN24" s="12">
        <f>IF(UK24=0,0,IF(TJ24=1,SUMPRODUCT(--(($TK$5:$TK24=$TK24-1)*($TJ$5:$TJ24&gt;=10)*($TJ$5:$TJ24&lt;=12)),$UM$5:$UM24),IF(TJ24=4,SUMPRODUCT(--(($TK$5:$TK24=$TK24)*($TJ$5:$TJ24&gt;=1)*($TJ$5:$TJ24&lt;=3)),$UM$5:$UM24),IF(TJ24=7,SUMPRODUCT(--(($TK$5:$TK24=$TK24)*($TJ$5:$TJ24&gt;=4)*($TJ$5:$TJ24&lt;=6)),$UM$5:$UM24),IF(TJ24=10,SUMPRODUCT(--(($TK$5:$TK24=$TK24)*($TJ$5:$TJ24&gt;=7)*($TJ$5:$TJ24&lt;=9)),$UM$5:$UM24),0)))))</f>
        <v/>
      </c>
      <c r="UO24" s="12">
        <f>UO23+UM24-UN24</f>
        <v/>
      </c>
      <c r="UP24" s="12">
        <f>IF(ProviderDelay&gt;=1,UL23*ProviderShare,UL24*ProviderShare)</f>
        <v/>
      </c>
      <c r="UQ24" s="12">
        <f>UI24*PaymentFee</f>
        <v/>
      </c>
      <c r="UR24" s="12">
        <f>UC24*OpsAI</f>
        <v/>
      </c>
      <c r="US24" s="12">
        <f>MonthlyFixed</f>
        <v/>
      </c>
      <c r="UT24" s="12">
        <f>TQ24*ReferralReward</f>
        <v/>
      </c>
      <c r="UU24" s="12">
        <f>TO24</f>
        <v/>
      </c>
      <c r="UV24" s="9">
        <f>UL24-UP24-UQ24-UR24-US24-UT24-UU24</f>
        <v/>
      </c>
      <c r="UW24" s="9">
        <f>UW23+UI24-(UP24+UQ24+UR24+US24+UT24+UU24+UN24)</f>
        <v/>
      </c>
      <c r="UX24" s="12">
        <f>IF(UC24&gt;0,UD24/UC24,0)</f>
        <v/>
      </c>
      <c r="UY24" s="11">
        <f>IF(UC23&gt;0,MAX(0,(UC23+TR24-UC24)/UC23),0)</f>
        <v/>
      </c>
      <c r="VA24" s="12" t="n">
        <v>20</v>
      </c>
      <c r="VB24" s="12">
        <f>MOD(VA24-1+LaunchMonth-1,12)+1</f>
        <v/>
      </c>
      <c r="VC24" s="12">
        <f>INT((VA24-1+LaunchMonth-1)/12)+1</f>
        <v/>
      </c>
      <c r="VD24" s="12">
        <f>VLOOKUP(VB24,SeasonTable,2,FALSE)</f>
        <v/>
      </c>
      <c r="VE24" s="12">
        <f>(1+InflationRate)^INT((VA24-1)/12)</f>
        <v/>
      </c>
      <c r="VF24" s="11">
        <f>MonthlyChurn*VLOOKUP(VB24,ChurnSeasonTable,4,FALSE)</f>
        <v/>
      </c>
      <c r="VG24" s="12">
        <f>MIN(MAX(MktMin19plus,WA23*MktPct19plus),MAX(0,WO23-CashBuffer))</f>
        <v/>
      </c>
      <c r="VH24" s="12">
        <f>IF(VG24&gt;0,MAX(1,ROUND(VG24/CAC*VD24,0)),0)</f>
        <v/>
      </c>
      <c r="VI24" s="12">
        <f>IF(VH24&gt;0,ROUND(VH24*ReferralMix/(1-ReferralMix),0),0)</f>
        <v/>
      </c>
      <c r="VJ24" s="12">
        <f>VH24+VI24</f>
        <v/>
      </c>
      <c r="VK24" s="12">
        <f>ROUND(VJ24*(1-'Sens - Annual Mix'!$A$10),0)</f>
        <v/>
      </c>
      <c r="VL24" s="12">
        <f>VJ24-VK24</f>
        <v/>
      </c>
      <c r="VM24" s="12">
        <f>ROUND(VK24*EssentialMix,0)</f>
        <v/>
      </c>
      <c r="VN24" s="12">
        <f>VK24-VM24</f>
        <v/>
      </c>
      <c r="VO24" s="12">
        <f>ROUND(VL24*EssentialMix,0)</f>
        <v/>
      </c>
      <c r="VP24" s="12">
        <f>VL24-VO24</f>
        <v/>
      </c>
      <c r="VQ24" s="12">
        <f>VM24+VM23+VM22+MAX(0,VQ23-VM23-VM22)*(1-VF24)</f>
        <v/>
      </c>
      <c r="VR24" s="12">
        <f>VN24+VN23+VN22+MAX(0,VR23-VN23-VN22)*(1-VF24)</f>
        <v/>
      </c>
      <c r="VS24" s="12">
        <f>VS23+VO24-VO12*(AnnualChurn*VLOOKUP(VB24,ChurnSeasonTable,4,FALSE))*POWER(1-(AnnualChurn*VLOOKUP(VB24,ChurnSeasonTable,4,FALSE)),0)</f>
        <v/>
      </c>
      <c r="VT24" s="12">
        <f>VT23+VP24-VP12*(AnnualChurn*VLOOKUP(VB24,ChurnSeasonTable,4,FALSE))*POWER(1-(AnnualChurn*VLOOKUP(VB24,ChurnSeasonTable,4,FALSE)),0)</f>
        <v/>
      </c>
      <c r="VU24" s="12">
        <f>VQ24+VR24+VS24+VT24</f>
        <v/>
      </c>
      <c r="VV24" s="9">
        <f>VQ24*PriceEssMonthly*VE24+VR24*PricePremMonthly*VE24+VS24*PriceEssAnnual*VE24/12+VT24*PricePremAnnual*VE24/12</f>
        <v/>
      </c>
      <c r="VW24" s="9">
        <f>VV24*12</f>
        <v/>
      </c>
      <c r="VX24" s="12">
        <f>VQ24*PriceEssMonthly*VE24+VR24*PricePremMonthly*VE24</f>
        <v/>
      </c>
      <c r="VY24" s="12">
        <f>VO24*PriceEssAnnual*VE24+VP24*PricePremAnnual*VE24</f>
        <v/>
      </c>
      <c r="VZ24" s="12">
        <f>VO12*POWER(1-(AnnualChurn*VLOOKUP(VB24,ChurnSeasonTable,4,FALSE)),1)*PriceEssAnnual*VE24+VP12*POWER(1-(AnnualChurn*VLOOKUP(VB24,ChurnSeasonTable,4,FALSE)),1)*PricePremAnnual*VE24</f>
        <v/>
      </c>
      <c r="WA24" s="9">
        <f>VX24+VY24+VZ24</f>
        <v/>
      </c>
      <c r="WB24" s="12">
        <f>SUM(WA13:WA24)</f>
        <v/>
      </c>
      <c r="WC24" s="12">
        <f>OR(WC23,WB24&gt;=VATThreshold)</f>
        <v/>
      </c>
      <c r="WD24" s="9">
        <f>IF(WC24,WA24/(1+VATRate),WA24)</f>
        <v/>
      </c>
      <c r="WE24" s="12">
        <f>WA24-WD24</f>
        <v/>
      </c>
      <c r="WF24" s="12">
        <f>IF(WC24=0,0,IF(VB24=1,SUMPRODUCT(--(($VC$5:$VC24=$VC24-1)*($VB$5:$VB24&gt;=10)*($VB$5:$VB24&lt;=12)),$WE$5:$WE24),IF(VB24=4,SUMPRODUCT(--(($VC$5:$VC24=$VC24)*($VB$5:$VB24&gt;=1)*($VB$5:$VB24&lt;=3)),$WE$5:$WE24),IF(VB24=7,SUMPRODUCT(--(($VC$5:$VC24=$VC24)*($VB$5:$VB24&gt;=4)*($VB$5:$VB24&lt;=6)),$WE$5:$WE24),IF(VB24=10,SUMPRODUCT(--(($VC$5:$VC24=$VC24)*($VB$5:$VB24&gt;=7)*($VB$5:$VB24&lt;=9)),$WE$5:$WE24),0)))))</f>
        <v/>
      </c>
      <c r="WG24" s="12">
        <f>WG23+WE24-WF24</f>
        <v/>
      </c>
      <c r="WH24" s="12">
        <f>IF(ProviderDelay&gt;=1,WD23*ProviderShare,WD24*ProviderShare)</f>
        <v/>
      </c>
      <c r="WI24" s="12">
        <f>WA24*PaymentFee</f>
        <v/>
      </c>
      <c r="WJ24" s="12">
        <f>VU24*OpsAI</f>
        <v/>
      </c>
      <c r="WK24" s="12">
        <f>MonthlyFixed</f>
        <v/>
      </c>
      <c r="WL24" s="12">
        <f>VI24*ReferralReward</f>
        <v/>
      </c>
      <c r="WM24" s="12">
        <f>VG24</f>
        <v/>
      </c>
      <c r="WN24" s="9">
        <f>WD24-WH24-WI24-WJ24-WK24-WL24-WM24</f>
        <v/>
      </c>
      <c r="WO24" s="9">
        <f>WO23+WA24-(WH24+WI24+WJ24+WK24+WL24+WM24+WF24)</f>
        <v/>
      </c>
      <c r="WP24" s="12">
        <f>IF(VU24&gt;0,VV24/VU24,0)</f>
        <v/>
      </c>
      <c r="WQ24" s="11">
        <f>IF(VU23&gt;0,MAX(0,(VU23+VJ24-VU24)/VU23),0)</f>
        <v/>
      </c>
      <c r="WS24" s="12" t="n">
        <v>20</v>
      </c>
      <c r="WT24" s="12">
        <f>MOD(WS24-1+LaunchMonth-1,12)+1</f>
        <v/>
      </c>
      <c r="WU24" s="12">
        <f>INT((WS24-1+LaunchMonth-1)/12)+1</f>
        <v/>
      </c>
      <c r="WV24" s="12">
        <f>VLOOKUP(WT24,SeasonTable,2,FALSE)</f>
        <v/>
      </c>
      <c r="WW24" s="12">
        <f>(1+InflationRate)^INT((WS24-1)/12)</f>
        <v/>
      </c>
      <c r="WX24" s="11">
        <f>MonthlyChurn*VLOOKUP(WT24,ChurnSeasonTable,4,FALSE)</f>
        <v/>
      </c>
      <c r="WY24" s="12">
        <f>MIN(MAX(MktMin19plus,XS23*MktPct19plus),MAX(0,YG23-CashBuffer))</f>
        <v/>
      </c>
      <c r="WZ24" s="12">
        <f>IF(WY24&gt;0,MAX(1,ROUND(WY24/CAC*WV24,0)),0)</f>
        <v/>
      </c>
      <c r="XA24" s="12">
        <f>IF(WZ24&gt;0,ROUND(WZ24*ReferralMix/(1-ReferralMix),0),0)</f>
        <v/>
      </c>
      <c r="XB24" s="12">
        <f>WZ24+XA24</f>
        <v/>
      </c>
      <c r="XC24" s="12">
        <f>ROUND(XB24*(1-'Sens - Annual Mix'!$A$11),0)</f>
        <v/>
      </c>
      <c r="XD24" s="12">
        <f>XB24-XC24</f>
        <v/>
      </c>
      <c r="XE24" s="12">
        <f>ROUND(XC24*EssentialMix,0)</f>
        <v/>
      </c>
      <c r="XF24" s="12">
        <f>XC24-XE24</f>
        <v/>
      </c>
      <c r="XG24" s="12">
        <f>ROUND(XD24*EssentialMix,0)</f>
        <v/>
      </c>
      <c r="XH24" s="12">
        <f>XD24-XG24</f>
        <v/>
      </c>
      <c r="XI24" s="12">
        <f>XE24+XE23+XE22+MAX(0,XI23-XE23-XE22)*(1-WX24)</f>
        <v/>
      </c>
      <c r="XJ24" s="12">
        <f>XF24+XF23+XF22+MAX(0,XJ23-XF23-XF22)*(1-WX24)</f>
        <v/>
      </c>
      <c r="XK24" s="12">
        <f>XK23+XG24-XG12*(AnnualChurn*VLOOKUP(WT24,ChurnSeasonTable,4,FALSE))*POWER(1-(AnnualChurn*VLOOKUP(WT24,ChurnSeasonTable,4,FALSE)),0)</f>
        <v/>
      </c>
      <c r="XL24" s="12">
        <f>XL23+XH24-XH12*(AnnualChurn*VLOOKUP(WT24,ChurnSeasonTable,4,FALSE))*POWER(1-(AnnualChurn*VLOOKUP(WT24,ChurnSeasonTable,4,FALSE)),0)</f>
        <v/>
      </c>
      <c r="XM24" s="12">
        <f>XI24+XJ24+XK24+XL24</f>
        <v/>
      </c>
      <c r="XN24" s="9">
        <f>XI24*PriceEssMonthly*WW24+XJ24*PricePremMonthly*WW24+XK24*PriceEssAnnual*WW24/12+XL24*PricePremAnnual*WW24/12</f>
        <v/>
      </c>
      <c r="XO24" s="9">
        <f>XN24*12</f>
        <v/>
      </c>
      <c r="XP24" s="12">
        <f>XI24*PriceEssMonthly*WW24+XJ24*PricePremMonthly*WW24</f>
        <v/>
      </c>
      <c r="XQ24" s="12">
        <f>XG24*PriceEssAnnual*WW24+XH24*PricePremAnnual*WW24</f>
        <v/>
      </c>
      <c r="XR24" s="12">
        <f>XG12*POWER(1-(AnnualChurn*VLOOKUP(WT24,ChurnSeasonTable,4,FALSE)),1)*PriceEssAnnual*WW24+XH12*POWER(1-(AnnualChurn*VLOOKUP(WT24,ChurnSeasonTable,4,FALSE)),1)*PricePremAnnual*WW24</f>
        <v/>
      </c>
      <c r="XS24" s="9">
        <f>XP24+XQ24+XR24</f>
        <v/>
      </c>
      <c r="XT24" s="12">
        <f>SUM(XS13:XS24)</f>
        <v/>
      </c>
      <c r="XU24" s="12">
        <f>OR(XU23,XT24&gt;=VATThreshold)</f>
        <v/>
      </c>
      <c r="XV24" s="9">
        <f>IF(XU24,XS24/(1+VATRate),XS24)</f>
        <v/>
      </c>
      <c r="XW24" s="12">
        <f>XS24-XV24</f>
        <v/>
      </c>
      <c r="XX24" s="12">
        <f>IF(XU24=0,0,IF(WT24=1,SUMPRODUCT(--(($WU$5:$WU24=$WU24-1)*($WT$5:$WT24&gt;=10)*($WT$5:$WT24&lt;=12)),$XW$5:$XW24),IF(WT24=4,SUMPRODUCT(--(($WU$5:$WU24=$WU24)*($WT$5:$WT24&gt;=1)*($WT$5:$WT24&lt;=3)),$XW$5:$XW24),IF(WT24=7,SUMPRODUCT(--(($WU$5:$WU24=$WU24)*($WT$5:$WT24&gt;=4)*($WT$5:$WT24&lt;=6)),$XW$5:$XW24),IF(WT24=10,SUMPRODUCT(--(($WU$5:$WU24=$WU24)*($WT$5:$WT24&gt;=7)*($WT$5:$WT24&lt;=9)),$XW$5:$XW24),0)))))</f>
        <v/>
      </c>
      <c r="XY24" s="12">
        <f>XY23+XW24-XX24</f>
        <v/>
      </c>
      <c r="XZ24" s="12">
        <f>IF(ProviderDelay&gt;=1,XV23*ProviderShare,XV24*ProviderShare)</f>
        <v/>
      </c>
      <c r="YA24" s="12">
        <f>XS24*PaymentFee</f>
        <v/>
      </c>
      <c r="YB24" s="12">
        <f>XM24*OpsAI</f>
        <v/>
      </c>
      <c r="YC24" s="12">
        <f>MonthlyFixed</f>
        <v/>
      </c>
      <c r="YD24" s="12">
        <f>XA24*ReferralReward</f>
        <v/>
      </c>
      <c r="YE24" s="12">
        <f>WY24</f>
        <v/>
      </c>
      <c r="YF24" s="9">
        <f>XV24-XZ24-YA24-YB24-YC24-YD24-YE24</f>
        <v/>
      </c>
      <c r="YG24" s="9">
        <f>YG23+XS24-(XZ24+YA24+YB24+YC24+YD24+YE24+XX24)</f>
        <v/>
      </c>
      <c r="YH24" s="12">
        <f>IF(XM24&gt;0,XN24/XM24,0)</f>
        <v/>
      </c>
      <c r="YI24" s="11">
        <f>IF(XM23&gt;0,MAX(0,(XM23+XB24-XM24)/XM23),0)</f>
        <v/>
      </c>
      <c r="YK24" s="12" t="n">
        <v>20</v>
      </c>
      <c r="YL24" s="12">
        <f>MOD(YK24-1+LaunchMonth-1,12)+1</f>
        <v/>
      </c>
      <c r="YM24" s="12">
        <f>INT((YK24-1+LaunchMonth-1)/12)+1</f>
        <v/>
      </c>
      <c r="YN24" s="12">
        <f>VLOOKUP(YL24,SeasonTable,2,FALSE)</f>
        <v/>
      </c>
      <c r="YO24" s="12">
        <f>(1+InflationRate)^INT((YK24-1)/12)</f>
        <v/>
      </c>
      <c r="YP24" s="11">
        <f>MonthlyChurn*VLOOKUP(YL24,ChurnSeasonTable,4,FALSE)</f>
        <v/>
      </c>
      <c r="YQ24" s="12">
        <f>MIN(MAX(MktMin19plus,ZK23*MktPct19plus),MAX(0,ZY23-CashBuffer))</f>
        <v/>
      </c>
      <c r="YR24" s="12">
        <f>IF(YQ24&gt;0,MAX(1,ROUND(YQ24/CAC*YN24,0)),0)</f>
        <v/>
      </c>
      <c r="YS24" s="12">
        <f>IF(YR24&gt;0,ROUND(YR24*ReferralMix/(1-ReferralMix),0),0)</f>
        <v/>
      </c>
      <c r="YT24" s="12">
        <f>YR24+YS24</f>
        <v/>
      </c>
      <c r="YU24" s="12">
        <f>ROUND(YT24*(1-'Sens - Annual Mix'!$A$12),0)</f>
        <v/>
      </c>
      <c r="YV24" s="12">
        <f>YT24-YU24</f>
        <v/>
      </c>
      <c r="YW24" s="12">
        <f>ROUND(YU24*EssentialMix,0)</f>
        <v/>
      </c>
      <c r="YX24" s="12">
        <f>YU24-YW24</f>
        <v/>
      </c>
      <c r="YY24" s="12">
        <f>ROUND(YV24*EssentialMix,0)</f>
        <v/>
      </c>
      <c r="YZ24" s="12">
        <f>YV24-YY24</f>
        <v/>
      </c>
      <c r="ZA24" s="12">
        <f>YW24+YW23+YW22+MAX(0,ZA23-YW23-YW22)*(1-YP24)</f>
        <v/>
      </c>
      <c r="ZB24" s="12">
        <f>YX24+YX23+YX22+MAX(0,ZB23-YX23-YX22)*(1-YP24)</f>
        <v/>
      </c>
      <c r="ZC24" s="12">
        <f>ZC23+YY24-YY12*(AnnualChurn*VLOOKUP(YL24,ChurnSeasonTable,4,FALSE))*POWER(1-(AnnualChurn*VLOOKUP(YL24,ChurnSeasonTable,4,FALSE)),0)</f>
        <v/>
      </c>
      <c r="ZD24" s="12">
        <f>ZD23+YZ24-YZ12*(AnnualChurn*VLOOKUP(YL24,ChurnSeasonTable,4,FALSE))*POWER(1-(AnnualChurn*VLOOKUP(YL24,ChurnSeasonTable,4,FALSE)),0)</f>
        <v/>
      </c>
      <c r="ZE24" s="12">
        <f>ZA24+ZB24+ZC24+ZD24</f>
        <v/>
      </c>
      <c r="ZF24" s="9">
        <f>ZA24*PriceEssMonthly*YO24+ZB24*PricePremMonthly*YO24+ZC24*PriceEssAnnual*YO24/12+ZD24*PricePremAnnual*YO24/12</f>
        <v/>
      </c>
      <c r="ZG24" s="9">
        <f>ZF24*12</f>
        <v/>
      </c>
      <c r="ZH24" s="12">
        <f>ZA24*PriceEssMonthly*YO24+ZB24*PricePremMonthly*YO24</f>
        <v/>
      </c>
      <c r="ZI24" s="12">
        <f>YY24*PriceEssAnnual*YO24+YZ24*PricePremAnnual*YO24</f>
        <v/>
      </c>
      <c r="ZJ24" s="12">
        <f>YY12*POWER(1-(AnnualChurn*VLOOKUP(YL24,ChurnSeasonTable,4,FALSE)),1)*PriceEssAnnual*YO24+YZ12*POWER(1-(AnnualChurn*VLOOKUP(YL24,ChurnSeasonTable,4,FALSE)),1)*PricePremAnnual*YO24</f>
        <v/>
      </c>
      <c r="ZK24" s="9">
        <f>ZH24+ZI24+ZJ24</f>
        <v/>
      </c>
      <c r="ZL24" s="12">
        <f>SUM(ZK13:ZK24)</f>
        <v/>
      </c>
      <c r="ZM24" s="12">
        <f>OR(ZM23,ZL24&gt;=VATThreshold)</f>
        <v/>
      </c>
      <c r="ZN24" s="9">
        <f>IF(ZM24,ZK24/(1+VATRate),ZK24)</f>
        <v/>
      </c>
      <c r="ZO24" s="12">
        <f>ZK24-ZN24</f>
        <v/>
      </c>
      <c r="ZP24" s="12">
        <f>IF(ZM24=0,0,IF(YL24=1,SUMPRODUCT(--(($YM$5:$YM24=$YM24-1)*($YL$5:$YL24&gt;=10)*($YL$5:$YL24&lt;=12)),$ZO$5:$ZO24),IF(YL24=4,SUMPRODUCT(--(($YM$5:$YM24=$YM24)*($YL$5:$YL24&gt;=1)*($YL$5:$YL24&lt;=3)),$ZO$5:$ZO24),IF(YL24=7,SUMPRODUCT(--(($YM$5:$YM24=$YM24)*($YL$5:$YL24&gt;=4)*($YL$5:$YL24&lt;=6)),$ZO$5:$ZO24),IF(YL24=10,SUMPRODUCT(--(($YM$5:$YM24=$YM24)*($YL$5:$YL24&gt;=7)*($YL$5:$YL24&lt;=9)),$ZO$5:$ZO24),0)))))</f>
        <v/>
      </c>
      <c r="ZQ24" s="12">
        <f>ZQ23+ZO24-ZP24</f>
        <v/>
      </c>
      <c r="ZR24" s="12">
        <f>IF(ProviderDelay&gt;=1,ZN23*ProviderShare,ZN24*ProviderShare)</f>
        <v/>
      </c>
      <c r="ZS24" s="12">
        <f>ZK24*PaymentFee</f>
        <v/>
      </c>
      <c r="ZT24" s="12">
        <f>ZE24*OpsAI</f>
        <v/>
      </c>
      <c r="ZU24" s="12">
        <f>MonthlyFixed</f>
        <v/>
      </c>
      <c r="ZV24" s="12">
        <f>YS24*ReferralReward</f>
        <v/>
      </c>
      <c r="ZW24" s="12">
        <f>YQ24</f>
        <v/>
      </c>
      <c r="ZX24" s="9">
        <f>ZN24-ZR24-ZS24-ZT24-ZU24-ZV24-ZW24</f>
        <v/>
      </c>
      <c r="ZY24" s="9">
        <f>ZY23+ZK24-(ZR24+ZS24+ZT24+ZU24+ZV24+ZW24+ZP24)</f>
        <v/>
      </c>
      <c r="ZZ24" s="12">
        <f>IF(ZE24&gt;0,ZF24/ZE24,0)</f>
        <v/>
      </c>
      <c r="AAA24" s="11">
        <f>IF(ZE23&gt;0,MAX(0,(ZE23+YT24-ZE24)/ZE23),0)</f>
        <v/>
      </c>
      <c r="AAC24" s="12" t="n">
        <v>20</v>
      </c>
      <c r="AAD24" s="12">
        <f>MOD(AAC24-1+LaunchMonth-1,12)+1</f>
        <v/>
      </c>
      <c r="AAE24" s="12">
        <f>INT((AAC24-1+LaunchMonth-1)/12)+1</f>
        <v/>
      </c>
      <c r="AAF24" s="12">
        <f>VLOOKUP(AAD24,SeasonTable,2,FALSE)</f>
        <v/>
      </c>
      <c r="AAG24" s="12">
        <f>(1+InflationRate)^INT((AAC24-1)/12)</f>
        <v/>
      </c>
      <c r="AAH24" s="11">
        <f>MonthlyChurn*VLOOKUP(AAD24,ChurnSeasonTable,4,FALSE)</f>
        <v/>
      </c>
      <c r="AAI24" s="12">
        <f>MIN(MAX(MktMin19plus,ABC23*MktPct19plus),MAX(0,ABQ23-CashBuffer))</f>
        <v/>
      </c>
      <c r="AAJ24" s="12">
        <f>IF(AAI24&gt;0,MAX(1,ROUND(AAI24/CAC*AAF24,0)),0)</f>
        <v/>
      </c>
      <c r="AAK24" s="12">
        <f>IF(AAJ24&gt;0,ROUND(AAJ24*ReferralMix/(1-ReferralMix),0),0)</f>
        <v/>
      </c>
      <c r="AAL24" s="12">
        <f>AAJ24+AAK24</f>
        <v/>
      </c>
      <c r="AAM24" s="12">
        <f>ROUND(AAL24*(1-'Sens - Annual Mix'!$A$13),0)</f>
        <v/>
      </c>
      <c r="AAN24" s="12">
        <f>AAL24-AAM24</f>
        <v/>
      </c>
      <c r="AAO24" s="12">
        <f>ROUND(AAM24*EssentialMix,0)</f>
        <v/>
      </c>
      <c r="AAP24" s="12">
        <f>AAM24-AAO24</f>
        <v/>
      </c>
      <c r="AAQ24" s="12">
        <f>ROUND(AAN24*EssentialMix,0)</f>
        <v/>
      </c>
      <c r="AAR24" s="12">
        <f>AAN24-AAQ24</f>
        <v/>
      </c>
      <c r="AAS24" s="12">
        <f>AAO24+AAO23+AAO22+MAX(0,AAS23-AAO23-AAO22)*(1-AAH24)</f>
        <v/>
      </c>
      <c r="AAT24" s="12">
        <f>AAP24+AAP23+AAP22+MAX(0,AAT23-AAP23-AAP22)*(1-AAH24)</f>
        <v/>
      </c>
      <c r="AAU24" s="12">
        <f>AAU23+AAQ24-AAQ12*(AnnualChurn*VLOOKUP(AAD24,ChurnSeasonTable,4,FALSE))*POWER(1-(AnnualChurn*VLOOKUP(AAD24,ChurnSeasonTable,4,FALSE)),0)</f>
        <v/>
      </c>
      <c r="AAV24" s="12">
        <f>AAV23+AAR24-AAR12*(AnnualChurn*VLOOKUP(AAD24,ChurnSeasonTable,4,FALSE))*POWER(1-(AnnualChurn*VLOOKUP(AAD24,ChurnSeasonTable,4,FALSE)),0)</f>
        <v/>
      </c>
      <c r="AAW24" s="12">
        <f>AAS24+AAT24+AAU24+AAV24</f>
        <v/>
      </c>
      <c r="AAX24" s="9">
        <f>AAS24*PriceEssMonthly*AAG24+AAT24*PricePremMonthly*AAG24+AAU24*PriceEssAnnual*AAG24/12+AAV24*PricePremAnnual*AAG24/12</f>
        <v/>
      </c>
      <c r="AAY24" s="9">
        <f>AAX24*12</f>
        <v/>
      </c>
      <c r="AAZ24" s="12">
        <f>AAS24*PriceEssMonthly*AAG24+AAT24*PricePremMonthly*AAG24</f>
        <v/>
      </c>
      <c r="ABA24" s="12">
        <f>AAQ24*PriceEssAnnual*AAG24+AAR24*PricePremAnnual*AAG24</f>
        <v/>
      </c>
      <c r="ABB24" s="12">
        <f>AAQ12*POWER(1-(AnnualChurn*VLOOKUP(AAD24,ChurnSeasonTable,4,FALSE)),1)*PriceEssAnnual*AAG24+AAR12*POWER(1-(AnnualChurn*VLOOKUP(AAD24,ChurnSeasonTable,4,FALSE)),1)*PricePremAnnual*AAG24</f>
        <v/>
      </c>
      <c r="ABC24" s="9">
        <f>AAZ24+ABA24+ABB24</f>
        <v/>
      </c>
      <c r="ABD24" s="12">
        <f>SUM(ABC13:ABC24)</f>
        <v/>
      </c>
      <c r="ABE24" s="12">
        <f>OR(ABE23,ABD24&gt;=VATThreshold)</f>
        <v/>
      </c>
      <c r="ABF24" s="9">
        <f>IF(ABE24,ABC24/(1+VATRate),ABC24)</f>
        <v/>
      </c>
      <c r="ABG24" s="12">
        <f>ABC24-ABF24</f>
        <v/>
      </c>
      <c r="ABH24" s="12">
        <f>IF(ABE24=0,0,IF(AAD24=1,SUMPRODUCT(--(($AAE$5:$AAE24=$AAE24-1)*($AAD$5:$AAD24&gt;=10)*($AAD$5:$AAD24&lt;=12)),$ABG$5:$ABG24),IF(AAD24=4,SUMPRODUCT(--(($AAE$5:$AAE24=$AAE24)*($AAD$5:$AAD24&gt;=1)*($AAD$5:$AAD24&lt;=3)),$ABG$5:$ABG24),IF(AAD24=7,SUMPRODUCT(--(($AAE$5:$AAE24=$AAE24)*($AAD$5:$AAD24&gt;=4)*($AAD$5:$AAD24&lt;=6)),$ABG$5:$ABG24),IF(AAD24=10,SUMPRODUCT(--(($AAE$5:$AAE24=$AAE24)*($AAD$5:$AAD24&gt;=7)*($AAD$5:$AAD24&lt;=9)),$ABG$5:$ABG24),0)))))</f>
        <v/>
      </c>
      <c r="ABI24" s="12">
        <f>ABI23+ABG24-ABH24</f>
        <v/>
      </c>
      <c r="ABJ24" s="12">
        <f>IF(ProviderDelay&gt;=1,ABF23*ProviderShare,ABF24*ProviderShare)</f>
        <v/>
      </c>
      <c r="ABK24" s="12">
        <f>ABC24*PaymentFee</f>
        <v/>
      </c>
      <c r="ABL24" s="12">
        <f>AAW24*OpsAI</f>
        <v/>
      </c>
      <c r="ABM24" s="12">
        <f>MonthlyFixed</f>
        <v/>
      </c>
      <c r="ABN24" s="12">
        <f>AAK24*ReferralReward</f>
        <v/>
      </c>
      <c r="ABO24" s="12">
        <f>AAI24</f>
        <v/>
      </c>
      <c r="ABP24" s="9">
        <f>ABF24-ABJ24-ABK24-ABL24-ABM24-ABN24-ABO24</f>
        <v/>
      </c>
      <c r="ABQ24" s="9">
        <f>ABQ23+ABC24-(ABJ24+ABK24+ABL24+ABM24+ABN24+ABO24+ABH24)</f>
        <v/>
      </c>
      <c r="ABR24" s="12">
        <f>IF(AAW24&gt;0,AAX24/AAW24,0)</f>
        <v/>
      </c>
      <c r="ABS24" s="11">
        <f>IF(AAW23&gt;0,MAX(0,(AAW23+AAL24-AAW24)/AAW23),0)</f>
        <v/>
      </c>
      <c r="ABU24" s="12" t="n">
        <v>20</v>
      </c>
      <c r="ABV24" s="12">
        <f>MOD(ABU24-1+LaunchMonth-1,12)+1</f>
        <v/>
      </c>
      <c r="ABW24" s="12">
        <f>INT((ABU24-1+LaunchMonth-1)/12)+1</f>
        <v/>
      </c>
      <c r="ABX24" s="12">
        <f>VLOOKUP(ABV24,SeasonTable,2,FALSE)</f>
        <v/>
      </c>
      <c r="ABY24" s="12">
        <f>(1+InflationRate)^INT((ABU24-1)/12)</f>
        <v/>
      </c>
      <c r="ABZ24" s="11">
        <f>MonthlyChurn*VLOOKUP(ABV24,ChurnSeasonTable,4,FALSE)</f>
        <v/>
      </c>
      <c r="ACA24" s="12">
        <f>MIN(MAX(MktMin19plus,ACU23*MktPct19plus),MAX(0,ADI23-CashBuffer))</f>
        <v/>
      </c>
      <c r="ACB24" s="12">
        <f>IF(ACA24&gt;0,MAX(1,ROUND(ACA24/CAC*ABX24,0)),0)</f>
        <v/>
      </c>
      <c r="ACC24" s="12">
        <f>IF(ACB24&gt;0,ROUND(ACB24*ReferralMix/(1-ReferralMix),0),0)</f>
        <v/>
      </c>
      <c r="ACD24" s="12">
        <f>ACB24+ACC24</f>
        <v/>
      </c>
      <c r="ACE24" s="12">
        <f>ROUND(ACD24*(1-'Sens - Annual Mix'!$A$14),0)</f>
        <v/>
      </c>
      <c r="ACF24" s="12">
        <f>ACD24-ACE24</f>
        <v/>
      </c>
      <c r="ACG24" s="12">
        <f>ROUND(ACE24*EssentialMix,0)</f>
        <v/>
      </c>
      <c r="ACH24" s="12">
        <f>ACE24-ACG24</f>
        <v/>
      </c>
      <c r="ACI24" s="12">
        <f>ROUND(ACF24*EssentialMix,0)</f>
        <v/>
      </c>
      <c r="ACJ24" s="12">
        <f>ACF24-ACI24</f>
        <v/>
      </c>
      <c r="ACK24" s="12">
        <f>ACG24+ACG23+ACG22+MAX(0,ACK23-ACG23-ACG22)*(1-ABZ24)</f>
        <v/>
      </c>
      <c r="ACL24" s="12">
        <f>ACH24+ACH23+ACH22+MAX(0,ACL23-ACH23-ACH22)*(1-ABZ24)</f>
        <v/>
      </c>
      <c r="ACM24" s="12">
        <f>ACM23+ACI24-ACI12*(AnnualChurn*VLOOKUP(ABV24,ChurnSeasonTable,4,FALSE))*POWER(1-(AnnualChurn*VLOOKUP(ABV24,ChurnSeasonTable,4,FALSE)),0)</f>
        <v/>
      </c>
      <c r="ACN24" s="12">
        <f>ACN23+ACJ24-ACJ12*(AnnualChurn*VLOOKUP(ABV24,ChurnSeasonTable,4,FALSE))*POWER(1-(AnnualChurn*VLOOKUP(ABV24,ChurnSeasonTable,4,FALSE)),0)</f>
        <v/>
      </c>
      <c r="ACO24" s="12">
        <f>ACK24+ACL24+ACM24+ACN24</f>
        <v/>
      </c>
      <c r="ACP24" s="9">
        <f>ACK24*PriceEssMonthly*ABY24+ACL24*PricePremMonthly*ABY24+ACM24*PriceEssAnnual*ABY24/12+ACN24*PricePremAnnual*ABY24/12</f>
        <v/>
      </c>
      <c r="ACQ24" s="9">
        <f>ACP24*12</f>
        <v/>
      </c>
      <c r="ACR24" s="12">
        <f>ACK24*PriceEssMonthly*ABY24+ACL24*PricePremMonthly*ABY24</f>
        <v/>
      </c>
      <c r="ACS24" s="12">
        <f>ACI24*PriceEssAnnual*ABY24+ACJ24*PricePremAnnual*ABY24</f>
        <v/>
      </c>
      <c r="ACT24" s="12">
        <f>ACI12*POWER(1-(AnnualChurn*VLOOKUP(ABV24,ChurnSeasonTable,4,FALSE)),1)*PriceEssAnnual*ABY24+ACJ12*POWER(1-(AnnualChurn*VLOOKUP(ABV24,ChurnSeasonTable,4,FALSE)),1)*PricePremAnnual*ABY24</f>
        <v/>
      </c>
      <c r="ACU24" s="9">
        <f>ACR24+ACS24+ACT24</f>
        <v/>
      </c>
      <c r="ACV24" s="12">
        <f>SUM(ACU13:ACU24)</f>
        <v/>
      </c>
      <c r="ACW24" s="12">
        <f>OR(ACW23,ACV24&gt;=VATThreshold)</f>
        <v/>
      </c>
      <c r="ACX24" s="9">
        <f>IF(ACW24,ACU24/(1+VATRate),ACU24)</f>
        <v/>
      </c>
      <c r="ACY24" s="12">
        <f>ACU24-ACX24</f>
        <v/>
      </c>
      <c r="ACZ24" s="12">
        <f>IF(ACW24=0,0,IF(ABV24=1,SUMPRODUCT(--(($ABW$5:$ABW24=$ABW24-1)*($ABV$5:$ABV24&gt;=10)*($ABV$5:$ABV24&lt;=12)),$ACY$5:$ACY24),IF(ABV24=4,SUMPRODUCT(--(($ABW$5:$ABW24=$ABW24)*($ABV$5:$ABV24&gt;=1)*($ABV$5:$ABV24&lt;=3)),$ACY$5:$ACY24),IF(ABV24=7,SUMPRODUCT(--(($ABW$5:$ABW24=$ABW24)*($ABV$5:$ABV24&gt;=4)*($ABV$5:$ABV24&lt;=6)),$ACY$5:$ACY24),IF(ABV24=10,SUMPRODUCT(--(($ABW$5:$ABW24=$ABW24)*($ABV$5:$ABV24&gt;=7)*($ABV$5:$ABV24&lt;=9)),$ACY$5:$ACY24),0)))))</f>
        <v/>
      </c>
      <c r="ADA24" s="12">
        <f>ADA23+ACY24-ACZ24</f>
        <v/>
      </c>
      <c r="ADB24" s="12">
        <f>IF(ProviderDelay&gt;=1,ACX23*ProviderShare,ACX24*ProviderShare)</f>
        <v/>
      </c>
      <c r="ADC24" s="12">
        <f>ACU24*PaymentFee</f>
        <v/>
      </c>
      <c r="ADD24" s="12">
        <f>ACO24*OpsAI</f>
        <v/>
      </c>
      <c r="ADE24" s="12">
        <f>MonthlyFixed</f>
        <v/>
      </c>
      <c r="ADF24" s="12">
        <f>ACC24*ReferralReward</f>
        <v/>
      </c>
      <c r="ADG24" s="12">
        <f>ACA24</f>
        <v/>
      </c>
      <c r="ADH24" s="9">
        <f>ACX24-ADB24-ADC24-ADD24-ADE24-ADF24-ADG24</f>
        <v/>
      </c>
      <c r="ADI24" s="9">
        <f>ADI23+ACU24-(ADB24+ADC24+ADD24+ADE24+ADF24+ADG24+ACZ24)</f>
        <v/>
      </c>
      <c r="ADJ24" s="12">
        <f>IF(ACO24&gt;0,ACP24/ACO24,0)</f>
        <v/>
      </c>
      <c r="ADK24" s="11">
        <f>IF(ACO23&gt;0,MAX(0,(ACO23+ACD24-ACO24)/ACO23),0)</f>
        <v/>
      </c>
      <c r="ADM24" s="12" t="n">
        <v>20</v>
      </c>
      <c r="ADN24" s="12">
        <f>MOD(ADM24-1+LaunchMonth-1,12)+1</f>
        <v/>
      </c>
      <c r="ADO24" s="12">
        <f>INT((ADM24-1+LaunchMonth-1)/12)+1</f>
        <v/>
      </c>
      <c r="ADP24" s="12">
        <f>VLOOKUP(ADN24,SeasonTable,2,FALSE)</f>
        <v/>
      </c>
      <c r="ADQ24" s="12">
        <f>(1+InflationRate)^INT((ADM24-1)/12)</f>
        <v/>
      </c>
      <c r="ADR24" s="11">
        <f>MonthlyChurn*VLOOKUP(ADN24,ChurnSeasonTable,4,FALSE)</f>
        <v/>
      </c>
      <c r="ADS24" s="12">
        <f>MIN(MAX(MktMin19plus,AEM23*MktPct19plus),MAX(0,AFA23-CashBuffer))</f>
        <v/>
      </c>
      <c r="ADT24" s="12">
        <f>IF(ADS24&gt;0,MAX(1,ROUND(ADS24/CAC*ADP24,0)),0)</f>
        <v/>
      </c>
      <c r="ADU24" s="12">
        <f>IF(ADT24&gt;0,ROUND(ADT24*ReferralMix/(1-ReferralMix),0),0)</f>
        <v/>
      </c>
      <c r="ADV24" s="12">
        <f>ADT24+ADU24</f>
        <v/>
      </c>
      <c r="ADW24" s="12">
        <f>ROUND(ADV24*(1-'Sens - Annual Mix'!$A$15),0)</f>
        <v/>
      </c>
      <c r="ADX24" s="12">
        <f>ADV24-ADW24</f>
        <v/>
      </c>
      <c r="ADY24" s="12">
        <f>ROUND(ADW24*EssentialMix,0)</f>
        <v/>
      </c>
      <c r="ADZ24" s="12">
        <f>ADW24-ADY24</f>
        <v/>
      </c>
      <c r="AEA24" s="12">
        <f>ROUND(ADX24*EssentialMix,0)</f>
        <v/>
      </c>
      <c r="AEB24" s="12">
        <f>ADX24-AEA24</f>
        <v/>
      </c>
      <c r="AEC24" s="12">
        <f>ADY24+ADY23+ADY22+MAX(0,AEC23-ADY23-ADY22)*(1-ADR24)</f>
        <v/>
      </c>
      <c r="AED24" s="12">
        <f>ADZ24+ADZ23+ADZ22+MAX(0,AED23-ADZ23-ADZ22)*(1-ADR24)</f>
        <v/>
      </c>
      <c r="AEE24" s="12">
        <f>AEE23+AEA24-AEA12*(AnnualChurn*VLOOKUP(ADN24,ChurnSeasonTable,4,FALSE))*POWER(1-(AnnualChurn*VLOOKUP(ADN24,ChurnSeasonTable,4,FALSE)),0)</f>
        <v/>
      </c>
      <c r="AEF24" s="12">
        <f>AEF23+AEB24-AEB12*(AnnualChurn*VLOOKUP(ADN24,ChurnSeasonTable,4,FALSE))*POWER(1-(AnnualChurn*VLOOKUP(ADN24,ChurnSeasonTable,4,FALSE)),0)</f>
        <v/>
      </c>
      <c r="AEG24" s="12">
        <f>AEC24+AED24+AEE24+AEF24</f>
        <v/>
      </c>
      <c r="AEH24" s="9">
        <f>AEC24*PriceEssMonthly*ADQ24+AED24*PricePremMonthly*ADQ24+AEE24*PriceEssAnnual*ADQ24/12+AEF24*PricePremAnnual*ADQ24/12</f>
        <v/>
      </c>
      <c r="AEI24" s="9">
        <f>AEH24*12</f>
        <v/>
      </c>
      <c r="AEJ24" s="12">
        <f>AEC24*PriceEssMonthly*ADQ24+AED24*PricePremMonthly*ADQ24</f>
        <v/>
      </c>
      <c r="AEK24" s="12">
        <f>AEA24*PriceEssAnnual*ADQ24+AEB24*PricePremAnnual*ADQ24</f>
        <v/>
      </c>
      <c r="AEL24" s="12">
        <f>AEA12*POWER(1-(AnnualChurn*VLOOKUP(ADN24,ChurnSeasonTable,4,FALSE)),1)*PriceEssAnnual*ADQ24+AEB12*POWER(1-(AnnualChurn*VLOOKUP(ADN24,ChurnSeasonTable,4,FALSE)),1)*PricePremAnnual*ADQ24</f>
        <v/>
      </c>
      <c r="AEM24" s="9">
        <f>AEJ24+AEK24+AEL24</f>
        <v/>
      </c>
      <c r="AEN24" s="12">
        <f>SUM(AEM13:AEM24)</f>
        <v/>
      </c>
      <c r="AEO24" s="12">
        <f>OR(AEO23,AEN24&gt;=VATThreshold)</f>
        <v/>
      </c>
      <c r="AEP24" s="9">
        <f>IF(AEO24,AEM24/(1+VATRate),AEM24)</f>
        <v/>
      </c>
      <c r="AEQ24" s="12">
        <f>AEM24-AEP24</f>
        <v/>
      </c>
      <c r="AER24" s="12">
        <f>IF(AEO24=0,0,IF(ADN24=1,SUMPRODUCT(--(($ADO$5:$ADO24=$ADO24-1)*($ADN$5:$ADN24&gt;=10)*($ADN$5:$ADN24&lt;=12)),$AEQ$5:$AEQ24),IF(ADN24=4,SUMPRODUCT(--(($ADO$5:$ADO24=$ADO24)*($ADN$5:$ADN24&gt;=1)*($ADN$5:$ADN24&lt;=3)),$AEQ$5:$AEQ24),IF(ADN24=7,SUMPRODUCT(--(($ADO$5:$ADO24=$ADO24)*($ADN$5:$ADN24&gt;=4)*($ADN$5:$ADN24&lt;=6)),$AEQ$5:$AEQ24),IF(ADN24=10,SUMPRODUCT(--(($ADO$5:$ADO24=$ADO24)*($ADN$5:$ADN24&gt;=7)*($ADN$5:$ADN24&lt;=9)),$AEQ$5:$AEQ24),0)))))</f>
        <v/>
      </c>
      <c r="AES24" s="12">
        <f>AES23+AEQ24-AER24</f>
        <v/>
      </c>
      <c r="AET24" s="12">
        <f>IF(ProviderDelay&gt;=1,AEP23*ProviderShare,AEP24*ProviderShare)</f>
        <v/>
      </c>
      <c r="AEU24" s="12">
        <f>AEM24*PaymentFee</f>
        <v/>
      </c>
      <c r="AEV24" s="12">
        <f>AEG24*OpsAI</f>
        <v/>
      </c>
      <c r="AEW24" s="12">
        <f>MonthlyFixed</f>
        <v/>
      </c>
      <c r="AEX24" s="12">
        <f>ADU24*ReferralReward</f>
        <v/>
      </c>
      <c r="AEY24" s="12">
        <f>ADS24</f>
        <v/>
      </c>
      <c r="AEZ24" s="9">
        <f>AEP24-AET24-AEU24-AEV24-AEW24-AEX24-AEY24</f>
        <v/>
      </c>
      <c r="AFA24" s="9">
        <f>AFA23+AEM24-(AET24+AEU24+AEV24+AEW24+AEX24+AEY24+AER24)</f>
        <v/>
      </c>
      <c r="AFB24" s="12">
        <f>IF(AEG24&gt;0,AEH24/AEG24,0)</f>
        <v/>
      </c>
      <c r="AFC24" s="11">
        <f>IF(AEG23&gt;0,MAX(0,(AEG23+ADV24-AEG24)/AEG23),0)</f>
        <v/>
      </c>
      <c r="AFE24" s="12" t="n">
        <v>20</v>
      </c>
      <c r="AFF24" s="12">
        <f>MOD(AFE24-1+LaunchMonth-1,12)+1</f>
        <v/>
      </c>
      <c r="AFG24" s="12">
        <f>INT((AFE24-1+LaunchMonth-1)/12)+1</f>
        <v/>
      </c>
      <c r="AFH24" s="12">
        <f>VLOOKUP(AFF24,SeasonTable,2,FALSE)</f>
        <v/>
      </c>
      <c r="AFI24" s="12">
        <f>(1+InflationRate)^INT((AFE24-1)/12)</f>
        <v/>
      </c>
      <c r="AFJ24" s="11">
        <f>MonthlyChurn*VLOOKUP(AFF24,ChurnSeasonTable,4,FALSE)</f>
        <v/>
      </c>
      <c r="AFK24" s="12">
        <f>MIN(MAX(MktMin19plus,AGE23*MktPct19plus),MAX(0,AGS23-CashBuffer))</f>
        <v/>
      </c>
      <c r="AFL24" s="12">
        <f>IF(AFK24&gt;0,MAX(1,ROUND(AFK24/'Sens - CAC &amp; Marketing'!$A$9*AFH24,0)),0)</f>
        <v/>
      </c>
      <c r="AFM24" s="12">
        <f>IF(AFL24&gt;0,ROUND(AFL24*ReferralMix/(1-ReferralMix),0),0)</f>
        <v/>
      </c>
      <c r="AFN24" s="12">
        <f>AFL24+AFM24</f>
        <v/>
      </c>
      <c r="AFO24" s="12">
        <f>ROUND(AFN24*(1-AnnualMix),0)</f>
        <v/>
      </c>
      <c r="AFP24" s="12">
        <f>AFN24-AFO24</f>
        <v/>
      </c>
      <c r="AFQ24" s="12">
        <f>ROUND(AFO24*EssentialMix,0)</f>
        <v/>
      </c>
      <c r="AFR24" s="12">
        <f>AFO24-AFQ24</f>
        <v/>
      </c>
      <c r="AFS24" s="12">
        <f>ROUND(AFP24*EssentialMix,0)</f>
        <v/>
      </c>
      <c r="AFT24" s="12">
        <f>AFP24-AFS24</f>
        <v/>
      </c>
      <c r="AFU24" s="12">
        <f>AFQ24+AFQ23+AFQ22+MAX(0,AFU23-AFQ23-AFQ22)*(1-AFJ24)</f>
        <v/>
      </c>
      <c r="AFV24" s="12">
        <f>AFR24+AFR23+AFR22+MAX(0,AFV23-AFR23-AFR22)*(1-AFJ24)</f>
        <v/>
      </c>
      <c r="AFW24" s="12">
        <f>AFW23+AFS24-AFS12*(AnnualChurn*VLOOKUP(AFF24,ChurnSeasonTable,4,FALSE))*POWER(1-(AnnualChurn*VLOOKUP(AFF24,ChurnSeasonTable,4,FALSE)),0)</f>
        <v/>
      </c>
      <c r="AFX24" s="12">
        <f>AFX23+AFT24-AFT12*(AnnualChurn*VLOOKUP(AFF24,ChurnSeasonTable,4,FALSE))*POWER(1-(AnnualChurn*VLOOKUP(AFF24,ChurnSeasonTable,4,FALSE)),0)</f>
        <v/>
      </c>
      <c r="AFY24" s="12">
        <f>AFU24+AFV24+AFW24+AFX24</f>
        <v/>
      </c>
      <c r="AFZ24" s="9">
        <f>AFU24*PriceEssMonthly*AFI24+AFV24*PricePremMonthly*AFI24+AFW24*PriceEssAnnual*AFI24/12+AFX24*PricePremAnnual*AFI24/12</f>
        <v/>
      </c>
      <c r="AGA24" s="9">
        <f>AFZ24*12</f>
        <v/>
      </c>
      <c r="AGB24" s="12">
        <f>AFU24*PriceEssMonthly*AFI24+AFV24*PricePremMonthly*AFI24</f>
        <v/>
      </c>
      <c r="AGC24" s="12">
        <f>AFS24*PriceEssAnnual*AFI24+AFT24*PricePremAnnual*AFI24</f>
        <v/>
      </c>
      <c r="AGD24" s="12">
        <f>AFS12*POWER(1-(AnnualChurn*VLOOKUP(AFF24,ChurnSeasonTable,4,FALSE)),1)*PriceEssAnnual*AFI24+AFT12*POWER(1-(AnnualChurn*VLOOKUP(AFF24,ChurnSeasonTable,4,FALSE)),1)*PricePremAnnual*AFI24</f>
        <v/>
      </c>
      <c r="AGE24" s="9">
        <f>AGB24+AGC24+AGD24</f>
        <v/>
      </c>
      <c r="AGF24" s="12">
        <f>SUM(AGE13:AGE24)</f>
        <v/>
      </c>
      <c r="AGG24" s="12">
        <f>OR(AGG23,AGF24&gt;=VATThreshold)</f>
        <v/>
      </c>
      <c r="AGH24" s="9">
        <f>IF(AGG24,AGE24/(1+VATRate),AGE24)</f>
        <v/>
      </c>
      <c r="AGI24" s="12">
        <f>AGE24-AGH24</f>
        <v/>
      </c>
      <c r="AGJ24" s="12">
        <f>IF(AGG24=0,0,IF(AFF24=1,SUMPRODUCT(--(($AFG$5:$AFG24=$AFG24-1)*($AFF$5:$AFF24&gt;=10)*($AFF$5:$AFF24&lt;=12)),$AGI$5:$AGI24),IF(AFF24=4,SUMPRODUCT(--(($AFG$5:$AFG24=$AFG24)*($AFF$5:$AFF24&gt;=1)*($AFF$5:$AFF24&lt;=3)),$AGI$5:$AGI24),IF(AFF24=7,SUMPRODUCT(--(($AFG$5:$AFG24=$AFG24)*($AFF$5:$AFF24&gt;=4)*($AFF$5:$AFF24&lt;=6)),$AGI$5:$AGI24),IF(AFF24=10,SUMPRODUCT(--(($AFG$5:$AFG24=$AFG24)*($AFF$5:$AFF24&gt;=7)*($AFF$5:$AFF24&lt;=9)),$AGI$5:$AGI24),0)))))</f>
        <v/>
      </c>
      <c r="AGK24" s="12">
        <f>AGK23+AGI24-AGJ24</f>
        <v/>
      </c>
      <c r="AGL24" s="12">
        <f>IF(ProviderDelay&gt;=1,AGH23*ProviderShare,AGH24*ProviderShare)</f>
        <v/>
      </c>
      <c r="AGM24" s="12">
        <f>AGE24*PaymentFee</f>
        <v/>
      </c>
      <c r="AGN24" s="12">
        <f>AFY24*OpsAI</f>
        <v/>
      </c>
      <c r="AGO24" s="12">
        <f>MonthlyFixed</f>
        <v/>
      </c>
      <c r="AGP24" s="12">
        <f>AFM24*ReferralReward</f>
        <v/>
      </c>
      <c r="AGQ24" s="12">
        <f>AFK24</f>
        <v/>
      </c>
      <c r="AGR24" s="9">
        <f>AGH24-AGL24-AGM24-AGN24-AGO24-AGP24-AGQ24</f>
        <v/>
      </c>
      <c r="AGS24" s="9">
        <f>AGS23+AGE24-(AGL24+AGM24+AGN24+AGO24+AGP24+AGQ24+AGJ24)</f>
        <v/>
      </c>
      <c r="AGT24" s="12">
        <f>IF(AFY24&gt;0,AFZ24/AFY24,0)</f>
        <v/>
      </c>
      <c r="AGU24" s="11">
        <f>IF(AFY23&gt;0,MAX(0,(AFY23+AFN24-AFY24)/AFY23),0)</f>
        <v/>
      </c>
      <c r="AGW24" s="12" t="n">
        <v>20</v>
      </c>
      <c r="AGX24" s="12">
        <f>MOD(AGW24-1+LaunchMonth-1,12)+1</f>
        <v/>
      </c>
      <c r="AGY24" s="12">
        <f>INT((AGW24-1+LaunchMonth-1)/12)+1</f>
        <v/>
      </c>
      <c r="AGZ24" s="12">
        <f>VLOOKUP(AGX24,SeasonTable,2,FALSE)</f>
        <v/>
      </c>
      <c r="AHA24" s="12">
        <f>(1+InflationRate)^INT((AGW24-1)/12)</f>
        <v/>
      </c>
      <c r="AHB24" s="11">
        <f>MonthlyChurn*VLOOKUP(AGX24,ChurnSeasonTable,4,FALSE)</f>
        <v/>
      </c>
      <c r="AHC24" s="12">
        <f>MIN(MAX(MktMin19plus,AHW23*MktPct19plus),MAX(0,AIK23-CashBuffer))</f>
        <v/>
      </c>
      <c r="AHD24" s="12">
        <f>IF(AHC24&gt;0,MAX(1,ROUND(AHC24/'Sens - CAC &amp; Marketing'!$A$10*AGZ24,0)),0)</f>
        <v/>
      </c>
      <c r="AHE24" s="12">
        <f>IF(AHD24&gt;0,ROUND(AHD24*ReferralMix/(1-ReferralMix),0),0)</f>
        <v/>
      </c>
      <c r="AHF24" s="12">
        <f>AHD24+AHE24</f>
        <v/>
      </c>
      <c r="AHG24" s="12">
        <f>ROUND(AHF24*(1-AnnualMix),0)</f>
        <v/>
      </c>
      <c r="AHH24" s="12">
        <f>AHF24-AHG24</f>
        <v/>
      </c>
      <c r="AHI24" s="12">
        <f>ROUND(AHG24*EssentialMix,0)</f>
        <v/>
      </c>
      <c r="AHJ24" s="12">
        <f>AHG24-AHI24</f>
        <v/>
      </c>
      <c r="AHK24" s="12">
        <f>ROUND(AHH24*EssentialMix,0)</f>
        <v/>
      </c>
      <c r="AHL24" s="12">
        <f>AHH24-AHK24</f>
        <v/>
      </c>
      <c r="AHM24" s="12">
        <f>AHI24+AHI23+AHI22+MAX(0,AHM23-AHI23-AHI22)*(1-AHB24)</f>
        <v/>
      </c>
      <c r="AHN24" s="12">
        <f>AHJ24+AHJ23+AHJ22+MAX(0,AHN23-AHJ23-AHJ22)*(1-AHB24)</f>
        <v/>
      </c>
      <c r="AHO24" s="12">
        <f>AHO23+AHK24-AHK12*(AnnualChurn*VLOOKUP(AGX24,ChurnSeasonTable,4,FALSE))*POWER(1-(AnnualChurn*VLOOKUP(AGX24,ChurnSeasonTable,4,FALSE)),0)</f>
        <v/>
      </c>
      <c r="AHP24" s="12">
        <f>AHP23+AHL24-AHL12*(AnnualChurn*VLOOKUP(AGX24,ChurnSeasonTable,4,FALSE))*POWER(1-(AnnualChurn*VLOOKUP(AGX24,ChurnSeasonTable,4,FALSE)),0)</f>
        <v/>
      </c>
      <c r="AHQ24" s="12">
        <f>AHM24+AHN24+AHO24+AHP24</f>
        <v/>
      </c>
      <c r="AHR24" s="9">
        <f>AHM24*PriceEssMonthly*AHA24+AHN24*PricePremMonthly*AHA24+AHO24*PriceEssAnnual*AHA24/12+AHP24*PricePremAnnual*AHA24/12</f>
        <v/>
      </c>
      <c r="AHS24" s="9">
        <f>AHR24*12</f>
        <v/>
      </c>
      <c r="AHT24" s="12">
        <f>AHM24*PriceEssMonthly*AHA24+AHN24*PricePremMonthly*AHA24</f>
        <v/>
      </c>
      <c r="AHU24" s="12">
        <f>AHK24*PriceEssAnnual*AHA24+AHL24*PricePremAnnual*AHA24</f>
        <v/>
      </c>
      <c r="AHV24" s="12">
        <f>AHK12*POWER(1-(AnnualChurn*VLOOKUP(AGX24,ChurnSeasonTable,4,FALSE)),1)*PriceEssAnnual*AHA24+AHL12*POWER(1-(AnnualChurn*VLOOKUP(AGX24,ChurnSeasonTable,4,FALSE)),1)*PricePremAnnual*AHA24</f>
        <v/>
      </c>
      <c r="AHW24" s="9">
        <f>AHT24+AHU24+AHV24</f>
        <v/>
      </c>
      <c r="AHX24" s="12">
        <f>SUM(AHW13:AHW24)</f>
        <v/>
      </c>
      <c r="AHY24" s="12">
        <f>OR(AHY23,AHX24&gt;=VATThreshold)</f>
        <v/>
      </c>
      <c r="AHZ24" s="9">
        <f>IF(AHY24,AHW24/(1+VATRate),AHW24)</f>
        <v/>
      </c>
      <c r="AIA24" s="12">
        <f>AHW24-AHZ24</f>
        <v/>
      </c>
      <c r="AIB24" s="12">
        <f>IF(AHY24=0,0,IF(AGX24=1,SUMPRODUCT(--(($AGY$5:$AGY24=$AGY24-1)*($AGX$5:$AGX24&gt;=10)*($AGX$5:$AGX24&lt;=12)),$AIA$5:$AIA24),IF(AGX24=4,SUMPRODUCT(--(($AGY$5:$AGY24=$AGY24)*($AGX$5:$AGX24&gt;=1)*($AGX$5:$AGX24&lt;=3)),$AIA$5:$AIA24),IF(AGX24=7,SUMPRODUCT(--(($AGY$5:$AGY24=$AGY24)*($AGX$5:$AGX24&gt;=4)*($AGX$5:$AGX24&lt;=6)),$AIA$5:$AIA24),IF(AGX24=10,SUMPRODUCT(--(($AGY$5:$AGY24=$AGY24)*($AGX$5:$AGX24&gt;=7)*($AGX$5:$AGX24&lt;=9)),$AIA$5:$AIA24),0)))))</f>
        <v/>
      </c>
      <c r="AIC24" s="12">
        <f>AIC23+AIA24-AIB24</f>
        <v/>
      </c>
      <c r="AID24" s="12">
        <f>IF(ProviderDelay&gt;=1,AHZ23*ProviderShare,AHZ24*ProviderShare)</f>
        <v/>
      </c>
      <c r="AIE24" s="12">
        <f>AHW24*PaymentFee</f>
        <v/>
      </c>
      <c r="AIF24" s="12">
        <f>AHQ24*OpsAI</f>
        <v/>
      </c>
      <c r="AIG24" s="12">
        <f>MonthlyFixed</f>
        <v/>
      </c>
      <c r="AIH24" s="12">
        <f>AHE24*ReferralReward</f>
        <v/>
      </c>
      <c r="AII24" s="12">
        <f>AHC24</f>
        <v/>
      </c>
      <c r="AIJ24" s="9">
        <f>AHZ24-AID24-AIE24-AIF24-AIG24-AIH24-AII24</f>
        <v/>
      </c>
      <c r="AIK24" s="9">
        <f>AIK23+AHW24-(AID24+AIE24+AIF24+AIG24+AIH24+AII24+AIB24)</f>
        <v/>
      </c>
      <c r="AIL24" s="12">
        <f>IF(AHQ24&gt;0,AHR24/AHQ24,0)</f>
        <v/>
      </c>
      <c r="AIM24" s="11">
        <f>IF(AHQ23&gt;0,MAX(0,(AHQ23+AHF24-AHQ24)/AHQ23),0)</f>
        <v/>
      </c>
      <c r="AIO24" s="12" t="n">
        <v>20</v>
      </c>
      <c r="AIP24" s="12">
        <f>MOD(AIO24-1+LaunchMonth-1,12)+1</f>
        <v/>
      </c>
      <c r="AIQ24" s="12">
        <f>INT((AIO24-1+LaunchMonth-1)/12)+1</f>
        <v/>
      </c>
      <c r="AIR24" s="12">
        <f>VLOOKUP(AIP24,SeasonTable,2,FALSE)</f>
        <v/>
      </c>
      <c r="AIS24" s="12">
        <f>(1+InflationRate)^INT((AIO24-1)/12)</f>
        <v/>
      </c>
      <c r="AIT24" s="11">
        <f>MonthlyChurn*VLOOKUP(AIP24,ChurnSeasonTable,4,FALSE)</f>
        <v/>
      </c>
      <c r="AIU24" s="12">
        <f>MIN(MAX(MktMin19plus,AJO23*MktPct19plus),MAX(0,AKC23-CashBuffer))</f>
        <v/>
      </c>
      <c r="AIV24" s="12">
        <f>IF(AIU24&gt;0,MAX(1,ROUND(AIU24/'Sens - CAC &amp; Marketing'!$A$11*AIR24,0)),0)</f>
        <v/>
      </c>
      <c r="AIW24" s="12">
        <f>IF(AIV24&gt;0,ROUND(AIV24*ReferralMix/(1-ReferralMix),0),0)</f>
        <v/>
      </c>
      <c r="AIX24" s="12">
        <f>AIV24+AIW24</f>
        <v/>
      </c>
      <c r="AIY24" s="12">
        <f>ROUND(AIX24*(1-AnnualMix),0)</f>
        <v/>
      </c>
      <c r="AIZ24" s="12">
        <f>AIX24-AIY24</f>
        <v/>
      </c>
      <c r="AJA24" s="12">
        <f>ROUND(AIY24*EssentialMix,0)</f>
        <v/>
      </c>
      <c r="AJB24" s="12">
        <f>AIY24-AJA24</f>
        <v/>
      </c>
      <c r="AJC24" s="12">
        <f>ROUND(AIZ24*EssentialMix,0)</f>
        <v/>
      </c>
      <c r="AJD24" s="12">
        <f>AIZ24-AJC24</f>
        <v/>
      </c>
      <c r="AJE24" s="12">
        <f>AJA24+AJA23+AJA22+MAX(0,AJE23-AJA23-AJA22)*(1-AIT24)</f>
        <v/>
      </c>
      <c r="AJF24" s="12">
        <f>AJB24+AJB23+AJB22+MAX(0,AJF23-AJB23-AJB22)*(1-AIT24)</f>
        <v/>
      </c>
      <c r="AJG24" s="12">
        <f>AJG23+AJC24-AJC12*(AnnualChurn*VLOOKUP(AIP24,ChurnSeasonTable,4,FALSE))*POWER(1-(AnnualChurn*VLOOKUP(AIP24,ChurnSeasonTable,4,FALSE)),0)</f>
        <v/>
      </c>
      <c r="AJH24" s="12">
        <f>AJH23+AJD24-AJD12*(AnnualChurn*VLOOKUP(AIP24,ChurnSeasonTable,4,FALSE))*POWER(1-(AnnualChurn*VLOOKUP(AIP24,ChurnSeasonTable,4,FALSE)),0)</f>
        <v/>
      </c>
      <c r="AJI24" s="12">
        <f>AJE24+AJF24+AJG24+AJH24</f>
        <v/>
      </c>
      <c r="AJJ24" s="9">
        <f>AJE24*PriceEssMonthly*AIS24+AJF24*PricePremMonthly*AIS24+AJG24*PriceEssAnnual*AIS24/12+AJH24*PricePremAnnual*AIS24/12</f>
        <v/>
      </c>
      <c r="AJK24" s="9">
        <f>AJJ24*12</f>
        <v/>
      </c>
      <c r="AJL24" s="12">
        <f>AJE24*PriceEssMonthly*AIS24+AJF24*PricePremMonthly*AIS24</f>
        <v/>
      </c>
      <c r="AJM24" s="12">
        <f>AJC24*PriceEssAnnual*AIS24+AJD24*PricePremAnnual*AIS24</f>
        <v/>
      </c>
      <c r="AJN24" s="12">
        <f>AJC12*POWER(1-(AnnualChurn*VLOOKUP(AIP24,ChurnSeasonTable,4,FALSE)),1)*PriceEssAnnual*AIS24+AJD12*POWER(1-(AnnualChurn*VLOOKUP(AIP24,ChurnSeasonTable,4,FALSE)),1)*PricePremAnnual*AIS24</f>
        <v/>
      </c>
      <c r="AJO24" s="9">
        <f>AJL24+AJM24+AJN24</f>
        <v/>
      </c>
      <c r="AJP24" s="12">
        <f>SUM(AJO13:AJO24)</f>
        <v/>
      </c>
      <c r="AJQ24" s="12">
        <f>OR(AJQ23,AJP24&gt;=VATThreshold)</f>
        <v/>
      </c>
      <c r="AJR24" s="9">
        <f>IF(AJQ24,AJO24/(1+VATRate),AJO24)</f>
        <v/>
      </c>
      <c r="AJS24" s="12">
        <f>AJO24-AJR24</f>
        <v/>
      </c>
      <c r="AJT24" s="12">
        <f>IF(AJQ24=0,0,IF(AIP24=1,SUMPRODUCT(--(($AIQ$5:$AIQ24=$AIQ24-1)*($AIP$5:$AIP24&gt;=10)*($AIP$5:$AIP24&lt;=12)),$AJS$5:$AJS24),IF(AIP24=4,SUMPRODUCT(--(($AIQ$5:$AIQ24=$AIQ24)*($AIP$5:$AIP24&gt;=1)*($AIP$5:$AIP24&lt;=3)),$AJS$5:$AJS24),IF(AIP24=7,SUMPRODUCT(--(($AIQ$5:$AIQ24=$AIQ24)*($AIP$5:$AIP24&gt;=4)*($AIP$5:$AIP24&lt;=6)),$AJS$5:$AJS24),IF(AIP24=10,SUMPRODUCT(--(($AIQ$5:$AIQ24=$AIQ24)*($AIP$5:$AIP24&gt;=7)*($AIP$5:$AIP24&lt;=9)),$AJS$5:$AJS24),0)))))</f>
        <v/>
      </c>
      <c r="AJU24" s="12">
        <f>AJU23+AJS24-AJT24</f>
        <v/>
      </c>
      <c r="AJV24" s="12">
        <f>IF(ProviderDelay&gt;=1,AJR23*ProviderShare,AJR24*ProviderShare)</f>
        <v/>
      </c>
      <c r="AJW24" s="12">
        <f>AJO24*PaymentFee</f>
        <v/>
      </c>
      <c r="AJX24" s="12">
        <f>AJI24*OpsAI</f>
        <v/>
      </c>
      <c r="AJY24" s="12">
        <f>MonthlyFixed</f>
        <v/>
      </c>
      <c r="AJZ24" s="12">
        <f>AIW24*ReferralReward</f>
        <v/>
      </c>
      <c r="AKA24" s="12">
        <f>AIU24</f>
        <v/>
      </c>
      <c r="AKB24" s="9">
        <f>AJR24-AJV24-AJW24-AJX24-AJY24-AJZ24-AKA24</f>
        <v/>
      </c>
      <c r="AKC24" s="9">
        <f>AKC23+AJO24-(AJV24+AJW24+AJX24+AJY24+AJZ24+AKA24+AJT24)</f>
        <v/>
      </c>
      <c r="AKD24" s="12">
        <f>IF(AJI24&gt;0,AJJ24/AJI24,0)</f>
        <v/>
      </c>
      <c r="AKE24" s="11">
        <f>IF(AJI23&gt;0,MAX(0,(AJI23+AIX24-AJI24)/AJI23),0)</f>
        <v/>
      </c>
      <c r="AKG24" s="12" t="n">
        <v>20</v>
      </c>
      <c r="AKH24" s="12">
        <f>MOD(AKG24-1+LaunchMonth-1,12)+1</f>
        <v/>
      </c>
      <c r="AKI24" s="12">
        <f>INT((AKG24-1+LaunchMonth-1)/12)+1</f>
        <v/>
      </c>
      <c r="AKJ24" s="12">
        <f>VLOOKUP(AKH24,SeasonTable,2,FALSE)</f>
        <v/>
      </c>
      <c r="AKK24" s="12">
        <f>(1+InflationRate)^INT((AKG24-1)/12)</f>
        <v/>
      </c>
      <c r="AKL24" s="11">
        <f>MonthlyChurn*VLOOKUP(AKH24,ChurnSeasonTable,4,FALSE)</f>
        <v/>
      </c>
      <c r="AKM24" s="12">
        <f>MIN(MAX(MktMin19plus,ALG23*MktPct19plus),MAX(0,ALU23-CashBuffer))</f>
        <v/>
      </c>
      <c r="AKN24" s="12">
        <f>IF(AKM24&gt;0,MAX(1,ROUND(AKM24/'Sens - CAC &amp; Marketing'!$A$12*AKJ24,0)),0)</f>
        <v/>
      </c>
      <c r="AKO24" s="12">
        <f>IF(AKN24&gt;0,ROUND(AKN24*ReferralMix/(1-ReferralMix),0),0)</f>
        <v/>
      </c>
      <c r="AKP24" s="12">
        <f>AKN24+AKO24</f>
        <v/>
      </c>
      <c r="AKQ24" s="12">
        <f>ROUND(AKP24*(1-AnnualMix),0)</f>
        <v/>
      </c>
      <c r="AKR24" s="12">
        <f>AKP24-AKQ24</f>
        <v/>
      </c>
      <c r="AKS24" s="12">
        <f>ROUND(AKQ24*EssentialMix,0)</f>
        <v/>
      </c>
      <c r="AKT24" s="12">
        <f>AKQ24-AKS24</f>
        <v/>
      </c>
      <c r="AKU24" s="12">
        <f>ROUND(AKR24*EssentialMix,0)</f>
        <v/>
      </c>
      <c r="AKV24" s="12">
        <f>AKR24-AKU24</f>
        <v/>
      </c>
      <c r="AKW24" s="12">
        <f>AKS24+AKS23+AKS22+MAX(0,AKW23-AKS23-AKS22)*(1-AKL24)</f>
        <v/>
      </c>
      <c r="AKX24" s="12">
        <f>AKT24+AKT23+AKT22+MAX(0,AKX23-AKT23-AKT22)*(1-AKL24)</f>
        <v/>
      </c>
      <c r="AKY24" s="12">
        <f>AKY23+AKU24-AKU12*(AnnualChurn*VLOOKUP(AKH24,ChurnSeasonTable,4,FALSE))*POWER(1-(AnnualChurn*VLOOKUP(AKH24,ChurnSeasonTable,4,FALSE)),0)</f>
        <v/>
      </c>
      <c r="AKZ24" s="12">
        <f>AKZ23+AKV24-AKV12*(AnnualChurn*VLOOKUP(AKH24,ChurnSeasonTable,4,FALSE))*POWER(1-(AnnualChurn*VLOOKUP(AKH24,ChurnSeasonTable,4,FALSE)),0)</f>
        <v/>
      </c>
      <c r="ALA24" s="12">
        <f>AKW24+AKX24+AKY24+AKZ24</f>
        <v/>
      </c>
      <c r="ALB24" s="9">
        <f>AKW24*PriceEssMonthly*AKK24+AKX24*PricePremMonthly*AKK24+AKY24*PriceEssAnnual*AKK24/12+AKZ24*PricePremAnnual*AKK24/12</f>
        <v/>
      </c>
      <c r="ALC24" s="9">
        <f>ALB24*12</f>
        <v/>
      </c>
      <c r="ALD24" s="12">
        <f>AKW24*PriceEssMonthly*AKK24+AKX24*PricePremMonthly*AKK24</f>
        <v/>
      </c>
      <c r="ALE24" s="12">
        <f>AKU24*PriceEssAnnual*AKK24+AKV24*PricePremAnnual*AKK24</f>
        <v/>
      </c>
      <c r="ALF24" s="12">
        <f>AKU12*POWER(1-(AnnualChurn*VLOOKUP(AKH24,ChurnSeasonTable,4,FALSE)),1)*PriceEssAnnual*AKK24+AKV12*POWER(1-(AnnualChurn*VLOOKUP(AKH24,ChurnSeasonTable,4,FALSE)),1)*PricePremAnnual*AKK24</f>
        <v/>
      </c>
      <c r="ALG24" s="9">
        <f>ALD24+ALE24+ALF24</f>
        <v/>
      </c>
      <c r="ALH24" s="12">
        <f>SUM(ALG13:ALG24)</f>
        <v/>
      </c>
      <c r="ALI24" s="12">
        <f>OR(ALI23,ALH24&gt;=VATThreshold)</f>
        <v/>
      </c>
      <c r="ALJ24" s="9">
        <f>IF(ALI24,ALG24/(1+VATRate),ALG24)</f>
        <v/>
      </c>
      <c r="ALK24" s="12">
        <f>ALG24-ALJ24</f>
        <v/>
      </c>
      <c r="ALL24" s="12">
        <f>IF(ALI24=0,0,IF(AKH24=1,SUMPRODUCT(--(($AKI$5:$AKI24=$AKI24-1)*($AKH$5:$AKH24&gt;=10)*($AKH$5:$AKH24&lt;=12)),$ALK$5:$ALK24),IF(AKH24=4,SUMPRODUCT(--(($AKI$5:$AKI24=$AKI24)*($AKH$5:$AKH24&gt;=1)*($AKH$5:$AKH24&lt;=3)),$ALK$5:$ALK24),IF(AKH24=7,SUMPRODUCT(--(($AKI$5:$AKI24=$AKI24)*($AKH$5:$AKH24&gt;=4)*($AKH$5:$AKH24&lt;=6)),$ALK$5:$ALK24),IF(AKH24=10,SUMPRODUCT(--(($AKI$5:$AKI24=$AKI24)*($AKH$5:$AKH24&gt;=7)*($AKH$5:$AKH24&lt;=9)),$ALK$5:$ALK24),0)))))</f>
        <v/>
      </c>
      <c r="ALM24" s="12">
        <f>ALM23+ALK24-ALL24</f>
        <v/>
      </c>
      <c r="ALN24" s="12">
        <f>IF(ProviderDelay&gt;=1,ALJ23*ProviderShare,ALJ24*ProviderShare)</f>
        <v/>
      </c>
      <c r="ALO24" s="12">
        <f>ALG24*PaymentFee</f>
        <v/>
      </c>
      <c r="ALP24" s="12">
        <f>ALA24*OpsAI</f>
        <v/>
      </c>
      <c r="ALQ24" s="12">
        <f>MonthlyFixed</f>
        <v/>
      </c>
      <c r="ALR24" s="12">
        <f>AKO24*ReferralReward</f>
        <v/>
      </c>
      <c r="ALS24" s="12">
        <f>AKM24</f>
        <v/>
      </c>
      <c r="ALT24" s="9">
        <f>ALJ24-ALN24-ALO24-ALP24-ALQ24-ALR24-ALS24</f>
        <v/>
      </c>
      <c r="ALU24" s="9">
        <f>ALU23+ALG24-(ALN24+ALO24+ALP24+ALQ24+ALR24+ALS24+ALL24)</f>
        <v/>
      </c>
      <c r="ALV24" s="12">
        <f>IF(ALA24&gt;0,ALB24/ALA24,0)</f>
        <v/>
      </c>
      <c r="ALW24" s="11">
        <f>IF(ALA23&gt;0,MAX(0,(ALA23+AKP24-ALA24)/ALA23),0)</f>
        <v/>
      </c>
      <c r="ALY24" s="12" t="n">
        <v>20</v>
      </c>
      <c r="ALZ24" s="12">
        <f>MOD(ALY24-1+LaunchMonth-1,12)+1</f>
        <v/>
      </c>
      <c r="AMA24" s="12">
        <f>INT((ALY24-1+LaunchMonth-1)/12)+1</f>
        <v/>
      </c>
      <c r="AMB24" s="12">
        <f>VLOOKUP(ALZ24,SeasonTable,2,FALSE)</f>
        <v/>
      </c>
      <c r="AMC24" s="12">
        <f>(1+InflationRate)^INT((ALY24-1)/12)</f>
        <v/>
      </c>
      <c r="AMD24" s="11">
        <f>MonthlyChurn*VLOOKUP(ALZ24,ChurnSeasonTable,4,FALSE)</f>
        <v/>
      </c>
      <c r="AME24" s="12">
        <f>MIN(MAX(MktMin19plus,AMY23*MktPct19plus),MAX(0,ANM23-CashBuffer))</f>
        <v/>
      </c>
      <c r="AMF24" s="12">
        <f>IF(AME24&gt;0,MAX(1,ROUND(AME24/'Sens - CAC &amp; Marketing'!$A$13*AMB24,0)),0)</f>
        <v/>
      </c>
      <c r="AMG24" s="12">
        <f>IF(AMF24&gt;0,ROUND(AMF24*ReferralMix/(1-ReferralMix),0),0)</f>
        <v/>
      </c>
      <c r="AMH24" s="12">
        <f>AMF24+AMG24</f>
        <v/>
      </c>
      <c r="AMI24" s="12">
        <f>ROUND(AMH24*(1-AnnualMix),0)</f>
        <v/>
      </c>
      <c r="AMJ24" s="12">
        <f>AMH24-AMI24</f>
        <v/>
      </c>
      <c r="AMK24" s="12">
        <f>ROUND(AMI24*EssentialMix,0)</f>
        <v/>
      </c>
      <c r="AML24" s="12">
        <f>AMI24-AMK24</f>
        <v/>
      </c>
      <c r="AMM24" s="12">
        <f>ROUND(AMJ24*EssentialMix,0)</f>
        <v/>
      </c>
      <c r="AMN24" s="12">
        <f>AMJ24-AMM24</f>
        <v/>
      </c>
      <c r="AMO24" s="12">
        <f>AMK24+AMK23+AMK22+MAX(0,AMO23-AMK23-AMK22)*(1-AMD24)</f>
        <v/>
      </c>
      <c r="AMP24" s="12">
        <f>AML24+AML23+AML22+MAX(0,AMP23-AML23-AML22)*(1-AMD24)</f>
        <v/>
      </c>
      <c r="AMQ24" s="12">
        <f>AMQ23+AMM24-AMM12*(AnnualChurn*VLOOKUP(ALZ24,ChurnSeasonTable,4,FALSE))*POWER(1-(AnnualChurn*VLOOKUP(ALZ24,ChurnSeasonTable,4,FALSE)),0)</f>
        <v/>
      </c>
      <c r="AMR24" s="12">
        <f>AMR23+AMN24-AMN12*(AnnualChurn*VLOOKUP(ALZ24,ChurnSeasonTable,4,FALSE))*POWER(1-(AnnualChurn*VLOOKUP(ALZ24,ChurnSeasonTable,4,FALSE)),0)</f>
        <v/>
      </c>
      <c r="AMS24" s="12">
        <f>AMO24+AMP24+AMQ24+AMR24</f>
        <v/>
      </c>
      <c r="AMT24" s="9">
        <f>AMO24*PriceEssMonthly*AMC24+AMP24*PricePremMonthly*AMC24+AMQ24*PriceEssAnnual*AMC24/12+AMR24*PricePremAnnual*AMC24/12</f>
        <v/>
      </c>
      <c r="AMU24" s="9">
        <f>AMT24*12</f>
        <v/>
      </c>
      <c r="AMV24" s="12">
        <f>AMO24*PriceEssMonthly*AMC24+AMP24*PricePremMonthly*AMC24</f>
        <v/>
      </c>
      <c r="AMW24" s="12">
        <f>AMM24*PriceEssAnnual*AMC24+AMN24*PricePremAnnual*AMC24</f>
        <v/>
      </c>
      <c r="AMX24" s="12">
        <f>AMM12*POWER(1-(AnnualChurn*VLOOKUP(ALZ24,ChurnSeasonTable,4,FALSE)),1)*PriceEssAnnual*AMC24+AMN12*POWER(1-(AnnualChurn*VLOOKUP(ALZ24,ChurnSeasonTable,4,FALSE)),1)*PricePremAnnual*AMC24</f>
        <v/>
      </c>
      <c r="AMY24" s="9">
        <f>AMV24+AMW24+AMX24</f>
        <v/>
      </c>
      <c r="AMZ24" s="12">
        <f>SUM(AMY13:AMY24)</f>
        <v/>
      </c>
      <c r="ANA24" s="12">
        <f>OR(ANA23,AMZ24&gt;=VATThreshold)</f>
        <v/>
      </c>
      <c r="ANB24" s="9">
        <f>IF(ANA24,AMY24/(1+VATRate),AMY24)</f>
        <v/>
      </c>
      <c r="ANC24" s="12">
        <f>AMY24-ANB24</f>
        <v/>
      </c>
      <c r="AND24" s="12">
        <f>IF(ANA24=0,0,IF(ALZ24=1,SUMPRODUCT(--(($AMA$5:$AMA24=$AMA24-1)*($ALZ$5:$ALZ24&gt;=10)*($ALZ$5:$ALZ24&lt;=12)),$ANC$5:$ANC24),IF(ALZ24=4,SUMPRODUCT(--(($AMA$5:$AMA24=$AMA24)*($ALZ$5:$ALZ24&gt;=1)*($ALZ$5:$ALZ24&lt;=3)),$ANC$5:$ANC24),IF(ALZ24=7,SUMPRODUCT(--(($AMA$5:$AMA24=$AMA24)*($ALZ$5:$ALZ24&gt;=4)*($ALZ$5:$ALZ24&lt;=6)),$ANC$5:$ANC24),IF(ALZ24=10,SUMPRODUCT(--(($AMA$5:$AMA24=$AMA24)*($ALZ$5:$ALZ24&gt;=7)*($ALZ$5:$ALZ24&lt;=9)),$ANC$5:$ANC24),0)))))</f>
        <v/>
      </c>
      <c r="ANE24" s="12">
        <f>ANE23+ANC24-AND24</f>
        <v/>
      </c>
      <c r="ANF24" s="12">
        <f>IF(ProviderDelay&gt;=1,ANB23*ProviderShare,ANB24*ProviderShare)</f>
        <v/>
      </c>
      <c r="ANG24" s="12">
        <f>AMY24*PaymentFee</f>
        <v/>
      </c>
      <c r="ANH24" s="12">
        <f>AMS24*OpsAI</f>
        <v/>
      </c>
      <c r="ANI24" s="12">
        <f>MonthlyFixed</f>
        <v/>
      </c>
      <c r="ANJ24" s="12">
        <f>AMG24*ReferralReward</f>
        <v/>
      </c>
      <c r="ANK24" s="12">
        <f>AME24</f>
        <v/>
      </c>
      <c r="ANL24" s="9">
        <f>ANB24-ANF24-ANG24-ANH24-ANI24-ANJ24-ANK24</f>
        <v/>
      </c>
      <c r="ANM24" s="9">
        <f>ANM23+AMY24-(ANF24+ANG24+ANH24+ANI24+ANJ24+ANK24+AND24)</f>
        <v/>
      </c>
      <c r="ANN24" s="12">
        <f>IF(AMS24&gt;0,AMT24/AMS24,0)</f>
        <v/>
      </c>
      <c r="ANO24" s="11">
        <f>IF(AMS23&gt;0,MAX(0,(AMS23+AMH24-AMS24)/AMS23),0)</f>
        <v/>
      </c>
      <c r="ANQ24" s="12" t="n">
        <v>20</v>
      </c>
      <c r="ANR24" s="12">
        <f>MOD(ANQ24-1+LaunchMonth-1,12)+1</f>
        <v/>
      </c>
      <c r="ANS24" s="12">
        <f>INT((ANQ24-1+LaunchMonth-1)/12)+1</f>
        <v/>
      </c>
      <c r="ANT24" s="12">
        <f>VLOOKUP(ANR24,SeasonTable,2,FALSE)</f>
        <v/>
      </c>
      <c r="ANU24" s="12">
        <f>(1+InflationRate)^INT((ANQ24-1)/12)</f>
        <v/>
      </c>
      <c r="ANV24" s="11">
        <f>MonthlyChurn*VLOOKUP(ANR24,ChurnSeasonTable,4,FALSE)</f>
        <v/>
      </c>
      <c r="ANW24" s="12">
        <f>MIN(MAX(MktMin19plus,AOQ23*MktPct19plus),MAX(0,APE23-CashBuffer))</f>
        <v/>
      </c>
      <c r="ANX24" s="12">
        <f>IF(ANW24&gt;0,MAX(1,ROUND(ANW24/'Sens - CAC &amp; Marketing'!$A$14*ANT24,0)),0)</f>
        <v/>
      </c>
      <c r="ANY24" s="12">
        <f>IF(ANX24&gt;0,ROUND(ANX24*ReferralMix/(1-ReferralMix),0),0)</f>
        <v/>
      </c>
      <c r="ANZ24" s="12">
        <f>ANX24+ANY24</f>
        <v/>
      </c>
      <c r="AOA24" s="12">
        <f>ROUND(ANZ24*(1-AnnualMix),0)</f>
        <v/>
      </c>
      <c r="AOB24" s="12">
        <f>ANZ24-AOA24</f>
        <v/>
      </c>
      <c r="AOC24" s="12">
        <f>ROUND(AOA24*EssentialMix,0)</f>
        <v/>
      </c>
      <c r="AOD24" s="12">
        <f>AOA24-AOC24</f>
        <v/>
      </c>
      <c r="AOE24" s="12">
        <f>ROUND(AOB24*EssentialMix,0)</f>
        <v/>
      </c>
      <c r="AOF24" s="12">
        <f>AOB24-AOE24</f>
        <v/>
      </c>
      <c r="AOG24" s="12">
        <f>AOC24+AOC23+AOC22+MAX(0,AOG23-AOC23-AOC22)*(1-ANV24)</f>
        <v/>
      </c>
      <c r="AOH24" s="12">
        <f>AOD24+AOD23+AOD22+MAX(0,AOH23-AOD23-AOD22)*(1-ANV24)</f>
        <v/>
      </c>
      <c r="AOI24" s="12">
        <f>AOI23+AOE24-AOE12*(AnnualChurn*VLOOKUP(ANR24,ChurnSeasonTable,4,FALSE))*POWER(1-(AnnualChurn*VLOOKUP(ANR24,ChurnSeasonTable,4,FALSE)),0)</f>
        <v/>
      </c>
      <c r="AOJ24" s="12">
        <f>AOJ23+AOF24-AOF12*(AnnualChurn*VLOOKUP(ANR24,ChurnSeasonTable,4,FALSE))*POWER(1-(AnnualChurn*VLOOKUP(ANR24,ChurnSeasonTable,4,FALSE)),0)</f>
        <v/>
      </c>
      <c r="AOK24" s="12">
        <f>AOG24+AOH24+AOI24+AOJ24</f>
        <v/>
      </c>
      <c r="AOL24" s="9">
        <f>AOG24*PriceEssMonthly*ANU24+AOH24*PricePremMonthly*ANU24+AOI24*PriceEssAnnual*ANU24/12+AOJ24*PricePremAnnual*ANU24/12</f>
        <v/>
      </c>
      <c r="AOM24" s="9">
        <f>AOL24*12</f>
        <v/>
      </c>
      <c r="AON24" s="12">
        <f>AOG24*PriceEssMonthly*ANU24+AOH24*PricePremMonthly*ANU24</f>
        <v/>
      </c>
      <c r="AOO24" s="12">
        <f>AOE24*PriceEssAnnual*ANU24+AOF24*PricePremAnnual*ANU24</f>
        <v/>
      </c>
      <c r="AOP24" s="12">
        <f>AOE12*POWER(1-(AnnualChurn*VLOOKUP(ANR24,ChurnSeasonTable,4,FALSE)),1)*PriceEssAnnual*ANU24+AOF12*POWER(1-(AnnualChurn*VLOOKUP(ANR24,ChurnSeasonTable,4,FALSE)),1)*PricePremAnnual*ANU24</f>
        <v/>
      </c>
      <c r="AOQ24" s="9">
        <f>AON24+AOO24+AOP24</f>
        <v/>
      </c>
      <c r="AOR24" s="12">
        <f>SUM(AOQ13:AOQ24)</f>
        <v/>
      </c>
      <c r="AOS24" s="12">
        <f>OR(AOS23,AOR24&gt;=VATThreshold)</f>
        <v/>
      </c>
      <c r="AOT24" s="9">
        <f>IF(AOS24,AOQ24/(1+VATRate),AOQ24)</f>
        <v/>
      </c>
      <c r="AOU24" s="12">
        <f>AOQ24-AOT24</f>
        <v/>
      </c>
      <c r="AOV24" s="12">
        <f>IF(AOS24=0,0,IF(ANR24=1,SUMPRODUCT(--(($ANS$5:$ANS24=$ANS24-1)*($ANR$5:$ANR24&gt;=10)*($ANR$5:$ANR24&lt;=12)),$AOU$5:$AOU24),IF(ANR24=4,SUMPRODUCT(--(($ANS$5:$ANS24=$ANS24)*($ANR$5:$ANR24&gt;=1)*($ANR$5:$ANR24&lt;=3)),$AOU$5:$AOU24),IF(ANR24=7,SUMPRODUCT(--(($ANS$5:$ANS24=$ANS24)*($ANR$5:$ANR24&gt;=4)*($ANR$5:$ANR24&lt;=6)),$AOU$5:$AOU24),IF(ANR24=10,SUMPRODUCT(--(($ANS$5:$ANS24=$ANS24)*($ANR$5:$ANR24&gt;=7)*($ANR$5:$ANR24&lt;=9)),$AOU$5:$AOU24),0)))))</f>
        <v/>
      </c>
      <c r="AOW24" s="12">
        <f>AOW23+AOU24-AOV24</f>
        <v/>
      </c>
      <c r="AOX24" s="12">
        <f>IF(ProviderDelay&gt;=1,AOT23*ProviderShare,AOT24*ProviderShare)</f>
        <v/>
      </c>
      <c r="AOY24" s="12">
        <f>AOQ24*PaymentFee</f>
        <v/>
      </c>
      <c r="AOZ24" s="12">
        <f>AOK24*OpsAI</f>
        <v/>
      </c>
      <c r="APA24" s="12">
        <f>MonthlyFixed</f>
        <v/>
      </c>
      <c r="APB24" s="12">
        <f>ANY24*ReferralReward</f>
        <v/>
      </c>
      <c r="APC24" s="12">
        <f>ANW24</f>
        <v/>
      </c>
      <c r="APD24" s="9">
        <f>AOT24-AOX24-AOY24-AOZ24-APA24-APB24-APC24</f>
        <v/>
      </c>
      <c r="APE24" s="9">
        <f>APE23+AOQ24-(AOX24+AOY24+AOZ24+APA24+APB24+APC24+AOV24)</f>
        <v/>
      </c>
      <c r="APF24" s="12">
        <f>IF(AOK24&gt;0,AOL24/AOK24,0)</f>
        <v/>
      </c>
      <c r="APG24" s="11">
        <f>IF(AOK23&gt;0,MAX(0,(AOK23+ANZ24-AOK24)/AOK23),0)</f>
        <v/>
      </c>
      <c r="API24" s="12" t="n">
        <v>20</v>
      </c>
      <c r="APJ24" s="12">
        <f>MOD(API24-1+LaunchMonth-1,12)+1</f>
        <v/>
      </c>
      <c r="APK24" s="12">
        <f>INT((API24-1+LaunchMonth-1)/12)+1</f>
        <v/>
      </c>
      <c r="APL24" s="12">
        <f>VLOOKUP(APJ24,SeasonTable,2,FALSE)</f>
        <v/>
      </c>
      <c r="APM24" s="12">
        <f>(1+InflationRate)^INT((API24-1)/12)</f>
        <v/>
      </c>
      <c r="APN24" s="11">
        <f>MonthlyChurn*VLOOKUP(APJ24,ChurnSeasonTable,4,FALSE)</f>
        <v/>
      </c>
      <c r="APO24" s="12">
        <f>MIN(MAX(MktMin19plus,AQI23*MktPct19plus),MAX(0,AQW23-CashBuffer))</f>
        <v/>
      </c>
      <c r="APP24" s="12">
        <f>IF(APO24&gt;0,MAX(1,ROUND(APO24/'Sens - CAC &amp; Marketing'!$A$15*APL24,0)),0)</f>
        <v/>
      </c>
      <c r="APQ24" s="12">
        <f>IF(APP24&gt;0,ROUND(APP24*ReferralMix/(1-ReferralMix),0),0)</f>
        <v/>
      </c>
      <c r="APR24" s="12">
        <f>APP24+APQ24</f>
        <v/>
      </c>
      <c r="APS24" s="12">
        <f>ROUND(APR24*(1-AnnualMix),0)</f>
        <v/>
      </c>
      <c r="APT24" s="12">
        <f>APR24-APS24</f>
        <v/>
      </c>
      <c r="APU24" s="12">
        <f>ROUND(APS24*EssentialMix,0)</f>
        <v/>
      </c>
      <c r="APV24" s="12">
        <f>APS24-APU24</f>
        <v/>
      </c>
      <c r="APW24" s="12">
        <f>ROUND(APT24*EssentialMix,0)</f>
        <v/>
      </c>
      <c r="APX24" s="12">
        <f>APT24-APW24</f>
        <v/>
      </c>
      <c r="APY24" s="12">
        <f>APU24+APU23+APU22+MAX(0,APY23-APU23-APU22)*(1-APN24)</f>
        <v/>
      </c>
      <c r="APZ24" s="12">
        <f>APV24+APV23+APV22+MAX(0,APZ23-APV23-APV22)*(1-APN24)</f>
        <v/>
      </c>
      <c r="AQA24" s="12">
        <f>AQA23+APW24-APW12*(AnnualChurn*VLOOKUP(APJ24,ChurnSeasonTable,4,FALSE))*POWER(1-(AnnualChurn*VLOOKUP(APJ24,ChurnSeasonTable,4,FALSE)),0)</f>
        <v/>
      </c>
      <c r="AQB24" s="12">
        <f>AQB23+APX24-APX12*(AnnualChurn*VLOOKUP(APJ24,ChurnSeasonTable,4,FALSE))*POWER(1-(AnnualChurn*VLOOKUP(APJ24,ChurnSeasonTable,4,FALSE)),0)</f>
        <v/>
      </c>
      <c r="AQC24" s="12">
        <f>APY24+APZ24+AQA24+AQB24</f>
        <v/>
      </c>
      <c r="AQD24" s="9">
        <f>APY24*PriceEssMonthly*APM24+APZ24*PricePremMonthly*APM24+AQA24*PriceEssAnnual*APM24/12+AQB24*PricePremAnnual*APM24/12</f>
        <v/>
      </c>
      <c r="AQE24" s="9">
        <f>AQD24*12</f>
        <v/>
      </c>
      <c r="AQF24" s="12">
        <f>APY24*PriceEssMonthly*APM24+APZ24*PricePremMonthly*APM24</f>
        <v/>
      </c>
      <c r="AQG24" s="12">
        <f>APW24*PriceEssAnnual*APM24+APX24*PricePremAnnual*APM24</f>
        <v/>
      </c>
      <c r="AQH24" s="12">
        <f>APW12*POWER(1-(AnnualChurn*VLOOKUP(APJ24,ChurnSeasonTable,4,FALSE)),1)*PriceEssAnnual*APM24+APX12*POWER(1-(AnnualChurn*VLOOKUP(APJ24,ChurnSeasonTable,4,FALSE)),1)*PricePremAnnual*APM24</f>
        <v/>
      </c>
      <c r="AQI24" s="9">
        <f>AQF24+AQG24+AQH24</f>
        <v/>
      </c>
      <c r="AQJ24" s="12">
        <f>SUM(AQI13:AQI24)</f>
        <v/>
      </c>
      <c r="AQK24" s="12">
        <f>OR(AQK23,AQJ24&gt;=VATThreshold)</f>
        <v/>
      </c>
      <c r="AQL24" s="9">
        <f>IF(AQK24,AQI24/(1+VATRate),AQI24)</f>
        <v/>
      </c>
      <c r="AQM24" s="12">
        <f>AQI24-AQL24</f>
        <v/>
      </c>
      <c r="AQN24" s="12">
        <f>IF(AQK24=0,0,IF(APJ24=1,SUMPRODUCT(--(($APK$5:$APK24=$APK24-1)*($APJ$5:$APJ24&gt;=10)*($APJ$5:$APJ24&lt;=12)),$AQM$5:$AQM24),IF(APJ24=4,SUMPRODUCT(--(($APK$5:$APK24=$APK24)*($APJ$5:$APJ24&gt;=1)*($APJ$5:$APJ24&lt;=3)),$AQM$5:$AQM24),IF(APJ24=7,SUMPRODUCT(--(($APK$5:$APK24=$APK24)*($APJ$5:$APJ24&gt;=4)*($APJ$5:$APJ24&lt;=6)),$AQM$5:$AQM24),IF(APJ24=10,SUMPRODUCT(--(($APK$5:$APK24=$APK24)*($APJ$5:$APJ24&gt;=7)*($APJ$5:$APJ24&lt;=9)),$AQM$5:$AQM24),0)))))</f>
        <v/>
      </c>
      <c r="AQO24" s="12">
        <f>AQO23+AQM24-AQN24</f>
        <v/>
      </c>
      <c r="AQP24" s="12">
        <f>IF(ProviderDelay&gt;=1,AQL23*ProviderShare,AQL24*ProviderShare)</f>
        <v/>
      </c>
      <c r="AQQ24" s="12">
        <f>AQI24*PaymentFee</f>
        <v/>
      </c>
      <c r="AQR24" s="12">
        <f>AQC24*OpsAI</f>
        <v/>
      </c>
      <c r="AQS24" s="12">
        <f>MonthlyFixed</f>
        <v/>
      </c>
      <c r="AQT24" s="12">
        <f>APQ24*ReferralReward</f>
        <v/>
      </c>
      <c r="AQU24" s="12">
        <f>APO24</f>
        <v/>
      </c>
      <c r="AQV24" s="9">
        <f>AQL24-AQP24-AQQ24-AQR24-AQS24-AQT24-AQU24</f>
        <v/>
      </c>
      <c r="AQW24" s="9">
        <f>AQW23+AQI24-(AQP24+AQQ24+AQR24+AQS24+AQT24+AQU24+AQN24)</f>
        <v/>
      </c>
      <c r="AQX24" s="12">
        <f>IF(AQC24&gt;0,AQD24/AQC24,0)</f>
        <v/>
      </c>
      <c r="AQY24" s="11">
        <f>IF(AQC23&gt;0,MAX(0,(AQC23+APR24-AQC24)/AQC23),0)</f>
        <v/>
      </c>
      <c r="ARA24" s="12" t="n">
        <v>20</v>
      </c>
      <c r="ARB24" s="12">
        <f>MOD(ARA24-1+LaunchMonth-1,12)+1</f>
        <v/>
      </c>
      <c r="ARC24" s="12">
        <f>INT((ARA24-1+LaunchMonth-1)/12)+1</f>
        <v/>
      </c>
      <c r="ARD24" s="12">
        <f>VLOOKUP(ARB24,WinterPivotSeasonTable,5,FALSE)</f>
        <v/>
      </c>
      <c r="ARE24" s="12">
        <f>(1+InflationRate)^INT((ARA24-1)/12)</f>
        <v/>
      </c>
      <c r="ARF24" s="11">
        <f>MonthlyChurn*VLOOKUP(ARB24,WinterPivotChurnTable,6,FALSE)</f>
        <v/>
      </c>
      <c r="ARG24" s="12">
        <f>MIN(MAX(MktMin19plus,ASA23*MktPct19plus),MAX(0,ASO23-CashBuffer))</f>
        <v/>
      </c>
      <c r="ARH24" s="12">
        <f>IF(ARG24&gt;0,MAX(1,ROUND(ARG24/CAC*ARD24,0)),0)</f>
        <v/>
      </c>
      <c r="ARI24" s="12">
        <f>IF(ARH24&gt;0,ROUND(ARH24*ReferralMix/(1-ReferralMix),0),0)</f>
        <v/>
      </c>
      <c r="ARJ24" s="12">
        <f>ARH24+ARI24</f>
        <v/>
      </c>
      <c r="ARK24" s="12">
        <f>ROUND(ARJ24*(1-AnnualMix),0)</f>
        <v/>
      </c>
      <c r="ARL24" s="12">
        <f>ARJ24-ARK24</f>
        <v/>
      </c>
      <c r="ARM24" s="12">
        <f>ROUND(ARK24*'Sens - Winter Pivot'!$B$6,0)</f>
        <v/>
      </c>
      <c r="ARN24" s="12">
        <f>ARK24-ARM24</f>
        <v/>
      </c>
      <c r="ARO24" s="12">
        <f>ROUND(ARL24*'Sens - Winter Pivot'!$B$6,0)</f>
        <v/>
      </c>
      <c r="ARP24" s="12">
        <f>ARL24-ARO24</f>
        <v/>
      </c>
      <c r="ARQ24" s="12">
        <f>ARM24+ARM23+ARM22+MAX(0,ARQ23-ARM23-ARM22)*(1-ARF24)</f>
        <v/>
      </c>
      <c r="ARR24" s="12">
        <f>ARN24+ARN23+ARN22+MAX(0,ARR23-ARN23-ARN22)*(1-ARF24)</f>
        <v/>
      </c>
      <c r="ARS24" s="12">
        <f>ARS23+ARO24-ARO12*(AnnualChurn*VLOOKUP(ARB24,WinterPivotChurnTable,6,FALSE))*POWER(1-(AnnualChurn*VLOOKUP(ARB24,WinterPivotChurnTable,6,FALSE)),0)</f>
        <v/>
      </c>
      <c r="ART24" s="12">
        <f>ART23+ARP24-ARP12*(AnnualChurn*VLOOKUP(ARB24,WinterPivotChurnTable,6,FALSE))*POWER(1-(AnnualChurn*VLOOKUP(ARB24,WinterPivotChurnTable,6,FALSE)),0)</f>
        <v/>
      </c>
      <c r="ARU24" s="12">
        <f>ARQ24+ARR24+ARS24+ART24</f>
        <v/>
      </c>
      <c r="ARV24" s="9">
        <f>ARQ24*PriceEssMonthly*ARE24+ARR24*(PricePremMonthly+'Sens - Winter Pivot'!$B$7)*ARE24+ARS24*PriceEssAnnual*ARE24/12+ART24*(PricePremAnnual+'Sens - Winter Pivot'!$B$7*12)*ARE24/12</f>
        <v/>
      </c>
      <c r="ARW24" s="9">
        <f>ARV24*12</f>
        <v/>
      </c>
      <c r="ARX24" s="12">
        <f>ARQ24*PriceEssMonthly*ARE24+ARR24*(PricePremMonthly+'Sens - Winter Pivot'!$B$7)*ARE24</f>
        <v/>
      </c>
      <c r="ARY24" s="12">
        <f>ARO24*PriceEssAnnual*ARE24+ARP24*(PricePremAnnual+'Sens - Winter Pivot'!$B$7*12)*ARE24</f>
        <v/>
      </c>
      <c r="ARZ24" s="12">
        <f>ARO12*POWER(1-(AnnualChurn*VLOOKUP(ARB24,WinterPivotChurnTable,6,FALSE)),1)*PriceEssAnnual*ARE24+ARP12*POWER(1-(AnnualChurn*VLOOKUP(ARB24,WinterPivotChurnTable,6,FALSE)),1)*PricePremAnnual*ARE24</f>
        <v/>
      </c>
      <c r="ASA24" s="9">
        <f>ARX24+ARY24+ARZ24</f>
        <v/>
      </c>
      <c r="ASB24" s="12">
        <f>SUM(ASA13:ASA24)</f>
        <v/>
      </c>
      <c r="ASC24" s="12">
        <f>OR(ASC23,ASB24&gt;=VATThreshold)</f>
        <v/>
      </c>
      <c r="ASD24" s="9">
        <f>IF(ASC24,ASA24/(1+VATRate),ASA24)</f>
        <v/>
      </c>
      <c r="ASE24" s="12">
        <f>ASA24-ASD24</f>
        <v/>
      </c>
      <c r="ASF24" s="12">
        <f>IF(ASC24=0,0,IF(ARB24=1,SUMPRODUCT(--(($ARC$5:$ARC24=$ARC24-1)*($ARB$5:$ARB24&gt;=10)*($ARB$5:$ARB24&lt;=12)),$ASE$5:$ASE24),IF(ARB24=4,SUMPRODUCT(--(($ARC$5:$ARC24=$ARC24)*($ARB$5:$ARB24&gt;=1)*($ARB$5:$ARB24&lt;=3)),$ASE$5:$ASE24),IF(ARB24=7,SUMPRODUCT(--(($ARC$5:$ARC24=$ARC24)*($ARB$5:$ARB24&gt;=4)*($ARB$5:$ARB24&lt;=6)),$ASE$5:$ASE24),IF(ARB24=10,SUMPRODUCT(--(($ARC$5:$ARC24=$ARC24)*($ARB$5:$ARB24&gt;=7)*($ARB$5:$ARB24&lt;=9)),$ASE$5:$ASE24),0)))))</f>
        <v/>
      </c>
      <c r="ASG24" s="12">
        <f>ASG23+ASE24-ASF24</f>
        <v/>
      </c>
      <c r="ASH24" s="12">
        <f>IF(ProviderDelay&gt;=1,ASD23*ProviderShare,ASD24*ProviderShare)</f>
        <v/>
      </c>
      <c r="ASI24" s="12">
        <f>ASA24*PaymentFee</f>
        <v/>
      </c>
      <c r="ASJ24" s="12">
        <f>ARU24*OpsAI</f>
        <v/>
      </c>
      <c r="ASK24" s="12">
        <f>MonthlyFixed</f>
        <v/>
      </c>
      <c r="ASL24" s="12">
        <f>ARI24*ReferralReward</f>
        <v/>
      </c>
      <c r="ASM24" s="12">
        <f>ARG24</f>
        <v/>
      </c>
      <c r="ASN24" s="9">
        <f>ASD24-ASH24-ASI24-ASJ24-ASK24-ASL24-ASM24</f>
        <v/>
      </c>
      <c r="ASO24" s="9">
        <f>ASO23+ASA24-(ASH24+ASI24+ASJ24+ASK24+ASL24+ASM24+ASF24)</f>
        <v/>
      </c>
      <c r="ASP24" s="12">
        <f>IF(ARU24&gt;0,ARV24/ARU24,0)</f>
        <v/>
      </c>
      <c r="ASQ24" s="11">
        <f>IF(ARU23&gt;0,MAX(0,(ARU23+ARJ24-ARU24)/ARU23),0)</f>
        <v/>
      </c>
    </row>
    <row r="25">
      <c r="A25" s="12" t="n">
        <v>21</v>
      </c>
      <c r="B25" s="12">
        <f>MOD(A25-1+LaunchMonth-1,12)+1</f>
        <v/>
      </c>
      <c r="C25" s="12">
        <f>INT((A25-1+LaunchMonth-1)/12)+1</f>
        <v/>
      </c>
      <c r="D25" s="12">
        <f>VLOOKUP(B25,SeasonTable,2,FALSE)</f>
        <v/>
      </c>
      <c r="E25" s="12">
        <f>(1+InflationRate)^INT((A25-1)/12)</f>
        <v/>
      </c>
      <c r="F25" s="11">
        <f>'Sens - Scenarios'!$B$5*VLOOKUP(B25,ChurnSeasonTable,4,FALSE)</f>
        <v/>
      </c>
      <c r="G25" s="12">
        <f>MIN(MAX(MktMin19plus,AA24*MktPct19plus),MAX(0,AO24-CashBuffer))</f>
        <v/>
      </c>
      <c r="H25" s="12">
        <f>IF(G25&gt;0,MAX(1,ROUND(G25/'Sens - Scenarios'!$B$8*D25,0)),0)</f>
        <v/>
      </c>
      <c r="I25" s="12">
        <f>IF(H25&gt;0,ROUND(H25*ReferralMix/(1-ReferralMix),0),0)</f>
        <v/>
      </c>
      <c r="J25" s="12">
        <f>H25+I25</f>
        <v/>
      </c>
      <c r="K25" s="12">
        <f>ROUND(J25*(1-'Sens - Scenarios'!$B$7),0)</f>
        <v/>
      </c>
      <c r="L25" s="12">
        <f>J25-K25</f>
        <v/>
      </c>
      <c r="M25" s="12">
        <f>ROUND(K25*EssentialMix,0)</f>
        <v/>
      </c>
      <c r="N25" s="12">
        <f>K25-M25</f>
        <v/>
      </c>
      <c r="O25" s="12">
        <f>ROUND(L25*EssentialMix,0)</f>
        <v/>
      </c>
      <c r="P25" s="12">
        <f>L25-O25</f>
        <v/>
      </c>
      <c r="Q25" s="12">
        <f>M25+M24+M23+MAX(0,Q24-M24-M23)*(1-F25)</f>
        <v/>
      </c>
      <c r="R25" s="12">
        <f>N25+N24+N23+MAX(0,R24-N24-N23)*(1-F25)</f>
        <v/>
      </c>
      <c r="S25" s="12">
        <f>S24+O25-O13*('Sens - Scenarios'!$B$6*VLOOKUP(B25,ChurnSeasonTable,4,FALSE))*POWER(1-('Sens - Scenarios'!$B$6*VLOOKUP(B25,ChurnSeasonTable,4,FALSE)),0)</f>
        <v/>
      </c>
      <c r="T25" s="12">
        <f>T24+P25-P13*('Sens - Scenarios'!$B$6*VLOOKUP(B25,ChurnSeasonTable,4,FALSE))*POWER(1-('Sens - Scenarios'!$B$6*VLOOKUP(B25,ChurnSeasonTable,4,FALSE)),0)</f>
        <v/>
      </c>
      <c r="U25" s="12">
        <f>Q25+R25+S25+T25</f>
        <v/>
      </c>
      <c r="V25" s="9">
        <f>Q25*PriceEssMonthly*E25+R25*PricePremMonthly*E25+S25*PriceEssAnnual*E25/12+T25*PricePremAnnual*E25/12</f>
        <v/>
      </c>
      <c r="W25" s="9">
        <f>V25*12</f>
        <v/>
      </c>
      <c r="X25" s="12">
        <f>Q25*PriceEssMonthly*E25+R25*PricePremMonthly*E25</f>
        <v/>
      </c>
      <c r="Y25" s="12">
        <f>O25*PriceEssAnnual*E25+P25*PricePremAnnual*E25</f>
        <v/>
      </c>
      <c r="Z25" s="12">
        <f>O13*POWER(1-('Sens - Scenarios'!$B$6*VLOOKUP(B25,ChurnSeasonTable,4,FALSE)),1)*PriceEssAnnual*E25+P13*POWER(1-('Sens - Scenarios'!$B$6*VLOOKUP(B25,ChurnSeasonTable,4,FALSE)),1)*PricePremAnnual*E25</f>
        <v/>
      </c>
      <c r="AA25" s="9">
        <f>X25+Y25+Z25</f>
        <v/>
      </c>
      <c r="AB25" s="12">
        <f>SUM(AA14:AA25)</f>
        <v/>
      </c>
      <c r="AC25" s="12">
        <f>OR(AC24,AB25&gt;=VATThreshold)</f>
        <v/>
      </c>
      <c r="AD25" s="9">
        <f>IF(AC25,AA25/(1+VATRate),AA25)</f>
        <v/>
      </c>
      <c r="AE25" s="12">
        <f>AA25-AD25</f>
        <v/>
      </c>
      <c r="AF25" s="12">
        <f>IF(AC25=0,0,IF(B25=1,SUMPRODUCT(--(($C$5:$C25=$C25-1)*($B$5:$B25&gt;=10)*($B$5:$B25&lt;=12)),$AE$5:$AE25),IF(B25=4,SUMPRODUCT(--(($C$5:$C25=$C25)*($B$5:$B25&gt;=1)*($B$5:$B25&lt;=3)),$AE$5:$AE25),IF(B25=7,SUMPRODUCT(--(($C$5:$C25=$C25)*($B$5:$B25&gt;=4)*($B$5:$B25&lt;=6)),$AE$5:$AE25),IF(B25=10,SUMPRODUCT(--(($C$5:$C25=$C25)*($B$5:$B25&gt;=7)*($B$5:$B25&lt;=9)),$AE$5:$AE25),0)))))</f>
        <v/>
      </c>
      <c r="AG25" s="12">
        <f>AG24+AE25-AF25</f>
        <v/>
      </c>
      <c r="AH25" s="12">
        <f>IF(ProviderDelay&gt;=1,AD24*ProviderShare,AD25*ProviderShare)</f>
        <v/>
      </c>
      <c r="AI25" s="12">
        <f>AA25*PaymentFee</f>
        <v/>
      </c>
      <c r="AJ25" s="12">
        <f>U25*OpsAI</f>
        <v/>
      </c>
      <c r="AK25" s="12">
        <f>MonthlyFixed</f>
        <v/>
      </c>
      <c r="AL25" s="12">
        <f>I25*ReferralReward</f>
        <v/>
      </c>
      <c r="AM25" s="12">
        <f>G25</f>
        <v/>
      </c>
      <c r="AN25" s="9">
        <f>AD25-AH25-AI25-AJ25-AK25-AL25-AM25</f>
        <v/>
      </c>
      <c r="AO25" s="9">
        <f>AO24+AA25-(AH25+AI25+AJ25+AK25+AL25+AM25+AF25)</f>
        <v/>
      </c>
      <c r="AP25" s="12">
        <f>IF(U25&gt;0,V25/U25,0)</f>
        <v/>
      </c>
      <c r="AQ25" s="11">
        <f>IF(U24&gt;0,MAX(0,(U24+J25-U25)/U24),0)</f>
        <v/>
      </c>
      <c r="AS25" s="12" t="n">
        <v>21</v>
      </c>
      <c r="AT25" s="12">
        <f>MOD(AS25-1+LaunchMonth-1,12)+1</f>
        <v/>
      </c>
      <c r="AU25" s="12">
        <f>INT((AS25-1+LaunchMonth-1)/12)+1</f>
        <v/>
      </c>
      <c r="AV25" s="12">
        <f>VLOOKUP(AT25,SeasonTable,2,FALSE)</f>
        <v/>
      </c>
      <c r="AW25" s="12">
        <f>(1+InflationRate)^INT((AS25-1)/12)</f>
        <v/>
      </c>
      <c r="AX25" s="11">
        <f>MonthlyChurn*VLOOKUP(AT25,ChurnSeasonTable,4,FALSE)</f>
        <v/>
      </c>
      <c r="AY25" s="12">
        <f>MIN(MAX(MktMin19plus,BS24*MktPct19plus),MAX(0,CG24-CashBuffer))</f>
        <v/>
      </c>
      <c r="AZ25" s="12">
        <f>IF(AY25&gt;0,MAX(1,ROUND(AY25/CAC*AV25,0)),0)</f>
        <v/>
      </c>
      <c r="BA25" s="12">
        <f>IF(AZ25&gt;0,ROUND(AZ25*ReferralMix/(1-ReferralMix),0),0)</f>
        <v/>
      </c>
      <c r="BB25" s="12">
        <f>AZ25+BA25</f>
        <v/>
      </c>
      <c r="BC25" s="12">
        <f>ROUND(BB25*(1-AnnualMix),0)</f>
        <v/>
      </c>
      <c r="BD25" s="12">
        <f>BB25-BC25</f>
        <v/>
      </c>
      <c r="BE25" s="12">
        <f>ROUND(BC25*EssentialMix,0)</f>
        <v/>
      </c>
      <c r="BF25" s="12">
        <f>BC25-BE25</f>
        <v/>
      </c>
      <c r="BG25" s="12">
        <f>ROUND(BD25*EssentialMix,0)</f>
        <v/>
      </c>
      <c r="BH25" s="12">
        <f>BD25-BG25</f>
        <v/>
      </c>
      <c r="BI25" s="12">
        <f>BE25+BE24+BE23+MAX(0,BI24-BE24-BE23)*(1-AX25)</f>
        <v/>
      </c>
      <c r="BJ25" s="12">
        <f>BF25+BF24+BF23+MAX(0,BJ24-BF24-BF23)*(1-AX25)</f>
        <v/>
      </c>
      <c r="BK25" s="12">
        <f>BK24+BG25-BG13*(AnnualChurn*VLOOKUP(AT25,ChurnSeasonTable,4,FALSE))*POWER(1-(AnnualChurn*VLOOKUP(AT25,ChurnSeasonTable,4,FALSE)),0)</f>
        <v/>
      </c>
      <c r="BL25" s="12">
        <f>BL24+BH25-BH13*(AnnualChurn*VLOOKUP(AT25,ChurnSeasonTable,4,FALSE))*POWER(1-(AnnualChurn*VLOOKUP(AT25,ChurnSeasonTable,4,FALSE)),0)</f>
        <v/>
      </c>
      <c r="BM25" s="12">
        <f>BI25+BJ25+BK25+BL25</f>
        <v/>
      </c>
      <c r="BN25" s="9">
        <f>BI25*PriceEssMonthly*AW25+BJ25*PricePremMonthly*AW25+BK25*PriceEssAnnual*AW25/12+BL25*PricePremAnnual*AW25/12</f>
        <v/>
      </c>
      <c r="BO25" s="9">
        <f>BN25*12</f>
        <v/>
      </c>
      <c r="BP25" s="12">
        <f>BI25*PriceEssMonthly*AW25+BJ25*PricePremMonthly*AW25</f>
        <v/>
      </c>
      <c r="BQ25" s="12">
        <f>BG25*PriceEssAnnual*AW25+BH25*PricePremAnnual*AW25</f>
        <v/>
      </c>
      <c r="BR25" s="12">
        <f>BG13*POWER(1-(AnnualChurn*VLOOKUP(AT25,ChurnSeasonTable,4,FALSE)),1)*PriceEssAnnual*AW25+BH13*POWER(1-(AnnualChurn*VLOOKUP(AT25,ChurnSeasonTable,4,FALSE)),1)*PricePremAnnual*AW25</f>
        <v/>
      </c>
      <c r="BS25" s="9">
        <f>BP25+BQ25+BR25</f>
        <v/>
      </c>
      <c r="BT25" s="12">
        <f>SUM(BS14:BS25)</f>
        <v/>
      </c>
      <c r="BU25" s="12">
        <f>OR(BU24,BT25&gt;=VATThreshold)</f>
        <v/>
      </c>
      <c r="BV25" s="9">
        <f>IF(BU25,BS25/(1+VATRate),BS25)</f>
        <v/>
      </c>
      <c r="BW25" s="12">
        <f>BS25-BV25</f>
        <v/>
      </c>
      <c r="BX25" s="12">
        <f>IF(BU25=0,0,IF(AT25=1,SUMPRODUCT(--(($AU$5:$AU25=$AU25-1)*($AT$5:$AT25&gt;=10)*($AT$5:$AT25&lt;=12)),$BW$5:$BW25),IF(AT25=4,SUMPRODUCT(--(($AU$5:$AU25=$AU25)*($AT$5:$AT25&gt;=1)*($AT$5:$AT25&lt;=3)),$BW$5:$BW25),IF(AT25=7,SUMPRODUCT(--(($AU$5:$AU25=$AU25)*($AT$5:$AT25&gt;=4)*($AT$5:$AT25&lt;=6)),$BW$5:$BW25),IF(AT25=10,SUMPRODUCT(--(($AU$5:$AU25=$AU25)*($AT$5:$AT25&gt;=7)*($AT$5:$AT25&lt;=9)),$BW$5:$BW25),0)))))</f>
        <v/>
      </c>
      <c r="BY25" s="12">
        <f>BY24+BW25-BX25</f>
        <v/>
      </c>
      <c r="BZ25" s="12">
        <f>IF(ProviderDelay&gt;=1,BV24*ProviderShare,BV25*ProviderShare)</f>
        <v/>
      </c>
      <c r="CA25" s="12">
        <f>BS25*PaymentFee</f>
        <v/>
      </c>
      <c r="CB25" s="12">
        <f>BM25*OpsAI</f>
        <v/>
      </c>
      <c r="CC25" s="12">
        <f>MonthlyFixed</f>
        <v/>
      </c>
      <c r="CD25" s="12">
        <f>BA25*ReferralReward</f>
        <v/>
      </c>
      <c r="CE25" s="12">
        <f>AY25</f>
        <v/>
      </c>
      <c r="CF25" s="9">
        <f>BV25-BZ25-CA25-CB25-CC25-CD25-CE25</f>
        <v/>
      </c>
      <c r="CG25" s="9">
        <f>CG24+BS25-(BZ25+CA25+CB25+CC25+CD25+CE25+BX25)</f>
        <v/>
      </c>
      <c r="CH25" s="12">
        <f>IF(BM25&gt;0,BN25/BM25,0)</f>
        <v/>
      </c>
      <c r="CI25" s="11">
        <f>IF(BM24&gt;0,MAX(0,(BM24+BB25-BM25)/BM24),0)</f>
        <v/>
      </c>
      <c r="CK25" s="12" t="n">
        <v>21</v>
      </c>
      <c r="CL25" s="12">
        <f>MOD(CK25-1+LaunchMonth-1,12)+1</f>
        <v/>
      </c>
      <c r="CM25" s="12">
        <f>INT((CK25-1+LaunchMonth-1)/12)+1</f>
        <v/>
      </c>
      <c r="CN25" s="12">
        <f>VLOOKUP(CL25,SeasonTable,2,FALSE)</f>
        <v/>
      </c>
      <c r="CO25" s="12">
        <f>(1+InflationRate)^INT((CK25-1)/12)</f>
        <v/>
      </c>
      <c r="CP25" s="11">
        <f>'Sens - Scenarios'!$D$5*VLOOKUP(CL25,ChurnSeasonTable,4,FALSE)</f>
        <v/>
      </c>
      <c r="CQ25" s="12">
        <f>MIN(MAX(MktMin19plus,DK24*MktPct19plus),MAX(0,DY24-CashBuffer))</f>
        <v/>
      </c>
      <c r="CR25" s="12">
        <f>IF(CQ25&gt;0,MAX(1,ROUND(CQ25/'Sens - Scenarios'!$D$8*CN25,0)),0)</f>
        <v/>
      </c>
      <c r="CS25" s="12">
        <f>IF(CR25&gt;0,ROUND(CR25*ReferralMix/(1-ReferralMix),0),0)</f>
        <v/>
      </c>
      <c r="CT25" s="12">
        <f>CR25+CS25</f>
        <v/>
      </c>
      <c r="CU25" s="12">
        <f>ROUND(CT25*(1-'Sens - Scenarios'!$D$7),0)</f>
        <v/>
      </c>
      <c r="CV25" s="12">
        <f>CT25-CU25</f>
        <v/>
      </c>
      <c r="CW25" s="12">
        <f>ROUND(CU25*EssentialMix,0)</f>
        <v/>
      </c>
      <c r="CX25" s="12">
        <f>CU25-CW25</f>
        <v/>
      </c>
      <c r="CY25" s="12">
        <f>ROUND(CV25*EssentialMix,0)</f>
        <v/>
      </c>
      <c r="CZ25" s="12">
        <f>CV25-CY25</f>
        <v/>
      </c>
      <c r="DA25" s="12">
        <f>CW25+CW24+CW23+MAX(0,DA24-CW24-CW23)*(1-CP25)</f>
        <v/>
      </c>
      <c r="DB25" s="12">
        <f>CX25+CX24+CX23+MAX(0,DB24-CX24-CX23)*(1-CP25)</f>
        <v/>
      </c>
      <c r="DC25" s="12">
        <f>DC24+CY25-CY13*('Sens - Scenarios'!$D$6*VLOOKUP(CL25,ChurnSeasonTable,4,FALSE))*POWER(1-('Sens - Scenarios'!$D$6*VLOOKUP(CL25,ChurnSeasonTable,4,FALSE)),0)</f>
        <v/>
      </c>
      <c r="DD25" s="12">
        <f>DD24+CZ25-CZ13*('Sens - Scenarios'!$D$6*VLOOKUP(CL25,ChurnSeasonTable,4,FALSE))*POWER(1-('Sens - Scenarios'!$D$6*VLOOKUP(CL25,ChurnSeasonTable,4,FALSE)),0)</f>
        <v/>
      </c>
      <c r="DE25" s="12">
        <f>DA25+DB25+DC25+DD25</f>
        <v/>
      </c>
      <c r="DF25" s="9">
        <f>DA25*PriceEssMonthly*CO25+DB25*PricePremMonthly*CO25+DC25*PriceEssAnnual*CO25/12+DD25*PricePremAnnual*CO25/12</f>
        <v/>
      </c>
      <c r="DG25" s="9">
        <f>DF25*12</f>
        <v/>
      </c>
      <c r="DH25" s="12">
        <f>DA25*PriceEssMonthly*CO25+DB25*PricePremMonthly*CO25</f>
        <v/>
      </c>
      <c r="DI25" s="12">
        <f>CY25*PriceEssAnnual*CO25+CZ25*PricePremAnnual*CO25</f>
        <v/>
      </c>
      <c r="DJ25" s="12">
        <f>CY13*POWER(1-('Sens - Scenarios'!$D$6*VLOOKUP(CL25,ChurnSeasonTable,4,FALSE)),1)*PriceEssAnnual*CO25+CZ13*POWER(1-('Sens - Scenarios'!$D$6*VLOOKUP(CL25,ChurnSeasonTable,4,FALSE)),1)*PricePremAnnual*CO25</f>
        <v/>
      </c>
      <c r="DK25" s="9">
        <f>DH25+DI25+DJ25</f>
        <v/>
      </c>
      <c r="DL25" s="12">
        <f>SUM(DK14:DK25)</f>
        <v/>
      </c>
      <c r="DM25" s="12">
        <f>OR(DM24,DL25&gt;=VATThreshold)</f>
        <v/>
      </c>
      <c r="DN25" s="9">
        <f>IF(DM25,DK25/(1+VATRate),DK25)</f>
        <v/>
      </c>
      <c r="DO25" s="12">
        <f>DK25-DN25</f>
        <v/>
      </c>
      <c r="DP25" s="12">
        <f>IF(DM25=0,0,IF(CL25=1,SUMPRODUCT(--(($CM$5:$CM25=$CM25-1)*($CL$5:$CL25&gt;=10)*($CL$5:$CL25&lt;=12)),$DO$5:$DO25),IF(CL25=4,SUMPRODUCT(--(($CM$5:$CM25=$CM25)*($CL$5:$CL25&gt;=1)*($CL$5:$CL25&lt;=3)),$DO$5:$DO25),IF(CL25=7,SUMPRODUCT(--(($CM$5:$CM25=$CM25)*($CL$5:$CL25&gt;=4)*($CL$5:$CL25&lt;=6)),$DO$5:$DO25),IF(CL25=10,SUMPRODUCT(--(($CM$5:$CM25=$CM25)*($CL$5:$CL25&gt;=7)*($CL$5:$CL25&lt;=9)),$DO$5:$DO25),0)))))</f>
        <v/>
      </c>
      <c r="DQ25" s="12">
        <f>DQ24+DO25-DP25</f>
        <v/>
      </c>
      <c r="DR25" s="12">
        <f>IF(ProviderDelay&gt;=1,DN24*ProviderShare,DN25*ProviderShare)</f>
        <v/>
      </c>
      <c r="DS25" s="12">
        <f>DK25*PaymentFee</f>
        <v/>
      </c>
      <c r="DT25" s="12">
        <f>DE25*OpsAI</f>
        <v/>
      </c>
      <c r="DU25" s="12">
        <f>MonthlyFixed</f>
        <v/>
      </c>
      <c r="DV25" s="12">
        <f>CS25*ReferralReward</f>
        <v/>
      </c>
      <c r="DW25" s="12">
        <f>CQ25</f>
        <v/>
      </c>
      <c r="DX25" s="9">
        <f>DN25-DR25-DS25-DT25-DU25-DV25-DW25</f>
        <v/>
      </c>
      <c r="DY25" s="9">
        <f>DY24+DK25-(DR25+DS25+DT25+DU25+DV25+DW25+DP25)</f>
        <v/>
      </c>
      <c r="DZ25" s="12">
        <f>IF(DE25&gt;0,DF25/DE25,0)</f>
        <v/>
      </c>
      <c r="EA25" s="11">
        <f>IF(DE24&gt;0,MAX(0,(DE24+CT25-DE25)/DE24),0)</f>
        <v/>
      </c>
      <c r="EC25" s="12" t="n">
        <v>21</v>
      </c>
      <c r="ED25" s="12">
        <f>MOD(EC25-1+LaunchMonth-1,12)+1</f>
        <v/>
      </c>
      <c r="EE25" s="12">
        <f>INT((EC25-1+LaunchMonth-1)/12)+1</f>
        <v/>
      </c>
      <c r="EF25" s="12">
        <f>VLOOKUP(ED25,SeasonTable,2,FALSE)</f>
        <v/>
      </c>
      <c r="EG25" s="12">
        <f>(1+InflationRate)^INT((EC25-1)/12)</f>
        <v/>
      </c>
      <c r="EH25" s="11">
        <f>'Sens - Churn'!$A$13*VLOOKUP(ED25,ChurnSeasonTable,4,FALSE)</f>
        <v/>
      </c>
      <c r="EI25" s="12">
        <f>MIN(MAX(MktMin19plus,FC24*MktPct19plus),MAX(0,FQ24-CashBuffer))</f>
        <v/>
      </c>
      <c r="EJ25" s="12">
        <f>IF(EI25&gt;0,MAX(1,ROUND(EI25/CAC*EF25,0)),0)</f>
        <v/>
      </c>
      <c r="EK25" s="12">
        <f>IF(EJ25&gt;0,ROUND(EJ25*ReferralMix/(1-ReferralMix),0),0)</f>
        <v/>
      </c>
      <c r="EL25" s="12">
        <f>EJ25+EK25</f>
        <v/>
      </c>
      <c r="EM25" s="12">
        <f>ROUND(EL25*(1-AnnualMix),0)</f>
        <v/>
      </c>
      <c r="EN25" s="12">
        <f>EL25-EM25</f>
        <v/>
      </c>
      <c r="EO25" s="12">
        <f>ROUND(EM25*EssentialMix,0)</f>
        <v/>
      </c>
      <c r="EP25" s="12">
        <f>EM25-EO25</f>
        <v/>
      </c>
      <c r="EQ25" s="12">
        <f>ROUND(EN25*EssentialMix,0)</f>
        <v/>
      </c>
      <c r="ER25" s="12">
        <f>EN25-EQ25</f>
        <v/>
      </c>
      <c r="ES25" s="12">
        <f>EO25+EO24+EO23+MAX(0,ES24-EO24-EO23)*(1-EH25)</f>
        <v/>
      </c>
      <c r="ET25" s="12">
        <f>EP25+EP24+EP23+MAX(0,ET24-EP24-EP23)*(1-EH25)</f>
        <v/>
      </c>
      <c r="EU25" s="12">
        <f>EU24+EQ25-EQ13*(AnnualChurn*VLOOKUP(ED25,ChurnSeasonTable,4,FALSE))*POWER(1-(AnnualChurn*VLOOKUP(ED25,ChurnSeasonTable,4,FALSE)),0)</f>
        <v/>
      </c>
      <c r="EV25" s="12">
        <f>EV24+ER25-ER13*(AnnualChurn*VLOOKUP(ED25,ChurnSeasonTable,4,FALSE))*POWER(1-(AnnualChurn*VLOOKUP(ED25,ChurnSeasonTable,4,FALSE)),0)</f>
        <v/>
      </c>
      <c r="EW25" s="12">
        <f>ES25+ET25+EU25+EV25</f>
        <v/>
      </c>
      <c r="EX25" s="9">
        <f>ES25*PriceEssMonthly*EG25+ET25*PricePremMonthly*EG25+EU25*PriceEssAnnual*EG25/12+EV25*PricePremAnnual*EG25/12</f>
        <v/>
      </c>
      <c r="EY25" s="9">
        <f>EX25*12</f>
        <v/>
      </c>
      <c r="EZ25" s="12">
        <f>ES25*PriceEssMonthly*EG25+ET25*PricePremMonthly*EG25</f>
        <v/>
      </c>
      <c r="FA25" s="12">
        <f>EQ25*PriceEssAnnual*EG25+ER25*PricePremAnnual*EG25</f>
        <v/>
      </c>
      <c r="FB25" s="12">
        <f>EQ13*POWER(1-(AnnualChurn*VLOOKUP(ED25,ChurnSeasonTable,4,FALSE)),1)*PriceEssAnnual*EG25+ER13*POWER(1-(AnnualChurn*VLOOKUP(ED25,ChurnSeasonTable,4,FALSE)),1)*PricePremAnnual*EG25</f>
        <v/>
      </c>
      <c r="FC25" s="9">
        <f>EZ25+FA25+FB25</f>
        <v/>
      </c>
      <c r="FD25" s="12">
        <f>SUM(FC14:FC25)</f>
        <v/>
      </c>
      <c r="FE25" s="12">
        <f>OR(FE24,FD25&gt;=VATThreshold)</f>
        <v/>
      </c>
      <c r="FF25" s="9">
        <f>IF(FE25,FC25/(1+VATRate),FC25)</f>
        <v/>
      </c>
      <c r="FG25" s="12">
        <f>FC25-FF25</f>
        <v/>
      </c>
      <c r="FH25" s="12">
        <f>IF(FE25=0,0,IF(ED25=1,SUMPRODUCT(--(($EE$5:$EE25=$EE25-1)*($ED$5:$ED25&gt;=10)*($ED$5:$ED25&lt;=12)),$FG$5:$FG25),IF(ED25=4,SUMPRODUCT(--(($EE$5:$EE25=$EE25)*($ED$5:$ED25&gt;=1)*($ED$5:$ED25&lt;=3)),$FG$5:$FG25),IF(ED25=7,SUMPRODUCT(--(($EE$5:$EE25=$EE25)*($ED$5:$ED25&gt;=4)*($ED$5:$ED25&lt;=6)),$FG$5:$FG25),IF(ED25=10,SUMPRODUCT(--(($EE$5:$EE25=$EE25)*($ED$5:$ED25&gt;=7)*($ED$5:$ED25&lt;=9)),$FG$5:$FG25),0)))))</f>
        <v/>
      </c>
      <c r="FI25" s="12">
        <f>FI24+FG25-FH25</f>
        <v/>
      </c>
      <c r="FJ25" s="12">
        <f>IF(ProviderDelay&gt;=1,FF24*ProviderShare,FF25*ProviderShare)</f>
        <v/>
      </c>
      <c r="FK25" s="12">
        <f>FC25*PaymentFee</f>
        <v/>
      </c>
      <c r="FL25" s="12">
        <f>EW25*OpsAI</f>
        <v/>
      </c>
      <c r="FM25" s="12">
        <f>MonthlyFixed</f>
        <v/>
      </c>
      <c r="FN25" s="12">
        <f>EK25*ReferralReward</f>
        <v/>
      </c>
      <c r="FO25" s="12">
        <f>EI25</f>
        <v/>
      </c>
      <c r="FP25" s="9">
        <f>FF25-FJ25-FK25-FL25-FM25-FN25-FO25</f>
        <v/>
      </c>
      <c r="FQ25" s="9">
        <f>FQ24+FC25-(FJ25+FK25+FL25+FM25+FN25+FO25+FH25)</f>
        <v/>
      </c>
      <c r="FR25" s="12">
        <f>IF(EW25&gt;0,EX25/EW25,0)</f>
        <v/>
      </c>
      <c r="FS25" s="11">
        <f>IF(EW24&gt;0,MAX(0,(EW24+EL25-EW25)/EW24),0)</f>
        <v/>
      </c>
      <c r="FU25" s="12" t="n">
        <v>21</v>
      </c>
      <c r="FV25" s="12">
        <f>MOD(FU25-1+LaunchMonth-1,12)+1</f>
        <v/>
      </c>
      <c r="FW25" s="12">
        <f>INT((FU25-1+LaunchMonth-1)/12)+1</f>
        <v/>
      </c>
      <c r="FX25" s="12">
        <f>VLOOKUP(FV25,SeasonTable,2,FALSE)</f>
        <v/>
      </c>
      <c r="FY25" s="12">
        <f>(1+InflationRate)^INT((FU25-1)/12)</f>
        <v/>
      </c>
      <c r="FZ25" s="11">
        <f>'Sens - Churn'!$A$14*VLOOKUP(FV25,ChurnSeasonTable,4,FALSE)</f>
        <v/>
      </c>
      <c r="GA25" s="12">
        <f>MIN(MAX(MktMin19plus,GU24*MktPct19plus),MAX(0,HI24-CashBuffer))</f>
        <v/>
      </c>
      <c r="GB25" s="12">
        <f>IF(GA25&gt;0,MAX(1,ROUND(GA25/CAC*FX25,0)),0)</f>
        <v/>
      </c>
      <c r="GC25" s="12">
        <f>IF(GB25&gt;0,ROUND(GB25*ReferralMix/(1-ReferralMix),0),0)</f>
        <v/>
      </c>
      <c r="GD25" s="12">
        <f>GB25+GC25</f>
        <v/>
      </c>
      <c r="GE25" s="12">
        <f>ROUND(GD25*(1-AnnualMix),0)</f>
        <v/>
      </c>
      <c r="GF25" s="12">
        <f>GD25-GE25</f>
        <v/>
      </c>
      <c r="GG25" s="12">
        <f>ROUND(GE25*EssentialMix,0)</f>
        <v/>
      </c>
      <c r="GH25" s="12">
        <f>GE25-GG25</f>
        <v/>
      </c>
      <c r="GI25" s="12">
        <f>ROUND(GF25*EssentialMix,0)</f>
        <v/>
      </c>
      <c r="GJ25" s="12">
        <f>GF25-GI25</f>
        <v/>
      </c>
      <c r="GK25" s="12">
        <f>GG25+GG24+GG23+MAX(0,GK24-GG24-GG23)*(1-FZ25)</f>
        <v/>
      </c>
      <c r="GL25" s="12">
        <f>GH25+GH24+GH23+MAX(0,GL24-GH24-GH23)*(1-FZ25)</f>
        <v/>
      </c>
      <c r="GM25" s="12">
        <f>GM24+GI25-GI13*(AnnualChurn*VLOOKUP(FV25,ChurnSeasonTable,4,FALSE))*POWER(1-(AnnualChurn*VLOOKUP(FV25,ChurnSeasonTable,4,FALSE)),0)</f>
        <v/>
      </c>
      <c r="GN25" s="12">
        <f>GN24+GJ25-GJ13*(AnnualChurn*VLOOKUP(FV25,ChurnSeasonTable,4,FALSE))*POWER(1-(AnnualChurn*VLOOKUP(FV25,ChurnSeasonTable,4,FALSE)),0)</f>
        <v/>
      </c>
      <c r="GO25" s="12">
        <f>GK25+GL25+GM25+GN25</f>
        <v/>
      </c>
      <c r="GP25" s="9">
        <f>GK25*PriceEssMonthly*FY25+GL25*PricePremMonthly*FY25+GM25*PriceEssAnnual*FY25/12+GN25*PricePremAnnual*FY25/12</f>
        <v/>
      </c>
      <c r="GQ25" s="9">
        <f>GP25*12</f>
        <v/>
      </c>
      <c r="GR25" s="12">
        <f>GK25*PriceEssMonthly*FY25+GL25*PricePremMonthly*FY25</f>
        <v/>
      </c>
      <c r="GS25" s="12">
        <f>GI25*PriceEssAnnual*FY25+GJ25*PricePremAnnual*FY25</f>
        <v/>
      </c>
      <c r="GT25" s="12">
        <f>GI13*POWER(1-(AnnualChurn*VLOOKUP(FV25,ChurnSeasonTable,4,FALSE)),1)*PriceEssAnnual*FY25+GJ13*POWER(1-(AnnualChurn*VLOOKUP(FV25,ChurnSeasonTable,4,FALSE)),1)*PricePremAnnual*FY25</f>
        <v/>
      </c>
      <c r="GU25" s="9">
        <f>GR25+GS25+GT25</f>
        <v/>
      </c>
      <c r="GV25" s="12">
        <f>SUM(GU14:GU25)</f>
        <v/>
      </c>
      <c r="GW25" s="12">
        <f>OR(GW24,GV25&gt;=VATThreshold)</f>
        <v/>
      </c>
      <c r="GX25" s="9">
        <f>IF(GW25,GU25/(1+VATRate),GU25)</f>
        <v/>
      </c>
      <c r="GY25" s="12">
        <f>GU25-GX25</f>
        <v/>
      </c>
      <c r="GZ25" s="12">
        <f>IF(GW25=0,0,IF(FV25=1,SUMPRODUCT(--(($FW$5:$FW25=$FW25-1)*($FV$5:$FV25&gt;=10)*($FV$5:$FV25&lt;=12)),$GY$5:$GY25),IF(FV25=4,SUMPRODUCT(--(($FW$5:$FW25=$FW25)*($FV$5:$FV25&gt;=1)*($FV$5:$FV25&lt;=3)),$GY$5:$GY25),IF(FV25=7,SUMPRODUCT(--(($FW$5:$FW25=$FW25)*($FV$5:$FV25&gt;=4)*($FV$5:$FV25&lt;=6)),$GY$5:$GY25),IF(FV25=10,SUMPRODUCT(--(($FW$5:$FW25=$FW25)*($FV$5:$FV25&gt;=7)*($FV$5:$FV25&lt;=9)),$GY$5:$GY25),0)))))</f>
        <v/>
      </c>
      <c r="HA25" s="12">
        <f>HA24+GY25-GZ25</f>
        <v/>
      </c>
      <c r="HB25" s="12">
        <f>IF(ProviderDelay&gt;=1,GX24*ProviderShare,GX25*ProviderShare)</f>
        <v/>
      </c>
      <c r="HC25" s="12">
        <f>GU25*PaymentFee</f>
        <v/>
      </c>
      <c r="HD25" s="12">
        <f>GO25*OpsAI</f>
        <v/>
      </c>
      <c r="HE25" s="12">
        <f>MonthlyFixed</f>
        <v/>
      </c>
      <c r="HF25" s="12">
        <f>GC25*ReferralReward</f>
        <v/>
      </c>
      <c r="HG25" s="12">
        <f>GA25</f>
        <v/>
      </c>
      <c r="HH25" s="9">
        <f>GX25-HB25-HC25-HD25-HE25-HF25-HG25</f>
        <v/>
      </c>
      <c r="HI25" s="9">
        <f>HI24+GU25-(HB25+HC25+HD25+HE25+HF25+HG25+GZ25)</f>
        <v/>
      </c>
      <c r="HJ25" s="12">
        <f>IF(GO25&gt;0,GP25/GO25,0)</f>
        <v/>
      </c>
      <c r="HK25" s="11">
        <f>IF(GO24&gt;0,MAX(0,(GO24+GD25-GO25)/GO24),0)</f>
        <v/>
      </c>
      <c r="HM25" s="12" t="n">
        <v>21</v>
      </c>
      <c r="HN25" s="12">
        <f>MOD(HM25-1+LaunchMonth-1,12)+1</f>
        <v/>
      </c>
      <c r="HO25" s="12">
        <f>INT((HM25-1+LaunchMonth-1)/12)+1</f>
        <v/>
      </c>
      <c r="HP25" s="12">
        <f>VLOOKUP(HN25,SeasonTable,2,FALSE)</f>
        <v/>
      </c>
      <c r="HQ25" s="12">
        <f>(1+InflationRate)^INT((HM25-1)/12)</f>
        <v/>
      </c>
      <c r="HR25" s="11">
        <f>'Sens - Churn'!$A$15*VLOOKUP(HN25,ChurnSeasonTable,4,FALSE)</f>
        <v/>
      </c>
      <c r="HS25" s="12">
        <f>MIN(MAX(MktMin19plus,IM24*MktPct19plus),MAX(0,JA24-CashBuffer))</f>
        <v/>
      </c>
      <c r="HT25" s="12">
        <f>IF(HS25&gt;0,MAX(1,ROUND(HS25/CAC*HP25,0)),0)</f>
        <v/>
      </c>
      <c r="HU25" s="12">
        <f>IF(HT25&gt;0,ROUND(HT25*ReferralMix/(1-ReferralMix),0),0)</f>
        <v/>
      </c>
      <c r="HV25" s="12">
        <f>HT25+HU25</f>
        <v/>
      </c>
      <c r="HW25" s="12">
        <f>ROUND(HV25*(1-AnnualMix),0)</f>
        <v/>
      </c>
      <c r="HX25" s="12">
        <f>HV25-HW25</f>
        <v/>
      </c>
      <c r="HY25" s="12">
        <f>ROUND(HW25*EssentialMix,0)</f>
        <v/>
      </c>
      <c r="HZ25" s="12">
        <f>HW25-HY25</f>
        <v/>
      </c>
      <c r="IA25" s="12">
        <f>ROUND(HX25*EssentialMix,0)</f>
        <v/>
      </c>
      <c r="IB25" s="12">
        <f>HX25-IA25</f>
        <v/>
      </c>
      <c r="IC25" s="12">
        <f>HY25+HY24+HY23+MAX(0,IC24-HY24-HY23)*(1-HR25)</f>
        <v/>
      </c>
      <c r="ID25" s="12">
        <f>HZ25+HZ24+HZ23+MAX(0,ID24-HZ24-HZ23)*(1-HR25)</f>
        <v/>
      </c>
      <c r="IE25" s="12">
        <f>IE24+IA25-IA13*(AnnualChurn*VLOOKUP(HN25,ChurnSeasonTable,4,FALSE))*POWER(1-(AnnualChurn*VLOOKUP(HN25,ChurnSeasonTable,4,FALSE)),0)</f>
        <v/>
      </c>
      <c r="IF25" s="12">
        <f>IF24+IB25-IB13*(AnnualChurn*VLOOKUP(HN25,ChurnSeasonTable,4,FALSE))*POWER(1-(AnnualChurn*VLOOKUP(HN25,ChurnSeasonTable,4,FALSE)),0)</f>
        <v/>
      </c>
      <c r="IG25" s="12">
        <f>IC25+ID25+IE25+IF25</f>
        <v/>
      </c>
      <c r="IH25" s="9">
        <f>IC25*PriceEssMonthly*HQ25+ID25*PricePremMonthly*HQ25+IE25*PriceEssAnnual*HQ25/12+IF25*PricePremAnnual*HQ25/12</f>
        <v/>
      </c>
      <c r="II25" s="9">
        <f>IH25*12</f>
        <v/>
      </c>
      <c r="IJ25" s="12">
        <f>IC25*PriceEssMonthly*HQ25+ID25*PricePremMonthly*HQ25</f>
        <v/>
      </c>
      <c r="IK25" s="12">
        <f>IA25*PriceEssAnnual*HQ25+IB25*PricePremAnnual*HQ25</f>
        <v/>
      </c>
      <c r="IL25" s="12">
        <f>IA13*POWER(1-(AnnualChurn*VLOOKUP(HN25,ChurnSeasonTable,4,FALSE)),1)*PriceEssAnnual*HQ25+IB13*POWER(1-(AnnualChurn*VLOOKUP(HN25,ChurnSeasonTable,4,FALSE)),1)*PricePremAnnual*HQ25</f>
        <v/>
      </c>
      <c r="IM25" s="9">
        <f>IJ25+IK25+IL25</f>
        <v/>
      </c>
      <c r="IN25" s="12">
        <f>SUM(IM14:IM25)</f>
        <v/>
      </c>
      <c r="IO25" s="12">
        <f>OR(IO24,IN25&gt;=VATThreshold)</f>
        <v/>
      </c>
      <c r="IP25" s="9">
        <f>IF(IO25,IM25/(1+VATRate),IM25)</f>
        <v/>
      </c>
      <c r="IQ25" s="12">
        <f>IM25-IP25</f>
        <v/>
      </c>
      <c r="IR25" s="12">
        <f>IF(IO25=0,0,IF(HN25=1,SUMPRODUCT(--(($HO$5:$HO25=$HO25-1)*($HN$5:$HN25&gt;=10)*($HN$5:$HN25&lt;=12)),$IQ$5:$IQ25),IF(HN25=4,SUMPRODUCT(--(($HO$5:$HO25=$HO25)*($HN$5:$HN25&gt;=1)*($HN$5:$HN25&lt;=3)),$IQ$5:$IQ25),IF(HN25=7,SUMPRODUCT(--(($HO$5:$HO25=$HO25)*($HN$5:$HN25&gt;=4)*($HN$5:$HN25&lt;=6)),$IQ$5:$IQ25),IF(HN25=10,SUMPRODUCT(--(($HO$5:$HO25=$HO25)*($HN$5:$HN25&gt;=7)*($HN$5:$HN25&lt;=9)),$IQ$5:$IQ25),0)))))</f>
        <v/>
      </c>
      <c r="IS25" s="12">
        <f>IS24+IQ25-IR25</f>
        <v/>
      </c>
      <c r="IT25" s="12">
        <f>IF(ProviderDelay&gt;=1,IP24*ProviderShare,IP25*ProviderShare)</f>
        <v/>
      </c>
      <c r="IU25" s="12">
        <f>IM25*PaymentFee</f>
        <v/>
      </c>
      <c r="IV25" s="12">
        <f>IG25*OpsAI</f>
        <v/>
      </c>
      <c r="IW25" s="12">
        <f>MonthlyFixed</f>
        <v/>
      </c>
      <c r="IX25" s="12">
        <f>HU25*ReferralReward</f>
        <v/>
      </c>
      <c r="IY25" s="12">
        <f>HS25</f>
        <v/>
      </c>
      <c r="IZ25" s="9">
        <f>IP25-IT25-IU25-IV25-IW25-IX25-IY25</f>
        <v/>
      </c>
      <c r="JA25" s="9">
        <f>JA24+IM25-(IT25+IU25+IV25+IW25+IX25+IY25+IR25)</f>
        <v/>
      </c>
      <c r="JB25" s="12">
        <f>IF(IG25&gt;0,IH25/IG25,0)</f>
        <v/>
      </c>
      <c r="JC25" s="11">
        <f>IF(IG24&gt;0,MAX(0,(IG24+HV25-IG25)/IG24),0)</f>
        <v/>
      </c>
      <c r="JE25" s="12" t="n">
        <v>21</v>
      </c>
      <c r="JF25" s="12">
        <f>MOD(JE25-1+LaunchMonth-1,12)+1</f>
        <v/>
      </c>
      <c r="JG25" s="12">
        <f>INT((JE25-1+LaunchMonth-1)/12)+1</f>
        <v/>
      </c>
      <c r="JH25" s="12">
        <f>VLOOKUP(JF25,SeasonTable,2,FALSE)</f>
        <v/>
      </c>
      <c r="JI25" s="12">
        <f>(1+InflationRate)^INT((JE25-1)/12)</f>
        <v/>
      </c>
      <c r="JJ25" s="11">
        <f>'Sens - Churn'!$A$16*VLOOKUP(JF25,ChurnSeasonTable,4,FALSE)</f>
        <v/>
      </c>
      <c r="JK25" s="12">
        <f>MIN(MAX(MktMin19plus,KE24*MktPct19plus),MAX(0,KS24-CashBuffer))</f>
        <v/>
      </c>
      <c r="JL25" s="12">
        <f>IF(JK25&gt;0,MAX(1,ROUND(JK25/CAC*JH25,0)),0)</f>
        <v/>
      </c>
      <c r="JM25" s="12">
        <f>IF(JL25&gt;0,ROUND(JL25*ReferralMix/(1-ReferralMix),0),0)</f>
        <v/>
      </c>
      <c r="JN25" s="12">
        <f>JL25+JM25</f>
        <v/>
      </c>
      <c r="JO25" s="12">
        <f>ROUND(JN25*(1-AnnualMix),0)</f>
        <v/>
      </c>
      <c r="JP25" s="12">
        <f>JN25-JO25</f>
        <v/>
      </c>
      <c r="JQ25" s="12">
        <f>ROUND(JO25*EssentialMix,0)</f>
        <v/>
      </c>
      <c r="JR25" s="12">
        <f>JO25-JQ25</f>
        <v/>
      </c>
      <c r="JS25" s="12">
        <f>ROUND(JP25*EssentialMix,0)</f>
        <v/>
      </c>
      <c r="JT25" s="12">
        <f>JP25-JS25</f>
        <v/>
      </c>
      <c r="JU25" s="12">
        <f>JQ25+JQ24+JQ23+MAX(0,JU24-JQ24-JQ23)*(1-JJ25)</f>
        <v/>
      </c>
      <c r="JV25" s="12">
        <f>JR25+JR24+JR23+MAX(0,JV24-JR24-JR23)*(1-JJ25)</f>
        <v/>
      </c>
      <c r="JW25" s="12">
        <f>JW24+JS25-JS13*(AnnualChurn*VLOOKUP(JF25,ChurnSeasonTable,4,FALSE))*POWER(1-(AnnualChurn*VLOOKUP(JF25,ChurnSeasonTable,4,FALSE)),0)</f>
        <v/>
      </c>
      <c r="JX25" s="12">
        <f>JX24+JT25-JT13*(AnnualChurn*VLOOKUP(JF25,ChurnSeasonTable,4,FALSE))*POWER(1-(AnnualChurn*VLOOKUP(JF25,ChurnSeasonTable,4,FALSE)),0)</f>
        <v/>
      </c>
      <c r="JY25" s="12">
        <f>JU25+JV25+JW25+JX25</f>
        <v/>
      </c>
      <c r="JZ25" s="9">
        <f>JU25*PriceEssMonthly*JI25+JV25*PricePremMonthly*JI25+JW25*PriceEssAnnual*JI25/12+JX25*PricePremAnnual*JI25/12</f>
        <v/>
      </c>
      <c r="KA25" s="9">
        <f>JZ25*12</f>
        <v/>
      </c>
      <c r="KB25" s="12">
        <f>JU25*PriceEssMonthly*JI25+JV25*PricePremMonthly*JI25</f>
        <v/>
      </c>
      <c r="KC25" s="12">
        <f>JS25*PriceEssAnnual*JI25+JT25*PricePremAnnual*JI25</f>
        <v/>
      </c>
      <c r="KD25" s="12">
        <f>JS13*POWER(1-(AnnualChurn*VLOOKUP(JF25,ChurnSeasonTable,4,FALSE)),1)*PriceEssAnnual*JI25+JT13*POWER(1-(AnnualChurn*VLOOKUP(JF25,ChurnSeasonTable,4,FALSE)),1)*PricePremAnnual*JI25</f>
        <v/>
      </c>
      <c r="KE25" s="9">
        <f>KB25+KC25+KD25</f>
        <v/>
      </c>
      <c r="KF25" s="12">
        <f>SUM(KE14:KE25)</f>
        <v/>
      </c>
      <c r="KG25" s="12">
        <f>OR(KG24,KF25&gt;=VATThreshold)</f>
        <v/>
      </c>
      <c r="KH25" s="9">
        <f>IF(KG25,KE25/(1+VATRate),KE25)</f>
        <v/>
      </c>
      <c r="KI25" s="12">
        <f>KE25-KH25</f>
        <v/>
      </c>
      <c r="KJ25" s="12">
        <f>IF(KG25=0,0,IF(JF25=1,SUMPRODUCT(--(($JG$5:$JG25=$JG25-1)*($JF$5:$JF25&gt;=10)*($JF$5:$JF25&lt;=12)),$KI$5:$KI25),IF(JF25=4,SUMPRODUCT(--(($JG$5:$JG25=$JG25)*($JF$5:$JF25&gt;=1)*($JF$5:$JF25&lt;=3)),$KI$5:$KI25),IF(JF25=7,SUMPRODUCT(--(($JG$5:$JG25=$JG25)*($JF$5:$JF25&gt;=4)*($JF$5:$JF25&lt;=6)),$KI$5:$KI25),IF(JF25=10,SUMPRODUCT(--(($JG$5:$JG25=$JG25)*($JF$5:$JF25&gt;=7)*($JF$5:$JF25&lt;=9)),$KI$5:$KI25),0)))))</f>
        <v/>
      </c>
      <c r="KK25" s="12">
        <f>KK24+KI25-KJ25</f>
        <v/>
      </c>
      <c r="KL25" s="12">
        <f>IF(ProviderDelay&gt;=1,KH24*ProviderShare,KH25*ProviderShare)</f>
        <v/>
      </c>
      <c r="KM25" s="12">
        <f>KE25*PaymentFee</f>
        <v/>
      </c>
      <c r="KN25" s="12">
        <f>JY25*OpsAI</f>
        <v/>
      </c>
      <c r="KO25" s="12">
        <f>MonthlyFixed</f>
        <v/>
      </c>
      <c r="KP25" s="12">
        <f>JM25*ReferralReward</f>
        <v/>
      </c>
      <c r="KQ25" s="12">
        <f>JK25</f>
        <v/>
      </c>
      <c r="KR25" s="9">
        <f>KH25-KL25-KM25-KN25-KO25-KP25-KQ25</f>
        <v/>
      </c>
      <c r="KS25" s="9">
        <f>KS24+KE25-(KL25+KM25+KN25+KO25+KP25+KQ25+KJ25)</f>
        <v/>
      </c>
      <c r="KT25" s="12">
        <f>IF(JY25&gt;0,JZ25/JY25,0)</f>
        <v/>
      </c>
      <c r="KU25" s="11">
        <f>IF(JY24&gt;0,MAX(0,(JY24+JN25-JY25)/JY24),0)</f>
        <v/>
      </c>
      <c r="KW25" s="12" t="n">
        <v>21</v>
      </c>
      <c r="KX25" s="12">
        <f>MOD(KW25-1+LaunchMonth-1,12)+1</f>
        <v/>
      </c>
      <c r="KY25" s="12">
        <f>INT((KW25-1+LaunchMonth-1)/12)+1</f>
        <v/>
      </c>
      <c r="KZ25" s="12">
        <f>VLOOKUP(KX25,SeasonTable,2,FALSE)</f>
        <v/>
      </c>
      <c r="LA25" s="12">
        <f>(1+InflationRate)^INT((KW25-1)/12)</f>
        <v/>
      </c>
      <c r="LB25" s="11">
        <f>'Sens - Churn'!$A$17*VLOOKUP(KX25,ChurnSeasonTable,4,FALSE)</f>
        <v/>
      </c>
      <c r="LC25" s="12">
        <f>MIN(MAX(MktMin19plus,LW24*MktPct19plus),MAX(0,MK24-CashBuffer))</f>
        <v/>
      </c>
      <c r="LD25" s="12">
        <f>IF(LC25&gt;0,MAX(1,ROUND(LC25/CAC*KZ25,0)),0)</f>
        <v/>
      </c>
      <c r="LE25" s="12">
        <f>IF(LD25&gt;0,ROUND(LD25*ReferralMix/(1-ReferralMix),0),0)</f>
        <v/>
      </c>
      <c r="LF25" s="12">
        <f>LD25+LE25</f>
        <v/>
      </c>
      <c r="LG25" s="12">
        <f>ROUND(LF25*(1-AnnualMix),0)</f>
        <v/>
      </c>
      <c r="LH25" s="12">
        <f>LF25-LG25</f>
        <v/>
      </c>
      <c r="LI25" s="12">
        <f>ROUND(LG25*EssentialMix,0)</f>
        <v/>
      </c>
      <c r="LJ25" s="12">
        <f>LG25-LI25</f>
        <v/>
      </c>
      <c r="LK25" s="12">
        <f>ROUND(LH25*EssentialMix,0)</f>
        <v/>
      </c>
      <c r="LL25" s="12">
        <f>LH25-LK25</f>
        <v/>
      </c>
      <c r="LM25" s="12">
        <f>LI25+LI24+LI23+MAX(0,LM24-LI24-LI23)*(1-LB25)</f>
        <v/>
      </c>
      <c r="LN25" s="12">
        <f>LJ25+LJ24+LJ23+MAX(0,LN24-LJ24-LJ23)*(1-LB25)</f>
        <v/>
      </c>
      <c r="LO25" s="12">
        <f>LO24+LK25-LK13*(AnnualChurn*VLOOKUP(KX25,ChurnSeasonTable,4,FALSE))*POWER(1-(AnnualChurn*VLOOKUP(KX25,ChurnSeasonTable,4,FALSE)),0)</f>
        <v/>
      </c>
      <c r="LP25" s="12">
        <f>LP24+LL25-LL13*(AnnualChurn*VLOOKUP(KX25,ChurnSeasonTable,4,FALSE))*POWER(1-(AnnualChurn*VLOOKUP(KX25,ChurnSeasonTable,4,FALSE)),0)</f>
        <v/>
      </c>
      <c r="LQ25" s="12">
        <f>LM25+LN25+LO25+LP25</f>
        <v/>
      </c>
      <c r="LR25" s="9">
        <f>LM25*PriceEssMonthly*LA25+LN25*PricePremMonthly*LA25+LO25*PriceEssAnnual*LA25/12+LP25*PricePremAnnual*LA25/12</f>
        <v/>
      </c>
      <c r="LS25" s="9">
        <f>LR25*12</f>
        <v/>
      </c>
      <c r="LT25" s="12">
        <f>LM25*PriceEssMonthly*LA25+LN25*PricePremMonthly*LA25</f>
        <v/>
      </c>
      <c r="LU25" s="12">
        <f>LK25*PriceEssAnnual*LA25+LL25*PricePremAnnual*LA25</f>
        <v/>
      </c>
      <c r="LV25" s="12">
        <f>LK13*POWER(1-(AnnualChurn*VLOOKUP(KX25,ChurnSeasonTable,4,FALSE)),1)*PriceEssAnnual*LA25+LL13*POWER(1-(AnnualChurn*VLOOKUP(KX25,ChurnSeasonTable,4,FALSE)),1)*PricePremAnnual*LA25</f>
        <v/>
      </c>
      <c r="LW25" s="9">
        <f>LT25+LU25+LV25</f>
        <v/>
      </c>
      <c r="LX25" s="12">
        <f>SUM(LW14:LW25)</f>
        <v/>
      </c>
      <c r="LY25" s="12">
        <f>OR(LY24,LX25&gt;=VATThreshold)</f>
        <v/>
      </c>
      <c r="LZ25" s="9">
        <f>IF(LY25,LW25/(1+VATRate),LW25)</f>
        <v/>
      </c>
      <c r="MA25" s="12">
        <f>LW25-LZ25</f>
        <v/>
      </c>
      <c r="MB25" s="12">
        <f>IF(LY25=0,0,IF(KX25=1,SUMPRODUCT(--(($KY$5:$KY25=$KY25-1)*($KX$5:$KX25&gt;=10)*($KX$5:$KX25&lt;=12)),$MA$5:$MA25),IF(KX25=4,SUMPRODUCT(--(($KY$5:$KY25=$KY25)*($KX$5:$KX25&gt;=1)*($KX$5:$KX25&lt;=3)),$MA$5:$MA25),IF(KX25=7,SUMPRODUCT(--(($KY$5:$KY25=$KY25)*($KX$5:$KX25&gt;=4)*($KX$5:$KX25&lt;=6)),$MA$5:$MA25),IF(KX25=10,SUMPRODUCT(--(($KY$5:$KY25=$KY25)*($KX$5:$KX25&gt;=7)*($KX$5:$KX25&lt;=9)),$MA$5:$MA25),0)))))</f>
        <v/>
      </c>
      <c r="MC25" s="12">
        <f>MC24+MA25-MB25</f>
        <v/>
      </c>
      <c r="MD25" s="12">
        <f>IF(ProviderDelay&gt;=1,LZ24*ProviderShare,LZ25*ProviderShare)</f>
        <v/>
      </c>
      <c r="ME25" s="12">
        <f>LW25*PaymentFee</f>
        <v/>
      </c>
      <c r="MF25" s="12">
        <f>LQ25*OpsAI</f>
        <v/>
      </c>
      <c r="MG25" s="12">
        <f>MonthlyFixed</f>
        <v/>
      </c>
      <c r="MH25" s="12">
        <f>LE25*ReferralReward</f>
        <v/>
      </c>
      <c r="MI25" s="12">
        <f>LC25</f>
        <v/>
      </c>
      <c r="MJ25" s="9">
        <f>LZ25-MD25-ME25-MF25-MG25-MH25-MI25</f>
        <v/>
      </c>
      <c r="MK25" s="9">
        <f>MK24+LW25-(MD25+ME25+MF25+MG25+MH25+MI25+MB25)</f>
        <v/>
      </c>
      <c r="ML25" s="12">
        <f>IF(LQ25&gt;0,LR25/LQ25,0)</f>
        <v/>
      </c>
      <c r="MM25" s="11">
        <f>IF(LQ24&gt;0,MAX(0,(LQ24+LF25-LQ25)/LQ24),0)</f>
        <v/>
      </c>
      <c r="MO25" s="12" t="n">
        <v>21</v>
      </c>
      <c r="MP25" s="12">
        <f>MOD(MO25-1+LaunchMonth-1,12)+1</f>
        <v/>
      </c>
      <c r="MQ25" s="12">
        <f>INT((MO25-1+LaunchMonth-1)/12)+1</f>
        <v/>
      </c>
      <c r="MR25" s="12">
        <f>VLOOKUP(MP25,SeasonTable,2,FALSE)</f>
        <v/>
      </c>
      <c r="MS25" s="12">
        <f>(1+InflationRate)^INT((MO25-1)/12)</f>
        <v/>
      </c>
      <c r="MT25" s="11">
        <f>'Sens - Churn'!$A$18*VLOOKUP(MP25,ChurnSeasonTable,4,FALSE)</f>
        <v/>
      </c>
      <c r="MU25" s="12">
        <f>MIN(MAX(MktMin19plus,NO24*MktPct19plus),MAX(0,OC24-CashBuffer))</f>
        <v/>
      </c>
      <c r="MV25" s="12">
        <f>IF(MU25&gt;0,MAX(1,ROUND(MU25/CAC*MR25,0)),0)</f>
        <v/>
      </c>
      <c r="MW25" s="12">
        <f>IF(MV25&gt;0,ROUND(MV25*ReferralMix/(1-ReferralMix),0),0)</f>
        <v/>
      </c>
      <c r="MX25" s="12">
        <f>MV25+MW25</f>
        <v/>
      </c>
      <c r="MY25" s="12">
        <f>ROUND(MX25*(1-AnnualMix),0)</f>
        <v/>
      </c>
      <c r="MZ25" s="12">
        <f>MX25-MY25</f>
        <v/>
      </c>
      <c r="NA25" s="12">
        <f>ROUND(MY25*EssentialMix,0)</f>
        <v/>
      </c>
      <c r="NB25" s="12">
        <f>MY25-NA25</f>
        <v/>
      </c>
      <c r="NC25" s="12">
        <f>ROUND(MZ25*EssentialMix,0)</f>
        <v/>
      </c>
      <c r="ND25" s="12">
        <f>MZ25-NC25</f>
        <v/>
      </c>
      <c r="NE25" s="12">
        <f>NA25+NA24+NA23+MAX(0,NE24-NA24-NA23)*(1-MT25)</f>
        <v/>
      </c>
      <c r="NF25" s="12">
        <f>NB25+NB24+NB23+MAX(0,NF24-NB24-NB23)*(1-MT25)</f>
        <v/>
      </c>
      <c r="NG25" s="12">
        <f>NG24+NC25-NC13*(AnnualChurn*VLOOKUP(MP25,ChurnSeasonTable,4,FALSE))*POWER(1-(AnnualChurn*VLOOKUP(MP25,ChurnSeasonTable,4,FALSE)),0)</f>
        <v/>
      </c>
      <c r="NH25" s="12">
        <f>NH24+ND25-ND13*(AnnualChurn*VLOOKUP(MP25,ChurnSeasonTable,4,FALSE))*POWER(1-(AnnualChurn*VLOOKUP(MP25,ChurnSeasonTable,4,FALSE)),0)</f>
        <v/>
      </c>
      <c r="NI25" s="12">
        <f>NE25+NF25+NG25+NH25</f>
        <v/>
      </c>
      <c r="NJ25" s="9">
        <f>NE25*PriceEssMonthly*MS25+NF25*PricePremMonthly*MS25+NG25*PriceEssAnnual*MS25/12+NH25*PricePremAnnual*MS25/12</f>
        <v/>
      </c>
      <c r="NK25" s="9">
        <f>NJ25*12</f>
        <v/>
      </c>
      <c r="NL25" s="12">
        <f>NE25*PriceEssMonthly*MS25+NF25*PricePremMonthly*MS25</f>
        <v/>
      </c>
      <c r="NM25" s="12">
        <f>NC25*PriceEssAnnual*MS25+ND25*PricePremAnnual*MS25</f>
        <v/>
      </c>
      <c r="NN25" s="12">
        <f>NC13*POWER(1-(AnnualChurn*VLOOKUP(MP25,ChurnSeasonTable,4,FALSE)),1)*PriceEssAnnual*MS25+ND13*POWER(1-(AnnualChurn*VLOOKUP(MP25,ChurnSeasonTable,4,FALSE)),1)*PricePremAnnual*MS25</f>
        <v/>
      </c>
      <c r="NO25" s="9">
        <f>NL25+NM25+NN25</f>
        <v/>
      </c>
      <c r="NP25" s="12">
        <f>SUM(NO14:NO25)</f>
        <v/>
      </c>
      <c r="NQ25" s="12">
        <f>OR(NQ24,NP25&gt;=VATThreshold)</f>
        <v/>
      </c>
      <c r="NR25" s="9">
        <f>IF(NQ25,NO25/(1+VATRate),NO25)</f>
        <v/>
      </c>
      <c r="NS25" s="12">
        <f>NO25-NR25</f>
        <v/>
      </c>
      <c r="NT25" s="12">
        <f>IF(NQ25=0,0,IF(MP25=1,SUMPRODUCT(--(($MQ$5:$MQ25=$MQ25-1)*($MP$5:$MP25&gt;=10)*($MP$5:$MP25&lt;=12)),$NS$5:$NS25),IF(MP25=4,SUMPRODUCT(--(($MQ$5:$MQ25=$MQ25)*($MP$5:$MP25&gt;=1)*($MP$5:$MP25&lt;=3)),$NS$5:$NS25),IF(MP25=7,SUMPRODUCT(--(($MQ$5:$MQ25=$MQ25)*($MP$5:$MP25&gt;=4)*($MP$5:$MP25&lt;=6)),$NS$5:$NS25),IF(MP25=10,SUMPRODUCT(--(($MQ$5:$MQ25=$MQ25)*($MP$5:$MP25&gt;=7)*($MP$5:$MP25&lt;=9)),$NS$5:$NS25),0)))))</f>
        <v/>
      </c>
      <c r="NU25" s="12">
        <f>NU24+NS25-NT25</f>
        <v/>
      </c>
      <c r="NV25" s="12">
        <f>IF(ProviderDelay&gt;=1,NR24*ProviderShare,NR25*ProviderShare)</f>
        <v/>
      </c>
      <c r="NW25" s="12">
        <f>NO25*PaymentFee</f>
        <v/>
      </c>
      <c r="NX25" s="12">
        <f>NI25*OpsAI</f>
        <v/>
      </c>
      <c r="NY25" s="12">
        <f>MonthlyFixed</f>
        <v/>
      </c>
      <c r="NZ25" s="12">
        <f>MW25*ReferralReward</f>
        <v/>
      </c>
      <c r="OA25" s="12">
        <f>MU25</f>
        <v/>
      </c>
      <c r="OB25" s="9">
        <f>NR25-NV25-NW25-NX25-NY25-NZ25-OA25</f>
        <v/>
      </c>
      <c r="OC25" s="9">
        <f>OC24+NO25-(NV25+NW25+NX25+NY25+NZ25+OA25+NT25)</f>
        <v/>
      </c>
      <c r="OD25" s="12">
        <f>IF(NI25&gt;0,NJ25/NI25,0)</f>
        <v/>
      </c>
      <c r="OE25" s="11">
        <f>IF(NI24&gt;0,MAX(0,(NI24+MX25-NI25)/NI24),0)</f>
        <v/>
      </c>
      <c r="OG25" s="12" t="n">
        <v>21</v>
      </c>
      <c r="OH25" s="12">
        <f>MOD(OG25-1+LaunchMonth-1,12)+1</f>
        <v/>
      </c>
      <c r="OI25" s="12">
        <f>INT((OG25-1+LaunchMonth-1)/12)+1</f>
        <v/>
      </c>
      <c r="OJ25" s="12">
        <f>VLOOKUP(OH25,SeasonTable,2,FALSE)</f>
        <v/>
      </c>
      <c r="OK25" s="12">
        <f>(1+InflationRate)^INT((OG25-1)/12)</f>
        <v/>
      </c>
      <c r="OL25" s="11">
        <f>'Sens - Churn'!$A$19*VLOOKUP(OH25,ChurnSeasonTable,4,FALSE)</f>
        <v/>
      </c>
      <c r="OM25" s="12">
        <f>MIN(MAX(MktMin19plus,PG24*MktPct19plus),MAX(0,PU24-CashBuffer))</f>
        <v/>
      </c>
      <c r="ON25" s="12">
        <f>IF(OM25&gt;0,MAX(1,ROUND(OM25/CAC*OJ25,0)),0)</f>
        <v/>
      </c>
      <c r="OO25" s="12">
        <f>IF(ON25&gt;0,ROUND(ON25*ReferralMix/(1-ReferralMix),0),0)</f>
        <v/>
      </c>
      <c r="OP25" s="12">
        <f>ON25+OO25</f>
        <v/>
      </c>
      <c r="OQ25" s="12">
        <f>ROUND(OP25*(1-AnnualMix),0)</f>
        <v/>
      </c>
      <c r="OR25" s="12">
        <f>OP25-OQ25</f>
        <v/>
      </c>
      <c r="OS25" s="12">
        <f>ROUND(OQ25*EssentialMix,0)</f>
        <v/>
      </c>
      <c r="OT25" s="12">
        <f>OQ25-OS25</f>
        <v/>
      </c>
      <c r="OU25" s="12">
        <f>ROUND(OR25*EssentialMix,0)</f>
        <v/>
      </c>
      <c r="OV25" s="12">
        <f>OR25-OU25</f>
        <v/>
      </c>
      <c r="OW25" s="12">
        <f>OS25+OS24+OS23+MAX(0,OW24-OS24-OS23)*(1-OL25)</f>
        <v/>
      </c>
      <c r="OX25" s="12">
        <f>OT25+OT24+OT23+MAX(0,OX24-OT24-OT23)*(1-OL25)</f>
        <v/>
      </c>
      <c r="OY25" s="12">
        <f>OY24+OU25-OU13*(AnnualChurn*VLOOKUP(OH25,ChurnSeasonTable,4,FALSE))*POWER(1-(AnnualChurn*VLOOKUP(OH25,ChurnSeasonTable,4,FALSE)),0)</f>
        <v/>
      </c>
      <c r="OZ25" s="12">
        <f>OZ24+OV25-OV13*(AnnualChurn*VLOOKUP(OH25,ChurnSeasonTable,4,FALSE))*POWER(1-(AnnualChurn*VLOOKUP(OH25,ChurnSeasonTable,4,FALSE)),0)</f>
        <v/>
      </c>
      <c r="PA25" s="12">
        <f>OW25+OX25+OY25+OZ25</f>
        <v/>
      </c>
      <c r="PB25" s="9">
        <f>OW25*PriceEssMonthly*OK25+OX25*PricePremMonthly*OK25+OY25*PriceEssAnnual*OK25/12+OZ25*PricePremAnnual*OK25/12</f>
        <v/>
      </c>
      <c r="PC25" s="9">
        <f>PB25*12</f>
        <v/>
      </c>
      <c r="PD25" s="12">
        <f>OW25*PriceEssMonthly*OK25+OX25*PricePremMonthly*OK25</f>
        <v/>
      </c>
      <c r="PE25" s="12">
        <f>OU25*PriceEssAnnual*OK25+OV25*PricePremAnnual*OK25</f>
        <v/>
      </c>
      <c r="PF25" s="12">
        <f>OU13*POWER(1-(AnnualChurn*VLOOKUP(OH25,ChurnSeasonTable,4,FALSE)),1)*PriceEssAnnual*OK25+OV13*POWER(1-(AnnualChurn*VLOOKUP(OH25,ChurnSeasonTable,4,FALSE)),1)*PricePremAnnual*OK25</f>
        <v/>
      </c>
      <c r="PG25" s="9">
        <f>PD25+PE25+PF25</f>
        <v/>
      </c>
      <c r="PH25" s="12">
        <f>SUM(PG14:PG25)</f>
        <v/>
      </c>
      <c r="PI25" s="12">
        <f>OR(PI24,PH25&gt;=VATThreshold)</f>
        <v/>
      </c>
      <c r="PJ25" s="9">
        <f>IF(PI25,PG25/(1+VATRate),PG25)</f>
        <v/>
      </c>
      <c r="PK25" s="12">
        <f>PG25-PJ25</f>
        <v/>
      </c>
      <c r="PL25" s="12">
        <f>IF(PI25=0,0,IF(OH25=1,SUMPRODUCT(--(($OI$5:$OI25=$OI25-1)*($OH$5:$OH25&gt;=10)*($OH$5:$OH25&lt;=12)),$PK$5:$PK25),IF(OH25=4,SUMPRODUCT(--(($OI$5:$OI25=$OI25)*($OH$5:$OH25&gt;=1)*($OH$5:$OH25&lt;=3)),$PK$5:$PK25),IF(OH25=7,SUMPRODUCT(--(($OI$5:$OI25=$OI25)*($OH$5:$OH25&gt;=4)*($OH$5:$OH25&lt;=6)),$PK$5:$PK25),IF(OH25=10,SUMPRODUCT(--(($OI$5:$OI25=$OI25)*($OH$5:$OH25&gt;=7)*($OH$5:$OH25&lt;=9)),$PK$5:$PK25),0)))))</f>
        <v/>
      </c>
      <c r="PM25" s="12">
        <f>PM24+PK25-PL25</f>
        <v/>
      </c>
      <c r="PN25" s="12">
        <f>IF(ProviderDelay&gt;=1,PJ24*ProviderShare,PJ25*ProviderShare)</f>
        <v/>
      </c>
      <c r="PO25" s="12">
        <f>PG25*PaymentFee</f>
        <v/>
      </c>
      <c r="PP25" s="12">
        <f>PA25*OpsAI</f>
        <v/>
      </c>
      <c r="PQ25" s="12">
        <f>MonthlyFixed</f>
        <v/>
      </c>
      <c r="PR25" s="12">
        <f>OO25*ReferralReward</f>
        <v/>
      </c>
      <c r="PS25" s="12">
        <f>OM25</f>
        <v/>
      </c>
      <c r="PT25" s="9">
        <f>PJ25-PN25-PO25-PP25-PQ25-PR25-PS25</f>
        <v/>
      </c>
      <c r="PU25" s="9">
        <f>PU24+PG25-(PN25+PO25+PP25+PQ25+PR25+PS25+PL25)</f>
        <v/>
      </c>
      <c r="PV25" s="12">
        <f>IF(PA25&gt;0,PB25/PA25,0)</f>
        <v/>
      </c>
      <c r="PW25" s="11">
        <f>IF(PA24&gt;0,MAX(0,(PA24+OP25-PA25)/PA24),0)</f>
        <v/>
      </c>
      <c r="PY25" s="12" t="n">
        <v>21</v>
      </c>
      <c r="PZ25" s="12">
        <f>MOD(PY25-1+LaunchMonth-1,12)+1</f>
        <v/>
      </c>
      <c r="QA25" s="12">
        <f>INT((PY25-1+LaunchMonth-1)/12)+1</f>
        <v/>
      </c>
      <c r="QB25" s="12">
        <f>VLOOKUP(PZ25,SeasonTable,2,FALSE)</f>
        <v/>
      </c>
      <c r="QC25" s="12">
        <f>(1+InflationRate)^INT((PY25-1)/12)</f>
        <v/>
      </c>
      <c r="QD25" s="11">
        <f>'Sens - Churn'!$A$20*VLOOKUP(PZ25,ChurnSeasonTable,4,FALSE)</f>
        <v/>
      </c>
      <c r="QE25" s="12">
        <f>MIN(MAX(MktMin19plus,QY24*MktPct19plus),MAX(0,RM24-CashBuffer))</f>
        <v/>
      </c>
      <c r="QF25" s="12">
        <f>IF(QE25&gt;0,MAX(1,ROUND(QE25/CAC*QB25,0)),0)</f>
        <v/>
      </c>
      <c r="QG25" s="12">
        <f>IF(QF25&gt;0,ROUND(QF25*ReferralMix/(1-ReferralMix),0),0)</f>
        <v/>
      </c>
      <c r="QH25" s="12">
        <f>QF25+QG25</f>
        <v/>
      </c>
      <c r="QI25" s="12">
        <f>ROUND(QH25*(1-AnnualMix),0)</f>
        <v/>
      </c>
      <c r="QJ25" s="12">
        <f>QH25-QI25</f>
        <v/>
      </c>
      <c r="QK25" s="12">
        <f>ROUND(QI25*EssentialMix,0)</f>
        <v/>
      </c>
      <c r="QL25" s="12">
        <f>QI25-QK25</f>
        <v/>
      </c>
      <c r="QM25" s="12">
        <f>ROUND(QJ25*EssentialMix,0)</f>
        <v/>
      </c>
      <c r="QN25" s="12">
        <f>QJ25-QM25</f>
        <v/>
      </c>
      <c r="QO25" s="12">
        <f>QK25+QK24+QK23+MAX(0,QO24-QK24-QK23)*(1-QD25)</f>
        <v/>
      </c>
      <c r="QP25" s="12">
        <f>QL25+QL24+QL23+MAX(0,QP24-QL24-QL23)*(1-QD25)</f>
        <v/>
      </c>
      <c r="QQ25" s="12">
        <f>QQ24+QM25-QM13*(AnnualChurn*VLOOKUP(PZ25,ChurnSeasonTable,4,FALSE))*POWER(1-(AnnualChurn*VLOOKUP(PZ25,ChurnSeasonTable,4,FALSE)),0)</f>
        <v/>
      </c>
      <c r="QR25" s="12">
        <f>QR24+QN25-QN13*(AnnualChurn*VLOOKUP(PZ25,ChurnSeasonTable,4,FALSE))*POWER(1-(AnnualChurn*VLOOKUP(PZ25,ChurnSeasonTable,4,FALSE)),0)</f>
        <v/>
      </c>
      <c r="QS25" s="12">
        <f>QO25+QP25+QQ25+QR25</f>
        <v/>
      </c>
      <c r="QT25" s="9">
        <f>QO25*PriceEssMonthly*QC25+QP25*PricePremMonthly*QC25+QQ25*PriceEssAnnual*QC25/12+QR25*PricePremAnnual*QC25/12</f>
        <v/>
      </c>
      <c r="QU25" s="9">
        <f>QT25*12</f>
        <v/>
      </c>
      <c r="QV25" s="12">
        <f>QO25*PriceEssMonthly*QC25+QP25*PricePremMonthly*QC25</f>
        <v/>
      </c>
      <c r="QW25" s="12">
        <f>QM25*PriceEssAnnual*QC25+QN25*PricePremAnnual*QC25</f>
        <v/>
      </c>
      <c r="QX25" s="12">
        <f>QM13*POWER(1-(AnnualChurn*VLOOKUP(PZ25,ChurnSeasonTable,4,FALSE)),1)*PriceEssAnnual*QC25+QN13*POWER(1-(AnnualChurn*VLOOKUP(PZ25,ChurnSeasonTable,4,FALSE)),1)*PricePremAnnual*QC25</f>
        <v/>
      </c>
      <c r="QY25" s="9">
        <f>QV25+QW25+QX25</f>
        <v/>
      </c>
      <c r="QZ25" s="12">
        <f>SUM(QY14:QY25)</f>
        <v/>
      </c>
      <c r="RA25" s="12">
        <f>OR(RA24,QZ25&gt;=VATThreshold)</f>
        <v/>
      </c>
      <c r="RB25" s="9">
        <f>IF(RA25,QY25/(1+VATRate),QY25)</f>
        <v/>
      </c>
      <c r="RC25" s="12">
        <f>QY25-RB25</f>
        <v/>
      </c>
      <c r="RD25" s="12">
        <f>IF(RA25=0,0,IF(PZ25=1,SUMPRODUCT(--(($QA$5:$QA25=$QA25-1)*($PZ$5:$PZ25&gt;=10)*($PZ$5:$PZ25&lt;=12)),$RC$5:$RC25),IF(PZ25=4,SUMPRODUCT(--(($QA$5:$QA25=$QA25)*($PZ$5:$PZ25&gt;=1)*($PZ$5:$PZ25&lt;=3)),$RC$5:$RC25),IF(PZ25=7,SUMPRODUCT(--(($QA$5:$QA25=$QA25)*($PZ$5:$PZ25&gt;=4)*($PZ$5:$PZ25&lt;=6)),$RC$5:$RC25),IF(PZ25=10,SUMPRODUCT(--(($QA$5:$QA25=$QA25)*($PZ$5:$PZ25&gt;=7)*($PZ$5:$PZ25&lt;=9)),$RC$5:$RC25),0)))))</f>
        <v/>
      </c>
      <c r="RE25" s="12">
        <f>RE24+RC25-RD25</f>
        <v/>
      </c>
      <c r="RF25" s="12">
        <f>IF(ProviderDelay&gt;=1,RB24*ProviderShare,RB25*ProviderShare)</f>
        <v/>
      </c>
      <c r="RG25" s="12">
        <f>QY25*PaymentFee</f>
        <v/>
      </c>
      <c r="RH25" s="12">
        <f>QS25*OpsAI</f>
        <v/>
      </c>
      <c r="RI25" s="12">
        <f>MonthlyFixed</f>
        <v/>
      </c>
      <c r="RJ25" s="12">
        <f>QG25*ReferralReward</f>
        <v/>
      </c>
      <c r="RK25" s="12">
        <f>QE25</f>
        <v/>
      </c>
      <c r="RL25" s="9">
        <f>RB25-RF25-RG25-RH25-RI25-RJ25-RK25</f>
        <v/>
      </c>
      <c r="RM25" s="9">
        <f>RM24+QY25-(RF25+RG25+RH25+RI25+RJ25+RK25+RD25)</f>
        <v/>
      </c>
      <c r="RN25" s="12">
        <f>IF(QS25&gt;0,QT25/QS25,0)</f>
        <v/>
      </c>
      <c r="RO25" s="11">
        <f>IF(QS24&gt;0,MAX(0,(QS24+QH25-QS25)/QS24),0)</f>
        <v/>
      </c>
      <c r="RQ25" s="12" t="n">
        <v>21</v>
      </c>
      <c r="RR25" s="12">
        <f>MOD(RQ25-1+LaunchMonth-1,12)+1</f>
        <v/>
      </c>
      <c r="RS25" s="12">
        <f>INT((RQ25-1+LaunchMonth-1)/12)+1</f>
        <v/>
      </c>
      <c r="RT25" s="12">
        <f>VLOOKUP(RR25,SeasonTable,2,FALSE)</f>
        <v/>
      </c>
      <c r="RU25" s="12">
        <f>(1+InflationRate)^INT((RQ25-1)/12)</f>
        <v/>
      </c>
      <c r="RV25" s="11">
        <f>'Sens - Churn'!$A$21*VLOOKUP(RR25,ChurnSeasonTable,4,FALSE)</f>
        <v/>
      </c>
      <c r="RW25" s="12">
        <f>MIN(MAX(MktMin19plus,SQ24*MktPct19plus),MAX(0,TE24-CashBuffer))</f>
        <v/>
      </c>
      <c r="RX25" s="12">
        <f>IF(RW25&gt;0,MAX(1,ROUND(RW25/CAC*RT25,0)),0)</f>
        <v/>
      </c>
      <c r="RY25" s="12">
        <f>IF(RX25&gt;0,ROUND(RX25*ReferralMix/(1-ReferralMix),0),0)</f>
        <v/>
      </c>
      <c r="RZ25" s="12">
        <f>RX25+RY25</f>
        <v/>
      </c>
      <c r="SA25" s="12">
        <f>ROUND(RZ25*(1-AnnualMix),0)</f>
        <v/>
      </c>
      <c r="SB25" s="12">
        <f>RZ25-SA25</f>
        <v/>
      </c>
      <c r="SC25" s="12">
        <f>ROUND(SA25*EssentialMix,0)</f>
        <v/>
      </c>
      <c r="SD25" s="12">
        <f>SA25-SC25</f>
        <v/>
      </c>
      <c r="SE25" s="12">
        <f>ROUND(SB25*EssentialMix,0)</f>
        <v/>
      </c>
      <c r="SF25" s="12">
        <f>SB25-SE25</f>
        <v/>
      </c>
      <c r="SG25" s="12">
        <f>SC25+SC24+SC23+MAX(0,SG24-SC24-SC23)*(1-RV25)</f>
        <v/>
      </c>
      <c r="SH25" s="12">
        <f>SD25+SD24+SD23+MAX(0,SH24-SD24-SD23)*(1-RV25)</f>
        <v/>
      </c>
      <c r="SI25" s="12">
        <f>SI24+SE25-SE13*(AnnualChurn*VLOOKUP(RR25,ChurnSeasonTable,4,FALSE))*POWER(1-(AnnualChurn*VLOOKUP(RR25,ChurnSeasonTable,4,FALSE)),0)</f>
        <v/>
      </c>
      <c r="SJ25" s="12">
        <f>SJ24+SF25-SF13*(AnnualChurn*VLOOKUP(RR25,ChurnSeasonTable,4,FALSE))*POWER(1-(AnnualChurn*VLOOKUP(RR25,ChurnSeasonTable,4,FALSE)),0)</f>
        <v/>
      </c>
      <c r="SK25" s="12">
        <f>SG25+SH25+SI25+SJ25</f>
        <v/>
      </c>
      <c r="SL25" s="9">
        <f>SG25*PriceEssMonthly*RU25+SH25*PricePremMonthly*RU25+SI25*PriceEssAnnual*RU25/12+SJ25*PricePremAnnual*RU25/12</f>
        <v/>
      </c>
      <c r="SM25" s="9">
        <f>SL25*12</f>
        <v/>
      </c>
      <c r="SN25" s="12">
        <f>SG25*PriceEssMonthly*RU25+SH25*PricePremMonthly*RU25</f>
        <v/>
      </c>
      <c r="SO25" s="12">
        <f>SE25*PriceEssAnnual*RU25+SF25*PricePremAnnual*RU25</f>
        <v/>
      </c>
      <c r="SP25" s="12">
        <f>SE13*POWER(1-(AnnualChurn*VLOOKUP(RR25,ChurnSeasonTable,4,FALSE)),1)*PriceEssAnnual*RU25+SF13*POWER(1-(AnnualChurn*VLOOKUP(RR25,ChurnSeasonTable,4,FALSE)),1)*PricePremAnnual*RU25</f>
        <v/>
      </c>
      <c r="SQ25" s="9">
        <f>SN25+SO25+SP25</f>
        <v/>
      </c>
      <c r="SR25" s="12">
        <f>SUM(SQ14:SQ25)</f>
        <v/>
      </c>
      <c r="SS25" s="12">
        <f>OR(SS24,SR25&gt;=VATThreshold)</f>
        <v/>
      </c>
      <c r="ST25" s="9">
        <f>IF(SS25,SQ25/(1+VATRate),SQ25)</f>
        <v/>
      </c>
      <c r="SU25" s="12">
        <f>SQ25-ST25</f>
        <v/>
      </c>
      <c r="SV25" s="12">
        <f>IF(SS25=0,0,IF(RR25=1,SUMPRODUCT(--(($RS$5:$RS25=$RS25-1)*($RR$5:$RR25&gt;=10)*($RR$5:$RR25&lt;=12)),$SU$5:$SU25),IF(RR25=4,SUMPRODUCT(--(($RS$5:$RS25=$RS25)*($RR$5:$RR25&gt;=1)*($RR$5:$RR25&lt;=3)),$SU$5:$SU25),IF(RR25=7,SUMPRODUCT(--(($RS$5:$RS25=$RS25)*($RR$5:$RR25&gt;=4)*($RR$5:$RR25&lt;=6)),$SU$5:$SU25),IF(RR25=10,SUMPRODUCT(--(($RS$5:$RS25=$RS25)*($RR$5:$RR25&gt;=7)*($RR$5:$RR25&lt;=9)),$SU$5:$SU25),0)))))</f>
        <v/>
      </c>
      <c r="SW25" s="12">
        <f>SW24+SU25-SV25</f>
        <v/>
      </c>
      <c r="SX25" s="12">
        <f>IF(ProviderDelay&gt;=1,ST24*ProviderShare,ST25*ProviderShare)</f>
        <v/>
      </c>
      <c r="SY25" s="12">
        <f>SQ25*PaymentFee</f>
        <v/>
      </c>
      <c r="SZ25" s="12">
        <f>SK25*OpsAI</f>
        <v/>
      </c>
      <c r="TA25" s="12">
        <f>MonthlyFixed</f>
        <v/>
      </c>
      <c r="TB25" s="12">
        <f>RY25*ReferralReward</f>
        <v/>
      </c>
      <c r="TC25" s="12">
        <f>RW25</f>
        <v/>
      </c>
      <c r="TD25" s="9">
        <f>ST25-SX25-SY25-SZ25-TA25-TB25-TC25</f>
        <v/>
      </c>
      <c r="TE25" s="9">
        <f>TE24+SQ25-(SX25+SY25+SZ25+TA25+TB25+TC25+SV25)</f>
        <v/>
      </c>
      <c r="TF25" s="12">
        <f>IF(SK25&gt;0,SL25/SK25,0)</f>
        <v/>
      </c>
      <c r="TG25" s="11">
        <f>IF(SK24&gt;0,MAX(0,(SK24+RZ25-SK25)/SK24),0)</f>
        <v/>
      </c>
      <c r="TI25" s="12" t="n">
        <v>21</v>
      </c>
      <c r="TJ25" s="12">
        <f>MOD(TI25-1+LaunchMonth-1,12)+1</f>
        <v/>
      </c>
      <c r="TK25" s="12">
        <f>INT((TI25-1+LaunchMonth-1)/12)+1</f>
        <v/>
      </c>
      <c r="TL25" s="12">
        <f>VLOOKUP(TJ25,SeasonTable,2,FALSE)</f>
        <v/>
      </c>
      <c r="TM25" s="12">
        <f>(1+InflationRate)^INT((TI25-1)/12)</f>
        <v/>
      </c>
      <c r="TN25" s="11">
        <f>MonthlyChurn*VLOOKUP(TJ25,ChurnSeasonTable,4,FALSE)</f>
        <v/>
      </c>
      <c r="TO25" s="12">
        <f>MIN(MAX(MktMin19plus,UI24*MktPct19plus),MAX(0,UW24-CashBuffer))</f>
        <v/>
      </c>
      <c r="TP25" s="12">
        <f>IF(TO25&gt;0,MAX(1,ROUND(TO25/CAC*TL25,0)),0)</f>
        <v/>
      </c>
      <c r="TQ25" s="12">
        <f>IF(TP25&gt;0,ROUND(TP25*ReferralMix/(1-ReferralMix),0),0)</f>
        <v/>
      </c>
      <c r="TR25" s="12">
        <f>TP25+TQ25</f>
        <v/>
      </c>
      <c r="TS25" s="12">
        <f>ROUND(TR25*(1-'Sens - Annual Mix'!$A$9),0)</f>
        <v/>
      </c>
      <c r="TT25" s="12">
        <f>TR25-TS25</f>
        <v/>
      </c>
      <c r="TU25" s="12">
        <f>ROUND(TS25*EssentialMix,0)</f>
        <v/>
      </c>
      <c r="TV25" s="12">
        <f>TS25-TU25</f>
        <v/>
      </c>
      <c r="TW25" s="12">
        <f>ROUND(TT25*EssentialMix,0)</f>
        <v/>
      </c>
      <c r="TX25" s="12">
        <f>TT25-TW25</f>
        <v/>
      </c>
      <c r="TY25" s="12">
        <f>TU25+TU24+TU23+MAX(0,TY24-TU24-TU23)*(1-TN25)</f>
        <v/>
      </c>
      <c r="TZ25" s="12">
        <f>TV25+TV24+TV23+MAX(0,TZ24-TV24-TV23)*(1-TN25)</f>
        <v/>
      </c>
      <c r="UA25" s="12">
        <f>UA24+TW25-TW13*(AnnualChurn*VLOOKUP(TJ25,ChurnSeasonTable,4,FALSE))*POWER(1-(AnnualChurn*VLOOKUP(TJ25,ChurnSeasonTable,4,FALSE)),0)</f>
        <v/>
      </c>
      <c r="UB25" s="12">
        <f>UB24+TX25-TX13*(AnnualChurn*VLOOKUP(TJ25,ChurnSeasonTable,4,FALSE))*POWER(1-(AnnualChurn*VLOOKUP(TJ25,ChurnSeasonTable,4,FALSE)),0)</f>
        <v/>
      </c>
      <c r="UC25" s="12">
        <f>TY25+TZ25+UA25+UB25</f>
        <v/>
      </c>
      <c r="UD25" s="9">
        <f>TY25*PriceEssMonthly*TM25+TZ25*PricePremMonthly*TM25+UA25*PriceEssAnnual*TM25/12+UB25*PricePremAnnual*TM25/12</f>
        <v/>
      </c>
      <c r="UE25" s="9">
        <f>UD25*12</f>
        <v/>
      </c>
      <c r="UF25" s="12">
        <f>TY25*PriceEssMonthly*TM25+TZ25*PricePremMonthly*TM25</f>
        <v/>
      </c>
      <c r="UG25" s="12">
        <f>TW25*PriceEssAnnual*TM25+TX25*PricePremAnnual*TM25</f>
        <v/>
      </c>
      <c r="UH25" s="12">
        <f>TW13*POWER(1-(AnnualChurn*VLOOKUP(TJ25,ChurnSeasonTable,4,FALSE)),1)*PriceEssAnnual*TM25+TX13*POWER(1-(AnnualChurn*VLOOKUP(TJ25,ChurnSeasonTable,4,FALSE)),1)*PricePremAnnual*TM25</f>
        <v/>
      </c>
      <c r="UI25" s="9">
        <f>UF25+UG25+UH25</f>
        <v/>
      </c>
      <c r="UJ25" s="12">
        <f>SUM(UI14:UI25)</f>
        <v/>
      </c>
      <c r="UK25" s="12">
        <f>OR(UK24,UJ25&gt;=VATThreshold)</f>
        <v/>
      </c>
      <c r="UL25" s="9">
        <f>IF(UK25,UI25/(1+VATRate),UI25)</f>
        <v/>
      </c>
      <c r="UM25" s="12">
        <f>UI25-UL25</f>
        <v/>
      </c>
      <c r="UN25" s="12">
        <f>IF(UK25=0,0,IF(TJ25=1,SUMPRODUCT(--(($TK$5:$TK25=$TK25-1)*($TJ$5:$TJ25&gt;=10)*($TJ$5:$TJ25&lt;=12)),$UM$5:$UM25),IF(TJ25=4,SUMPRODUCT(--(($TK$5:$TK25=$TK25)*($TJ$5:$TJ25&gt;=1)*($TJ$5:$TJ25&lt;=3)),$UM$5:$UM25),IF(TJ25=7,SUMPRODUCT(--(($TK$5:$TK25=$TK25)*($TJ$5:$TJ25&gt;=4)*($TJ$5:$TJ25&lt;=6)),$UM$5:$UM25),IF(TJ25=10,SUMPRODUCT(--(($TK$5:$TK25=$TK25)*($TJ$5:$TJ25&gt;=7)*($TJ$5:$TJ25&lt;=9)),$UM$5:$UM25),0)))))</f>
        <v/>
      </c>
      <c r="UO25" s="12">
        <f>UO24+UM25-UN25</f>
        <v/>
      </c>
      <c r="UP25" s="12">
        <f>IF(ProviderDelay&gt;=1,UL24*ProviderShare,UL25*ProviderShare)</f>
        <v/>
      </c>
      <c r="UQ25" s="12">
        <f>UI25*PaymentFee</f>
        <v/>
      </c>
      <c r="UR25" s="12">
        <f>UC25*OpsAI</f>
        <v/>
      </c>
      <c r="US25" s="12">
        <f>MonthlyFixed</f>
        <v/>
      </c>
      <c r="UT25" s="12">
        <f>TQ25*ReferralReward</f>
        <v/>
      </c>
      <c r="UU25" s="12">
        <f>TO25</f>
        <v/>
      </c>
      <c r="UV25" s="9">
        <f>UL25-UP25-UQ25-UR25-US25-UT25-UU25</f>
        <v/>
      </c>
      <c r="UW25" s="9">
        <f>UW24+UI25-(UP25+UQ25+UR25+US25+UT25+UU25+UN25)</f>
        <v/>
      </c>
      <c r="UX25" s="12">
        <f>IF(UC25&gt;0,UD25/UC25,0)</f>
        <v/>
      </c>
      <c r="UY25" s="11">
        <f>IF(UC24&gt;0,MAX(0,(UC24+TR25-UC25)/UC24),0)</f>
        <v/>
      </c>
      <c r="VA25" s="12" t="n">
        <v>21</v>
      </c>
      <c r="VB25" s="12">
        <f>MOD(VA25-1+LaunchMonth-1,12)+1</f>
        <v/>
      </c>
      <c r="VC25" s="12">
        <f>INT((VA25-1+LaunchMonth-1)/12)+1</f>
        <v/>
      </c>
      <c r="VD25" s="12">
        <f>VLOOKUP(VB25,SeasonTable,2,FALSE)</f>
        <v/>
      </c>
      <c r="VE25" s="12">
        <f>(1+InflationRate)^INT((VA25-1)/12)</f>
        <v/>
      </c>
      <c r="VF25" s="11">
        <f>MonthlyChurn*VLOOKUP(VB25,ChurnSeasonTable,4,FALSE)</f>
        <v/>
      </c>
      <c r="VG25" s="12">
        <f>MIN(MAX(MktMin19plus,WA24*MktPct19plus),MAX(0,WO24-CashBuffer))</f>
        <v/>
      </c>
      <c r="VH25" s="12">
        <f>IF(VG25&gt;0,MAX(1,ROUND(VG25/CAC*VD25,0)),0)</f>
        <v/>
      </c>
      <c r="VI25" s="12">
        <f>IF(VH25&gt;0,ROUND(VH25*ReferralMix/(1-ReferralMix),0),0)</f>
        <v/>
      </c>
      <c r="VJ25" s="12">
        <f>VH25+VI25</f>
        <v/>
      </c>
      <c r="VK25" s="12">
        <f>ROUND(VJ25*(1-'Sens - Annual Mix'!$A$10),0)</f>
        <v/>
      </c>
      <c r="VL25" s="12">
        <f>VJ25-VK25</f>
        <v/>
      </c>
      <c r="VM25" s="12">
        <f>ROUND(VK25*EssentialMix,0)</f>
        <v/>
      </c>
      <c r="VN25" s="12">
        <f>VK25-VM25</f>
        <v/>
      </c>
      <c r="VO25" s="12">
        <f>ROUND(VL25*EssentialMix,0)</f>
        <v/>
      </c>
      <c r="VP25" s="12">
        <f>VL25-VO25</f>
        <v/>
      </c>
      <c r="VQ25" s="12">
        <f>VM25+VM24+VM23+MAX(0,VQ24-VM24-VM23)*(1-VF25)</f>
        <v/>
      </c>
      <c r="VR25" s="12">
        <f>VN25+VN24+VN23+MAX(0,VR24-VN24-VN23)*(1-VF25)</f>
        <v/>
      </c>
      <c r="VS25" s="12">
        <f>VS24+VO25-VO13*(AnnualChurn*VLOOKUP(VB25,ChurnSeasonTable,4,FALSE))*POWER(1-(AnnualChurn*VLOOKUP(VB25,ChurnSeasonTable,4,FALSE)),0)</f>
        <v/>
      </c>
      <c r="VT25" s="12">
        <f>VT24+VP25-VP13*(AnnualChurn*VLOOKUP(VB25,ChurnSeasonTable,4,FALSE))*POWER(1-(AnnualChurn*VLOOKUP(VB25,ChurnSeasonTable,4,FALSE)),0)</f>
        <v/>
      </c>
      <c r="VU25" s="12">
        <f>VQ25+VR25+VS25+VT25</f>
        <v/>
      </c>
      <c r="VV25" s="9">
        <f>VQ25*PriceEssMonthly*VE25+VR25*PricePremMonthly*VE25+VS25*PriceEssAnnual*VE25/12+VT25*PricePremAnnual*VE25/12</f>
        <v/>
      </c>
      <c r="VW25" s="9">
        <f>VV25*12</f>
        <v/>
      </c>
      <c r="VX25" s="12">
        <f>VQ25*PriceEssMonthly*VE25+VR25*PricePremMonthly*VE25</f>
        <v/>
      </c>
      <c r="VY25" s="12">
        <f>VO25*PriceEssAnnual*VE25+VP25*PricePremAnnual*VE25</f>
        <v/>
      </c>
      <c r="VZ25" s="12">
        <f>VO13*POWER(1-(AnnualChurn*VLOOKUP(VB25,ChurnSeasonTable,4,FALSE)),1)*PriceEssAnnual*VE25+VP13*POWER(1-(AnnualChurn*VLOOKUP(VB25,ChurnSeasonTable,4,FALSE)),1)*PricePremAnnual*VE25</f>
        <v/>
      </c>
      <c r="WA25" s="9">
        <f>VX25+VY25+VZ25</f>
        <v/>
      </c>
      <c r="WB25" s="12">
        <f>SUM(WA14:WA25)</f>
        <v/>
      </c>
      <c r="WC25" s="12">
        <f>OR(WC24,WB25&gt;=VATThreshold)</f>
        <v/>
      </c>
      <c r="WD25" s="9">
        <f>IF(WC25,WA25/(1+VATRate),WA25)</f>
        <v/>
      </c>
      <c r="WE25" s="12">
        <f>WA25-WD25</f>
        <v/>
      </c>
      <c r="WF25" s="12">
        <f>IF(WC25=0,0,IF(VB25=1,SUMPRODUCT(--(($VC$5:$VC25=$VC25-1)*($VB$5:$VB25&gt;=10)*($VB$5:$VB25&lt;=12)),$WE$5:$WE25),IF(VB25=4,SUMPRODUCT(--(($VC$5:$VC25=$VC25)*($VB$5:$VB25&gt;=1)*($VB$5:$VB25&lt;=3)),$WE$5:$WE25),IF(VB25=7,SUMPRODUCT(--(($VC$5:$VC25=$VC25)*($VB$5:$VB25&gt;=4)*($VB$5:$VB25&lt;=6)),$WE$5:$WE25),IF(VB25=10,SUMPRODUCT(--(($VC$5:$VC25=$VC25)*($VB$5:$VB25&gt;=7)*($VB$5:$VB25&lt;=9)),$WE$5:$WE25),0)))))</f>
        <v/>
      </c>
      <c r="WG25" s="12">
        <f>WG24+WE25-WF25</f>
        <v/>
      </c>
      <c r="WH25" s="12">
        <f>IF(ProviderDelay&gt;=1,WD24*ProviderShare,WD25*ProviderShare)</f>
        <v/>
      </c>
      <c r="WI25" s="12">
        <f>WA25*PaymentFee</f>
        <v/>
      </c>
      <c r="WJ25" s="12">
        <f>VU25*OpsAI</f>
        <v/>
      </c>
      <c r="WK25" s="12">
        <f>MonthlyFixed</f>
        <v/>
      </c>
      <c r="WL25" s="12">
        <f>VI25*ReferralReward</f>
        <v/>
      </c>
      <c r="WM25" s="12">
        <f>VG25</f>
        <v/>
      </c>
      <c r="WN25" s="9">
        <f>WD25-WH25-WI25-WJ25-WK25-WL25-WM25</f>
        <v/>
      </c>
      <c r="WO25" s="9">
        <f>WO24+WA25-(WH25+WI25+WJ25+WK25+WL25+WM25+WF25)</f>
        <v/>
      </c>
      <c r="WP25" s="12">
        <f>IF(VU25&gt;0,VV25/VU25,0)</f>
        <v/>
      </c>
      <c r="WQ25" s="11">
        <f>IF(VU24&gt;0,MAX(0,(VU24+VJ25-VU25)/VU24),0)</f>
        <v/>
      </c>
      <c r="WS25" s="12" t="n">
        <v>21</v>
      </c>
      <c r="WT25" s="12">
        <f>MOD(WS25-1+LaunchMonth-1,12)+1</f>
        <v/>
      </c>
      <c r="WU25" s="12">
        <f>INT((WS25-1+LaunchMonth-1)/12)+1</f>
        <v/>
      </c>
      <c r="WV25" s="12">
        <f>VLOOKUP(WT25,SeasonTable,2,FALSE)</f>
        <v/>
      </c>
      <c r="WW25" s="12">
        <f>(1+InflationRate)^INT((WS25-1)/12)</f>
        <v/>
      </c>
      <c r="WX25" s="11">
        <f>MonthlyChurn*VLOOKUP(WT25,ChurnSeasonTable,4,FALSE)</f>
        <v/>
      </c>
      <c r="WY25" s="12">
        <f>MIN(MAX(MktMin19plus,XS24*MktPct19plus),MAX(0,YG24-CashBuffer))</f>
        <v/>
      </c>
      <c r="WZ25" s="12">
        <f>IF(WY25&gt;0,MAX(1,ROUND(WY25/CAC*WV25,0)),0)</f>
        <v/>
      </c>
      <c r="XA25" s="12">
        <f>IF(WZ25&gt;0,ROUND(WZ25*ReferralMix/(1-ReferralMix),0),0)</f>
        <v/>
      </c>
      <c r="XB25" s="12">
        <f>WZ25+XA25</f>
        <v/>
      </c>
      <c r="XC25" s="12">
        <f>ROUND(XB25*(1-'Sens - Annual Mix'!$A$11),0)</f>
        <v/>
      </c>
      <c r="XD25" s="12">
        <f>XB25-XC25</f>
        <v/>
      </c>
      <c r="XE25" s="12">
        <f>ROUND(XC25*EssentialMix,0)</f>
        <v/>
      </c>
      <c r="XF25" s="12">
        <f>XC25-XE25</f>
        <v/>
      </c>
      <c r="XG25" s="12">
        <f>ROUND(XD25*EssentialMix,0)</f>
        <v/>
      </c>
      <c r="XH25" s="12">
        <f>XD25-XG25</f>
        <v/>
      </c>
      <c r="XI25" s="12">
        <f>XE25+XE24+XE23+MAX(0,XI24-XE24-XE23)*(1-WX25)</f>
        <v/>
      </c>
      <c r="XJ25" s="12">
        <f>XF25+XF24+XF23+MAX(0,XJ24-XF24-XF23)*(1-WX25)</f>
        <v/>
      </c>
      <c r="XK25" s="12">
        <f>XK24+XG25-XG13*(AnnualChurn*VLOOKUP(WT25,ChurnSeasonTable,4,FALSE))*POWER(1-(AnnualChurn*VLOOKUP(WT25,ChurnSeasonTable,4,FALSE)),0)</f>
        <v/>
      </c>
      <c r="XL25" s="12">
        <f>XL24+XH25-XH13*(AnnualChurn*VLOOKUP(WT25,ChurnSeasonTable,4,FALSE))*POWER(1-(AnnualChurn*VLOOKUP(WT25,ChurnSeasonTable,4,FALSE)),0)</f>
        <v/>
      </c>
      <c r="XM25" s="12">
        <f>XI25+XJ25+XK25+XL25</f>
        <v/>
      </c>
      <c r="XN25" s="9">
        <f>XI25*PriceEssMonthly*WW25+XJ25*PricePremMonthly*WW25+XK25*PriceEssAnnual*WW25/12+XL25*PricePremAnnual*WW25/12</f>
        <v/>
      </c>
      <c r="XO25" s="9">
        <f>XN25*12</f>
        <v/>
      </c>
      <c r="XP25" s="12">
        <f>XI25*PriceEssMonthly*WW25+XJ25*PricePremMonthly*WW25</f>
        <v/>
      </c>
      <c r="XQ25" s="12">
        <f>XG25*PriceEssAnnual*WW25+XH25*PricePremAnnual*WW25</f>
        <v/>
      </c>
      <c r="XR25" s="12">
        <f>XG13*POWER(1-(AnnualChurn*VLOOKUP(WT25,ChurnSeasonTable,4,FALSE)),1)*PriceEssAnnual*WW25+XH13*POWER(1-(AnnualChurn*VLOOKUP(WT25,ChurnSeasonTable,4,FALSE)),1)*PricePremAnnual*WW25</f>
        <v/>
      </c>
      <c r="XS25" s="9">
        <f>XP25+XQ25+XR25</f>
        <v/>
      </c>
      <c r="XT25" s="12">
        <f>SUM(XS14:XS25)</f>
        <v/>
      </c>
      <c r="XU25" s="12">
        <f>OR(XU24,XT25&gt;=VATThreshold)</f>
        <v/>
      </c>
      <c r="XV25" s="9">
        <f>IF(XU25,XS25/(1+VATRate),XS25)</f>
        <v/>
      </c>
      <c r="XW25" s="12">
        <f>XS25-XV25</f>
        <v/>
      </c>
      <c r="XX25" s="12">
        <f>IF(XU25=0,0,IF(WT25=1,SUMPRODUCT(--(($WU$5:$WU25=$WU25-1)*($WT$5:$WT25&gt;=10)*($WT$5:$WT25&lt;=12)),$XW$5:$XW25),IF(WT25=4,SUMPRODUCT(--(($WU$5:$WU25=$WU25)*($WT$5:$WT25&gt;=1)*($WT$5:$WT25&lt;=3)),$XW$5:$XW25),IF(WT25=7,SUMPRODUCT(--(($WU$5:$WU25=$WU25)*($WT$5:$WT25&gt;=4)*($WT$5:$WT25&lt;=6)),$XW$5:$XW25),IF(WT25=10,SUMPRODUCT(--(($WU$5:$WU25=$WU25)*($WT$5:$WT25&gt;=7)*($WT$5:$WT25&lt;=9)),$XW$5:$XW25),0)))))</f>
        <v/>
      </c>
      <c r="XY25" s="12">
        <f>XY24+XW25-XX25</f>
        <v/>
      </c>
      <c r="XZ25" s="12">
        <f>IF(ProviderDelay&gt;=1,XV24*ProviderShare,XV25*ProviderShare)</f>
        <v/>
      </c>
      <c r="YA25" s="12">
        <f>XS25*PaymentFee</f>
        <v/>
      </c>
      <c r="YB25" s="12">
        <f>XM25*OpsAI</f>
        <v/>
      </c>
      <c r="YC25" s="12">
        <f>MonthlyFixed</f>
        <v/>
      </c>
      <c r="YD25" s="12">
        <f>XA25*ReferralReward</f>
        <v/>
      </c>
      <c r="YE25" s="12">
        <f>WY25</f>
        <v/>
      </c>
      <c r="YF25" s="9">
        <f>XV25-XZ25-YA25-YB25-YC25-YD25-YE25</f>
        <v/>
      </c>
      <c r="YG25" s="9">
        <f>YG24+XS25-(XZ25+YA25+YB25+YC25+YD25+YE25+XX25)</f>
        <v/>
      </c>
      <c r="YH25" s="12">
        <f>IF(XM25&gt;0,XN25/XM25,0)</f>
        <v/>
      </c>
      <c r="YI25" s="11">
        <f>IF(XM24&gt;0,MAX(0,(XM24+XB25-XM25)/XM24),0)</f>
        <v/>
      </c>
      <c r="YK25" s="12" t="n">
        <v>21</v>
      </c>
      <c r="YL25" s="12">
        <f>MOD(YK25-1+LaunchMonth-1,12)+1</f>
        <v/>
      </c>
      <c r="YM25" s="12">
        <f>INT((YK25-1+LaunchMonth-1)/12)+1</f>
        <v/>
      </c>
      <c r="YN25" s="12">
        <f>VLOOKUP(YL25,SeasonTable,2,FALSE)</f>
        <v/>
      </c>
      <c r="YO25" s="12">
        <f>(1+InflationRate)^INT((YK25-1)/12)</f>
        <v/>
      </c>
      <c r="YP25" s="11">
        <f>MonthlyChurn*VLOOKUP(YL25,ChurnSeasonTable,4,FALSE)</f>
        <v/>
      </c>
      <c r="YQ25" s="12">
        <f>MIN(MAX(MktMin19plus,ZK24*MktPct19plus),MAX(0,ZY24-CashBuffer))</f>
        <v/>
      </c>
      <c r="YR25" s="12">
        <f>IF(YQ25&gt;0,MAX(1,ROUND(YQ25/CAC*YN25,0)),0)</f>
        <v/>
      </c>
      <c r="YS25" s="12">
        <f>IF(YR25&gt;0,ROUND(YR25*ReferralMix/(1-ReferralMix),0),0)</f>
        <v/>
      </c>
      <c r="YT25" s="12">
        <f>YR25+YS25</f>
        <v/>
      </c>
      <c r="YU25" s="12">
        <f>ROUND(YT25*(1-'Sens - Annual Mix'!$A$12),0)</f>
        <v/>
      </c>
      <c r="YV25" s="12">
        <f>YT25-YU25</f>
        <v/>
      </c>
      <c r="YW25" s="12">
        <f>ROUND(YU25*EssentialMix,0)</f>
        <v/>
      </c>
      <c r="YX25" s="12">
        <f>YU25-YW25</f>
        <v/>
      </c>
      <c r="YY25" s="12">
        <f>ROUND(YV25*EssentialMix,0)</f>
        <v/>
      </c>
      <c r="YZ25" s="12">
        <f>YV25-YY25</f>
        <v/>
      </c>
      <c r="ZA25" s="12">
        <f>YW25+YW24+YW23+MAX(0,ZA24-YW24-YW23)*(1-YP25)</f>
        <v/>
      </c>
      <c r="ZB25" s="12">
        <f>YX25+YX24+YX23+MAX(0,ZB24-YX24-YX23)*(1-YP25)</f>
        <v/>
      </c>
      <c r="ZC25" s="12">
        <f>ZC24+YY25-YY13*(AnnualChurn*VLOOKUP(YL25,ChurnSeasonTable,4,FALSE))*POWER(1-(AnnualChurn*VLOOKUP(YL25,ChurnSeasonTable,4,FALSE)),0)</f>
        <v/>
      </c>
      <c r="ZD25" s="12">
        <f>ZD24+YZ25-YZ13*(AnnualChurn*VLOOKUP(YL25,ChurnSeasonTable,4,FALSE))*POWER(1-(AnnualChurn*VLOOKUP(YL25,ChurnSeasonTable,4,FALSE)),0)</f>
        <v/>
      </c>
      <c r="ZE25" s="12">
        <f>ZA25+ZB25+ZC25+ZD25</f>
        <v/>
      </c>
      <c r="ZF25" s="9">
        <f>ZA25*PriceEssMonthly*YO25+ZB25*PricePremMonthly*YO25+ZC25*PriceEssAnnual*YO25/12+ZD25*PricePremAnnual*YO25/12</f>
        <v/>
      </c>
      <c r="ZG25" s="9">
        <f>ZF25*12</f>
        <v/>
      </c>
      <c r="ZH25" s="12">
        <f>ZA25*PriceEssMonthly*YO25+ZB25*PricePremMonthly*YO25</f>
        <v/>
      </c>
      <c r="ZI25" s="12">
        <f>YY25*PriceEssAnnual*YO25+YZ25*PricePremAnnual*YO25</f>
        <v/>
      </c>
      <c r="ZJ25" s="12">
        <f>YY13*POWER(1-(AnnualChurn*VLOOKUP(YL25,ChurnSeasonTable,4,FALSE)),1)*PriceEssAnnual*YO25+YZ13*POWER(1-(AnnualChurn*VLOOKUP(YL25,ChurnSeasonTable,4,FALSE)),1)*PricePremAnnual*YO25</f>
        <v/>
      </c>
      <c r="ZK25" s="9">
        <f>ZH25+ZI25+ZJ25</f>
        <v/>
      </c>
      <c r="ZL25" s="12">
        <f>SUM(ZK14:ZK25)</f>
        <v/>
      </c>
      <c r="ZM25" s="12">
        <f>OR(ZM24,ZL25&gt;=VATThreshold)</f>
        <v/>
      </c>
      <c r="ZN25" s="9">
        <f>IF(ZM25,ZK25/(1+VATRate),ZK25)</f>
        <v/>
      </c>
      <c r="ZO25" s="12">
        <f>ZK25-ZN25</f>
        <v/>
      </c>
      <c r="ZP25" s="12">
        <f>IF(ZM25=0,0,IF(YL25=1,SUMPRODUCT(--(($YM$5:$YM25=$YM25-1)*($YL$5:$YL25&gt;=10)*($YL$5:$YL25&lt;=12)),$ZO$5:$ZO25),IF(YL25=4,SUMPRODUCT(--(($YM$5:$YM25=$YM25)*($YL$5:$YL25&gt;=1)*($YL$5:$YL25&lt;=3)),$ZO$5:$ZO25),IF(YL25=7,SUMPRODUCT(--(($YM$5:$YM25=$YM25)*($YL$5:$YL25&gt;=4)*($YL$5:$YL25&lt;=6)),$ZO$5:$ZO25),IF(YL25=10,SUMPRODUCT(--(($YM$5:$YM25=$YM25)*($YL$5:$YL25&gt;=7)*($YL$5:$YL25&lt;=9)),$ZO$5:$ZO25),0)))))</f>
        <v/>
      </c>
      <c r="ZQ25" s="12">
        <f>ZQ24+ZO25-ZP25</f>
        <v/>
      </c>
      <c r="ZR25" s="12">
        <f>IF(ProviderDelay&gt;=1,ZN24*ProviderShare,ZN25*ProviderShare)</f>
        <v/>
      </c>
      <c r="ZS25" s="12">
        <f>ZK25*PaymentFee</f>
        <v/>
      </c>
      <c r="ZT25" s="12">
        <f>ZE25*OpsAI</f>
        <v/>
      </c>
      <c r="ZU25" s="12">
        <f>MonthlyFixed</f>
        <v/>
      </c>
      <c r="ZV25" s="12">
        <f>YS25*ReferralReward</f>
        <v/>
      </c>
      <c r="ZW25" s="12">
        <f>YQ25</f>
        <v/>
      </c>
      <c r="ZX25" s="9">
        <f>ZN25-ZR25-ZS25-ZT25-ZU25-ZV25-ZW25</f>
        <v/>
      </c>
      <c r="ZY25" s="9">
        <f>ZY24+ZK25-(ZR25+ZS25+ZT25+ZU25+ZV25+ZW25+ZP25)</f>
        <v/>
      </c>
      <c r="ZZ25" s="12">
        <f>IF(ZE25&gt;0,ZF25/ZE25,0)</f>
        <v/>
      </c>
      <c r="AAA25" s="11">
        <f>IF(ZE24&gt;0,MAX(0,(ZE24+YT25-ZE25)/ZE24),0)</f>
        <v/>
      </c>
      <c r="AAC25" s="12" t="n">
        <v>21</v>
      </c>
      <c r="AAD25" s="12">
        <f>MOD(AAC25-1+LaunchMonth-1,12)+1</f>
        <v/>
      </c>
      <c r="AAE25" s="12">
        <f>INT((AAC25-1+LaunchMonth-1)/12)+1</f>
        <v/>
      </c>
      <c r="AAF25" s="12">
        <f>VLOOKUP(AAD25,SeasonTable,2,FALSE)</f>
        <v/>
      </c>
      <c r="AAG25" s="12">
        <f>(1+InflationRate)^INT((AAC25-1)/12)</f>
        <v/>
      </c>
      <c r="AAH25" s="11">
        <f>MonthlyChurn*VLOOKUP(AAD25,ChurnSeasonTable,4,FALSE)</f>
        <v/>
      </c>
      <c r="AAI25" s="12">
        <f>MIN(MAX(MktMin19plus,ABC24*MktPct19plus),MAX(0,ABQ24-CashBuffer))</f>
        <v/>
      </c>
      <c r="AAJ25" s="12">
        <f>IF(AAI25&gt;0,MAX(1,ROUND(AAI25/CAC*AAF25,0)),0)</f>
        <v/>
      </c>
      <c r="AAK25" s="12">
        <f>IF(AAJ25&gt;0,ROUND(AAJ25*ReferralMix/(1-ReferralMix),0),0)</f>
        <v/>
      </c>
      <c r="AAL25" s="12">
        <f>AAJ25+AAK25</f>
        <v/>
      </c>
      <c r="AAM25" s="12">
        <f>ROUND(AAL25*(1-'Sens - Annual Mix'!$A$13),0)</f>
        <v/>
      </c>
      <c r="AAN25" s="12">
        <f>AAL25-AAM25</f>
        <v/>
      </c>
      <c r="AAO25" s="12">
        <f>ROUND(AAM25*EssentialMix,0)</f>
        <v/>
      </c>
      <c r="AAP25" s="12">
        <f>AAM25-AAO25</f>
        <v/>
      </c>
      <c r="AAQ25" s="12">
        <f>ROUND(AAN25*EssentialMix,0)</f>
        <v/>
      </c>
      <c r="AAR25" s="12">
        <f>AAN25-AAQ25</f>
        <v/>
      </c>
      <c r="AAS25" s="12">
        <f>AAO25+AAO24+AAO23+MAX(0,AAS24-AAO24-AAO23)*(1-AAH25)</f>
        <v/>
      </c>
      <c r="AAT25" s="12">
        <f>AAP25+AAP24+AAP23+MAX(0,AAT24-AAP24-AAP23)*(1-AAH25)</f>
        <v/>
      </c>
      <c r="AAU25" s="12">
        <f>AAU24+AAQ25-AAQ13*(AnnualChurn*VLOOKUP(AAD25,ChurnSeasonTable,4,FALSE))*POWER(1-(AnnualChurn*VLOOKUP(AAD25,ChurnSeasonTable,4,FALSE)),0)</f>
        <v/>
      </c>
      <c r="AAV25" s="12">
        <f>AAV24+AAR25-AAR13*(AnnualChurn*VLOOKUP(AAD25,ChurnSeasonTable,4,FALSE))*POWER(1-(AnnualChurn*VLOOKUP(AAD25,ChurnSeasonTable,4,FALSE)),0)</f>
        <v/>
      </c>
      <c r="AAW25" s="12">
        <f>AAS25+AAT25+AAU25+AAV25</f>
        <v/>
      </c>
      <c r="AAX25" s="9">
        <f>AAS25*PriceEssMonthly*AAG25+AAT25*PricePremMonthly*AAG25+AAU25*PriceEssAnnual*AAG25/12+AAV25*PricePremAnnual*AAG25/12</f>
        <v/>
      </c>
      <c r="AAY25" s="9">
        <f>AAX25*12</f>
        <v/>
      </c>
      <c r="AAZ25" s="12">
        <f>AAS25*PriceEssMonthly*AAG25+AAT25*PricePremMonthly*AAG25</f>
        <v/>
      </c>
      <c r="ABA25" s="12">
        <f>AAQ25*PriceEssAnnual*AAG25+AAR25*PricePremAnnual*AAG25</f>
        <v/>
      </c>
      <c r="ABB25" s="12">
        <f>AAQ13*POWER(1-(AnnualChurn*VLOOKUP(AAD25,ChurnSeasonTable,4,FALSE)),1)*PriceEssAnnual*AAG25+AAR13*POWER(1-(AnnualChurn*VLOOKUP(AAD25,ChurnSeasonTable,4,FALSE)),1)*PricePremAnnual*AAG25</f>
        <v/>
      </c>
      <c r="ABC25" s="9">
        <f>AAZ25+ABA25+ABB25</f>
        <v/>
      </c>
      <c r="ABD25" s="12">
        <f>SUM(ABC14:ABC25)</f>
        <v/>
      </c>
      <c r="ABE25" s="12">
        <f>OR(ABE24,ABD25&gt;=VATThreshold)</f>
        <v/>
      </c>
      <c r="ABF25" s="9">
        <f>IF(ABE25,ABC25/(1+VATRate),ABC25)</f>
        <v/>
      </c>
      <c r="ABG25" s="12">
        <f>ABC25-ABF25</f>
        <v/>
      </c>
      <c r="ABH25" s="12">
        <f>IF(ABE25=0,0,IF(AAD25=1,SUMPRODUCT(--(($AAE$5:$AAE25=$AAE25-1)*($AAD$5:$AAD25&gt;=10)*($AAD$5:$AAD25&lt;=12)),$ABG$5:$ABG25),IF(AAD25=4,SUMPRODUCT(--(($AAE$5:$AAE25=$AAE25)*($AAD$5:$AAD25&gt;=1)*($AAD$5:$AAD25&lt;=3)),$ABG$5:$ABG25),IF(AAD25=7,SUMPRODUCT(--(($AAE$5:$AAE25=$AAE25)*($AAD$5:$AAD25&gt;=4)*($AAD$5:$AAD25&lt;=6)),$ABG$5:$ABG25),IF(AAD25=10,SUMPRODUCT(--(($AAE$5:$AAE25=$AAE25)*($AAD$5:$AAD25&gt;=7)*($AAD$5:$AAD25&lt;=9)),$ABG$5:$ABG25),0)))))</f>
        <v/>
      </c>
      <c r="ABI25" s="12">
        <f>ABI24+ABG25-ABH25</f>
        <v/>
      </c>
      <c r="ABJ25" s="12">
        <f>IF(ProviderDelay&gt;=1,ABF24*ProviderShare,ABF25*ProviderShare)</f>
        <v/>
      </c>
      <c r="ABK25" s="12">
        <f>ABC25*PaymentFee</f>
        <v/>
      </c>
      <c r="ABL25" s="12">
        <f>AAW25*OpsAI</f>
        <v/>
      </c>
      <c r="ABM25" s="12">
        <f>MonthlyFixed</f>
        <v/>
      </c>
      <c r="ABN25" s="12">
        <f>AAK25*ReferralReward</f>
        <v/>
      </c>
      <c r="ABO25" s="12">
        <f>AAI25</f>
        <v/>
      </c>
      <c r="ABP25" s="9">
        <f>ABF25-ABJ25-ABK25-ABL25-ABM25-ABN25-ABO25</f>
        <v/>
      </c>
      <c r="ABQ25" s="9">
        <f>ABQ24+ABC25-(ABJ25+ABK25+ABL25+ABM25+ABN25+ABO25+ABH25)</f>
        <v/>
      </c>
      <c r="ABR25" s="12">
        <f>IF(AAW25&gt;0,AAX25/AAW25,0)</f>
        <v/>
      </c>
      <c r="ABS25" s="11">
        <f>IF(AAW24&gt;0,MAX(0,(AAW24+AAL25-AAW25)/AAW24),0)</f>
        <v/>
      </c>
      <c r="ABU25" s="12" t="n">
        <v>21</v>
      </c>
      <c r="ABV25" s="12">
        <f>MOD(ABU25-1+LaunchMonth-1,12)+1</f>
        <v/>
      </c>
      <c r="ABW25" s="12">
        <f>INT((ABU25-1+LaunchMonth-1)/12)+1</f>
        <v/>
      </c>
      <c r="ABX25" s="12">
        <f>VLOOKUP(ABV25,SeasonTable,2,FALSE)</f>
        <v/>
      </c>
      <c r="ABY25" s="12">
        <f>(1+InflationRate)^INT((ABU25-1)/12)</f>
        <v/>
      </c>
      <c r="ABZ25" s="11">
        <f>MonthlyChurn*VLOOKUP(ABV25,ChurnSeasonTable,4,FALSE)</f>
        <v/>
      </c>
      <c r="ACA25" s="12">
        <f>MIN(MAX(MktMin19plus,ACU24*MktPct19plus),MAX(0,ADI24-CashBuffer))</f>
        <v/>
      </c>
      <c r="ACB25" s="12">
        <f>IF(ACA25&gt;0,MAX(1,ROUND(ACA25/CAC*ABX25,0)),0)</f>
        <v/>
      </c>
      <c r="ACC25" s="12">
        <f>IF(ACB25&gt;0,ROUND(ACB25*ReferralMix/(1-ReferralMix),0),0)</f>
        <v/>
      </c>
      <c r="ACD25" s="12">
        <f>ACB25+ACC25</f>
        <v/>
      </c>
      <c r="ACE25" s="12">
        <f>ROUND(ACD25*(1-'Sens - Annual Mix'!$A$14),0)</f>
        <v/>
      </c>
      <c r="ACF25" s="12">
        <f>ACD25-ACE25</f>
        <v/>
      </c>
      <c r="ACG25" s="12">
        <f>ROUND(ACE25*EssentialMix,0)</f>
        <v/>
      </c>
      <c r="ACH25" s="12">
        <f>ACE25-ACG25</f>
        <v/>
      </c>
      <c r="ACI25" s="12">
        <f>ROUND(ACF25*EssentialMix,0)</f>
        <v/>
      </c>
      <c r="ACJ25" s="12">
        <f>ACF25-ACI25</f>
        <v/>
      </c>
      <c r="ACK25" s="12">
        <f>ACG25+ACG24+ACG23+MAX(0,ACK24-ACG24-ACG23)*(1-ABZ25)</f>
        <v/>
      </c>
      <c r="ACL25" s="12">
        <f>ACH25+ACH24+ACH23+MAX(0,ACL24-ACH24-ACH23)*(1-ABZ25)</f>
        <v/>
      </c>
      <c r="ACM25" s="12">
        <f>ACM24+ACI25-ACI13*(AnnualChurn*VLOOKUP(ABV25,ChurnSeasonTable,4,FALSE))*POWER(1-(AnnualChurn*VLOOKUP(ABV25,ChurnSeasonTable,4,FALSE)),0)</f>
        <v/>
      </c>
      <c r="ACN25" s="12">
        <f>ACN24+ACJ25-ACJ13*(AnnualChurn*VLOOKUP(ABV25,ChurnSeasonTable,4,FALSE))*POWER(1-(AnnualChurn*VLOOKUP(ABV25,ChurnSeasonTable,4,FALSE)),0)</f>
        <v/>
      </c>
      <c r="ACO25" s="12">
        <f>ACK25+ACL25+ACM25+ACN25</f>
        <v/>
      </c>
      <c r="ACP25" s="9">
        <f>ACK25*PriceEssMonthly*ABY25+ACL25*PricePremMonthly*ABY25+ACM25*PriceEssAnnual*ABY25/12+ACN25*PricePremAnnual*ABY25/12</f>
        <v/>
      </c>
      <c r="ACQ25" s="9">
        <f>ACP25*12</f>
        <v/>
      </c>
      <c r="ACR25" s="12">
        <f>ACK25*PriceEssMonthly*ABY25+ACL25*PricePremMonthly*ABY25</f>
        <v/>
      </c>
      <c r="ACS25" s="12">
        <f>ACI25*PriceEssAnnual*ABY25+ACJ25*PricePremAnnual*ABY25</f>
        <v/>
      </c>
      <c r="ACT25" s="12">
        <f>ACI13*POWER(1-(AnnualChurn*VLOOKUP(ABV25,ChurnSeasonTable,4,FALSE)),1)*PriceEssAnnual*ABY25+ACJ13*POWER(1-(AnnualChurn*VLOOKUP(ABV25,ChurnSeasonTable,4,FALSE)),1)*PricePremAnnual*ABY25</f>
        <v/>
      </c>
      <c r="ACU25" s="9">
        <f>ACR25+ACS25+ACT25</f>
        <v/>
      </c>
      <c r="ACV25" s="12">
        <f>SUM(ACU14:ACU25)</f>
        <v/>
      </c>
      <c r="ACW25" s="12">
        <f>OR(ACW24,ACV25&gt;=VATThreshold)</f>
        <v/>
      </c>
      <c r="ACX25" s="9">
        <f>IF(ACW25,ACU25/(1+VATRate),ACU25)</f>
        <v/>
      </c>
      <c r="ACY25" s="12">
        <f>ACU25-ACX25</f>
        <v/>
      </c>
      <c r="ACZ25" s="12">
        <f>IF(ACW25=0,0,IF(ABV25=1,SUMPRODUCT(--(($ABW$5:$ABW25=$ABW25-1)*($ABV$5:$ABV25&gt;=10)*($ABV$5:$ABV25&lt;=12)),$ACY$5:$ACY25),IF(ABV25=4,SUMPRODUCT(--(($ABW$5:$ABW25=$ABW25)*($ABV$5:$ABV25&gt;=1)*($ABV$5:$ABV25&lt;=3)),$ACY$5:$ACY25),IF(ABV25=7,SUMPRODUCT(--(($ABW$5:$ABW25=$ABW25)*($ABV$5:$ABV25&gt;=4)*($ABV$5:$ABV25&lt;=6)),$ACY$5:$ACY25),IF(ABV25=10,SUMPRODUCT(--(($ABW$5:$ABW25=$ABW25)*($ABV$5:$ABV25&gt;=7)*($ABV$5:$ABV25&lt;=9)),$ACY$5:$ACY25),0)))))</f>
        <v/>
      </c>
      <c r="ADA25" s="12">
        <f>ADA24+ACY25-ACZ25</f>
        <v/>
      </c>
      <c r="ADB25" s="12">
        <f>IF(ProviderDelay&gt;=1,ACX24*ProviderShare,ACX25*ProviderShare)</f>
        <v/>
      </c>
      <c r="ADC25" s="12">
        <f>ACU25*PaymentFee</f>
        <v/>
      </c>
      <c r="ADD25" s="12">
        <f>ACO25*OpsAI</f>
        <v/>
      </c>
      <c r="ADE25" s="12">
        <f>MonthlyFixed</f>
        <v/>
      </c>
      <c r="ADF25" s="12">
        <f>ACC25*ReferralReward</f>
        <v/>
      </c>
      <c r="ADG25" s="12">
        <f>ACA25</f>
        <v/>
      </c>
      <c r="ADH25" s="9">
        <f>ACX25-ADB25-ADC25-ADD25-ADE25-ADF25-ADG25</f>
        <v/>
      </c>
      <c r="ADI25" s="9">
        <f>ADI24+ACU25-(ADB25+ADC25+ADD25+ADE25+ADF25+ADG25+ACZ25)</f>
        <v/>
      </c>
      <c r="ADJ25" s="12">
        <f>IF(ACO25&gt;0,ACP25/ACO25,0)</f>
        <v/>
      </c>
      <c r="ADK25" s="11">
        <f>IF(ACO24&gt;0,MAX(0,(ACO24+ACD25-ACO25)/ACO24),0)</f>
        <v/>
      </c>
      <c r="ADM25" s="12" t="n">
        <v>21</v>
      </c>
      <c r="ADN25" s="12">
        <f>MOD(ADM25-1+LaunchMonth-1,12)+1</f>
        <v/>
      </c>
      <c r="ADO25" s="12">
        <f>INT((ADM25-1+LaunchMonth-1)/12)+1</f>
        <v/>
      </c>
      <c r="ADP25" s="12">
        <f>VLOOKUP(ADN25,SeasonTable,2,FALSE)</f>
        <v/>
      </c>
      <c r="ADQ25" s="12">
        <f>(1+InflationRate)^INT((ADM25-1)/12)</f>
        <v/>
      </c>
      <c r="ADR25" s="11">
        <f>MonthlyChurn*VLOOKUP(ADN25,ChurnSeasonTable,4,FALSE)</f>
        <v/>
      </c>
      <c r="ADS25" s="12">
        <f>MIN(MAX(MktMin19plus,AEM24*MktPct19plus),MAX(0,AFA24-CashBuffer))</f>
        <v/>
      </c>
      <c r="ADT25" s="12">
        <f>IF(ADS25&gt;0,MAX(1,ROUND(ADS25/CAC*ADP25,0)),0)</f>
        <v/>
      </c>
      <c r="ADU25" s="12">
        <f>IF(ADT25&gt;0,ROUND(ADT25*ReferralMix/(1-ReferralMix),0),0)</f>
        <v/>
      </c>
      <c r="ADV25" s="12">
        <f>ADT25+ADU25</f>
        <v/>
      </c>
      <c r="ADW25" s="12">
        <f>ROUND(ADV25*(1-'Sens - Annual Mix'!$A$15),0)</f>
        <v/>
      </c>
      <c r="ADX25" s="12">
        <f>ADV25-ADW25</f>
        <v/>
      </c>
      <c r="ADY25" s="12">
        <f>ROUND(ADW25*EssentialMix,0)</f>
        <v/>
      </c>
      <c r="ADZ25" s="12">
        <f>ADW25-ADY25</f>
        <v/>
      </c>
      <c r="AEA25" s="12">
        <f>ROUND(ADX25*EssentialMix,0)</f>
        <v/>
      </c>
      <c r="AEB25" s="12">
        <f>ADX25-AEA25</f>
        <v/>
      </c>
      <c r="AEC25" s="12">
        <f>ADY25+ADY24+ADY23+MAX(0,AEC24-ADY24-ADY23)*(1-ADR25)</f>
        <v/>
      </c>
      <c r="AED25" s="12">
        <f>ADZ25+ADZ24+ADZ23+MAX(0,AED24-ADZ24-ADZ23)*(1-ADR25)</f>
        <v/>
      </c>
      <c r="AEE25" s="12">
        <f>AEE24+AEA25-AEA13*(AnnualChurn*VLOOKUP(ADN25,ChurnSeasonTable,4,FALSE))*POWER(1-(AnnualChurn*VLOOKUP(ADN25,ChurnSeasonTable,4,FALSE)),0)</f>
        <v/>
      </c>
      <c r="AEF25" s="12">
        <f>AEF24+AEB25-AEB13*(AnnualChurn*VLOOKUP(ADN25,ChurnSeasonTable,4,FALSE))*POWER(1-(AnnualChurn*VLOOKUP(ADN25,ChurnSeasonTable,4,FALSE)),0)</f>
        <v/>
      </c>
      <c r="AEG25" s="12">
        <f>AEC25+AED25+AEE25+AEF25</f>
        <v/>
      </c>
      <c r="AEH25" s="9">
        <f>AEC25*PriceEssMonthly*ADQ25+AED25*PricePremMonthly*ADQ25+AEE25*PriceEssAnnual*ADQ25/12+AEF25*PricePremAnnual*ADQ25/12</f>
        <v/>
      </c>
      <c r="AEI25" s="9">
        <f>AEH25*12</f>
        <v/>
      </c>
      <c r="AEJ25" s="12">
        <f>AEC25*PriceEssMonthly*ADQ25+AED25*PricePremMonthly*ADQ25</f>
        <v/>
      </c>
      <c r="AEK25" s="12">
        <f>AEA25*PriceEssAnnual*ADQ25+AEB25*PricePremAnnual*ADQ25</f>
        <v/>
      </c>
      <c r="AEL25" s="12">
        <f>AEA13*POWER(1-(AnnualChurn*VLOOKUP(ADN25,ChurnSeasonTable,4,FALSE)),1)*PriceEssAnnual*ADQ25+AEB13*POWER(1-(AnnualChurn*VLOOKUP(ADN25,ChurnSeasonTable,4,FALSE)),1)*PricePremAnnual*ADQ25</f>
        <v/>
      </c>
      <c r="AEM25" s="9">
        <f>AEJ25+AEK25+AEL25</f>
        <v/>
      </c>
      <c r="AEN25" s="12">
        <f>SUM(AEM14:AEM25)</f>
        <v/>
      </c>
      <c r="AEO25" s="12">
        <f>OR(AEO24,AEN25&gt;=VATThreshold)</f>
        <v/>
      </c>
      <c r="AEP25" s="9">
        <f>IF(AEO25,AEM25/(1+VATRate),AEM25)</f>
        <v/>
      </c>
      <c r="AEQ25" s="12">
        <f>AEM25-AEP25</f>
        <v/>
      </c>
      <c r="AER25" s="12">
        <f>IF(AEO25=0,0,IF(ADN25=1,SUMPRODUCT(--(($ADO$5:$ADO25=$ADO25-1)*($ADN$5:$ADN25&gt;=10)*($ADN$5:$ADN25&lt;=12)),$AEQ$5:$AEQ25),IF(ADN25=4,SUMPRODUCT(--(($ADO$5:$ADO25=$ADO25)*($ADN$5:$ADN25&gt;=1)*($ADN$5:$ADN25&lt;=3)),$AEQ$5:$AEQ25),IF(ADN25=7,SUMPRODUCT(--(($ADO$5:$ADO25=$ADO25)*($ADN$5:$ADN25&gt;=4)*($ADN$5:$ADN25&lt;=6)),$AEQ$5:$AEQ25),IF(ADN25=10,SUMPRODUCT(--(($ADO$5:$ADO25=$ADO25)*($ADN$5:$ADN25&gt;=7)*($ADN$5:$ADN25&lt;=9)),$AEQ$5:$AEQ25),0)))))</f>
        <v/>
      </c>
      <c r="AES25" s="12">
        <f>AES24+AEQ25-AER25</f>
        <v/>
      </c>
      <c r="AET25" s="12">
        <f>IF(ProviderDelay&gt;=1,AEP24*ProviderShare,AEP25*ProviderShare)</f>
        <v/>
      </c>
      <c r="AEU25" s="12">
        <f>AEM25*PaymentFee</f>
        <v/>
      </c>
      <c r="AEV25" s="12">
        <f>AEG25*OpsAI</f>
        <v/>
      </c>
      <c r="AEW25" s="12">
        <f>MonthlyFixed</f>
        <v/>
      </c>
      <c r="AEX25" s="12">
        <f>ADU25*ReferralReward</f>
        <v/>
      </c>
      <c r="AEY25" s="12">
        <f>ADS25</f>
        <v/>
      </c>
      <c r="AEZ25" s="9">
        <f>AEP25-AET25-AEU25-AEV25-AEW25-AEX25-AEY25</f>
        <v/>
      </c>
      <c r="AFA25" s="9">
        <f>AFA24+AEM25-(AET25+AEU25+AEV25+AEW25+AEX25+AEY25+AER25)</f>
        <v/>
      </c>
      <c r="AFB25" s="12">
        <f>IF(AEG25&gt;0,AEH25/AEG25,0)</f>
        <v/>
      </c>
      <c r="AFC25" s="11">
        <f>IF(AEG24&gt;0,MAX(0,(AEG24+ADV25-AEG25)/AEG24),0)</f>
        <v/>
      </c>
      <c r="AFE25" s="12" t="n">
        <v>21</v>
      </c>
      <c r="AFF25" s="12">
        <f>MOD(AFE25-1+LaunchMonth-1,12)+1</f>
        <v/>
      </c>
      <c r="AFG25" s="12">
        <f>INT((AFE25-1+LaunchMonth-1)/12)+1</f>
        <v/>
      </c>
      <c r="AFH25" s="12">
        <f>VLOOKUP(AFF25,SeasonTable,2,FALSE)</f>
        <v/>
      </c>
      <c r="AFI25" s="12">
        <f>(1+InflationRate)^INT((AFE25-1)/12)</f>
        <v/>
      </c>
      <c r="AFJ25" s="11">
        <f>MonthlyChurn*VLOOKUP(AFF25,ChurnSeasonTable,4,FALSE)</f>
        <v/>
      </c>
      <c r="AFK25" s="12">
        <f>MIN(MAX(MktMin19plus,AGE24*MktPct19plus),MAX(0,AGS24-CashBuffer))</f>
        <v/>
      </c>
      <c r="AFL25" s="12">
        <f>IF(AFK25&gt;0,MAX(1,ROUND(AFK25/'Sens - CAC &amp; Marketing'!$A$9*AFH25,0)),0)</f>
        <v/>
      </c>
      <c r="AFM25" s="12">
        <f>IF(AFL25&gt;0,ROUND(AFL25*ReferralMix/(1-ReferralMix),0),0)</f>
        <v/>
      </c>
      <c r="AFN25" s="12">
        <f>AFL25+AFM25</f>
        <v/>
      </c>
      <c r="AFO25" s="12">
        <f>ROUND(AFN25*(1-AnnualMix),0)</f>
        <v/>
      </c>
      <c r="AFP25" s="12">
        <f>AFN25-AFO25</f>
        <v/>
      </c>
      <c r="AFQ25" s="12">
        <f>ROUND(AFO25*EssentialMix,0)</f>
        <v/>
      </c>
      <c r="AFR25" s="12">
        <f>AFO25-AFQ25</f>
        <v/>
      </c>
      <c r="AFS25" s="12">
        <f>ROUND(AFP25*EssentialMix,0)</f>
        <v/>
      </c>
      <c r="AFT25" s="12">
        <f>AFP25-AFS25</f>
        <v/>
      </c>
      <c r="AFU25" s="12">
        <f>AFQ25+AFQ24+AFQ23+MAX(0,AFU24-AFQ24-AFQ23)*(1-AFJ25)</f>
        <v/>
      </c>
      <c r="AFV25" s="12">
        <f>AFR25+AFR24+AFR23+MAX(0,AFV24-AFR24-AFR23)*(1-AFJ25)</f>
        <v/>
      </c>
      <c r="AFW25" s="12">
        <f>AFW24+AFS25-AFS13*(AnnualChurn*VLOOKUP(AFF25,ChurnSeasonTable,4,FALSE))*POWER(1-(AnnualChurn*VLOOKUP(AFF25,ChurnSeasonTable,4,FALSE)),0)</f>
        <v/>
      </c>
      <c r="AFX25" s="12">
        <f>AFX24+AFT25-AFT13*(AnnualChurn*VLOOKUP(AFF25,ChurnSeasonTable,4,FALSE))*POWER(1-(AnnualChurn*VLOOKUP(AFF25,ChurnSeasonTable,4,FALSE)),0)</f>
        <v/>
      </c>
      <c r="AFY25" s="12">
        <f>AFU25+AFV25+AFW25+AFX25</f>
        <v/>
      </c>
      <c r="AFZ25" s="9">
        <f>AFU25*PriceEssMonthly*AFI25+AFV25*PricePremMonthly*AFI25+AFW25*PriceEssAnnual*AFI25/12+AFX25*PricePremAnnual*AFI25/12</f>
        <v/>
      </c>
      <c r="AGA25" s="9">
        <f>AFZ25*12</f>
        <v/>
      </c>
      <c r="AGB25" s="12">
        <f>AFU25*PriceEssMonthly*AFI25+AFV25*PricePremMonthly*AFI25</f>
        <v/>
      </c>
      <c r="AGC25" s="12">
        <f>AFS25*PriceEssAnnual*AFI25+AFT25*PricePremAnnual*AFI25</f>
        <v/>
      </c>
      <c r="AGD25" s="12">
        <f>AFS13*POWER(1-(AnnualChurn*VLOOKUP(AFF25,ChurnSeasonTable,4,FALSE)),1)*PriceEssAnnual*AFI25+AFT13*POWER(1-(AnnualChurn*VLOOKUP(AFF25,ChurnSeasonTable,4,FALSE)),1)*PricePremAnnual*AFI25</f>
        <v/>
      </c>
      <c r="AGE25" s="9">
        <f>AGB25+AGC25+AGD25</f>
        <v/>
      </c>
      <c r="AGF25" s="12">
        <f>SUM(AGE14:AGE25)</f>
        <v/>
      </c>
      <c r="AGG25" s="12">
        <f>OR(AGG24,AGF25&gt;=VATThreshold)</f>
        <v/>
      </c>
      <c r="AGH25" s="9">
        <f>IF(AGG25,AGE25/(1+VATRate),AGE25)</f>
        <v/>
      </c>
      <c r="AGI25" s="12">
        <f>AGE25-AGH25</f>
        <v/>
      </c>
      <c r="AGJ25" s="12">
        <f>IF(AGG25=0,0,IF(AFF25=1,SUMPRODUCT(--(($AFG$5:$AFG25=$AFG25-1)*($AFF$5:$AFF25&gt;=10)*($AFF$5:$AFF25&lt;=12)),$AGI$5:$AGI25),IF(AFF25=4,SUMPRODUCT(--(($AFG$5:$AFG25=$AFG25)*($AFF$5:$AFF25&gt;=1)*($AFF$5:$AFF25&lt;=3)),$AGI$5:$AGI25),IF(AFF25=7,SUMPRODUCT(--(($AFG$5:$AFG25=$AFG25)*($AFF$5:$AFF25&gt;=4)*($AFF$5:$AFF25&lt;=6)),$AGI$5:$AGI25),IF(AFF25=10,SUMPRODUCT(--(($AFG$5:$AFG25=$AFG25)*($AFF$5:$AFF25&gt;=7)*($AFF$5:$AFF25&lt;=9)),$AGI$5:$AGI25),0)))))</f>
        <v/>
      </c>
      <c r="AGK25" s="12">
        <f>AGK24+AGI25-AGJ25</f>
        <v/>
      </c>
      <c r="AGL25" s="12">
        <f>IF(ProviderDelay&gt;=1,AGH24*ProviderShare,AGH25*ProviderShare)</f>
        <v/>
      </c>
      <c r="AGM25" s="12">
        <f>AGE25*PaymentFee</f>
        <v/>
      </c>
      <c r="AGN25" s="12">
        <f>AFY25*OpsAI</f>
        <v/>
      </c>
      <c r="AGO25" s="12">
        <f>MonthlyFixed</f>
        <v/>
      </c>
      <c r="AGP25" s="12">
        <f>AFM25*ReferralReward</f>
        <v/>
      </c>
      <c r="AGQ25" s="12">
        <f>AFK25</f>
        <v/>
      </c>
      <c r="AGR25" s="9">
        <f>AGH25-AGL25-AGM25-AGN25-AGO25-AGP25-AGQ25</f>
        <v/>
      </c>
      <c r="AGS25" s="9">
        <f>AGS24+AGE25-(AGL25+AGM25+AGN25+AGO25+AGP25+AGQ25+AGJ25)</f>
        <v/>
      </c>
      <c r="AGT25" s="12">
        <f>IF(AFY25&gt;0,AFZ25/AFY25,0)</f>
        <v/>
      </c>
      <c r="AGU25" s="11">
        <f>IF(AFY24&gt;0,MAX(0,(AFY24+AFN25-AFY25)/AFY24),0)</f>
        <v/>
      </c>
      <c r="AGW25" s="12" t="n">
        <v>21</v>
      </c>
      <c r="AGX25" s="12">
        <f>MOD(AGW25-1+LaunchMonth-1,12)+1</f>
        <v/>
      </c>
      <c r="AGY25" s="12">
        <f>INT((AGW25-1+LaunchMonth-1)/12)+1</f>
        <v/>
      </c>
      <c r="AGZ25" s="12">
        <f>VLOOKUP(AGX25,SeasonTable,2,FALSE)</f>
        <v/>
      </c>
      <c r="AHA25" s="12">
        <f>(1+InflationRate)^INT((AGW25-1)/12)</f>
        <v/>
      </c>
      <c r="AHB25" s="11">
        <f>MonthlyChurn*VLOOKUP(AGX25,ChurnSeasonTable,4,FALSE)</f>
        <v/>
      </c>
      <c r="AHC25" s="12">
        <f>MIN(MAX(MktMin19plus,AHW24*MktPct19plus),MAX(0,AIK24-CashBuffer))</f>
        <v/>
      </c>
      <c r="AHD25" s="12">
        <f>IF(AHC25&gt;0,MAX(1,ROUND(AHC25/'Sens - CAC &amp; Marketing'!$A$10*AGZ25,0)),0)</f>
        <v/>
      </c>
      <c r="AHE25" s="12">
        <f>IF(AHD25&gt;0,ROUND(AHD25*ReferralMix/(1-ReferralMix),0),0)</f>
        <v/>
      </c>
      <c r="AHF25" s="12">
        <f>AHD25+AHE25</f>
        <v/>
      </c>
      <c r="AHG25" s="12">
        <f>ROUND(AHF25*(1-AnnualMix),0)</f>
        <v/>
      </c>
      <c r="AHH25" s="12">
        <f>AHF25-AHG25</f>
        <v/>
      </c>
      <c r="AHI25" s="12">
        <f>ROUND(AHG25*EssentialMix,0)</f>
        <v/>
      </c>
      <c r="AHJ25" s="12">
        <f>AHG25-AHI25</f>
        <v/>
      </c>
      <c r="AHK25" s="12">
        <f>ROUND(AHH25*EssentialMix,0)</f>
        <v/>
      </c>
      <c r="AHL25" s="12">
        <f>AHH25-AHK25</f>
        <v/>
      </c>
      <c r="AHM25" s="12">
        <f>AHI25+AHI24+AHI23+MAX(0,AHM24-AHI24-AHI23)*(1-AHB25)</f>
        <v/>
      </c>
      <c r="AHN25" s="12">
        <f>AHJ25+AHJ24+AHJ23+MAX(0,AHN24-AHJ24-AHJ23)*(1-AHB25)</f>
        <v/>
      </c>
      <c r="AHO25" s="12">
        <f>AHO24+AHK25-AHK13*(AnnualChurn*VLOOKUP(AGX25,ChurnSeasonTable,4,FALSE))*POWER(1-(AnnualChurn*VLOOKUP(AGX25,ChurnSeasonTable,4,FALSE)),0)</f>
        <v/>
      </c>
      <c r="AHP25" s="12">
        <f>AHP24+AHL25-AHL13*(AnnualChurn*VLOOKUP(AGX25,ChurnSeasonTable,4,FALSE))*POWER(1-(AnnualChurn*VLOOKUP(AGX25,ChurnSeasonTable,4,FALSE)),0)</f>
        <v/>
      </c>
      <c r="AHQ25" s="12">
        <f>AHM25+AHN25+AHO25+AHP25</f>
        <v/>
      </c>
      <c r="AHR25" s="9">
        <f>AHM25*PriceEssMonthly*AHA25+AHN25*PricePremMonthly*AHA25+AHO25*PriceEssAnnual*AHA25/12+AHP25*PricePremAnnual*AHA25/12</f>
        <v/>
      </c>
      <c r="AHS25" s="9">
        <f>AHR25*12</f>
        <v/>
      </c>
      <c r="AHT25" s="12">
        <f>AHM25*PriceEssMonthly*AHA25+AHN25*PricePremMonthly*AHA25</f>
        <v/>
      </c>
      <c r="AHU25" s="12">
        <f>AHK25*PriceEssAnnual*AHA25+AHL25*PricePremAnnual*AHA25</f>
        <v/>
      </c>
      <c r="AHV25" s="12">
        <f>AHK13*POWER(1-(AnnualChurn*VLOOKUP(AGX25,ChurnSeasonTable,4,FALSE)),1)*PriceEssAnnual*AHA25+AHL13*POWER(1-(AnnualChurn*VLOOKUP(AGX25,ChurnSeasonTable,4,FALSE)),1)*PricePremAnnual*AHA25</f>
        <v/>
      </c>
      <c r="AHW25" s="9">
        <f>AHT25+AHU25+AHV25</f>
        <v/>
      </c>
      <c r="AHX25" s="12">
        <f>SUM(AHW14:AHW25)</f>
        <v/>
      </c>
      <c r="AHY25" s="12">
        <f>OR(AHY24,AHX25&gt;=VATThreshold)</f>
        <v/>
      </c>
      <c r="AHZ25" s="9">
        <f>IF(AHY25,AHW25/(1+VATRate),AHW25)</f>
        <v/>
      </c>
      <c r="AIA25" s="12">
        <f>AHW25-AHZ25</f>
        <v/>
      </c>
      <c r="AIB25" s="12">
        <f>IF(AHY25=0,0,IF(AGX25=1,SUMPRODUCT(--(($AGY$5:$AGY25=$AGY25-1)*($AGX$5:$AGX25&gt;=10)*($AGX$5:$AGX25&lt;=12)),$AIA$5:$AIA25),IF(AGX25=4,SUMPRODUCT(--(($AGY$5:$AGY25=$AGY25)*($AGX$5:$AGX25&gt;=1)*($AGX$5:$AGX25&lt;=3)),$AIA$5:$AIA25),IF(AGX25=7,SUMPRODUCT(--(($AGY$5:$AGY25=$AGY25)*($AGX$5:$AGX25&gt;=4)*($AGX$5:$AGX25&lt;=6)),$AIA$5:$AIA25),IF(AGX25=10,SUMPRODUCT(--(($AGY$5:$AGY25=$AGY25)*($AGX$5:$AGX25&gt;=7)*($AGX$5:$AGX25&lt;=9)),$AIA$5:$AIA25),0)))))</f>
        <v/>
      </c>
      <c r="AIC25" s="12">
        <f>AIC24+AIA25-AIB25</f>
        <v/>
      </c>
      <c r="AID25" s="12">
        <f>IF(ProviderDelay&gt;=1,AHZ24*ProviderShare,AHZ25*ProviderShare)</f>
        <v/>
      </c>
      <c r="AIE25" s="12">
        <f>AHW25*PaymentFee</f>
        <v/>
      </c>
      <c r="AIF25" s="12">
        <f>AHQ25*OpsAI</f>
        <v/>
      </c>
      <c r="AIG25" s="12">
        <f>MonthlyFixed</f>
        <v/>
      </c>
      <c r="AIH25" s="12">
        <f>AHE25*ReferralReward</f>
        <v/>
      </c>
      <c r="AII25" s="12">
        <f>AHC25</f>
        <v/>
      </c>
      <c r="AIJ25" s="9">
        <f>AHZ25-AID25-AIE25-AIF25-AIG25-AIH25-AII25</f>
        <v/>
      </c>
      <c r="AIK25" s="9">
        <f>AIK24+AHW25-(AID25+AIE25+AIF25+AIG25+AIH25+AII25+AIB25)</f>
        <v/>
      </c>
      <c r="AIL25" s="12">
        <f>IF(AHQ25&gt;0,AHR25/AHQ25,0)</f>
        <v/>
      </c>
      <c r="AIM25" s="11">
        <f>IF(AHQ24&gt;0,MAX(0,(AHQ24+AHF25-AHQ25)/AHQ24),0)</f>
        <v/>
      </c>
      <c r="AIO25" s="12" t="n">
        <v>21</v>
      </c>
      <c r="AIP25" s="12">
        <f>MOD(AIO25-1+LaunchMonth-1,12)+1</f>
        <v/>
      </c>
      <c r="AIQ25" s="12">
        <f>INT((AIO25-1+LaunchMonth-1)/12)+1</f>
        <v/>
      </c>
      <c r="AIR25" s="12">
        <f>VLOOKUP(AIP25,SeasonTable,2,FALSE)</f>
        <v/>
      </c>
      <c r="AIS25" s="12">
        <f>(1+InflationRate)^INT((AIO25-1)/12)</f>
        <v/>
      </c>
      <c r="AIT25" s="11">
        <f>MonthlyChurn*VLOOKUP(AIP25,ChurnSeasonTable,4,FALSE)</f>
        <v/>
      </c>
      <c r="AIU25" s="12">
        <f>MIN(MAX(MktMin19plus,AJO24*MktPct19plus),MAX(0,AKC24-CashBuffer))</f>
        <v/>
      </c>
      <c r="AIV25" s="12">
        <f>IF(AIU25&gt;0,MAX(1,ROUND(AIU25/'Sens - CAC &amp; Marketing'!$A$11*AIR25,0)),0)</f>
        <v/>
      </c>
      <c r="AIW25" s="12">
        <f>IF(AIV25&gt;0,ROUND(AIV25*ReferralMix/(1-ReferralMix),0),0)</f>
        <v/>
      </c>
      <c r="AIX25" s="12">
        <f>AIV25+AIW25</f>
        <v/>
      </c>
      <c r="AIY25" s="12">
        <f>ROUND(AIX25*(1-AnnualMix),0)</f>
        <v/>
      </c>
      <c r="AIZ25" s="12">
        <f>AIX25-AIY25</f>
        <v/>
      </c>
      <c r="AJA25" s="12">
        <f>ROUND(AIY25*EssentialMix,0)</f>
        <v/>
      </c>
      <c r="AJB25" s="12">
        <f>AIY25-AJA25</f>
        <v/>
      </c>
      <c r="AJC25" s="12">
        <f>ROUND(AIZ25*EssentialMix,0)</f>
        <v/>
      </c>
      <c r="AJD25" s="12">
        <f>AIZ25-AJC25</f>
        <v/>
      </c>
      <c r="AJE25" s="12">
        <f>AJA25+AJA24+AJA23+MAX(0,AJE24-AJA24-AJA23)*(1-AIT25)</f>
        <v/>
      </c>
      <c r="AJF25" s="12">
        <f>AJB25+AJB24+AJB23+MAX(0,AJF24-AJB24-AJB23)*(1-AIT25)</f>
        <v/>
      </c>
      <c r="AJG25" s="12">
        <f>AJG24+AJC25-AJC13*(AnnualChurn*VLOOKUP(AIP25,ChurnSeasonTable,4,FALSE))*POWER(1-(AnnualChurn*VLOOKUP(AIP25,ChurnSeasonTable,4,FALSE)),0)</f>
        <v/>
      </c>
      <c r="AJH25" s="12">
        <f>AJH24+AJD25-AJD13*(AnnualChurn*VLOOKUP(AIP25,ChurnSeasonTable,4,FALSE))*POWER(1-(AnnualChurn*VLOOKUP(AIP25,ChurnSeasonTable,4,FALSE)),0)</f>
        <v/>
      </c>
      <c r="AJI25" s="12">
        <f>AJE25+AJF25+AJG25+AJH25</f>
        <v/>
      </c>
      <c r="AJJ25" s="9">
        <f>AJE25*PriceEssMonthly*AIS25+AJF25*PricePremMonthly*AIS25+AJG25*PriceEssAnnual*AIS25/12+AJH25*PricePremAnnual*AIS25/12</f>
        <v/>
      </c>
      <c r="AJK25" s="9">
        <f>AJJ25*12</f>
        <v/>
      </c>
      <c r="AJL25" s="12">
        <f>AJE25*PriceEssMonthly*AIS25+AJF25*PricePremMonthly*AIS25</f>
        <v/>
      </c>
      <c r="AJM25" s="12">
        <f>AJC25*PriceEssAnnual*AIS25+AJD25*PricePremAnnual*AIS25</f>
        <v/>
      </c>
      <c r="AJN25" s="12">
        <f>AJC13*POWER(1-(AnnualChurn*VLOOKUP(AIP25,ChurnSeasonTable,4,FALSE)),1)*PriceEssAnnual*AIS25+AJD13*POWER(1-(AnnualChurn*VLOOKUP(AIP25,ChurnSeasonTable,4,FALSE)),1)*PricePremAnnual*AIS25</f>
        <v/>
      </c>
      <c r="AJO25" s="9">
        <f>AJL25+AJM25+AJN25</f>
        <v/>
      </c>
      <c r="AJP25" s="12">
        <f>SUM(AJO14:AJO25)</f>
        <v/>
      </c>
      <c r="AJQ25" s="12">
        <f>OR(AJQ24,AJP25&gt;=VATThreshold)</f>
        <v/>
      </c>
      <c r="AJR25" s="9">
        <f>IF(AJQ25,AJO25/(1+VATRate),AJO25)</f>
        <v/>
      </c>
      <c r="AJS25" s="12">
        <f>AJO25-AJR25</f>
        <v/>
      </c>
      <c r="AJT25" s="12">
        <f>IF(AJQ25=0,0,IF(AIP25=1,SUMPRODUCT(--(($AIQ$5:$AIQ25=$AIQ25-1)*($AIP$5:$AIP25&gt;=10)*($AIP$5:$AIP25&lt;=12)),$AJS$5:$AJS25),IF(AIP25=4,SUMPRODUCT(--(($AIQ$5:$AIQ25=$AIQ25)*($AIP$5:$AIP25&gt;=1)*($AIP$5:$AIP25&lt;=3)),$AJS$5:$AJS25),IF(AIP25=7,SUMPRODUCT(--(($AIQ$5:$AIQ25=$AIQ25)*($AIP$5:$AIP25&gt;=4)*($AIP$5:$AIP25&lt;=6)),$AJS$5:$AJS25),IF(AIP25=10,SUMPRODUCT(--(($AIQ$5:$AIQ25=$AIQ25)*($AIP$5:$AIP25&gt;=7)*($AIP$5:$AIP25&lt;=9)),$AJS$5:$AJS25),0)))))</f>
        <v/>
      </c>
      <c r="AJU25" s="12">
        <f>AJU24+AJS25-AJT25</f>
        <v/>
      </c>
      <c r="AJV25" s="12">
        <f>IF(ProviderDelay&gt;=1,AJR24*ProviderShare,AJR25*ProviderShare)</f>
        <v/>
      </c>
      <c r="AJW25" s="12">
        <f>AJO25*PaymentFee</f>
        <v/>
      </c>
      <c r="AJX25" s="12">
        <f>AJI25*OpsAI</f>
        <v/>
      </c>
      <c r="AJY25" s="12">
        <f>MonthlyFixed</f>
        <v/>
      </c>
      <c r="AJZ25" s="12">
        <f>AIW25*ReferralReward</f>
        <v/>
      </c>
      <c r="AKA25" s="12">
        <f>AIU25</f>
        <v/>
      </c>
      <c r="AKB25" s="9">
        <f>AJR25-AJV25-AJW25-AJX25-AJY25-AJZ25-AKA25</f>
        <v/>
      </c>
      <c r="AKC25" s="9">
        <f>AKC24+AJO25-(AJV25+AJW25+AJX25+AJY25+AJZ25+AKA25+AJT25)</f>
        <v/>
      </c>
      <c r="AKD25" s="12">
        <f>IF(AJI25&gt;0,AJJ25/AJI25,0)</f>
        <v/>
      </c>
      <c r="AKE25" s="11">
        <f>IF(AJI24&gt;0,MAX(0,(AJI24+AIX25-AJI25)/AJI24),0)</f>
        <v/>
      </c>
      <c r="AKG25" s="12" t="n">
        <v>21</v>
      </c>
      <c r="AKH25" s="12">
        <f>MOD(AKG25-1+LaunchMonth-1,12)+1</f>
        <v/>
      </c>
      <c r="AKI25" s="12">
        <f>INT((AKG25-1+LaunchMonth-1)/12)+1</f>
        <v/>
      </c>
      <c r="AKJ25" s="12">
        <f>VLOOKUP(AKH25,SeasonTable,2,FALSE)</f>
        <v/>
      </c>
      <c r="AKK25" s="12">
        <f>(1+InflationRate)^INT((AKG25-1)/12)</f>
        <v/>
      </c>
      <c r="AKL25" s="11">
        <f>MonthlyChurn*VLOOKUP(AKH25,ChurnSeasonTable,4,FALSE)</f>
        <v/>
      </c>
      <c r="AKM25" s="12">
        <f>MIN(MAX(MktMin19plus,ALG24*MktPct19plus),MAX(0,ALU24-CashBuffer))</f>
        <v/>
      </c>
      <c r="AKN25" s="12">
        <f>IF(AKM25&gt;0,MAX(1,ROUND(AKM25/'Sens - CAC &amp; Marketing'!$A$12*AKJ25,0)),0)</f>
        <v/>
      </c>
      <c r="AKO25" s="12">
        <f>IF(AKN25&gt;0,ROUND(AKN25*ReferralMix/(1-ReferralMix),0),0)</f>
        <v/>
      </c>
      <c r="AKP25" s="12">
        <f>AKN25+AKO25</f>
        <v/>
      </c>
      <c r="AKQ25" s="12">
        <f>ROUND(AKP25*(1-AnnualMix),0)</f>
        <v/>
      </c>
      <c r="AKR25" s="12">
        <f>AKP25-AKQ25</f>
        <v/>
      </c>
      <c r="AKS25" s="12">
        <f>ROUND(AKQ25*EssentialMix,0)</f>
        <v/>
      </c>
      <c r="AKT25" s="12">
        <f>AKQ25-AKS25</f>
        <v/>
      </c>
      <c r="AKU25" s="12">
        <f>ROUND(AKR25*EssentialMix,0)</f>
        <v/>
      </c>
      <c r="AKV25" s="12">
        <f>AKR25-AKU25</f>
        <v/>
      </c>
      <c r="AKW25" s="12">
        <f>AKS25+AKS24+AKS23+MAX(0,AKW24-AKS24-AKS23)*(1-AKL25)</f>
        <v/>
      </c>
      <c r="AKX25" s="12">
        <f>AKT25+AKT24+AKT23+MAX(0,AKX24-AKT24-AKT23)*(1-AKL25)</f>
        <v/>
      </c>
      <c r="AKY25" s="12">
        <f>AKY24+AKU25-AKU13*(AnnualChurn*VLOOKUP(AKH25,ChurnSeasonTable,4,FALSE))*POWER(1-(AnnualChurn*VLOOKUP(AKH25,ChurnSeasonTable,4,FALSE)),0)</f>
        <v/>
      </c>
      <c r="AKZ25" s="12">
        <f>AKZ24+AKV25-AKV13*(AnnualChurn*VLOOKUP(AKH25,ChurnSeasonTable,4,FALSE))*POWER(1-(AnnualChurn*VLOOKUP(AKH25,ChurnSeasonTable,4,FALSE)),0)</f>
        <v/>
      </c>
      <c r="ALA25" s="12">
        <f>AKW25+AKX25+AKY25+AKZ25</f>
        <v/>
      </c>
      <c r="ALB25" s="9">
        <f>AKW25*PriceEssMonthly*AKK25+AKX25*PricePremMonthly*AKK25+AKY25*PriceEssAnnual*AKK25/12+AKZ25*PricePremAnnual*AKK25/12</f>
        <v/>
      </c>
      <c r="ALC25" s="9">
        <f>ALB25*12</f>
        <v/>
      </c>
      <c r="ALD25" s="12">
        <f>AKW25*PriceEssMonthly*AKK25+AKX25*PricePremMonthly*AKK25</f>
        <v/>
      </c>
      <c r="ALE25" s="12">
        <f>AKU25*PriceEssAnnual*AKK25+AKV25*PricePremAnnual*AKK25</f>
        <v/>
      </c>
      <c r="ALF25" s="12">
        <f>AKU13*POWER(1-(AnnualChurn*VLOOKUP(AKH25,ChurnSeasonTable,4,FALSE)),1)*PriceEssAnnual*AKK25+AKV13*POWER(1-(AnnualChurn*VLOOKUP(AKH25,ChurnSeasonTable,4,FALSE)),1)*PricePremAnnual*AKK25</f>
        <v/>
      </c>
      <c r="ALG25" s="9">
        <f>ALD25+ALE25+ALF25</f>
        <v/>
      </c>
      <c r="ALH25" s="12">
        <f>SUM(ALG14:ALG25)</f>
        <v/>
      </c>
      <c r="ALI25" s="12">
        <f>OR(ALI24,ALH25&gt;=VATThreshold)</f>
        <v/>
      </c>
      <c r="ALJ25" s="9">
        <f>IF(ALI25,ALG25/(1+VATRate),ALG25)</f>
        <v/>
      </c>
      <c r="ALK25" s="12">
        <f>ALG25-ALJ25</f>
        <v/>
      </c>
      <c r="ALL25" s="12">
        <f>IF(ALI25=0,0,IF(AKH25=1,SUMPRODUCT(--(($AKI$5:$AKI25=$AKI25-1)*($AKH$5:$AKH25&gt;=10)*($AKH$5:$AKH25&lt;=12)),$ALK$5:$ALK25),IF(AKH25=4,SUMPRODUCT(--(($AKI$5:$AKI25=$AKI25)*($AKH$5:$AKH25&gt;=1)*($AKH$5:$AKH25&lt;=3)),$ALK$5:$ALK25),IF(AKH25=7,SUMPRODUCT(--(($AKI$5:$AKI25=$AKI25)*($AKH$5:$AKH25&gt;=4)*($AKH$5:$AKH25&lt;=6)),$ALK$5:$ALK25),IF(AKH25=10,SUMPRODUCT(--(($AKI$5:$AKI25=$AKI25)*($AKH$5:$AKH25&gt;=7)*($AKH$5:$AKH25&lt;=9)),$ALK$5:$ALK25),0)))))</f>
        <v/>
      </c>
      <c r="ALM25" s="12">
        <f>ALM24+ALK25-ALL25</f>
        <v/>
      </c>
      <c r="ALN25" s="12">
        <f>IF(ProviderDelay&gt;=1,ALJ24*ProviderShare,ALJ25*ProviderShare)</f>
        <v/>
      </c>
      <c r="ALO25" s="12">
        <f>ALG25*PaymentFee</f>
        <v/>
      </c>
      <c r="ALP25" s="12">
        <f>ALA25*OpsAI</f>
        <v/>
      </c>
      <c r="ALQ25" s="12">
        <f>MonthlyFixed</f>
        <v/>
      </c>
      <c r="ALR25" s="12">
        <f>AKO25*ReferralReward</f>
        <v/>
      </c>
      <c r="ALS25" s="12">
        <f>AKM25</f>
        <v/>
      </c>
      <c r="ALT25" s="9">
        <f>ALJ25-ALN25-ALO25-ALP25-ALQ25-ALR25-ALS25</f>
        <v/>
      </c>
      <c r="ALU25" s="9">
        <f>ALU24+ALG25-(ALN25+ALO25+ALP25+ALQ25+ALR25+ALS25+ALL25)</f>
        <v/>
      </c>
      <c r="ALV25" s="12">
        <f>IF(ALA25&gt;0,ALB25/ALA25,0)</f>
        <v/>
      </c>
      <c r="ALW25" s="11">
        <f>IF(ALA24&gt;0,MAX(0,(ALA24+AKP25-ALA25)/ALA24),0)</f>
        <v/>
      </c>
      <c r="ALY25" s="12" t="n">
        <v>21</v>
      </c>
      <c r="ALZ25" s="12">
        <f>MOD(ALY25-1+LaunchMonth-1,12)+1</f>
        <v/>
      </c>
      <c r="AMA25" s="12">
        <f>INT((ALY25-1+LaunchMonth-1)/12)+1</f>
        <v/>
      </c>
      <c r="AMB25" s="12">
        <f>VLOOKUP(ALZ25,SeasonTable,2,FALSE)</f>
        <v/>
      </c>
      <c r="AMC25" s="12">
        <f>(1+InflationRate)^INT((ALY25-1)/12)</f>
        <v/>
      </c>
      <c r="AMD25" s="11">
        <f>MonthlyChurn*VLOOKUP(ALZ25,ChurnSeasonTable,4,FALSE)</f>
        <v/>
      </c>
      <c r="AME25" s="12">
        <f>MIN(MAX(MktMin19plus,AMY24*MktPct19plus),MAX(0,ANM24-CashBuffer))</f>
        <v/>
      </c>
      <c r="AMF25" s="12">
        <f>IF(AME25&gt;0,MAX(1,ROUND(AME25/'Sens - CAC &amp; Marketing'!$A$13*AMB25,0)),0)</f>
        <v/>
      </c>
      <c r="AMG25" s="12">
        <f>IF(AMF25&gt;0,ROUND(AMF25*ReferralMix/(1-ReferralMix),0),0)</f>
        <v/>
      </c>
      <c r="AMH25" s="12">
        <f>AMF25+AMG25</f>
        <v/>
      </c>
      <c r="AMI25" s="12">
        <f>ROUND(AMH25*(1-AnnualMix),0)</f>
        <v/>
      </c>
      <c r="AMJ25" s="12">
        <f>AMH25-AMI25</f>
        <v/>
      </c>
      <c r="AMK25" s="12">
        <f>ROUND(AMI25*EssentialMix,0)</f>
        <v/>
      </c>
      <c r="AML25" s="12">
        <f>AMI25-AMK25</f>
        <v/>
      </c>
      <c r="AMM25" s="12">
        <f>ROUND(AMJ25*EssentialMix,0)</f>
        <v/>
      </c>
      <c r="AMN25" s="12">
        <f>AMJ25-AMM25</f>
        <v/>
      </c>
      <c r="AMO25" s="12">
        <f>AMK25+AMK24+AMK23+MAX(0,AMO24-AMK24-AMK23)*(1-AMD25)</f>
        <v/>
      </c>
      <c r="AMP25" s="12">
        <f>AML25+AML24+AML23+MAX(0,AMP24-AML24-AML23)*(1-AMD25)</f>
        <v/>
      </c>
      <c r="AMQ25" s="12">
        <f>AMQ24+AMM25-AMM13*(AnnualChurn*VLOOKUP(ALZ25,ChurnSeasonTable,4,FALSE))*POWER(1-(AnnualChurn*VLOOKUP(ALZ25,ChurnSeasonTable,4,FALSE)),0)</f>
        <v/>
      </c>
      <c r="AMR25" s="12">
        <f>AMR24+AMN25-AMN13*(AnnualChurn*VLOOKUP(ALZ25,ChurnSeasonTable,4,FALSE))*POWER(1-(AnnualChurn*VLOOKUP(ALZ25,ChurnSeasonTable,4,FALSE)),0)</f>
        <v/>
      </c>
      <c r="AMS25" s="12">
        <f>AMO25+AMP25+AMQ25+AMR25</f>
        <v/>
      </c>
      <c r="AMT25" s="9">
        <f>AMO25*PriceEssMonthly*AMC25+AMP25*PricePremMonthly*AMC25+AMQ25*PriceEssAnnual*AMC25/12+AMR25*PricePremAnnual*AMC25/12</f>
        <v/>
      </c>
      <c r="AMU25" s="9">
        <f>AMT25*12</f>
        <v/>
      </c>
      <c r="AMV25" s="12">
        <f>AMO25*PriceEssMonthly*AMC25+AMP25*PricePremMonthly*AMC25</f>
        <v/>
      </c>
      <c r="AMW25" s="12">
        <f>AMM25*PriceEssAnnual*AMC25+AMN25*PricePremAnnual*AMC25</f>
        <v/>
      </c>
      <c r="AMX25" s="12">
        <f>AMM13*POWER(1-(AnnualChurn*VLOOKUP(ALZ25,ChurnSeasonTable,4,FALSE)),1)*PriceEssAnnual*AMC25+AMN13*POWER(1-(AnnualChurn*VLOOKUP(ALZ25,ChurnSeasonTable,4,FALSE)),1)*PricePremAnnual*AMC25</f>
        <v/>
      </c>
      <c r="AMY25" s="9">
        <f>AMV25+AMW25+AMX25</f>
        <v/>
      </c>
      <c r="AMZ25" s="12">
        <f>SUM(AMY14:AMY25)</f>
        <v/>
      </c>
      <c r="ANA25" s="12">
        <f>OR(ANA24,AMZ25&gt;=VATThreshold)</f>
        <v/>
      </c>
      <c r="ANB25" s="9">
        <f>IF(ANA25,AMY25/(1+VATRate),AMY25)</f>
        <v/>
      </c>
      <c r="ANC25" s="12">
        <f>AMY25-ANB25</f>
        <v/>
      </c>
      <c r="AND25" s="12">
        <f>IF(ANA25=0,0,IF(ALZ25=1,SUMPRODUCT(--(($AMA$5:$AMA25=$AMA25-1)*($ALZ$5:$ALZ25&gt;=10)*($ALZ$5:$ALZ25&lt;=12)),$ANC$5:$ANC25),IF(ALZ25=4,SUMPRODUCT(--(($AMA$5:$AMA25=$AMA25)*($ALZ$5:$ALZ25&gt;=1)*($ALZ$5:$ALZ25&lt;=3)),$ANC$5:$ANC25),IF(ALZ25=7,SUMPRODUCT(--(($AMA$5:$AMA25=$AMA25)*($ALZ$5:$ALZ25&gt;=4)*($ALZ$5:$ALZ25&lt;=6)),$ANC$5:$ANC25),IF(ALZ25=10,SUMPRODUCT(--(($AMA$5:$AMA25=$AMA25)*($ALZ$5:$ALZ25&gt;=7)*($ALZ$5:$ALZ25&lt;=9)),$ANC$5:$ANC25),0)))))</f>
        <v/>
      </c>
      <c r="ANE25" s="12">
        <f>ANE24+ANC25-AND25</f>
        <v/>
      </c>
      <c r="ANF25" s="12">
        <f>IF(ProviderDelay&gt;=1,ANB24*ProviderShare,ANB25*ProviderShare)</f>
        <v/>
      </c>
      <c r="ANG25" s="12">
        <f>AMY25*PaymentFee</f>
        <v/>
      </c>
      <c r="ANH25" s="12">
        <f>AMS25*OpsAI</f>
        <v/>
      </c>
      <c r="ANI25" s="12">
        <f>MonthlyFixed</f>
        <v/>
      </c>
      <c r="ANJ25" s="12">
        <f>AMG25*ReferralReward</f>
        <v/>
      </c>
      <c r="ANK25" s="12">
        <f>AME25</f>
        <v/>
      </c>
      <c r="ANL25" s="9">
        <f>ANB25-ANF25-ANG25-ANH25-ANI25-ANJ25-ANK25</f>
        <v/>
      </c>
      <c r="ANM25" s="9">
        <f>ANM24+AMY25-(ANF25+ANG25+ANH25+ANI25+ANJ25+ANK25+AND25)</f>
        <v/>
      </c>
      <c r="ANN25" s="12">
        <f>IF(AMS25&gt;0,AMT25/AMS25,0)</f>
        <v/>
      </c>
      <c r="ANO25" s="11">
        <f>IF(AMS24&gt;0,MAX(0,(AMS24+AMH25-AMS25)/AMS24),0)</f>
        <v/>
      </c>
      <c r="ANQ25" s="12" t="n">
        <v>21</v>
      </c>
      <c r="ANR25" s="12">
        <f>MOD(ANQ25-1+LaunchMonth-1,12)+1</f>
        <v/>
      </c>
      <c r="ANS25" s="12">
        <f>INT((ANQ25-1+LaunchMonth-1)/12)+1</f>
        <v/>
      </c>
      <c r="ANT25" s="12">
        <f>VLOOKUP(ANR25,SeasonTable,2,FALSE)</f>
        <v/>
      </c>
      <c r="ANU25" s="12">
        <f>(1+InflationRate)^INT((ANQ25-1)/12)</f>
        <v/>
      </c>
      <c r="ANV25" s="11">
        <f>MonthlyChurn*VLOOKUP(ANR25,ChurnSeasonTable,4,FALSE)</f>
        <v/>
      </c>
      <c r="ANW25" s="12">
        <f>MIN(MAX(MktMin19plus,AOQ24*MktPct19plus),MAX(0,APE24-CashBuffer))</f>
        <v/>
      </c>
      <c r="ANX25" s="12">
        <f>IF(ANW25&gt;0,MAX(1,ROUND(ANW25/'Sens - CAC &amp; Marketing'!$A$14*ANT25,0)),0)</f>
        <v/>
      </c>
      <c r="ANY25" s="12">
        <f>IF(ANX25&gt;0,ROUND(ANX25*ReferralMix/(1-ReferralMix),0),0)</f>
        <v/>
      </c>
      <c r="ANZ25" s="12">
        <f>ANX25+ANY25</f>
        <v/>
      </c>
      <c r="AOA25" s="12">
        <f>ROUND(ANZ25*(1-AnnualMix),0)</f>
        <v/>
      </c>
      <c r="AOB25" s="12">
        <f>ANZ25-AOA25</f>
        <v/>
      </c>
      <c r="AOC25" s="12">
        <f>ROUND(AOA25*EssentialMix,0)</f>
        <v/>
      </c>
      <c r="AOD25" s="12">
        <f>AOA25-AOC25</f>
        <v/>
      </c>
      <c r="AOE25" s="12">
        <f>ROUND(AOB25*EssentialMix,0)</f>
        <v/>
      </c>
      <c r="AOF25" s="12">
        <f>AOB25-AOE25</f>
        <v/>
      </c>
      <c r="AOG25" s="12">
        <f>AOC25+AOC24+AOC23+MAX(0,AOG24-AOC24-AOC23)*(1-ANV25)</f>
        <v/>
      </c>
      <c r="AOH25" s="12">
        <f>AOD25+AOD24+AOD23+MAX(0,AOH24-AOD24-AOD23)*(1-ANV25)</f>
        <v/>
      </c>
      <c r="AOI25" s="12">
        <f>AOI24+AOE25-AOE13*(AnnualChurn*VLOOKUP(ANR25,ChurnSeasonTable,4,FALSE))*POWER(1-(AnnualChurn*VLOOKUP(ANR25,ChurnSeasonTable,4,FALSE)),0)</f>
        <v/>
      </c>
      <c r="AOJ25" s="12">
        <f>AOJ24+AOF25-AOF13*(AnnualChurn*VLOOKUP(ANR25,ChurnSeasonTable,4,FALSE))*POWER(1-(AnnualChurn*VLOOKUP(ANR25,ChurnSeasonTable,4,FALSE)),0)</f>
        <v/>
      </c>
      <c r="AOK25" s="12">
        <f>AOG25+AOH25+AOI25+AOJ25</f>
        <v/>
      </c>
      <c r="AOL25" s="9">
        <f>AOG25*PriceEssMonthly*ANU25+AOH25*PricePremMonthly*ANU25+AOI25*PriceEssAnnual*ANU25/12+AOJ25*PricePremAnnual*ANU25/12</f>
        <v/>
      </c>
      <c r="AOM25" s="9">
        <f>AOL25*12</f>
        <v/>
      </c>
      <c r="AON25" s="12">
        <f>AOG25*PriceEssMonthly*ANU25+AOH25*PricePremMonthly*ANU25</f>
        <v/>
      </c>
      <c r="AOO25" s="12">
        <f>AOE25*PriceEssAnnual*ANU25+AOF25*PricePremAnnual*ANU25</f>
        <v/>
      </c>
      <c r="AOP25" s="12">
        <f>AOE13*POWER(1-(AnnualChurn*VLOOKUP(ANR25,ChurnSeasonTable,4,FALSE)),1)*PriceEssAnnual*ANU25+AOF13*POWER(1-(AnnualChurn*VLOOKUP(ANR25,ChurnSeasonTable,4,FALSE)),1)*PricePremAnnual*ANU25</f>
        <v/>
      </c>
      <c r="AOQ25" s="9">
        <f>AON25+AOO25+AOP25</f>
        <v/>
      </c>
      <c r="AOR25" s="12">
        <f>SUM(AOQ14:AOQ25)</f>
        <v/>
      </c>
      <c r="AOS25" s="12">
        <f>OR(AOS24,AOR25&gt;=VATThreshold)</f>
        <v/>
      </c>
      <c r="AOT25" s="9">
        <f>IF(AOS25,AOQ25/(1+VATRate),AOQ25)</f>
        <v/>
      </c>
      <c r="AOU25" s="12">
        <f>AOQ25-AOT25</f>
        <v/>
      </c>
      <c r="AOV25" s="12">
        <f>IF(AOS25=0,0,IF(ANR25=1,SUMPRODUCT(--(($ANS$5:$ANS25=$ANS25-1)*($ANR$5:$ANR25&gt;=10)*($ANR$5:$ANR25&lt;=12)),$AOU$5:$AOU25),IF(ANR25=4,SUMPRODUCT(--(($ANS$5:$ANS25=$ANS25)*($ANR$5:$ANR25&gt;=1)*($ANR$5:$ANR25&lt;=3)),$AOU$5:$AOU25),IF(ANR25=7,SUMPRODUCT(--(($ANS$5:$ANS25=$ANS25)*($ANR$5:$ANR25&gt;=4)*($ANR$5:$ANR25&lt;=6)),$AOU$5:$AOU25),IF(ANR25=10,SUMPRODUCT(--(($ANS$5:$ANS25=$ANS25)*($ANR$5:$ANR25&gt;=7)*($ANR$5:$ANR25&lt;=9)),$AOU$5:$AOU25),0)))))</f>
        <v/>
      </c>
      <c r="AOW25" s="12">
        <f>AOW24+AOU25-AOV25</f>
        <v/>
      </c>
      <c r="AOX25" s="12">
        <f>IF(ProviderDelay&gt;=1,AOT24*ProviderShare,AOT25*ProviderShare)</f>
        <v/>
      </c>
      <c r="AOY25" s="12">
        <f>AOQ25*PaymentFee</f>
        <v/>
      </c>
      <c r="AOZ25" s="12">
        <f>AOK25*OpsAI</f>
        <v/>
      </c>
      <c r="APA25" s="12">
        <f>MonthlyFixed</f>
        <v/>
      </c>
      <c r="APB25" s="12">
        <f>ANY25*ReferralReward</f>
        <v/>
      </c>
      <c r="APC25" s="12">
        <f>ANW25</f>
        <v/>
      </c>
      <c r="APD25" s="9">
        <f>AOT25-AOX25-AOY25-AOZ25-APA25-APB25-APC25</f>
        <v/>
      </c>
      <c r="APE25" s="9">
        <f>APE24+AOQ25-(AOX25+AOY25+AOZ25+APA25+APB25+APC25+AOV25)</f>
        <v/>
      </c>
      <c r="APF25" s="12">
        <f>IF(AOK25&gt;0,AOL25/AOK25,0)</f>
        <v/>
      </c>
      <c r="APG25" s="11">
        <f>IF(AOK24&gt;0,MAX(0,(AOK24+ANZ25-AOK25)/AOK24),0)</f>
        <v/>
      </c>
      <c r="API25" s="12" t="n">
        <v>21</v>
      </c>
      <c r="APJ25" s="12">
        <f>MOD(API25-1+LaunchMonth-1,12)+1</f>
        <v/>
      </c>
      <c r="APK25" s="12">
        <f>INT((API25-1+LaunchMonth-1)/12)+1</f>
        <v/>
      </c>
      <c r="APL25" s="12">
        <f>VLOOKUP(APJ25,SeasonTable,2,FALSE)</f>
        <v/>
      </c>
      <c r="APM25" s="12">
        <f>(1+InflationRate)^INT((API25-1)/12)</f>
        <v/>
      </c>
      <c r="APN25" s="11">
        <f>MonthlyChurn*VLOOKUP(APJ25,ChurnSeasonTable,4,FALSE)</f>
        <v/>
      </c>
      <c r="APO25" s="12">
        <f>MIN(MAX(MktMin19plus,AQI24*MktPct19plus),MAX(0,AQW24-CashBuffer))</f>
        <v/>
      </c>
      <c r="APP25" s="12">
        <f>IF(APO25&gt;0,MAX(1,ROUND(APO25/'Sens - CAC &amp; Marketing'!$A$15*APL25,0)),0)</f>
        <v/>
      </c>
      <c r="APQ25" s="12">
        <f>IF(APP25&gt;0,ROUND(APP25*ReferralMix/(1-ReferralMix),0),0)</f>
        <v/>
      </c>
      <c r="APR25" s="12">
        <f>APP25+APQ25</f>
        <v/>
      </c>
      <c r="APS25" s="12">
        <f>ROUND(APR25*(1-AnnualMix),0)</f>
        <v/>
      </c>
      <c r="APT25" s="12">
        <f>APR25-APS25</f>
        <v/>
      </c>
      <c r="APU25" s="12">
        <f>ROUND(APS25*EssentialMix,0)</f>
        <v/>
      </c>
      <c r="APV25" s="12">
        <f>APS25-APU25</f>
        <v/>
      </c>
      <c r="APW25" s="12">
        <f>ROUND(APT25*EssentialMix,0)</f>
        <v/>
      </c>
      <c r="APX25" s="12">
        <f>APT25-APW25</f>
        <v/>
      </c>
      <c r="APY25" s="12">
        <f>APU25+APU24+APU23+MAX(0,APY24-APU24-APU23)*(1-APN25)</f>
        <v/>
      </c>
      <c r="APZ25" s="12">
        <f>APV25+APV24+APV23+MAX(0,APZ24-APV24-APV23)*(1-APN25)</f>
        <v/>
      </c>
      <c r="AQA25" s="12">
        <f>AQA24+APW25-APW13*(AnnualChurn*VLOOKUP(APJ25,ChurnSeasonTable,4,FALSE))*POWER(1-(AnnualChurn*VLOOKUP(APJ25,ChurnSeasonTable,4,FALSE)),0)</f>
        <v/>
      </c>
      <c r="AQB25" s="12">
        <f>AQB24+APX25-APX13*(AnnualChurn*VLOOKUP(APJ25,ChurnSeasonTable,4,FALSE))*POWER(1-(AnnualChurn*VLOOKUP(APJ25,ChurnSeasonTable,4,FALSE)),0)</f>
        <v/>
      </c>
      <c r="AQC25" s="12">
        <f>APY25+APZ25+AQA25+AQB25</f>
        <v/>
      </c>
      <c r="AQD25" s="9">
        <f>APY25*PriceEssMonthly*APM25+APZ25*PricePremMonthly*APM25+AQA25*PriceEssAnnual*APM25/12+AQB25*PricePremAnnual*APM25/12</f>
        <v/>
      </c>
      <c r="AQE25" s="9">
        <f>AQD25*12</f>
        <v/>
      </c>
      <c r="AQF25" s="12">
        <f>APY25*PriceEssMonthly*APM25+APZ25*PricePremMonthly*APM25</f>
        <v/>
      </c>
      <c r="AQG25" s="12">
        <f>APW25*PriceEssAnnual*APM25+APX25*PricePremAnnual*APM25</f>
        <v/>
      </c>
      <c r="AQH25" s="12">
        <f>APW13*POWER(1-(AnnualChurn*VLOOKUP(APJ25,ChurnSeasonTable,4,FALSE)),1)*PriceEssAnnual*APM25+APX13*POWER(1-(AnnualChurn*VLOOKUP(APJ25,ChurnSeasonTable,4,FALSE)),1)*PricePremAnnual*APM25</f>
        <v/>
      </c>
      <c r="AQI25" s="9">
        <f>AQF25+AQG25+AQH25</f>
        <v/>
      </c>
      <c r="AQJ25" s="12">
        <f>SUM(AQI14:AQI25)</f>
        <v/>
      </c>
      <c r="AQK25" s="12">
        <f>OR(AQK24,AQJ25&gt;=VATThreshold)</f>
        <v/>
      </c>
      <c r="AQL25" s="9">
        <f>IF(AQK25,AQI25/(1+VATRate),AQI25)</f>
        <v/>
      </c>
      <c r="AQM25" s="12">
        <f>AQI25-AQL25</f>
        <v/>
      </c>
      <c r="AQN25" s="12">
        <f>IF(AQK25=0,0,IF(APJ25=1,SUMPRODUCT(--(($APK$5:$APK25=$APK25-1)*($APJ$5:$APJ25&gt;=10)*($APJ$5:$APJ25&lt;=12)),$AQM$5:$AQM25),IF(APJ25=4,SUMPRODUCT(--(($APK$5:$APK25=$APK25)*($APJ$5:$APJ25&gt;=1)*($APJ$5:$APJ25&lt;=3)),$AQM$5:$AQM25),IF(APJ25=7,SUMPRODUCT(--(($APK$5:$APK25=$APK25)*($APJ$5:$APJ25&gt;=4)*($APJ$5:$APJ25&lt;=6)),$AQM$5:$AQM25),IF(APJ25=10,SUMPRODUCT(--(($APK$5:$APK25=$APK25)*($APJ$5:$APJ25&gt;=7)*($APJ$5:$APJ25&lt;=9)),$AQM$5:$AQM25),0)))))</f>
        <v/>
      </c>
      <c r="AQO25" s="12">
        <f>AQO24+AQM25-AQN25</f>
        <v/>
      </c>
      <c r="AQP25" s="12">
        <f>IF(ProviderDelay&gt;=1,AQL24*ProviderShare,AQL25*ProviderShare)</f>
        <v/>
      </c>
      <c r="AQQ25" s="12">
        <f>AQI25*PaymentFee</f>
        <v/>
      </c>
      <c r="AQR25" s="12">
        <f>AQC25*OpsAI</f>
        <v/>
      </c>
      <c r="AQS25" s="12">
        <f>MonthlyFixed</f>
        <v/>
      </c>
      <c r="AQT25" s="12">
        <f>APQ25*ReferralReward</f>
        <v/>
      </c>
      <c r="AQU25" s="12">
        <f>APO25</f>
        <v/>
      </c>
      <c r="AQV25" s="9">
        <f>AQL25-AQP25-AQQ25-AQR25-AQS25-AQT25-AQU25</f>
        <v/>
      </c>
      <c r="AQW25" s="9">
        <f>AQW24+AQI25-(AQP25+AQQ25+AQR25+AQS25+AQT25+AQU25+AQN25)</f>
        <v/>
      </c>
      <c r="AQX25" s="12">
        <f>IF(AQC25&gt;0,AQD25/AQC25,0)</f>
        <v/>
      </c>
      <c r="AQY25" s="11">
        <f>IF(AQC24&gt;0,MAX(0,(AQC24+APR25-AQC25)/AQC24),0)</f>
        <v/>
      </c>
      <c r="ARA25" s="12" t="n">
        <v>21</v>
      </c>
      <c r="ARB25" s="12">
        <f>MOD(ARA25-1+LaunchMonth-1,12)+1</f>
        <v/>
      </c>
      <c r="ARC25" s="12">
        <f>INT((ARA25-1+LaunchMonth-1)/12)+1</f>
        <v/>
      </c>
      <c r="ARD25" s="12">
        <f>VLOOKUP(ARB25,WinterPivotSeasonTable,5,FALSE)</f>
        <v/>
      </c>
      <c r="ARE25" s="12">
        <f>(1+InflationRate)^INT((ARA25-1)/12)</f>
        <v/>
      </c>
      <c r="ARF25" s="11">
        <f>MonthlyChurn*VLOOKUP(ARB25,WinterPivotChurnTable,6,FALSE)</f>
        <v/>
      </c>
      <c r="ARG25" s="12">
        <f>MIN(MAX(MktMin19plus,ASA24*MktPct19plus),MAX(0,ASO24-CashBuffer))</f>
        <v/>
      </c>
      <c r="ARH25" s="12">
        <f>IF(ARG25&gt;0,MAX(1,ROUND(ARG25/CAC*ARD25,0)),0)</f>
        <v/>
      </c>
      <c r="ARI25" s="12">
        <f>IF(ARH25&gt;0,ROUND(ARH25*ReferralMix/(1-ReferralMix),0),0)</f>
        <v/>
      </c>
      <c r="ARJ25" s="12">
        <f>ARH25+ARI25</f>
        <v/>
      </c>
      <c r="ARK25" s="12">
        <f>ROUND(ARJ25*(1-AnnualMix),0)</f>
        <v/>
      </c>
      <c r="ARL25" s="12">
        <f>ARJ25-ARK25</f>
        <v/>
      </c>
      <c r="ARM25" s="12">
        <f>ROUND(ARK25*'Sens - Winter Pivot'!$B$6,0)</f>
        <v/>
      </c>
      <c r="ARN25" s="12">
        <f>ARK25-ARM25</f>
        <v/>
      </c>
      <c r="ARO25" s="12">
        <f>ROUND(ARL25*'Sens - Winter Pivot'!$B$6,0)</f>
        <v/>
      </c>
      <c r="ARP25" s="12">
        <f>ARL25-ARO25</f>
        <v/>
      </c>
      <c r="ARQ25" s="12">
        <f>ARM25+ARM24+ARM23+MAX(0,ARQ24-ARM24-ARM23)*(1-ARF25)</f>
        <v/>
      </c>
      <c r="ARR25" s="12">
        <f>ARN25+ARN24+ARN23+MAX(0,ARR24-ARN24-ARN23)*(1-ARF25)</f>
        <v/>
      </c>
      <c r="ARS25" s="12">
        <f>ARS24+ARO25-ARO13*(AnnualChurn*VLOOKUP(ARB25,WinterPivotChurnTable,6,FALSE))*POWER(1-(AnnualChurn*VLOOKUP(ARB25,WinterPivotChurnTable,6,FALSE)),0)</f>
        <v/>
      </c>
      <c r="ART25" s="12">
        <f>ART24+ARP25-ARP13*(AnnualChurn*VLOOKUP(ARB25,WinterPivotChurnTable,6,FALSE))*POWER(1-(AnnualChurn*VLOOKUP(ARB25,WinterPivotChurnTable,6,FALSE)),0)</f>
        <v/>
      </c>
      <c r="ARU25" s="12">
        <f>ARQ25+ARR25+ARS25+ART25</f>
        <v/>
      </c>
      <c r="ARV25" s="9">
        <f>ARQ25*PriceEssMonthly*ARE25+ARR25*(PricePremMonthly+'Sens - Winter Pivot'!$B$7)*ARE25+ARS25*PriceEssAnnual*ARE25/12+ART25*(PricePremAnnual+'Sens - Winter Pivot'!$B$7*12)*ARE25/12</f>
        <v/>
      </c>
      <c r="ARW25" s="9">
        <f>ARV25*12</f>
        <v/>
      </c>
      <c r="ARX25" s="12">
        <f>ARQ25*PriceEssMonthly*ARE25+ARR25*(PricePremMonthly+'Sens - Winter Pivot'!$B$7)*ARE25</f>
        <v/>
      </c>
      <c r="ARY25" s="12">
        <f>ARO25*PriceEssAnnual*ARE25+ARP25*(PricePremAnnual+'Sens - Winter Pivot'!$B$7*12)*ARE25</f>
        <v/>
      </c>
      <c r="ARZ25" s="12">
        <f>ARO13*POWER(1-(AnnualChurn*VLOOKUP(ARB25,WinterPivotChurnTable,6,FALSE)),1)*PriceEssAnnual*ARE25+ARP13*POWER(1-(AnnualChurn*VLOOKUP(ARB25,WinterPivotChurnTable,6,FALSE)),1)*PricePremAnnual*ARE25</f>
        <v/>
      </c>
      <c r="ASA25" s="9">
        <f>ARX25+ARY25+ARZ25</f>
        <v/>
      </c>
      <c r="ASB25" s="12">
        <f>SUM(ASA14:ASA25)</f>
        <v/>
      </c>
      <c r="ASC25" s="12">
        <f>OR(ASC24,ASB25&gt;=VATThreshold)</f>
        <v/>
      </c>
      <c r="ASD25" s="9">
        <f>IF(ASC25,ASA25/(1+VATRate),ASA25)</f>
        <v/>
      </c>
      <c r="ASE25" s="12">
        <f>ASA25-ASD25</f>
        <v/>
      </c>
      <c r="ASF25" s="12">
        <f>IF(ASC25=0,0,IF(ARB25=1,SUMPRODUCT(--(($ARC$5:$ARC25=$ARC25-1)*($ARB$5:$ARB25&gt;=10)*($ARB$5:$ARB25&lt;=12)),$ASE$5:$ASE25),IF(ARB25=4,SUMPRODUCT(--(($ARC$5:$ARC25=$ARC25)*($ARB$5:$ARB25&gt;=1)*($ARB$5:$ARB25&lt;=3)),$ASE$5:$ASE25),IF(ARB25=7,SUMPRODUCT(--(($ARC$5:$ARC25=$ARC25)*($ARB$5:$ARB25&gt;=4)*($ARB$5:$ARB25&lt;=6)),$ASE$5:$ASE25),IF(ARB25=10,SUMPRODUCT(--(($ARC$5:$ARC25=$ARC25)*($ARB$5:$ARB25&gt;=7)*($ARB$5:$ARB25&lt;=9)),$ASE$5:$ASE25),0)))))</f>
        <v/>
      </c>
      <c r="ASG25" s="12">
        <f>ASG24+ASE25-ASF25</f>
        <v/>
      </c>
      <c r="ASH25" s="12">
        <f>IF(ProviderDelay&gt;=1,ASD24*ProviderShare,ASD25*ProviderShare)</f>
        <v/>
      </c>
      <c r="ASI25" s="12">
        <f>ASA25*PaymentFee</f>
        <v/>
      </c>
      <c r="ASJ25" s="12">
        <f>ARU25*OpsAI</f>
        <v/>
      </c>
      <c r="ASK25" s="12">
        <f>MonthlyFixed</f>
        <v/>
      </c>
      <c r="ASL25" s="12">
        <f>ARI25*ReferralReward</f>
        <v/>
      </c>
      <c r="ASM25" s="12">
        <f>ARG25</f>
        <v/>
      </c>
      <c r="ASN25" s="9">
        <f>ASD25-ASH25-ASI25-ASJ25-ASK25-ASL25-ASM25</f>
        <v/>
      </c>
      <c r="ASO25" s="9">
        <f>ASO24+ASA25-(ASH25+ASI25+ASJ25+ASK25+ASL25+ASM25+ASF25)</f>
        <v/>
      </c>
      <c r="ASP25" s="12">
        <f>IF(ARU25&gt;0,ARV25/ARU25,0)</f>
        <v/>
      </c>
      <c r="ASQ25" s="11">
        <f>IF(ARU24&gt;0,MAX(0,(ARU24+ARJ25-ARU25)/ARU24),0)</f>
        <v/>
      </c>
    </row>
    <row r="26">
      <c r="A26" s="12" t="n">
        <v>22</v>
      </c>
      <c r="B26" s="12">
        <f>MOD(A26-1+LaunchMonth-1,12)+1</f>
        <v/>
      </c>
      <c r="C26" s="12">
        <f>INT((A26-1+LaunchMonth-1)/12)+1</f>
        <v/>
      </c>
      <c r="D26" s="12">
        <f>VLOOKUP(B26,SeasonTable,2,FALSE)</f>
        <v/>
      </c>
      <c r="E26" s="12">
        <f>(1+InflationRate)^INT((A26-1)/12)</f>
        <v/>
      </c>
      <c r="F26" s="11">
        <f>'Sens - Scenarios'!$B$5*VLOOKUP(B26,ChurnSeasonTable,4,FALSE)</f>
        <v/>
      </c>
      <c r="G26" s="12">
        <f>MIN(MAX(MktMin19plus,AA25*MktPct19plus),MAX(0,AO25-CashBuffer))</f>
        <v/>
      </c>
      <c r="H26" s="12">
        <f>IF(G26&gt;0,MAX(1,ROUND(G26/'Sens - Scenarios'!$B$8*D26,0)),0)</f>
        <v/>
      </c>
      <c r="I26" s="12">
        <f>IF(H26&gt;0,ROUND(H26*ReferralMix/(1-ReferralMix),0),0)</f>
        <v/>
      </c>
      <c r="J26" s="12">
        <f>H26+I26</f>
        <v/>
      </c>
      <c r="K26" s="12">
        <f>ROUND(J26*(1-'Sens - Scenarios'!$B$7),0)</f>
        <v/>
      </c>
      <c r="L26" s="12">
        <f>J26-K26</f>
        <v/>
      </c>
      <c r="M26" s="12">
        <f>ROUND(K26*EssentialMix,0)</f>
        <v/>
      </c>
      <c r="N26" s="12">
        <f>K26-M26</f>
        <v/>
      </c>
      <c r="O26" s="12">
        <f>ROUND(L26*EssentialMix,0)</f>
        <v/>
      </c>
      <c r="P26" s="12">
        <f>L26-O26</f>
        <v/>
      </c>
      <c r="Q26" s="12">
        <f>M26+M25+M24+MAX(0,Q25-M25-M24)*(1-F26)</f>
        <v/>
      </c>
      <c r="R26" s="12">
        <f>N26+N25+N24+MAX(0,R25-N25-N24)*(1-F26)</f>
        <v/>
      </c>
      <c r="S26" s="12">
        <f>S25+O26-O14*('Sens - Scenarios'!$B$6*VLOOKUP(B26,ChurnSeasonTable,4,FALSE))*POWER(1-('Sens - Scenarios'!$B$6*VLOOKUP(B26,ChurnSeasonTable,4,FALSE)),0)</f>
        <v/>
      </c>
      <c r="T26" s="12">
        <f>T25+P26-P14*('Sens - Scenarios'!$B$6*VLOOKUP(B26,ChurnSeasonTable,4,FALSE))*POWER(1-('Sens - Scenarios'!$B$6*VLOOKUP(B26,ChurnSeasonTable,4,FALSE)),0)</f>
        <v/>
      </c>
      <c r="U26" s="12">
        <f>Q26+R26+S26+T26</f>
        <v/>
      </c>
      <c r="V26" s="9">
        <f>Q26*PriceEssMonthly*E26+R26*PricePremMonthly*E26+S26*PriceEssAnnual*E26/12+T26*PricePremAnnual*E26/12</f>
        <v/>
      </c>
      <c r="W26" s="9">
        <f>V26*12</f>
        <v/>
      </c>
      <c r="X26" s="12">
        <f>Q26*PriceEssMonthly*E26+R26*PricePremMonthly*E26</f>
        <v/>
      </c>
      <c r="Y26" s="12">
        <f>O26*PriceEssAnnual*E26+P26*PricePremAnnual*E26</f>
        <v/>
      </c>
      <c r="Z26" s="12">
        <f>O14*POWER(1-('Sens - Scenarios'!$B$6*VLOOKUP(B26,ChurnSeasonTable,4,FALSE)),1)*PriceEssAnnual*E26+P14*POWER(1-('Sens - Scenarios'!$B$6*VLOOKUP(B26,ChurnSeasonTable,4,FALSE)),1)*PricePremAnnual*E26</f>
        <v/>
      </c>
      <c r="AA26" s="9">
        <f>X26+Y26+Z26</f>
        <v/>
      </c>
      <c r="AB26" s="12">
        <f>SUM(AA15:AA26)</f>
        <v/>
      </c>
      <c r="AC26" s="12">
        <f>OR(AC25,AB26&gt;=VATThreshold)</f>
        <v/>
      </c>
      <c r="AD26" s="9">
        <f>IF(AC26,AA26/(1+VATRate),AA26)</f>
        <v/>
      </c>
      <c r="AE26" s="12">
        <f>AA26-AD26</f>
        <v/>
      </c>
      <c r="AF26" s="12">
        <f>IF(AC26=0,0,IF(B26=1,SUMPRODUCT(--(($C$5:$C26=$C26-1)*($B$5:$B26&gt;=10)*($B$5:$B26&lt;=12)),$AE$5:$AE26),IF(B26=4,SUMPRODUCT(--(($C$5:$C26=$C26)*($B$5:$B26&gt;=1)*($B$5:$B26&lt;=3)),$AE$5:$AE26),IF(B26=7,SUMPRODUCT(--(($C$5:$C26=$C26)*($B$5:$B26&gt;=4)*($B$5:$B26&lt;=6)),$AE$5:$AE26),IF(B26=10,SUMPRODUCT(--(($C$5:$C26=$C26)*($B$5:$B26&gt;=7)*($B$5:$B26&lt;=9)),$AE$5:$AE26),0)))))</f>
        <v/>
      </c>
      <c r="AG26" s="12">
        <f>AG25+AE26-AF26</f>
        <v/>
      </c>
      <c r="AH26" s="12">
        <f>IF(ProviderDelay&gt;=1,AD25*ProviderShare,AD26*ProviderShare)</f>
        <v/>
      </c>
      <c r="AI26" s="12">
        <f>AA26*PaymentFee</f>
        <v/>
      </c>
      <c r="AJ26" s="12">
        <f>U26*OpsAI</f>
        <v/>
      </c>
      <c r="AK26" s="12">
        <f>MonthlyFixed</f>
        <v/>
      </c>
      <c r="AL26" s="12">
        <f>I26*ReferralReward</f>
        <v/>
      </c>
      <c r="AM26" s="12">
        <f>G26</f>
        <v/>
      </c>
      <c r="AN26" s="9">
        <f>AD26-AH26-AI26-AJ26-AK26-AL26-AM26</f>
        <v/>
      </c>
      <c r="AO26" s="9">
        <f>AO25+AA26-(AH26+AI26+AJ26+AK26+AL26+AM26+AF26)</f>
        <v/>
      </c>
      <c r="AP26" s="12">
        <f>IF(U26&gt;0,V26/U26,0)</f>
        <v/>
      </c>
      <c r="AQ26" s="11">
        <f>IF(U25&gt;0,MAX(0,(U25+J26-U26)/U25),0)</f>
        <v/>
      </c>
      <c r="AS26" s="12" t="n">
        <v>22</v>
      </c>
      <c r="AT26" s="12">
        <f>MOD(AS26-1+LaunchMonth-1,12)+1</f>
        <v/>
      </c>
      <c r="AU26" s="12">
        <f>INT((AS26-1+LaunchMonth-1)/12)+1</f>
        <v/>
      </c>
      <c r="AV26" s="12">
        <f>VLOOKUP(AT26,SeasonTable,2,FALSE)</f>
        <v/>
      </c>
      <c r="AW26" s="12">
        <f>(1+InflationRate)^INT((AS26-1)/12)</f>
        <v/>
      </c>
      <c r="AX26" s="11">
        <f>MonthlyChurn*VLOOKUP(AT26,ChurnSeasonTable,4,FALSE)</f>
        <v/>
      </c>
      <c r="AY26" s="12">
        <f>MIN(MAX(MktMin19plus,BS25*MktPct19plus),MAX(0,CG25-CashBuffer))</f>
        <v/>
      </c>
      <c r="AZ26" s="12">
        <f>IF(AY26&gt;0,MAX(1,ROUND(AY26/CAC*AV26,0)),0)</f>
        <v/>
      </c>
      <c r="BA26" s="12">
        <f>IF(AZ26&gt;0,ROUND(AZ26*ReferralMix/(1-ReferralMix),0),0)</f>
        <v/>
      </c>
      <c r="BB26" s="12">
        <f>AZ26+BA26</f>
        <v/>
      </c>
      <c r="BC26" s="12">
        <f>ROUND(BB26*(1-AnnualMix),0)</f>
        <v/>
      </c>
      <c r="BD26" s="12">
        <f>BB26-BC26</f>
        <v/>
      </c>
      <c r="BE26" s="12">
        <f>ROUND(BC26*EssentialMix,0)</f>
        <v/>
      </c>
      <c r="BF26" s="12">
        <f>BC26-BE26</f>
        <v/>
      </c>
      <c r="BG26" s="12">
        <f>ROUND(BD26*EssentialMix,0)</f>
        <v/>
      </c>
      <c r="BH26" s="12">
        <f>BD26-BG26</f>
        <v/>
      </c>
      <c r="BI26" s="12">
        <f>BE26+BE25+BE24+MAX(0,BI25-BE25-BE24)*(1-AX26)</f>
        <v/>
      </c>
      <c r="BJ26" s="12">
        <f>BF26+BF25+BF24+MAX(0,BJ25-BF25-BF24)*(1-AX26)</f>
        <v/>
      </c>
      <c r="BK26" s="12">
        <f>BK25+BG26-BG14*(AnnualChurn*VLOOKUP(AT26,ChurnSeasonTable,4,FALSE))*POWER(1-(AnnualChurn*VLOOKUP(AT26,ChurnSeasonTable,4,FALSE)),0)</f>
        <v/>
      </c>
      <c r="BL26" s="12">
        <f>BL25+BH26-BH14*(AnnualChurn*VLOOKUP(AT26,ChurnSeasonTable,4,FALSE))*POWER(1-(AnnualChurn*VLOOKUP(AT26,ChurnSeasonTable,4,FALSE)),0)</f>
        <v/>
      </c>
      <c r="BM26" s="12">
        <f>BI26+BJ26+BK26+BL26</f>
        <v/>
      </c>
      <c r="BN26" s="9">
        <f>BI26*PriceEssMonthly*AW26+BJ26*PricePremMonthly*AW26+BK26*PriceEssAnnual*AW26/12+BL26*PricePremAnnual*AW26/12</f>
        <v/>
      </c>
      <c r="BO26" s="9">
        <f>BN26*12</f>
        <v/>
      </c>
      <c r="BP26" s="12">
        <f>BI26*PriceEssMonthly*AW26+BJ26*PricePremMonthly*AW26</f>
        <v/>
      </c>
      <c r="BQ26" s="12">
        <f>BG26*PriceEssAnnual*AW26+BH26*PricePremAnnual*AW26</f>
        <v/>
      </c>
      <c r="BR26" s="12">
        <f>BG14*POWER(1-(AnnualChurn*VLOOKUP(AT26,ChurnSeasonTable,4,FALSE)),1)*PriceEssAnnual*AW26+BH14*POWER(1-(AnnualChurn*VLOOKUP(AT26,ChurnSeasonTable,4,FALSE)),1)*PricePremAnnual*AW26</f>
        <v/>
      </c>
      <c r="BS26" s="9">
        <f>BP26+BQ26+BR26</f>
        <v/>
      </c>
      <c r="BT26" s="12">
        <f>SUM(BS15:BS26)</f>
        <v/>
      </c>
      <c r="BU26" s="12">
        <f>OR(BU25,BT26&gt;=VATThreshold)</f>
        <v/>
      </c>
      <c r="BV26" s="9">
        <f>IF(BU26,BS26/(1+VATRate),BS26)</f>
        <v/>
      </c>
      <c r="BW26" s="12">
        <f>BS26-BV26</f>
        <v/>
      </c>
      <c r="BX26" s="12">
        <f>IF(BU26=0,0,IF(AT26=1,SUMPRODUCT(--(($AU$5:$AU26=$AU26-1)*($AT$5:$AT26&gt;=10)*($AT$5:$AT26&lt;=12)),$BW$5:$BW26),IF(AT26=4,SUMPRODUCT(--(($AU$5:$AU26=$AU26)*($AT$5:$AT26&gt;=1)*($AT$5:$AT26&lt;=3)),$BW$5:$BW26),IF(AT26=7,SUMPRODUCT(--(($AU$5:$AU26=$AU26)*($AT$5:$AT26&gt;=4)*($AT$5:$AT26&lt;=6)),$BW$5:$BW26),IF(AT26=10,SUMPRODUCT(--(($AU$5:$AU26=$AU26)*($AT$5:$AT26&gt;=7)*($AT$5:$AT26&lt;=9)),$BW$5:$BW26),0)))))</f>
        <v/>
      </c>
      <c r="BY26" s="12">
        <f>BY25+BW26-BX26</f>
        <v/>
      </c>
      <c r="BZ26" s="12">
        <f>IF(ProviderDelay&gt;=1,BV25*ProviderShare,BV26*ProviderShare)</f>
        <v/>
      </c>
      <c r="CA26" s="12">
        <f>BS26*PaymentFee</f>
        <v/>
      </c>
      <c r="CB26" s="12">
        <f>BM26*OpsAI</f>
        <v/>
      </c>
      <c r="CC26" s="12">
        <f>MonthlyFixed</f>
        <v/>
      </c>
      <c r="CD26" s="12">
        <f>BA26*ReferralReward</f>
        <v/>
      </c>
      <c r="CE26" s="12">
        <f>AY26</f>
        <v/>
      </c>
      <c r="CF26" s="9">
        <f>BV26-BZ26-CA26-CB26-CC26-CD26-CE26</f>
        <v/>
      </c>
      <c r="CG26" s="9">
        <f>CG25+BS26-(BZ26+CA26+CB26+CC26+CD26+CE26+BX26)</f>
        <v/>
      </c>
      <c r="CH26" s="12">
        <f>IF(BM26&gt;0,BN26/BM26,0)</f>
        <v/>
      </c>
      <c r="CI26" s="11">
        <f>IF(BM25&gt;0,MAX(0,(BM25+BB26-BM26)/BM25),0)</f>
        <v/>
      </c>
      <c r="CK26" s="12" t="n">
        <v>22</v>
      </c>
      <c r="CL26" s="12">
        <f>MOD(CK26-1+LaunchMonth-1,12)+1</f>
        <v/>
      </c>
      <c r="CM26" s="12">
        <f>INT((CK26-1+LaunchMonth-1)/12)+1</f>
        <v/>
      </c>
      <c r="CN26" s="12">
        <f>VLOOKUP(CL26,SeasonTable,2,FALSE)</f>
        <v/>
      </c>
      <c r="CO26" s="12">
        <f>(1+InflationRate)^INT((CK26-1)/12)</f>
        <v/>
      </c>
      <c r="CP26" s="11">
        <f>'Sens - Scenarios'!$D$5*VLOOKUP(CL26,ChurnSeasonTable,4,FALSE)</f>
        <v/>
      </c>
      <c r="CQ26" s="12">
        <f>MIN(MAX(MktMin19plus,DK25*MktPct19plus),MAX(0,DY25-CashBuffer))</f>
        <v/>
      </c>
      <c r="CR26" s="12">
        <f>IF(CQ26&gt;0,MAX(1,ROUND(CQ26/'Sens - Scenarios'!$D$8*CN26,0)),0)</f>
        <v/>
      </c>
      <c r="CS26" s="12">
        <f>IF(CR26&gt;0,ROUND(CR26*ReferralMix/(1-ReferralMix),0),0)</f>
        <v/>
      </c>
      <c r="CT26" s="12">
        <f>CR26+CS26</f>
        <v/>
      </c>
      <c r="CU26" s="12">
        <f>ROUND(CT26*(1-'Sens - Scenarios'!$D$7),0)</f>
        <v/>
      </c>
      <c r="CV26" s="12">
        <f>CT26-CU26</f>
        <v/>
      </c>
      <c r="CW26" s="12">
        <f>ROUND(CU26*EssentialMix,0)</f>
        <v/>
      </c>
      <c r="CX26" s="12">
        <f>CU26-CW26</f>
        <v/>
      </c>
      <c r="CY26" s="12">
        <f>ROUND(CV26*EssentialMix,0)</f>
        <v/>
      </c>
      <c r="CZ26" s="12">
        <f>CV26-CY26</f>
        <v/>
      </c>
      <c r="DA26" s="12">
        <f>CW26+CW25+CW24+MAX(0,DA25-CW25-CW24)*(1-CP26)</f>
        <v/>
      </c>
      <c r="DB26" s="12">
        <f>CX26+CX25+CX24+MAX(0,DB25-CX25-CX24)*(1-CP26)</f>
        <v/>
      </c>
      <c r="DC26" s="12">
        <f>DC25+CY26-CY14*('Sens - Scenarios'!$D$6*VLOOKUP(CL26,ChurnSeasonTable,4,FALSE))*POWER(1-('Sens - Scenarios'!$D$6*VLOOKUP(CL26,ChurnSeasonTable,4,FALSE)),0)</f>
        <v/>
      </c>
      <c r="DD26" s="12">
        <f>DD25+CZ26-CZ14*('Sens - Scenarios'!$D$6*VLOOKUP(CL26,ChurnSeasonTable,4,FALSE))*POWER(1-('Sens - Scenarios'!$D$6*VLOOKUP(CL26,ChurnSeasonTable,4,FALSE)),0)</f>
        <v/>
      </c>
      <c r="DE26" s="12">
        <f>DA26+DB26+DC26+DD26</f>
        <v/>
      </c>
      <c r="DF26" s="9">
        <f>DA26*PriceEssMonthly*CO26+DB26*PricePremMonthly*CO26+DC26*PriceEssAnnual*CO26/12+DD26*PricePremAnnual*CO26/12</f>
        <v/>
      </c>
      <c r="DG26" s="9">
        <f>DF26*12</f>
        <v/>
      </c>
      <c r="DH26" s="12">
        <f>DA26*PriceEssMonthly*CO26+DB26*PricePremMonthly*CO26</f>
        <v/>
      </c>
      <c r="DI26" s="12">
        <f>CY26*PriceEssAnnual*CO26+CZ26*PricePremAnnual*CO26</f>
        <v/>
      </c>
      <c r="DJ26" s="12">
        <f>CY14*POWER(1-('Sens - Scenarios'!$D$6*VLOOKUP(CL26,ChurnSeasonTable,4,FALSE)),1)*PriceEssAnnual*CO26+CZ14*POWER(1-('Sens - Scenarios'!$D$6*VLOOKUP(CL26,ChurnSeasonTable,4,FALSE)),1)*PricePremAnnual*CO26</f>
        <v/>
      </c>
      <c r="DK26" s="9">
        <f>DH26+DI26+DJ26</f>
        <v/>
      </c>
      <c r="DL26" s="12">
        <f>SUM(DK15:DK26)</f>
        <v/>
      </c>
      <c r="DM26" s="12">
        <f>OR(DM25,DL26&gt;=VATThreshold)</f>
        <v/>
      </c>
      <c r="DN26" s="9">
        <f>IF(DM26,DK26/(1+VATRate),DK26)</f>
        <v/>
      </c>
      <c r="DO26" s="12">
        <f>DK26-DN26</f>
        <v/>
      </c>
      <c r="DP26" s="12">
        <f>IF(DM26=0,0,IF(CL26=1,SUMPRODUCT(--(($CM$5:$CM26=$CM26-1)*($CL$5:$CL26&gt;=10)*($CL$5:$CL26&lt;=12)),$DO$5:$DO26),IF(CL26=4,SUMPRODUCT(--(($CM$5:$CM26=$CM26)*($CL$5:$CL26&gt;=1)*($CL$5:$CL26&lt;=3)),$DO$5:$DO26),IF(CL26=7,SUMPRODUCT(--(($CM$5:$CM26=$CM26)*($CL$5:$CL26&gt;=4)*($CL$5:$CL26&lt;=6)),$DO$5:$DO26),IF(CL26=10,SUMPRODUCT(--(($CM$5:$CM26=$CM26)*($CL$5:$CL26&gt;=7)*($CL$5:$CL26&lt;=9)),$DO$5:$DO26),0)))))</f>
        <v/>
      </c>
      <c r="DQ26" s="12">
        <f>DQ25+DO26-DP26</f>
        <v/>
      </c>
      <c r="DR26" s="12">
        <f>IF(ProviderDelay&gt;=1,DN25*ProviderShare,DN26*ProviderShare)</f>
        <v/>
      </c>
      <c r="DS26" s="12">
        <f>DK26*PaymentFee</f>
        <v/>
      </c>
      <c r="DT26" s="12">
        <f>DE26*OpsAI</f>
        <v/>
      </c>
      <c r="DU26" s="12">
        <f>MonthlyFixed</f>
        <v/>
      </c>
      <c r="DV26" s="12">
        <f>CS26*ReferralReward</f>
        <v/>
      </c>
      <c r="DW26" s="12">
        <f>CQ26</f>
        <v/>
      </c>
      <c r="DX26" s="9">
        <f>DN26-DR26-DS26-DT26-DU26-DV26-DW26</f>
        <v/>
      </c>
      <c r="DY26" s="9">
        <f>DY25+DK26-(DR26+DS26+DT26+DU26+DV26+DW26+DP26)</f>
        <v/>
      </c>
      <c r="DZ26" s="12">
        <f>IF(DE26&gt;0,DF26/DE26,0)</f>
        <v/>
      </c>
      <c r="EA26" s="11">
        <f>IF(DE25&gt;0,MAX(0,(DE25+CT26-DE26)/DE25),0)</f>
        <v/>
      </c>
      <c r="EC26" s="12" t="n">
        <v>22</v>
      </c>
      <c r="ED26" s="12">
        <f>MOD(EC26-1+LaunchMonth-1,12)+1</f>
        <v/>
      </c>
      <c r="EE26" s="12">
        <f>INT((EC26-1+LaunchMonth-1)/12)+1</f>
        <v/>
      </c>
      <c r="EF26" s="12">
        <f>VLOOKUP(ED26,SeasonTable,2,FALSE)</f>
        <v/>
      </c>
      <c r="EG26" s="12">
        <f>(1+InflationRate)^INT((EC26-1)/12)</f>
        <v/>
      </c>
      <c r="EH26" s="11">
        <f>'Sens - Churn'!$A$13*VLOOKUP(ED26,ChurnSeasonTable,4,FALSE)</f>
        <v/>
      </c>
      <c r="EI26" s="12">
        <f>MIN(MAX(MktMin19plus,FC25*MktPct19plus),MAX(0,FQ25-CashBuffer))</f>
        <v/>
      </c>
      <c r="EJ26" s="12">
        <f>IF(EI26&gt;0,MAX(1,ROUND(EI26/CAC*EF26,0)),0)</f>
        <v/>
      </c>
      <c r="EK26" s="12">
        <f>IF(EJ26&gt;0,ROUND(EJ26*ReferralMix/(1-ReferralMix),0),0)</f>
        <v/>
      </c>
      <c r="EL26" s="12">
        <f>EJ26+EK26</f>
        <v/>
      </c>
      <c r="EM26" s="12">
        <f>ROUND(EL26*(1-AnnualMix),0)</f>
        <v/>
      </c>
      <c r="EN26" s="12">
        <f>EL26-EM26</f>
        <v/>
      </c>
      <c r="EO26" s="12">
        <f>ROUND(EM26*EssentialMix,0)</f>
        <v/>
      </c>
      <c r="EP26" s="12">
        <f>EM26-EO26</f>
        <v/>
      </c>
      <c r="EQ26" s="12">
        <f>ROUND(EN26*EssentialMix,0)</f>
        <v/>
      </c>
      <c r="ER26" s="12">
        <f>EN26-EQ26</f>
        <v/>
      </c>
      <c r="ES26" s="12">
        <f>EO26+EO25+EO24+MAX(0,ES25-EO25-EO24)*(1-EH26)</f>
        <v/>
      </c>
      <c r="ET26" s="12">
        <f>EP26+EP25+EP24+MAX(0,ET25-EP25-EP24)*(1-EH26)</f>
        <v/>
      </c>
      <c r="EU26" s="12">
        <f>EU25+EQ26-EQ14*(AnnualChurn*VLOOKUP(ED26,ChurnSeasonTable,4,FALSE))*POWER(1-(AnnualChurn*VLOOKUP(ED26,ChurnSeasonTable,4,FALSE)),0)</f>
        <v/>
      </c>
      <c r="EV26" s="12">
        <f>EV25+ER26-ER14*(AnnualChurn*VLOOKUP(ED26,ChurnSeasonTable,4,FALSE))*POWER(1-(AnnualChurn*VLOOKUP(ED26,ChurnSeasonTable,4,FALSE)),0)</f>
        <v/>
      </c>
      <c r="EW26" s="12">
        <f>ES26+ET26+EU26+EV26</f>
        <v/>
      </c>
      <c r="EX26" s="9">
        <f>ES26*PriceEssMonthly*EG26+ET26*PricePremMonthly*EG26+EU26*PriceEssAnnual*EG26/12+EV26*PricePremAnnual*EG26/12</f>
        <v/>
      </c>
      <c r="EY26" s="9">
        <f>EX26*12</f>
        <v/>
      </c>
      <c r="EZ26" s="12">
        <f>ES26*PriceEssMonthly*EG26+ET26*PricePremMonthly*EG26</f>
        <v/>
      </c>
      <c r="FA26" s="12">
        <f>EQ26*PriceEssAnnual*EG26+ER26*PricePremAnnual*EG26</f>
        <v/>
      </c>
      <c r="FB26" s="12">
        <f>EQ14*POWER(1-(AnnualChurn*VLOOKUP(ED26,ChurnSeasonTable,4,FALSE)),1)*PriceEssAnnual*EG26+ER14*POWER(1-(AnnualChurn*VLOOKUP(ED26,ChurnSeasonTable,4,FALSE)),1)*PricePremAnnual*EG26</f>
        <v/>
      </c>
      <c r="FC26" s="9">
        <f>EZ26+FA26+FB26</f>
        <v/>
      </c>
      <c r="FD26" s="12">
        <f>SUM(FC15:FC26)</f>
        <v/>
      </c>
      <c r="FE26" s="12">
        <f>OR(FE25,FD26&gt;=VATThreshold)</f>
        <v/>
      </c>
      <c r="FF26" s="9">
        <f>IF(FE26,FC26/(1+VATRate),FC26)</f>
        <v/>
      </c>
      <c r="FG26" s="12">
        <f>FC26-FF26</f>
        <v/>
      </c>
      <c r="FH26" s="12">
        <f>IF(FE26=0,0,IF(ED26=1,SUMPRODUCT(--(($EE$5:$EE26=$EE26-1)*($ED$5:$ED26&gt;=10)*($ED$5:$ED26&lt;=12)),$FG$5:$FG26),IF(ED26=4,SUMPRODUCT(--(($EE$5:$EE26=$EE26)*($ED$5:$ED26&gt;=1)*($ED$5:$ED26&lt;=3)),$FG$5:$FG26),IF(ED26=7,SUMPRODUCT(--(($EE$5:$EE26=$EE26)*($ED$5:$ED26&gt;=4)*($ED$5:$ED26&lt;=6)),$FG$5:$FG26),IF(ED26=10,SUMPRODUCT(--(($EE$5:$EE26=$EE26)*($ED$5:$ED26&gt;=7)*($ED$5:$ED26&lt;=9)),$FG$5:$FG26),0)))))</f>
        <v/>
      </c>
      <c r="FI26" s="12">
        <f>FI25+FG26-FH26</f>
        <v/>
      </c>
      <c r="FJ26" s="12">
        <f>IF(ProviderDelay&gt;=1,FF25*ProviderShare,FF26*ProviderShare)</f>
        <v/>
      </c>
      <c r="FK26" s="12">
        <f>FC26*PaymentFee</f>
        <v/>
      </c>
      <c r="FL26" s="12">
        <f>EW26*OpsAI</f>
        <v/>
      </c>
      <c r="FM26" s="12">
        <f>MonthlyFixed</f>
        <v/>
      </c>
      <c r="FN26" s="12">
        <f>EK26*ReferralReward</f>
        <v/>
      </c>
      <c r="FO26" s="12">
        <f>EI26</f>
        <v/>
      </c>
      <c r="FP26" s="9">
        <f>FF26-FJ26-FK26-FL26-FM26-FN26-FO26</f>
        <v/>
      </c>
      <c r="FQ26" s="9">
        <f>FQ25+FC26-(FJ26+FK26+FL26+FM26+FN26+FO26+FH26)</f>
        <v/>
      </c>
      <c r="FR26" s="12">
        <f>IF(EW26&gt;0,EX26/EW26,0)</f>
        <v/>
      </c>
      <c r="FS26" s="11">
        <f>IF(EW25&gt;0,MAX(0,(EW25+EL26-EW26)/EW25),0)</f>
        <v/>
      </c>
      <c r="FU26" s="12" t="n">
        <v>22</v>
      </c>
      <c r="FV26" s="12">
        <f>MOD(FU26-1+LaunchMonth-1,12)+1</f>
        <v/>
      </c>
      <c r="FW26" s="12">
        <f>INT((FU26-1+LaunchMonth-1)/12)+1</f>
        <v/>
      </c>
      <c r="FX26" s="12">
        <f>VLOOKUP(FV26,SeasonTable,2,FALSE)</f>
        <v/>
      </c>
      <c r="FY26" s="12">
        <f>(1+InflationRate)^INT((FU26-1)/12)</f>
        <v/>
      </c>
      <c r="FZ26" s="11">
        <f>'Sens - Churn'!$A$14*VLOOKUP(FV26,ChurnSeasonTable,4,FALSE)</f>
        <v/>
      </c>
      <c r="GA26" s="12">
        <f>MIN(MAX(MktMin19plus,GU25*MktPct19plus),MAX(0,HI25-CashBuffer))</f>
        <v/>
      </c>
      <c r="GB26" s="12">
        <f>IF(GA26&gt;0,MAX(1,ROUND(GA26/CAC*FX26,0)),0)</f>
        <v/>
      </c>
      <c r="GC26" s="12">
        <f>IF(GB26&gt;0,ROUND(GB26*ReferralMix/(1-ReferralMix),0),0)</f>
        <v/>
      </c>
      <c r="GD26" s="12">
        <f>GB26+GC26</f>
        <v/>
      </c>
      <c r="GE26" s="12">
        <f>ROUND(GD26*(1-AnnualMix),0)</f>
        <v/>
      </c>
      <c r="GF26" s="12">
        <f>GD26-GE26</f>
        <v/>
      </c>
      <c r="GG26" s="12">
        <f>ROUND(GE26*EssentialMix,0)</f>
        <v/>
      </c>
      <c r="GH26" s="12">
        <f>GE26-GG26</f>
        <v/>
      </c>
      <c r="GI26" s="12">
        <f>ROUND(GF26*EssentialMix,0)</f>
        <v/>
      </c>
      <c r="GJ26" s="12">
        <f>GF26-GI26</f>
        <v/>
      </c>
      <c r="GK26" s="12">
        <f>GG26+GG25+GG24+MAX(0,GK25-GG25-GG24)*(1-FZ26)</f>
        <v/>
      </c>
      <c r="GL26" s="12">
        <f>GH26+GH25+GH24+MAX(0,GL25-GH25-GH24)*(1-FZ26)</f>
        <v/>
      </c>
      <c r="GM26" s="12">
        <f>GM25+GI26-GI14*(AnnualChurn*VLOOKUP(FV26,ChurnSeasonTable,4,FALSE))*POWER(1-(AnnualChurn*VLOOKUP(FV26,ChurnSeasonTable,4,FALSE)),0)</f>
        <v/>
      </c>
      <c r="GN26" s="12">
        <f>GN25+GJ26-GJ14*(AnnualChurn*VLOOKUP(FV26,ChurnSeasonTable,4,FALSE))*POWER(1-(AnnualChurn*VLOOKUP(FV26,ChurnSeasonTable,4,FALSE)),0)</f>
        <v/>
      </c>
      <c r="GO26" s="12">
        <f>GK26+GL26+GM26+GN26</f>
        <v/>
      </c>
      <c r="GP26" s="9">
        <f>GK26*PriceEssMonthly*FY26+GL26*PricePremMonthly*FY26+GM26*PriceEssAnnual*FY26/12+GN26*PricePremAnnual*FY26/12</f>
        <v/>
      </c>
      <c r="GQ26" s="9">
        <f>GP26*12</f>
        <v/>
      </c>
      <c r="GR26" s="12">
        <f>GK26*PriceEssMonthly*FY26+GL26*PricePremMonthly*FY26</f>
        <v/>
      </c>
      <c r="GS26" s="12">
        <f>GI26*PriceEssAnnual*FY26+GJ26*PricePremAnnual*FY26</f>
        <v/>
      </c>
      <c r="GT26" s="12">
        <f>GI14*POWER(1-(AnnualChurn*VLOOKUP(FV26,ChurnSeasonTable,4,FALSE)),1)*PriceEssAnnual*FY26+GJ14*POWER(1-(AnnualChurn*VLOOKUP(FV26,ChurnSeasonTable,4,FALSE)),1)*PricePremAnnual*FY26</f>
        <v/>
      </c>
      <c r="GU26" s="9">
        <f>GR26+GS26+GT26</f>
        <v/>
      </c>
      <c r="GV26" s="12">
        <f>SUM(GU15:GU26)</f>
        <v/>
      </c>
      <c r="GW26" s="12">
        <f>OR(GW25,GV26&gt;=VATThreshold)</f>
        <v/>
      </c>
      <c r="GX26" s="9">
        <f>IF(GW26,GU26/(1+VATRate),GU26)</f>
        <v/>
      </c>
      <c r="GY26" s="12">
        <f>GU26-GX26</f>
        <v/>
      </c>
      <c r="GZ26" s="12">
        <f>IF(GW26=0,0,IF(FV26=1,SUMPRODUCT(--(($FW$5:$FW26=$FW26-1)*($FV$5:$FV26&gt;=10)*($FV$5:$FV26&lt;=12)),$GY$5:$GY26),IF(FV26=4,SUMPRODUCT(--(($FW$5:$FW26=$FW26)*($FV$5:$FV26&gt;=1)*($FV$5:$FV26&lt;=3)),$GY$5:$GY26),IF(FV26=7,SUMPRODUCT(--(($FW$5:$FW26=$FW26)*($FV$5:$FV26&gt;=4)*($FV$5:$FV26&lt;=6)),$GY$5:$GY26),IF(FV26=10,SUMPRODUCT(--(($FW$5:$FW26=$FW26)*($FV$5:$FV26&gt;=7)*($FV$5:$FV26&lt;=9)),$GY$5:$GY26),0)))))</f>
        <v/>
      </c>
      <c r="HA26" s="12">
        <f>HA25+GY26-GZ26</f>
        <v/>
      </c>
      <c r="HB26" s="12">
        <f>IF(ProviderDelay&gt;=1,GX25*ProviderShare,GX26*ProviderShare)</f>
        <v/>
      </c>
      <c r="HC26" s="12">
        <f>GU26*PaymentFee</f>
        <v/>
      </c>
      <c r="HD26" s="12">
        <f>GO26*OpsAI</f>
        <v/>
      </c>
      <c r="HE26" s="12">
        <f>MonthlyFixed</f>
        <v/>
      </c>
      <c r="HF26" s="12">
        <f>GC26*ReferralReward</f>
        <v/>
      </c>
      <c r="HG26" s="12">
        <f>GA26</f>
        <v/>
      </c>
      <c r="HH26" s="9">
        <f>GX26-HB26-HC26-HD26-HE26-HF26-HG26</f>
        <v/>
      </c>
      <c r="HI26" s="9">
        <f>HI25+GU26-(HB26+HC26+HD26+HE26+HF26+HG26+GZ26)</f>
        <v/>
      </c>
      <c r="HJ26" s="12">
        <f>IF(GO26&gt;0,GP26/GO26,0)</f>
        <v/>
      </c>
      <c r="HK26" s="11">
        <f>IF(GO25&gt;0,MAX(0,(GO25+GD26-GO26)/GO25),0)</f>
        <v/>
      </c>
      <c r="HM26" s="12" t="n">
        <v>22</v>
      </c>
      <c r="HN26" s="12">
        <f>MOD(HM26-1+LaunchMonth-1,12)+1</f>
        <v/>
      </c>
      <c r="HO26" s="12">
        <f>INT((HM26-1+LaunchMonth-1)/12)+1</f>
        <v/>
      </c>
      <c r="HP26" s="12">
        <f>VLOOKUP(HN26,SeasonTable,2,FALSE)</f>
        <v/>
      </c>
      <c r="HQ26" s="12">
        <f>(1+InflationRate)^INT((HM26-1)/12)</f>
        <v/>
      </c>
      <c r="HR26" s="11">
        <f>'Sens - Churn'!$A$15*VLOOKUP(HN26,ChurnSeasonTable,4,FALSE)</f>
        <v/>
      </c>
      <c r="HS26" s="12">
        <f>MIN(MAX(MktMin19plus,IM25*MktPct19plus),MAX(0,JA25-CashBuffer))</f>
        <v/>
      </c>
      <c r="HT26" s="12">
        <f>IF(HS26&gt;0,MAX(1,ROUND(HS26/CAC*HP26,0)),0)</f>
        <v/>
      </c>
      <c r="HU26" s="12">
        <f>IF(HT26&gt;0,ROUND(HT26*ReferralMix/(1-ReferralMix),0),0)</f>
        <v/>
      </c>
      <c r="HV26" s="12">
        <f>HT26+HU26</f>
        <v/>
      </c>
      <c r="HW26" s="12">
        <f>ROUND(HV26*(1-AnnualMix),0)</f>
        <v/>
      </c>
      <c r="HX26" s="12">
        <f>HV26-HW26</f>
        <v/>
      </c>
      <c r="HY26" s="12">
        <f>ROUND(HW26*EssentialMix,0)</f>
        <v/>
      </c>
      <c r="HZ26" s="12">
        <f>HW26-HY26</f>
        <v/>
      </c>
      <c r="IA26" s="12">
        <f>ROUND(HX26*EssentialMix,0)</f>
        <v/>
      </c>
      <c r="IB26" s="12">
        <f>HX26-IA26</f>
        <v/>
      </c>
      <c r="IC26" s="12">
        <f>HY26+HY25+HY24+MAX(0,IC25-HY25-HY24)*(1-HR26)</f>
        <v/>
      </c>
      <c r="ID26" s="12">
        <f>HZ26+HZ25+HZ24+MAX(0,ID25-HZ25-HZ24)*(1-HR26)</f>
        <v/>
      </c>
      <c r="IE26" s="12">
        <f>IE25+IA26-IA14*(AnnualChurn*VLOOKUP(HN26,ChurnSeasonTable,4,FALSE))*POWER(1-(AnnualChurn*VLOOKUP(HN26,ChurnSeasonTable,4,FALSE)),0)</f>
        <v/>
      </c>
      <c r="IF26" s="12">
        <f>IF25+IB26-IB14*(AnnualChurn*VLOOKUP(HN26,ChurnSeasonTable,4,FALSE))*POWER(1-(AnnualChurn*VLOOKUP(HN26,ChurnSeasonTable,4,FALSE)),0)</f>
        <v/>
      </c>
      <c r="IG26" s="12">
        <f>IC26+ID26+IE26+IF26</f>
        <v/>
      </c>
      <c r="IH26" s="9">
        <f>IC26*PriceEssMonthly*HQ26+ID26*PricePremMonthly*HQ26+IE26*PriceEssAnnual*HQ26/12+IF26*PricePremAnnual*HQ26/12</f>
        <v/>
      </c>
      <c r="II26" s="9">
        <f>IH26*12</f>
        <v/>
      </c>
      <c r="IJ26" s="12">
        <f>IC26*PriceEssMonthly*HQ26+ID26*PricePremMonthly*HQ26</f>
        <v/>
      </c>
      <c r="IK26" s="12">
        <f>IA26*PriceEssAnnual*HQ26+IB26*PricePremAnnual*HQ26</f>
        <v/>
      </c>
      <c r="IL26" s="12">
        <f>IA14*POWER(1-(AnnualChurn*VLOOKUP(HN26,ChurnSeasonTable,4,FALSE)),1)*PriceEssAnnual*HQ26+IB14*POWER(1-(AnnualChurn*VLOOKUP(HN26,ChurnSeasonTable,4,FALSE)),1)*PricePremAnnual*HQ26</f>
        <v/>
      </c>
      <c r="IM26" s="9">
        <f>IJ26+IK26+IL26</f>
        <v/>
      </c>
      <c r="IN26" s="12">
        <f>SUM(IM15:IM26)</f>
        <v/>
      </c>
      <c r="IO26" s="12">
        <f>OR(IO25,IN26&gt;=VATThreshold)</f>
        <v/>
      </c>
      <c r="IP26" s="9">
        <f>IF(IO26,IM26/(1+VATRate),IM26)</f>
        <v/>
      </c>
      <c r="IQ26" s="12">
        <f>IM26-IP26</f>
        <v/>
      </c>
      <c r="IR26" s="12">
        <f>IF(IO26=0,0,IF(HN26=1,SUMPRODUCT(--(($HO$5:$HO26=$HO26-1)*($HN$5:$HN26&gt;=10)*($HN$5:$HN26&lt;=12)),$IQ$5:$IQ26),IF(HN26=4,SUMPRODUCT(--(($HO$5:$HO26=$HO26)*($HN$5:$HN26&gt;=1)*($HN$5:$HN26&lt;=3)),$IQ$5:$IQ26),IF(HN26=7,SUMPRODUCT(--(($HO$5:$HO26=$HO26)*($HN$5:$HN26&gt;=4)*($HN$5:$HN26&lt;=6)),$IQ$5:$IQ26),IF(HN26=10,SUMPRODUCT(--(($HO$5:$HO26=$HO26)*($HN$5:$HN26&gt;=7)*($HN$5:$HN26&lt;=9)),$IQ$5:$IQ26),0)))))</f>
        <v/>
      </c>
      <c r="IS26" s="12">
        <f>IS25+IQ26-IR26</f>
        <v/>
      </c>
      <c r="IT26" s="12">
        <f>IF(ProviderDelay&gt;=1,IP25*ProviderShare,IP26*ProviderShare)</f>
        <v/>
      </c>
      <c r="IU26" s="12">
        <f>IM26*PaymentFee</f>
        <v/>
      </c>
      <c r="IV26" s="12">
        <f>IG26*OpsAI</f>
        <v/>
      </c>
      <c r="IW26" s="12">
        <f>MonthlyFixed</f>
        <v/>
      </c>
      <c r="IX26" s="12">
        <f>HU26*ReferralReward</f>
        <v/>
      </c>
      <c r="IY26" s="12">
        <f>HS26</f>
        <v/>
      </c>
      <c r="IZ26" s="9">
        <f>IP26-IT26-IU26-IV26-IW26-IX26-IY26</f>
        <v/>
      </c>
      <c r="JA26" s="9">
        <f>JA25+IM26-(IT26+IU26+IV26+IW26+IX26+IY26+IR26)</f>
        <v/>
      </c>
      <c r="JB26" s="12">
        <f>IF(IG26&gt;0,IH26/IG26,0)</f>
        <v/>
      </c>
      <c r="JC26" s="11">
        <f>IF(IG25&gt;0,MAX(0,(IG25+HV26-IG26)/IG25),0)</f>
        <v/>
      </c>
      <c r="JE26" s="12" t="n">
        <v>22</v>
      </c>
      <c r="JF26" s="12">
        <f>MOD(JE26-1+LaunchMonth-1,12)+1</f>
        <v/>
      </c>
      <c r="JG26" s="12">
        <f>INT((JE26-1+LaunchMonth-1)/12)+1</f>
        <v/>
      </c>
      <c r="JH26" s="12">
        <f>VLOOKUP(JF26,SeasonTable,2,FALSE)</f>
        <v/>
      </c>
      <c r="JI26" s="12">
        <f>(1+InflationRate)^INT((JE26-1)/12)</f>
        <v/>
      </c>
      <c r="JJ26" s="11">
        <f>'Sens - Churn'!$A$16*VLOOKUP(JF26,ChurnSeasonTable,4,FALSE)</f>
        <v/>
      </c>
      <c r="JK26" s="12">
        <f>MIN(MAX(MktMin19plus,KE25*MktPct19plus),MAX(0,KS25-CashBuffer))</f>
        <v/>
      </c>
      <c r="JL26" s="12">
        <f>IF(JK26&gt;0,MAX(1,ROUND(JK26/CAC*JH26,0)),0)</f>
        <v/>
      </c>
      <c r="JM26" s="12">
        <f>IF(JL26&gt;0,ROUND(JL26*ReferralMix/(1-ReferralMix),0),0)</f>
        <v/>
      </c>
      <c r="JN26" s="12">
        <f>JL26+JM26</f>
        <v/>
      </c>
      <c r="JO26" s="12">
        <f>ROUND(JN26*(1-AnnualMix),0)</f>
        <v/>
      </c>
      <c r="JP26" s="12">
        <f>JN26-JO26</f>
        <v/>
      </c>
      <c r="JQ26" s="12">
        <f>ROUND(JO26*EssentialMix,0)</f>
        <v/>
      </c>
      <c r="JR26" s="12">
        <f>JO26-JQ26</f>
        <v/>
      </c>
      <c r="JS26" s="12">
        <f>ROUND(JP26*EssentialMix,0)</f>
        <v/>
      </c>
      <c r="JT26" s="12">
        <f>JP26-JS26</f>
        <v/>
      </c>
      <c r="JU26" s="12">
        <f>JQ26+JQ25+JQ24+MAX(0,JU25-JQ25-JQ24)*(1-JJ26)</f>
        <v/>
      </c>
      <c r="JV26" s="12">
        <f>JR26+JR25+JR24+MAX(0,JV25-JR25-JR24)*(1-JJ26)</f>
        <v/>
      </c>
      <c r="JW26" s="12">
        <f>JW25+JS26-JS14*(AnnualChurn*VLOOKUP(JF26,ChurnSeasonTable,4,FALSE))*POWER(1-(AnnualChurn*VLOOKUP(JF26,ChurnSeasonTable,4,FALSE)),0)</f>
        <v/>
      </c>
      <c r="JX26" s="12">
        <f>JX25+JT26-JT14*(AnnualChurn*VLOOKUP(JF26,ChurnSeasonTable,4,FALSE))*POWER(1-(AnnualChurn*VLOOKUP(JF26,ChurnSeasonTable,4,FALSE)),0)</f>
        <v/>
      </c>
      <c r="JY26" s="12">
        <f>JU26+JV26+JW26+JX26</f>
        <v/>
      </c>
      <c r="JZ26" s="9">
        <f>JU26*PriceEssMonthly*JI26+JV26*PricePremMonthly*JI26+JW26*PriceEssAnnual*JI26/12+JX26*PricePremAnnual*JI26/12</f>
        <v/>
      </c>
      <c r="KA26" s="9">
        <f>JZ26*12</f>
        <v/>
      </c>
      <c r="KB26" s="12">
        <f>JU26*PriceEssMonthly*JI26+JV26*PricePremMonthly*JI26</f>
        <v/>
      </c>
      <c r="KC26" s="12">
        <f>JS26*PriceEssAnnual*JI26+JT26*PricePremAnnual*JI26</f>
        <v/>
      </c>
      <c r="KD26" s="12">
        <f>JS14*POWER(1-(AnnualChurn*VLOOKUP(JF26,ChurnSeasonTable,4,FALSE)),1)*PriceEssAnnual*JI26+JT14*POWER(1-(AnnualChurn*VLOOKUP(JF26,ChurnSeasonTable,4,FALSE)),1)*PricePremAnnual*JI26</f>
        <v/>
      </c>
      <c r="KE26" s="9">
        <f>KB26+KC26+KD26</f>
        <v/>
      </c>
      <c r="KF26" s="12">
        <f>SUM(KE15:KE26)</f>
        <v/>
      </c>
      <c r="KG26" s="12">
        <f>OR(KG25,KF26&gt;=VATThreshold)</f>
        <v/>
      </c>
      <c r="KH26" s="9">
        <f>IF(KG26,KE26/(1+VATRate),KE26)</f>
        <v/>
      </c>
      <c r="KI26" s="12">
        <f>KE26-KH26</f>
        <v/>
      </c>
      <c r="KJ26" s="12">
        <f>IF(KG26=0,0,IF(JF26=1,SUMPRODUCT(--(($JG$5:$JG26=$JG26-1)*($JF$5:$JF26&gt;=10)*($JF$5:$JF26&lt;=12)),$KI$5:$KI26),IF(JF26=4,SUMPRODUCT(--(($JG$5:$JG26=$JG26)*($JF$5:$JF26&gt;=1)*($JF$5:$JF26&lt;=3)),$KI$5:$KI26),IF(JF26=7,SUMPRODUCT(--(($JG$5:$JG26=$JG26)*($JF$5:$JF26&gt;=4)*($JF$5:$JF26&lt;=6)),$KI$5:$KI26),IF(JF26=10,SUMPRODUCT(--(($JG$5:$JG26=$JG26)*($JF$5:$JF26&gt;=7)*($JF$5:$JF26&lt;=9)),$KI$5:$KI26),0)))))</f>
        <v/>
      </c>
      <c r="KK26" s="12">
        <f>KK25+KI26-KJ26</f>
        <v/>
      </c>
      <c r="KL26" s="12">
        <f>IF(ProviderDelay&gt;=1,KH25*ProviderShare,KH26*ProviderShare)</f>
        <v/>
      </c>
      <c r="KM26" s="12">
        <f>KE26*PaymentFee</f>
        <v/>
      </c>
      <c r="KN26" s="12">
        <f>JY26*OpsAI</f>
        <v/>
      </c>
      <c r="KO26" s="12">
        <f>MonthlyFixed</f>
        <v/>
      </c>
      <c r="KP26" s="12">
        <f>JM26*ReferralReward</f>
        <v/>
      </c>
      <c r="KQ26" s="12">
        <f>JK26</f>
        <v/>
      </c>
      <c r="KR26" s="9">
        <f>KH26-KL26-KM26-KN26-KO26-KP26-KQ26</f>
        <v/>
      </c>
      <c r="KS26" s="9">
        <f>KS25+KE26-(KL26+KM26+KN26+KO26+KP26+KQ26+KJ26)</f>
        <v/>
      </c>
      <c r="KT26" s="12">
        <f>IF(JY26&gt;0,JZ26/JY26,0)</f>
        <v/>
      </c>
      <c r="KU26" s="11">
        <f>IF(JY25&gt;0,MAX(0,(JY25+JN26-JY26)/JY25),0)</f>
        <v/>
      </c>
      <c r="KW26" s="12" t="n">
        <v>22</v>
      </c>
      <c r="KX26" s="12">
        <f>MOD(KW26-1+LaunchMonth-1,12)+1</f>
        <v/>
      </c>
      <c r="KY26" s="12">
        <f>INT((KW26-1+LaunchMonth-1)/12)+1</f>
        <v/>
      </c>
      <c r="KZ26" s="12">
        <f>VLOOKUP(KX26,SeasonTable,2,FALSE)</f>
        <v/>
      </c>
      <c r="LA26" s="12">
        <f>(1+InflationRate)^INT((KW26-1)/12)</f>
        <v/>
      </c>
      <c r="LB26" s="11">
        <f>'Sens - Churn'!$A$17*VLOOKUP(KX26,ChurnSeasonTable,4,FALSE)</f>
        <v/>
      </c>
      <c r="LC26" s="12">
        <f>MIN(MAX(MktMin19plus,LW25*MktPct19plus),MAX(0,MK25-CashBuffer))</f>
        <v/>
      </c>
      <c r="LD26" s="12">
        <f>IF(LC26&gt;0,MAX(1,ROUND(LC26/CAC*KZ26,0)),0)</f>
        <v/>
      </c>
      <c r="LE26" s="12">
        <f>IF(LD26&gt;0,ROUND(LD26*ReferralMix/(1-ReferralMix),0),0)</f>
        <v/>
      </c>
      <c r="LF26" s="12">
        <f>LD26+LE26</f>
        <v/>
      </c>
      <c r="LG26" s="12">
        <f>ROUND(LF26*(1-AnnualMix),0)</f>
        <v/>
      </c>
      <c r="LH26" s="12">
        <f>LF26-LG26</f>
        <v/>
      </c>
      <c r="LI26" s="12">
        <f>ROUND(LG26*EssentialMix,0)</f>
        <v/>
      </c>
      <c r="LJ26" s="12">
        <f>LG26-LI26</f>
        <v/>
      </c>
      <c r="LK26" s="12">
        <f>ROUND(LH26*EssentialMix,0)</f>
        <v/>
      </c>
      <c r="LL26" s="12">
        <f>LH26-LK26</f>
        <v/>
      </c>
      <c r="LM26" s="12">
        <f>LI26+LI25+LI24+MAX(0,LM25-LI25-LI24)*(1-LB26)</f>
        <v/>
      </c>
      <c r="LN26" s="12">
        <f>LJ26+LJ25+LJ24+MAX(0,LN25-LJ25-LJ24)*(1-LB26)</f>
        <v/>
      </c>
      <c r="LO26" s="12">
        <f>LO25+LK26-LK14*(AnnualChurn*VLOOKUP(KX26,ChurnSeasonTable,4,FALSE))*POWER(1-(AnnualChurn*VLOOKUP(KX26,ChurnSeasonTable,4,FALSE)),0)</f>
        <v/>
      </c>
      <c r="LP26" s="12">
        <f>LP25+LL26-LL14*(AnnualChurn*VLOOKUP(KX26,ChurnSeasonTable,4,FALSE))*POWER(1-(AnnualChurn*VLOOKUP(KX26,ChurnSeasonTable,4,FALSE)),0)</f>
        <v/>
      </c>
      <c r="LQ26" s="12">
        <f>LM26+LN26+LO26+LP26</f>
        <v/>
      </c>
      <c r="LR26" s="9">
        <f>LM26*PriceEssMonthly*LA26+LN26*PricePremMonthly*LA26+LO26*PriceEssAnnual*LA26/12+LP26*PricePremAnnual*LA26/12</f>
        <v/>
      </c>
      <c r="LS26" s="9">
        <f>LR26*12</f>
        <v/>
      </c>
      <c r="LT26" s="12">
        <f>LM26*PriceEssMonthly*LA26+LN26*PricePremMonthly*LA26</f>
        <v/>
      </c>
      <c r="LU26" s="12">
        <f>LK26*PriceEssAnnual*LA26+LL26*PricePremAnnual*LA26</f>
        <v/>
      </c>
      <c r="LV26" s="12">
        <f>LK14*POWER(1-(AnnualChurn*VLOOKUP(KX26,ChurnSeasonTable,4,FALSE)),1)*PriceEssAnnual*LA26+LL14*POWER(1-(AnnualChurn*VLOOKUP(KX26,ChurnSeasonTable,4,FALSE)),1)*PricePremAnnual*LA26</f>
        <v/>
      </c>
      <c r="LW26" s="9">
        <f>LT26+LU26+LV26</f>
        <v/>
      </c>
      <c r="LX26" s="12">
        <f>SUM(LW15:LW26)</f>
        <v/>
      </c>
      <c r="LY26" s="12">
        <f>OR(LY25,LX26&gt;=VATThreshold)</f>
        <v/>
      </c>
      <c r="LZ26" s="9">
        <f>IF(LY26,LW26/(1+VATRate),LW26)</f>
        <v/>
      </c>
      <c r="MA26" s="12">
        <f>LW26-LZ26</f>
        <v/>
      </c>
      <c r="MB26" s="12">
        <f>IF(LY26=0,0,IF(KX26=1,SUMPRODUCT(--(($KY$5:$KY26=$KY26-1)*($KX$5:$KX26&gt;=10)*($KX$5:$KX26&lt;=12)),$MA$5:$MA26),IF(KX26=4,SUMPRODUCT(--(($KY$5:$KY26=$KY26)*($KX$5:$KX26&gt;=1)*($KX$5:$KX26&lt;=3)),$MA$5:$MA26),IF(KX26=7,SUMPRODUCT(--(($KY$5:$KY26=$KY26)*($KX$5:$KX26&gt;=4)*($KX$5:$KX26&lt;=6)),$MA$5:$MA26),IF(KX26=10,SUMPRODUCT(--(($KY$5:$KY26=$KY26)*($KX$5:$KX26&gt;=7)*($KX$5:$KX26&lt;=9)),$MA$5:$MA26),0)))))</f>
        <v/>
      </c>
      <c r="MC26" s="12">
        <f>MC25+MA26-MB26</f>
        <v/>
      </c>
      <c r="MD26" s="12">
        <f>IF(ProviderDelay&gt;=1,LZ25*ProviderShare,LZ26*ProviderShare)</f>
        <v/>
      </c>
      <c r="ME26" s="12">
        <f>LW26*PaymentFee</f>
        <v/>
      </c>
      <c r="MF26" s="12">
        <f>LQ26*OpsAI</f>
        <v/>
      </c>
      <c r="MG26" s="12">
        <f>MonthlyFixed</f>
        <v/>
      </c>
      <c r="MH26" s="12">
        <f>LE26*ReferralReward</f>
        <v/>
      </c>
      <c r="MI26" s="12">
        <f>LC26</f>
        <v/>
      </c>
      <c r="MJ26" s="9">
        <f>LZ26-MD26-ME26-MF26-MG26-MH26-MI26</f>
        <v/>
      </c>
      <c r="MK26" s="9">
        <f>MK25+LW26-(MD26+ME26+MF26+MG26+MH26+MI26+MB26)</f>
        <v/>
      </c>
      <c r="ML26" s="12">
        <f>IF(LQ26&gt;0,LR26/LQ26,0)</f>
        <v/>
      </c>
      <c r="MM26" s="11">
        <f>IF(LQ25&gt;0,MAX(0,(LQ25+LF26-LQ26)/LQ25),0)</f>
        <v/>
      </c>
      <c r="MO26" s="12" t="n">
        <v>22</v>
      </c>
      <c r="MP26" s="12">
        <f>MOD(MO26-1+LaunchMonth-1,12)+1</f>
        <v/>
      </c>
      <c r="MQ26" s="12">
        <f>INT((MO26-1+LaunchMonth-1)/12)+1</f>
        <v/>
      </c>
      <c r="MR26" s="12">
        <f>VLOOKUP(MP26,SeasonTable,2,FALSE)</f>
        <v/>
      </c>
      <c r="MS26" s="12">
        <f>(1+InflationRate)^INT((MO26-1)/12)</f>
        <v/>
      </c>
      <c r="MT26" s="11">
        <f>'Sens - Churn'!$A$18*VLOOKUP(MP26,ChurnSeasonTable,4,FALSE)</f>
        <v/>
      </c>
      <c r="MU26" s="12">
        <f>MIN(MAX(MktMin19plus,NO25*MktPct19plus),MAX(0,OC25-CashBuffer))</f>
        <v/>
      </c>
      <c r="MV26" s="12">
        <f>IF(MU26&gt;0,MAX(1,ROUND(MU26/CAC*MR26,0)),0)</f>
        <v/>
      </c>
      <c r="MW26" s="12">
        <f>IF(MV26&gt;0,ROUND(MV26*ReferralMix/(1-ReferralMix),0),0)</f>
        <v/>
      </c>
      <c r="MX26" s="12">
        <f>MV26+MW26</f>
        <v/>
      </c>
      <c r="MY26" s="12">
        <f>ROUND(MX26*(1-AnnualMix),0)</f>
        <v/>
      </c>
      <c r="MZ26" s="12">
        <f>MX26-MY26</f>
        <v/>
      </c>
      <c r="NA26" s="12">
        <f>ROUND(MY26*EssentialMix,0)</f>
        <v/>
      </c>
      <c r="NB26" s="12">
        <f>MY26-NA26</f>
        <v/>
      </c>
      <c r="NC26" s="12">
        <f>ROUND(MZ26*EssentialMix,0)</f>
        <v/>
      </c>
      <c r="ND26" s="12">
        <f>MZ26-NC26</f>
        <v/>
      </c>
      <c r="NE26" s="12">
        <f>NA26+NA25+NA24+MAX(0,NE25-NA25-NA24)*(1-MT26)</f>
        <v/>
      </c>
      <c r="NF26" s="12">
        <f>NB26+NB25+NB24+MAX(0,NF25-NB25-NB24)*(1-MT26)</f>
        <v/>
      </c>
      <c r="NG26" s="12">
        <f>NG25+NC26-NC14*(AnnualChurn*VLOOKUP(MP26,ChurnSeasonTable,4,FALSE))*POWER(1-(AnnualChurn*VLOOKUP(MP26,ChurnSeasonTable,4,FALSE)),0)</f>
        <v/>
      </c>
      <c r="NH26" s="12">
        <f>NH25+ND26-ND14*(AnnualChurn*VLOOKUP(MP26,ChurnSeasonTable,4,FALSE))*POWER(1-(AnnualChurn*VLOOKUP(MP26,ChurnSeasonTable,4,FALSE)),0)</f>
        <v/>
      </c>
      <c r="NI26" s="12">
        <f>NE26+NF26+NG26+NH26</f>
        <v/>
      </c>
      <c r="NJ26" s="9">
        <f>NE26*PriceEssMonthly*MS26+NF26*PricePremMonthly*MS26+NG26*PriceEssAnnual*MS26/12+NH26*PricePremAnnual*MS26/12</f>
        <v/>
      </c>
      <c r="NK26" s="9">
        <f>NJ26*12</f>
        <v/>
      </c>
      <c r="NL26" s="12">
        <f>NE26*PriceEssMonthly*MS26+NF26*PricePremMonthly*MS26</f>
        <v/>
      </c>
      <c r="NM26" s="12">
        <f>NC26*PriceEssAnnual*MS26+ND26*PricePremAnnual*MS26</f>
        <v/>
      </c>
      <c r="NN26" s="12">
        <f>NC14*POWER(1-(AnnualChurn*VLOOKUP(MP26,ChurnSeasonTable,4,FALSE)),1)*PriceEssAnnual*MS26+ND14*POWER(1-(AnnualChurn*VLOOKUP(MP26,ChurnSeasonTable,4,FALSE)),1)*PricePremAnnual*MS26</f>
        <v/>
      </c>
      <c r="NO26" s="9">
        <f>NL26+NM26+NN26</f>
        <v/>
      </c>
      <c r="NP26" s="12">
        <f>SUM(NO15:NO26)</f>
        <v/>
      </c>
      <c r="NQ26" s="12">
        <f>OR(NQ25,NP26&gt;=VATThreshold)</f>
        <v/>
      </c>
      <c r="NR26" s="9">
        <f>IF(NQ26,NO26/(1+VATRate),NO26)</f>
        <v/>
      </c>
      <c r="NS26" s="12">
        <f>NO26-NR26</f>
        <v/>
      </c>
      <c r="NT26" s="12">
        <f>IF(NQ26=0,0,IF(MP26=1,SUMPRODUCT(--(($MQ$5:$MQ26=$MQ26-1)*($MP$5:$MP26&gt;=10)*($MP$5:$MP26&lt;=12)),$NS$5:$NS26),IF(MP26=4,SUMPRODUCT(--(($MQ$5:$MQ26=$MQ26)*($MP$5:$MP26&gt;=1)*($MP$5:$MP26&lt;=3)),$NS$5:$NS26),IF(MP26=7,SUMPRODUCT(--(($MQ$5:$MQ26=$MQ26)*($MP$5:$MP26&gt;=4)*($MP$5:$MP26&lt;=6)),$NS$5:$NS26),IF(MP26=10,SUMPRODUCT(--(($MQ$5:$MQ26=$MQ26)*($MP$5:$MP26&gt;=7)*($MP$5:$MP26&lt;=9)),$NS$5:$NS26),0)))))</f>
        <v/>
      </c>
      <c r="NU26" s="12">
        <f>NU25+NS26-NT26</f>
        <v/>
      </c>
      <c r="NV26" s="12">
        <f>IF(ProviderDelay&gt;=1,NR25*ProviderShare,NR26*ProviderShare)</f>
        <v/>
      </c>
      <c r="NW26" s="12">
        <f>NO26*PaymentFee</f>
        <v/>
      </c>
      <c r="NX26" s="12">
        <f>NI26*OpsAI</f>
        <v/>
      </c>
      <c r="NY26" s="12">
        <f>MonthlyFixed</f>
        <v/>
      </c>
      <c r="NZ26" s="12">
        <f>MW26*ReferralReward</f>
        <v/>
      </c>
      <c r="OA26" s="12">
        <f>MU26</f>
        <v/>
      </c>
      <c r="OB26" s="9">
        <f>NR26-NV26-NW26-NX26-NY26-NZ26-OA26</f>
        <v/>
      </c>
      <c r="OC26" s="9">
        <f>OC25+NO26-(NV26+NW26+NX26+NY26+NZ26+OA26+NT26)</f>
        <v/>
      </c>
      <c r="OD26" s="12">
        <f>IF(NI26&gt;0,NJ26/NI26,0)</f>
        <v/>
      </c>
      <c r="OE26" s="11">
        <f>IF(NI25&gt;0,MAX(0,(NI25+MX26-NI26)/NI25),0)</f>
        <v/>
      </c>
      <c r="OG26" s="12" t="n">
        <v>22</v>
      </c>
      <c r="OH26" s="12">
        <f>MOD(OG26-1+LaunchMonth-1,12)+1</f>
        <v/>
      </c>
      <c r="OI26" s="12">
        <f>INT((OG26-1+LaunchMonth-1)/12)+1</f>
        <v/>
      </c>
      <c r="OJ26" s="12">
        <f>VLOOKUP(OH26,SeasonTable,2,FALSE)</f>
        <v/>
      </c>
      <c r="OK26" s="12">
        <f>(1+InflationRate)^INT((OG26-1)/12)</f>
        <v/>
      </c>
      <c r="OL26" s="11">
        <f>'Sens - Churn'!$A$19*VLOOKUP(OH26,ChurnSeasonTable,4,FALSE)</f>
        <v/>
      </c>
      <c r="OM26" s="12">
        <f>MIN(MAX(MktMin19plus,PG25*MktPct19plus),MAX(0,PU25-CashBuffer))</f>
        <v/>
      </c>
      <c r="ON26" s="12">
        <f>IF(OM26&gt;0,MAX(1,ROUND(OM26/CAC*OJ26,0)),0)</f>
        <v/>
      </c>
      <c r="OO26" s="12">
        <f>IF(ON26&gt;0,ROUND(ON26*ReferralMix/(1-ReferralMix),0),0)</f>
        <v/>
      </c>
      <c r="OP26" s="12">
        <f>ON26+OO26</f>
        <v/>
      </c>
      <c r="OQ26" s="12">
        <f>ROUND(OP26*(1-AnnualMix),0)</f>
        <v/>
      </c>
      <c r="OR26" s="12">
        <f>OP26-OQ26</f>
        <v/>
      </c>
      <c r="OS26" s="12">
        <f>ROUND(OQ26*EssentialMix,0)</f>
        <v/>
      </c>
      <c r="OT26" s="12">
        <f>OQ26-OS26</f>
        <v/>
      </c>
      <c r="OU26" s="12">
        <f>ROUND(OR26*EssentialMix,0)</f>
        <v/>
      </c>
      <c r="OV26" s="12">
        <f>OR26-OU26</f>
        <v/>
      </c>
      <c r="OW26" s="12">
        <f>OS26+OS25+OS24+MAX(0,OW25-OS25-OS24)*(1-OL26)</f>
        <v/>
      </c>
      <c r="OX26" s="12">
        <f>OT26+OT25+OT24+MAX(0,OX25-OT25-OT24)*(1-OL26)</f>
        <v/>
      </c>
      <c r="OY26" s="12">
        <f>OY25+OU26-OU14*(AnnualChurn*VLOOKUP(OH26,ChurnSeasonTable,4,FALSE))*POWER(1-(AnnualChurn*VLOOKUP(OH26,ChurnSeasonTable,4,FALSE)),0)</f>
        <v/>
      </c>
      <c r="OZ26" s="12">
        <f>OZ25+OV26-OV14*(AnnualChurn*VLOOKUP(OH26,ChurnSeasonTable,4,FALSE))*POWER(1-(AnnualChurn*VLOOKUP(OH26,ChurnSeasonTable,4,FALSE)),0)</f>
        <v/>
      </c>
      <c r="PA26" s="12">
        <f>OW26+OX26+OY26+OZ26</f>
        <v/>
      </c>
      <c r="PB26" s="9">
        <f>OW26*PriceEssMonthly*OK26+OX26*PricePremMonthly*OK26+OY26*PriceEssAnnual*OK26/12+OZ26*PricePremAnnual*OK26/12</f>
        <v/>
      </c>
      <c r="PC26" s="9">
        <f>PB26*12</f>
        <v/>
      </c>
      <c r="PD26" s="12">
        <f>OW26*PriceEssMonthly*OK26+OX26*PricePremMonthly*OK26</f>
        <v/>
      </c>
      <c r="PE26" s="12">
        <f>OU26*PriceEssAnnual*OK26+OV26*PricePremAnnual*OK26</f>
        <v/>
      </c>
      <c r="PF26" s="12">
        <f>OU14*POWER(1-(AnnualChurn*VLOOKUP(OH26,ChurnSeasonTable,4,FALSE)),1)*PriceEssAnnual*OK26+OV14*POWER(1-(AnnualChurn*VLOOKUP(OH26,ChurnSeasonTable,4,FALSE)),1)*PricePremAnnual*OK26</f>
        <v/>
      </c>
      <c r="PG26" s="9">
        <f>PD26+PE26+PF26</f>
        <v/>
      </c>
      <c r="PH26" s="12">
        <f>SUM(PG15:PG26)</f>
        <v/>
      </c>
      <c r="PI26" s="12">
        <f>OR(PI25,PH26&gt;=VATThreshold)</f>
        <v/>
      </c>
      <c r="PJ26" s="9">
        <f>IF(PI26,PG26/(1+VATRate),PG26)</f>
        <v/>
      </c>
      <c r="PK26" s="12">
        <f>PG26-PJ26</f>
        <v/>
      </c>
      <c r="PL26" s="12">
        <f>IF(PI26=0,0,IF(OH26=1,SUMPRODUCT(--(($OI$5:$OI26=$OI26-1)*($OH$5:$OH26&gt;=10)*($OH$5:$OH26&lt;=12)),$PK$5:$PK26),IF(OH26=4,SUMPRODUCT(--(($OI$5:$OI26=$OI26)*($OH$5:$OH26&gt;=1)*($OH$5:$OH26&lt;=3)),$PK$5:$PK26),IF(OH26=7,SUMPRODUCT(--(($OI$5:$OI26=$OI26)*($OH$5:$OH26&gt;=4)*($OH$5:$OH26&lt;=6)),$PK$5:$PK26),IF(OH26=10,SUMPRODUCT(--(($OI$5:$OI26=$OI26)*($OH$5:$OH26&gt;=7)*($OH$5:$OH26&lt;=9)),$PK$5:$PK26),0)))))</f>
        <v/>
      </c>
      <c r="PM26" s="12">
        <f>PM25+PK26-PL26</f>
        <v/>
      </c>
      <c r="PN26" s="12">
        <f>IF(ProviderDelay&gt;=1,PJ25*ProviderShare,PJ26*ProviderShare)</f>
        <v/>
      </c>
      <c r="PO26" s="12">
        <f>PG26*PaymentFee</f>
        <v/>
      </c>
      <c r="PP26" s="12">
        <f>PA26*OpsAI</f>
        <v/>
      </c>
      <c r="PQ26" s="12">
        <f>MonthlyFixed</f>
        <v/>
      </c>
      <c r="PR26" s="12">
        <f>OO26*ReferralReward</f>
        <v/>
      </c>
      <c r="PS26" s="12">
        <f>OM26</f>
        <v/>
      </c>
      <c r="PT26" s="9">
        <f>PJ26-PN26-PO26-PP26-PQ26-PR26-PS26</f>
        <v/>
      </c>
      <c r="PU26" s="9">
        <f>PU25+PG26-(PN26+PO26+PP26+PQ26+PR26+PS26+PL26)</f>
        <v/>
      </c>
      <c r="PV26" s="12">
        <f>IF(PA26&gt;0,PB26/PA26,0)</f>
        <v/>
      </c>
      <c r="PW26" s="11">
        <f>IF(PA25&gt;0,MAX(0,(PA25+OP26-PA26)/PA25),0)</f>
        <v/>
      </c>
      <c r="PY26" s="12" t="n">
        <v>22</v>
      </c>
      <c r="PZ26" s="12">
        <f>MOD(PY26-1+LaunchMonth-1,12)+1</f>
        <v/>
      </c>
      <c r="QA26" s="12">
        <f>INT((PY26-1+LaunchMonth-1)/12)+1</f>
        <v/>
      </c>
      <c r="QB26" s="12">
        <f>VLOOKUP(PZ26,SeasonTable,2,FALSE)</f>
        <v/>
      </c>
      <c r="QC26" s="12">
        <f>(1+InflationRate)^INT((PY26-1)/12)</f>
        <v/>
      </c>
      <c r="QD26" s="11">
        <f>'Sens - Churn'!$A$20*VLOOKUP(PZ26,ChurnSeasonTable,4,FALSE)</f>
        <v/>
      </c>
      <c r="QE26" s="12">
        <f>MIN(MAX(MktMin19plus,QY25*MktPct19plus),MAX(0,RM25-CashBuffer))</f>
        <v/>
      </c>
      <c r="QF26" s="12">
        <f>IF(QE26&gt;0,MAX(1,ROUND(QE26/CAC*QB26,0)),0)</f>
        <v/>
      </c>
      <c r="QG26" s="12">
        <f>IF(QF26&gt;0,ROUND(QF26*ReferralMix/(1-ReferralMix),0),0)</f>
        <v/>
      </c>
      <c r="QH26" s="12">
        <f>QF26+QG26</f>
        <v/>
      </c>
      <c r="QI26" s="12">
        <f>ROUND(QH26*(1-AnnualMix),0)</f>
        <v/>
      </c>
      <c r="QJ26" s="12">
        <f>QH26-QI26</f>
        <v/>
      </c>
      <c r="QK26" s="12">
        <f>ROUND(QI26*EssentialMix,0)</f>
        <v/>
      </c>
      <c r="QL26" s="12">
        <f>QI26-QK26</f>
        <v/>
      </c>
      <c r="QM26" s="12">
        <f>ROUND(QJ26*EssentialMix,0)</f>
        <v/>
      </c>
      <c r="QN26" s="12">
        <f>QJ26-QM26</f>
        <v/>
      </c>
      <c r="QO26" s="12">
        <f>QK26+QK25+QK24+MAX(0,QO25-QK25-QK24)*(1-QD26)</f>
        <v/>
      </c>
      <c r="QP26" s="12">
        <f>QL26+QL25+QL24+MAX(0,QP25-QL25-QL24)*(1-QD26)</f>
        <v/>
      </c>
      <c r="QQ26" s="12">
        <f>QQ25+QM26-QM14*(AnnualChurn*VLOOKUP(PZ26,ChurnSeasonTable,4,FALSE))*POWER(1-(AnnualChurn*VLOOKUP(PZ26,ChurnSeasonTable,4,FALSE)),0)</f>
        <v/>
      </c>
      <c r="QR26" s="12">
        <f>QR25+QN26-QN14*(AnnualChurn*VLOOKUP(PZ26,ChurnSeasonTable,4,FALSE))*POWER(1-(AnnualChurn*VLOOKUP(PZ26,ChurnSeasonTable,4,FALSE)),0)</f>
        <v/>
      </c>
      <c r="QS26" s="12">
        <f>QO26+QP26+QQ26+QR26</f>
        <v/>
      </c>
      <c r="QT26" s="9">
        <f>QO26*PriceEssMonthly*QC26+QP26*PricePremMonthly*QC26+QQ26*PriceEssAnnual*QC26/12+QR26*PricePremAnnual*QC26/12</f>
        <v/>
      </c>
      <c r="QU26" s="9">
        <f>QT26*12</f>
        <v/>
      </c>
      <c r="QV26" s="12">
        <f>QO26*PriceEssMonthly*QC26+QP26*PricePremMonthly*QC26</f>
        <v/>
      </c>
      <c r="QW26" s="12">
        <f>QM26*PriceEssAnnual*QC26+QN26*PricePremAnnual*QC26</f>
        <v/>
      </c>
      <c r="QX26" s="12">
        <f>QM14*POWER(1-(AnnualChurn*VLOOKUP(PZ26,ChurnSeasonTable,4,FALSE)),1)*PriceEssAnnual*QC26+QN14*POWER(1-(AnnualChurn*VLOOKUP(PZ26,ChurnSeasonTable,4,FALSE)),1)*PricePremAnnual*QC26</f>
        <v/>
      </c>
      <c r="QY26" s="9">
        <f>QV26+QW26+QX26</f>
        <v/>
      </c>
      <c r="QZ26" s="12">
        <f>SUM(QY15:QY26)</f>
        <v/>
      </c>
      <c r="RA26" s="12">
        <f>OR(RA25,QZ26&gt;=VATThreshold)</f>
        <v/>
      </c>
      <c r="RB26" s="9">
        <f>IF(RA26,QY26/(1+VATRate),QY26)</f>
        <v/>
      </c>
      <c r="RC26" s="12">
        <f>QY26-RB26</f>
        <v/>
      </c>
      <c r="RD26" s="12">
        <f>IF(RA26=0,0,IF(PZ26=1,SUMPRODUCT(--(($QA$5:$QA26=$QA26-1)*($PZ$5:$PZ26&gt;=10)*($PZ$5:$PZ26&lt;=12)),$RC$5:$RC26),IF(PZ26=4,SUMPRODUCT(--(($QA$5:$QA26=$QA26)*($PZ$5:$PZ26&gt;=1)*($PZ$5:$PZ26&lt;=3)),$RC$5:$RC26),IF(PZ26=7,SUMPRODUCT(--(($QA$5:$QA26=$QA26)*($PZ$5:$PZ26&gt;=4)*($PZ$5:$PZ26&lt;=6)),$RC$5:$RC26),IF(PZ26=10,SUMPRODUCT(--(($QA$5:$QA26=$QA26)*($PZ$5:$PZ26&gt;=7)*($PZ$5:$PZ26&lt;=9)),$RC$5:$RC26),0)))))</f>
        <v/>
      </c>
      <c r="RE26" s="12">
        <f>RE25+RC26-RD26</f>
        <v/>
      </c>
      <c r="RF26" s="12">
        <f>IF(ProviderDelay&gt;=1,RB25*ProviderShare,RB26*ProviderShare)</f>
        <v/>
      </c>
      <c r="RG26" s="12">
        <f>QY26*PaymentFee</f>
        <v/>
      </c>
      <c r="RH26" s="12">
        <f>QS26*OpsAI</f>
        <v/>
      </c>
      <c r="RI26" s="12">
        <f>MonthlyFixed</f>
        <v/>
      </c>
      <c r="RJ26" s="12">
        <f>QG26*ReferralReward</f>
        <v/>
      </c>
      <c r="RK26" s="12">
        <f>QE26</f>
        <v/>
      </c>
      <c r="RL26" s="9">
        <f>RB26-RF26-RG26-RH26-RI26-RJ26-RK26</f>
        <v/>
      </c>
      <c r="RM26" s="9">
        <f>RM25+QY26-(RF26+RG26+RH26+RI26+RJ26+RK26+RD26)</f>
        <v/>
      </c>
      <c r="RN26" s="12">
        <f>IF(QS26&gt;0,QT26/QS26,0)</f>
        <v/>
      </c>
      <c r="RO26" s="11">
        <f>IF(QS25&gt;0,MAX(0,(QS25+QH26-QS26)/QS25),0)</f>
        <v/>
      </c>
      <c r="RQ26" s="12" t="n">
        <v>22</v>
      </c>
      <c r="RR26" s="12">
        <f>MOD(RQ26-1+LaunchMonth-1,12)+1</f>
        <v/>
      </c>
      <c r="RS26" s="12">
        <f>INT((RQ26-1+LaunchMonth-1)/12)+1</f>
        <v/>
      </c>
      <c r="RT26" s="12">
        <f>VLOOKUP(RR26,SeasonTable,2,FALSE)</f>
        <v/>
      </c>
      <c r="RU26" s="12">
        <f>(1+InflationRate)^INT((RQ26-1)/12)</f>
        <v/>
      </c>
      <c r="RV26" s="11">
        <f>'Sens - Churn'!$A$21*VLOOKUP(RR26,ChurnSeasonTable,4,FALSE)</f>
        <v/>
      </c>
      <c r="RW26" s="12">
        <f>MIN(MAX(MktMin19plus,SQ25*MktPct19plus),MAX(0,TE25-CashBuffer))</f>
        <v/>
      </c>
      <c r="RX26" s="12">
        <f>IF(RW26&gt;0,MAX(1,ROUND(RW26/CAC*RT26,0)),0)</f>
        <v/>
      </c>
      <c r="RY26" s="12">
        <f>IF(RX26&gt;0,ROUND(RX26*ReferralMix/(1-ReferralMix),0),0)</f>
        <v/>
      </c>
      <c r="RZ26" s="12">
        <f>RX26+RY26</f>
        <v/>
      </c>
      <c r="SA26" s="12">
        <f>ROUND(RZ26*(1-AnnualMix),0)</f>
        <v/>
      </c>
      <c r="SB26" s="12">
        <f>RZ26-SA26</f>
        <v/>
      </c>
      <c r="SC26" s="12">
        <f>ROUND(SA26*EssentialMix,0)</f>
        <v/>
      </c>
      <c r="SD26" s="12">
        <f>SA26-SC26</f>
        <v/>
      </c>
      <c r="SE26" s="12">
        <f>ROUND(SB26*EssentialMix,0)</f>
        <v/>
      </c>
      <c r="SF26" s="12">
        <f>SB26-SE26</f>
        <v/>
      </c>
      <c r="SG26" s="12">
        <f>SC26+SC25+SC24+MAX(0,SG25-SC25-SC24)*(1-RV26)</f>
        <v/>
      </c>
      <c r="SH26" s="12">
        <f>SD26+SD25+SD24+MAX(0,SH25-SD25-SD24)*(1-RV26)</f>
        <v/>
      </c>
      <c r="SI26" s="12">
        <f>SI25+SE26-SE14*(AnnualChurn*VLOOKUP(RR26,ChurnSeasonTable,4,FALSE))*POWER(1-(AnnualChurn*VLOOKUP(RR26,ChurnSeasonTable,4,FALSE)),0)</f>
        <v/>
      </c>
      <c r="SJ26" s="12">
        <f>SJ25+SF26-SF14*(AnnualChurn*VLOOKUP(RR26,ChurnSeasonTable,4,FALSE))*POWER(1-(AnnualChurn*VLOOKUP(RR26,ChurnSeasonTable,4,FALSE)),0)</f>
        <v/>
      </c>
      <c r="SK26" s="12">
        <f>SG26+SH26+SI26+SJ26</f>
        <v/>
      </c>
      <c r="SL26" s="9">
        <f>SG26*PriceEssMonthly*RU26+SH26*PricePremMonthly*RU26+SI26*PriceEssAnnual*RU26/12+SJ26*PricePremAnnual*RU26/12</f>
        <v/>
      </c>
      <c r="SM26" s="9">
        <f>SL26*12</f>
        <v/>
      </c>
      <c r="SN26" s="12">
        <f>SG26*PriceEssMonthly*RU26+SH26*PricePremMonthly*RU26</f>
        <v/>
      </c>
      <c r="SO26" s="12">
        <f>SE26*PriceEssAnnual*RU26+SF26*PricePremAnnual*RU26</f>
        <v/>
      </c>
      <c r="SP26" s="12">
        <f>SE14*POWER(1-(AnnualChurn*VLOOKUP(RR26,ChurnSeasonTable,4,FALSE)),1)*PriceEssAnnual*RU26+SF14*POWER(1-(AnnualChurn*VLOOKUP(RR26,ChurnSeasonTable,4,FALSE)),1)*PricePremAnnual*RU26</f>
        <v/>
      </c>
      <c r="SQ26" s="9">
        <f>SN26+SO26+SP26</f>
        <v/>
      </c>
      <c r="SR26" s="12">
        <f>SUM(SQ15:SQ26)</f>
        <v/>
      </c>
      <c r="SS26" s="12">
        <f>OR(SS25,SR26&gt;=VATThreshold)</f>
        <v/>
      </c>
      <c r="ST26" s="9">
        <f>IF(SS26,SQ26/(1+VATRate),SQ26)</f>
        <v/>
      </c>
      <c r="SU26" s="12">
        <f>SQ26-ST26</f>
        <v/>
      </c>
      <c r="SV26" s="12">
        <f>IF(SS26=0,0,IF(RR26=1,SUMPRODUCT(--(($RS$5:$RS26=$RS26-1)*($RR$5:$RR26&gt;=10)*($RR$5:$RR26&lt;=12)),$SU$5:$SU26),IF(RR26=4,SUMPRODUCT(--(($RS$5:$RS26=$RS26)*($RR$5:$RR26&gt;=1)*($RR$5:$RR26&lt;=3)),$SU$5:$SU26),IF(RR26=7,SUMPRODUCT(--(($RS$5:$RS26=$RS26)*($RR$5:$RR26&gt;=4)*($RR$5:$RR26&lt;=6)),$SU$5:$SU26),IF(RR26=10,SUMPRODUCT(--(($RS$5:$RS26=$RS26)*($RR$5:$RR26&gt;=7)*($RR$5:$RR26&lt;=9)),$SU$5:$SU26),0)))))</f>
        <v/>
      </c>
      <c r="SW26" s="12">
        <f>SW25+SU26-SV26</f>
        <v/>
      </c>
      <c r="SX26" s="12">
        <f>IF(ProviderDelay&gt;=1,ST25*ProviderShare,ST26*ProviderShare)</f>
        <v/>
      </c>
      <c r="SY26" s="12">
        <f>SQ26*PaymentFee</f>
        <v/>
      </c>
      <c r="SZ26" s="12">
        <f>SK26*OpsAI</f>
        <v/>
      </c>
      <c r="TA26" s="12">
        <f>MonthlyFixed</f>
        <v/>
      </c>
      <c r="TB26" s="12">
        <f>RY26*ReferralReward</f>
        <v/>
      </c>
      <c r="TC26" s="12">
        <f>RW26</f>
        <v/>
      </c>
      <c r="TD26" s="9">
        <f>ST26-SX26-SY26-SZ26-TA26-TB26-TC26</f>
        <v/>
      </c>
      <c r="TE26" s="9">
        <f>TE25+SQ26-(SX26+SY26+SZ26+TA26+TB26+TC26+SV26)</f>
        <v/>
      </c>
      <c r="TF26" s="12">
        <f>IF(SK26&gt;0,SL26/SK26,0)</f>
        <v/>
      </c>
      <c r="TG26" s="11">
        <f>IF(SK25&gt;0,MAX(0,(SK25+RZ26-SK26)/SK25),0)</f>
        <v/>
      </c>
      <c r="TI26" s="12" t="n">
        <v>22</v>
      </c>
      <c r="TJ26" s="12">
        <f>MOD(TI26-1+LaunchMonth-1,12)+1</f>
        <v/>
      </c>
      <c r="TK26" s="12">
        <f>INT((TI26-1+LaunchMonth-1)/12)+1</f>
        <v/>
      </c>
      <c r="TL26" s="12">
        <f>VLOOKUP(TJ26,SeasonTable,2,FALSE)</f>
        <v/>
      </c>
      <c r="TM26" s="12">
        <f>(1+InflationRate)^INT((TI26-1)/12)</f>
        <v/>
      </c>
      <c r="TN26" s="11">
        <f>MonthlyChurn*VLOOKUP(TJ26,ChurnSeasonTable,4,FALSE)</f>
        <v/>
      </c>
      <c r="TO26" s="12">
        <f>MIN(MAX(MktMin19plus,UI25*MktPct19plus),MAX(0,UW25-CashBuffer))</f>
        <v/>
      </c>
      <c r="TP26" s="12">
        <f>IF(TO26&gt;0,MAX(1,ROUND(TO26/CAC*TL26,0)),0)</f>
        <v/>
      </c>
      <c r="TQ26" s="12">
        <f>IF(TP26&gt;0,ROUND(TP26*ReferralMix/(1-ReferralMix),0),0)</f>
        <v/>
      </c>
      <c r="TR26" s="12">
        <f>TP26+TQ26</f>
        <v/>
      </c>
      <c r="TS26" s="12">
        <f>ROUND(TR26*(1-'Sens - Annual Mix'!$A$9),0)</f>
        <v/>
      </c>
      <c r="TT26" s="12">
        <f>TR26-TS26</f>
        <v/>
      </c>
      <c r="TU26" s="12">
        <f>ROUND(TS26*EssentialMix,0)</f>
        <v/>
      </c>
      <c r="TV26" s="12">
        <f>TS26-TU26</f>
        <v/>
      </c>
      <c r="TW26" s="12">
        <f>ROUND(TT26*EssentialMix,0)</f>
        <v/>
      </c>
      <c r="TX26" s="12">
        <f>TT26-TW26</f>
        <v/>
      </c>
      <c r="TY26" s="12">
        <f>TU26+TU25+TU24+MAX(0,TY25-TU25-TU24)*(1-TN26)</f>
        <v/>
      </c>
      <c r="TZ26" s="12">
        <f>TV26+TV25+TV24+MAX(0,TZ25-TV25-TV24)*(1-TN26)</f>
        <v/>
      </c>
      <c r="UA26" s="12">
        <f>UA25+TW26-TW14*(AnnualChurn*VLOOKUP(TJ26,ChurnSeasonTable,4,FALSE))*POWER(1-(AnnualChurn*VLOOKUP(TJ26,ChurnSeasonTable,4,FALSE)),0)</f>
        <v/>
      </c>
      <c r="UB26" s="12">
        <f>UB25+TX26-TX14*(AnnualChurn*VLOOKUP(TJ26,ChurnSeasonTable,4,FALSE))*POWER(1-(AnnualChurn*VLOOKUP(TJ26,ChurnSeasonTable,4,FALSE)),0)</f>
        <v/>
      </c>
      <c r="UC26" s="12">
        <f>TY26+TZ26+UA26+UB26</f>
        <v/>
      </c>
      <c r="UD26" s="9">
        <f>TY26*PriceEssMonthly*TM26+TZ26*PricePremMonthly*TM26+UA26*PriceEssAnnual*TM26/12+UB26*PricePremAnnual*TM26/12</f>
        <v/>
      </c>
      <c r="UE26" s="9">
        <f>UD26*12</f>
        <v/>
      </c>
      <c r="UF26" s="12">
        <f>TY26*PriceEssMonthly*TM26+TZ26*PricePremMonthly*TM26</f>
        <v/>
      </c>
      <c r="UG26" s="12">
        <f>TW26*PriceEssAnnual*TM26+TX26*PricePremAnnual*TM26</f>
        <v/>
      </c>
      <c r="UH26" s="12">
        <f>TW14*POWER(1-(AnnualChurn*VLOOKUP(TJ26,ChurnSeasonTable,4,FALSE)),1)*PriceEssAnnual*TM26+TX14*POWER(1-(AnnualChurn*VLOOKUP(TJ26,ChurnSeasonTable,4,FALSE)),1)*PricePremAnnual*TM26</f>
        <v/>
      </c>
      <c r="UI26" s="9">
        <f>UF26+UG26+UH26</f>
        <v/>
      </c>
      <c r="UJ26" s="12">
        <f>SUM(UI15:UI26)</f>
        <v/>
      </c>
      <c r="UK26" s="12">
        <f>OR(UK25,UJ26&gt;=VATThreshold)</f>
        <v/>
      </c>
      <c r="UL26" s="9">
        <f>IF(UK26,UI26/(1+VATRate),UI26)</f>
        <v/>
      </c>
      <c r="UM26" s="12">
        <f>UI26-UL26</f>
        <v/>
      </c>
      <c r="UN26" s="12">
        <f>IF(UK26=0,0,IF(TJ26=1,SUMPRODUCT(--(($TK$5:$TK26=$TK26-1)*($TJ$5:$TJ26&gt;=10)*($TJ$5:$TJ26&lt;=12)),$UM$5:$UM26),IF(TJ26=4,SUMPRODUCT(--(($TK$5:$TK26=$TK26)*($TJ$5:$TJ26&gt;=1)*($TJ$5:$TJ26&lt;=3)),$UM$5:$UM26),IF(TJ26=7,SUMPRODUCT(--(($TK$5:$TK26=$TK26)*($TJ$5:$TJ26&gt;=4)*($TJ$5:$TJ26&lt;=6)),$UM$5:$UM26),IF(TJ26=10,SUMPRODUCT(--(($TK$5:$TK26=$TK26)*($TJ$5:$TJ26&gt;=7)*($TJ$5:$TJ26&lt;=9)),$UM$5:$UM26),0)))))</f>
        <v/>
      </c>
      <c r="UO26" s="12">
        <f>UO25+UM26-UN26</f>
        <v/>
      </c>
      <c r="UP26" s="12">
        <f>IF(ProviderDelay&gt;=1,UL25*ProviderShare,UL26*ProviderShare)</f>
        <v/>
      </c>
      <c r="UQ26" s="12">
        <f>UI26*PaymentFee</f>
        <v/>
      </c>
      <c r="UR26" s="12">
        <f>UC26*OpsAI</f>
        <v/>
      </c>
      <c r="US26" s="12">
        <f>MonthlyFixed</f>
        <v/>
      </c>
      <c r="UT26" s="12">
        <f>TQ26*ReferralReward</f>
        <v/>
      </c>
      <c r="UU26" s="12">
        <f>TO26</f>
        <v/>
      </c>
      <c r="UV26" s="9">
        <f>UL26-UP26-UQ26-UR26-US26-UT26-UU26</f>
        <v/>
      </c>
      <c r="UW26" s="9">
        <f>UW25+UI26-(UP26+UQ26+UR26+US26+UT26+UU26+UN26)</f>
        <v/>
      </c>
      <c r="UX26" s="12">
        <f>IF(UC26&gt;0,UD26/UC26,0)</f>
        <v/>
      </c>
      <c r="UY26" s="11">
        <f>IF(UC25&gt;0,MAX(0,(UC25+TR26-UC26)/UC25),0)</f>
        <v/>
      </c>
      <c r="VA26" s="12" t="n">
        <v>22</v>
      </c>
      <c r="VB26" s="12">
        <f>MOD(VA26-1+LaunchMonth-1,12)+1</f>
        <v/>
      </c>
      <c r="VC26" s="12">
        <f>INT((VA26-1+LaunchMonth-1)/12)+1</f>
        <v/>
      </c>
      <c r="VD26" s="12">
        <f>VLOOKUP(VB26,SeasonTable,2,FALSE)</f>
        <v/>
      </c>
      <c r="VE26" s="12">
        <f>(1+InflationRate)^INT((VA26-1)/12)</f>
        <v/>
      </c>
      <c r="VF26" s="11">
        <f>MonthlyChurn*VLOOKUP(VB26,ChurnSeasonTable,4,FALSE)</f>
        <v/>
      </c>
      <c r="VG26" s="12">
        <f>MIN(MAX(MktMin19plus,WA25*MktPct19plus),MAX(0,WO25-CashBuffer))</f>
        <v/>
      </c>
      <c r="VH26" s="12">
        <f>IF(VG26&gt;0,MAX(1,ROUND(VG26/CAC*VD26,0)),0)</f>
        <v/>
      </c>
      <c r="VI26" s="12">
        <f>IF(VH26&gt;0,ROUND(VH26*ReferralMix/(1-ReferralMix),0),0)</f>
        <v/>
      </c>
      <c r="VJ26" s="12">
        <f>VH26+VI26</f>
        <v/>
      </c>
      <c r="VK26" s="12">
        <f>ROUND(VJ26*(1-'Sens - Annual Mix'!$A$10),0)</f>
        <v/>
      </c>
      <c r="VL26" s="12">
        <f>VJ26-VK26</f>
        <v/>
      </c>
      <c r="VM26" s="12">
        <f>ROUND(VK26*EssentialMix,0)</f>
        <v/>
      </c>
      <c r="VN26" s="12">
        <f>VK26-VM26</f>
        <v/>
      </c>
      <c r="VO26" s="12">
        <f>ROUND(VL26*EssentialMix,0)</f>
        <v/>
      </c>
      <c r="VP26" s="12">
        <f>VL26-VO26</f>
        <v/>
      </c>
      <c r="VQ26" s="12">
        <f>VM26+VM25+VM24+MAX(0,VQ25-VM25-VM24)*(1-VF26)</f>
        <v/>
      </c>
      <c r="VR26" s="12">
        <f>VN26+VN25+VN24+MAX(0,VR25-VN25-VN24)*(1-VF26)</f>
        <v/>
      </c>
      <c r="VS26" s="12">
        <f>VS25+VO26-VO14*(AnnualChurn*VLOOKUP(VB26,ChurnSeasonTable,4,FALSE))*POWER(1-(AnnualChurn*VLOOKUP(VB26,ChurnSeasonTable,4,FALSE)),0)</f>
        <v/>
      </c>
      <c r="VT26" s="12">
        <f>VT25+VP26-VP14*(AnnualChurn*VLOOKUP(VB26,ChurnSeasonTable,4,FALSE))*POWER(1-(AnnualChurn*VLOOKUP(VB26,ChurnSeasonTable,4,FALSE)),0)</f>
        <v/>
      </c>
      <c r="VU26" s="12">
        <f>VQ26+VR26+VS26+VT26</f>
        <v/>
      </c>
      <c r="VV26" s="9">
        <f>VQ26*PriceEssMonthly*VE26+VR26*PricePremMonthly*VE26+VS26*PriceEssAnnual*VE26/12+VT26*PricePremAnnual*VE26/12</f>
        <v/>
      </c>
      <c r="VW26" s="9">
        <f>VV26*12</f>
        <v/>
      </c>
      <c r="VX26" s="12">
        <f>VQ26*PriceEssMonthly*VE26+VR26*PricePremMonthly*VE26</f>
        <v/>
      </c>
      <c r="VY26" s="12">
        <f>VO26*PriceEssAnnual*VE26+VP26*PricePremAnnual*VE26</f>
        <v/>
      </c>
      <c r="VZ26" s="12">
        <f>VO14*POWER(1-(AnnualChurn*VLOOKUP(VB26,ChurnSeasonTable,4,FALSE)),1)*PriceEssAnnual*VE26+VP14*POWER(1-(AnnualChurn*VLOOKUP(VB26,ChurnSeasonTable,4,FALSE)),1)*PricePremAnnual*VE26</f>
        <v/>
      </c>
      <c r="WA26" s="9">
        <f>VX26+VY26+VZ26</f>
        <v/>
      </c>
      <c r="WB26" s="12">
        <f>SUM(WA15:WA26)</f>
        <v/>
      </c>
      <c r="WC26" s="12">
        <f>OR(WC25,WB26&gt;=VATThreshold)</f>
        <v/>
      </c>
      <c r="WD26" s="9">
        <f>IF(WC26,WA26/(1+VATRate),WA26)</f>
        <v/>
      </c>
      <c r="WE26" s="12">
        <f>WA26-WD26</f>
        <v/>
      </c>
      <c r="WF26" s="12">
        <f>IF(WC26=0,0,IF(VB26=1,SUMPRODUCT(--(($VC$5:$VC26=$VC26-1)*($VB$5:$VB26&gt;=10)*($VB$5:$VB26&lt;=12)),$WE$5:$WE26),IF(VB26=4,SUMPRODUCT(--(($VC$5:$VC26=$VC26)*($VB$5:$VB26&gt;=1)*($VB$5:$VB26&lt;=3)),$WE$5:$WE26),IF(VB26=7,SUMPRODUCT(--(($VC$5:$VC26=$VC26)*($VB$5:$VB26&gt;=4)*($VB$5:$VB26&lt;=6)),$WE$5:$WE26),IF(VB26=10,SUMPRODUCT(--(($VC$5:$VC26=$VC26)*($VB$5:$VB26&gt;=7)*($VB$5:$VB26&lt;=9)),$WE$5:$WE26),0)))))</f>
        <v/>
      </c>
      <c r="WG26" s="12">
        <f>WG25+WE26-WF26</f>
        <v/>
      </c>
      <c r="WH26" s="12">
        <f>IF(ProviderDelay&gt;=1,WD25*ProviderShare,WD26*ProviderShare)</f>
        <v/>
      </c>
      <c r="WI26" s="12">
        <f>WA26*PaymentFee</f>
        <v/>
      </c>
      <c r="WJ26" s="12">
        <f>VU26*OpsAI</f>
        <v/>
      </c>
      <c r="WK26" s="12">
        <f>MonthlyFixed</f>
        <v/>
      </c>
      <c r="WL26" s="12">
        <f>VI26*ReferralReward</f>
        <v/>
      </c>
      <c r="WM26" s="12">
        <f>VG26</f>
        <v/>
      </c>
      <c r="WN26" s="9">
        <f>WD26-WH26-WI26-WJ26-WK26-WL26-WM26</f>
        <v/>
      </c>
      <c r="WO26" s="9">
        <f>WO25+WA26-(WH26+WI26+WJ26+WK26+WL26+WM26+WF26)</f>
        <v/>
      </c>
      <c r="WP26" s="12">
        <f>IF(VU26&gt;0,VV26/VU26,0)</f>
        <v/>
      </c>
      <c r="WQ26" s="11">
        <f>IF(VU25&gt;0,MAX(0,(VU25+VJ26-VU26)/VU25),0)</f>
        <v/>
      </c>
      <c r="WS26" s="12" t="n">
        <v>22</v>
      </c>
      <c r="WT26" s="12">
        <f>MOD(WS26-1+LaunchMonth-1,12)+1</f>
        <v/>
      </c>
      <c r="WU26" s="12">
        <f>INT((WS26-1+LaunchMonth-1)/12)+1</f>
        <v/>
      </c>
      <c r="WV26" s="12">
        <f>VLOOKUP(WT26,SeasonTable,2,FALSE)</f>
        <v/>
      </c>
      <c r="WW26" s="12">
        <f>(1+InflationRate)^INT((WS26-1)/12)</f>
        <v/>
      </c>
      <c r="WX26" s="11">
        <f>MonthlyChurn*VLOOKUP(WT26,ChurnSeasonTable,4,FALSE)</f>
        <v/>
      </c>
      <c r="WY26" s="12">
        <f>MIN(MAX(MktMin19plus,XS25*MktPct19plus),MAX(0,YG25-CashBuffer))</f>
        <v/>
      </c>
      <c r="WZ26" s="12">
        <f>IF(WY26&gt;0,MAX(1,ROUND(WY26/CAC*WV26,0)),0)</f>
        <v/>
      </c>
      <c r="XA26" s="12">
        <f>IF(WZ26&gt;0,ROUND(WZ26*ReferralMix/(1-ReferralMix),0),0)</f>
        <v/>
      </c>
      <c r="XB26" s="12">
        <f>WZ26+XA26</f>
        <v/>
      </c>
      <c r="XC26" s="12">
        <f>ROUND(XB26*(1-'Sens - Annual Mix'!$A$11),0)</f>
        <v/>
      </c>
      <c r="XD26" s="12">
        <f>XB26-XC26</f>
        <v/>
      </c>
      <c r="XE26" s="12">
        <f>ROUND(XC26*EssentialMix,0)</f>
        <v/>
      </c>
      <c r="XF26" s="12">
        <f>XC26-XE26</f>
        <v/>
      </c>
      <c r="XG26" s="12">
        <f>ROUND(XD26*EssentialMix,0)</f>
        <v/>
      </c>
      <c r="XH26" s="12">
        <f>XD26-XG26</f>
        <v/>
      </c>
      <c r="XI26" s="12">
        <f>XE26+XE25+XE24+MAX(0,XI25-XE25-XE24)*(1-WX26)</f>
        <v/>
      </c>
      <c r="XJ26" s="12">
        <f>XF26+XF25+XF24+MAX(0,XJ25-XF25-XF24)*(1-WX26)</f>
        <v/>
      </c>
      <c r="XK26" s="12">
        <f>XK25+XG26-XG14*(AnnualChurn*VLOOKUP(WT26,ChurnSeasonTable,4,FALSE))*POWER(1-(AnnualChurn*VLOOKUP(WT26,ChurnSeasonTable,4,FALSE)),0)</f>
        <v/>
      </c>
      <c r="XL26" s="12">
        <f>XL25+XH26-XH14*(AnnualChurn*VLOOKUP(WT26,ChurnSeasonTable,4,FALSE))*POWER(1-(AnnualChurn*VLOOKUP(WT26,ChurnSeasonTable,4,FALSE)),0)</f>
        <v/>
      </c>
      <c r="XM26" s="12">
        <f>XI26+XJ26+XK26+XL26</f>
        <v/>
      </c>
      <c r="XN26" s="9">
        <f>XI26*PriceEssMonthly*WW26+XJ26*PricePremMonthly*WW26+XK26*PriceEssAnnual*WW26/12+XL26*PricePremAnnual*WW26/12</f>
        <v/>
      </c>
      <c r="XO26" s="9">
        <f>XN26*12</f>
        <v/>
      </c>
      <c r="XP26" s="12">
        <f>XI26*PriceEssMonthly*WW26+XJ26*PricePremMonthly*WW26</f>
        <v/>
      </c>
      <c r="XQ26" s="12">
        <f>XG26*PriceEssAnnual*WW26+XH26*PricePremAnnual*WW26</f>
        <v/>
      </c>
      <c r="XR26" s="12">
        <f>XG14*POWER(1-(AnnualChurn*VLOOKUP(WT26,ChurnSeasonTable,4,FALSE)),1)*PriceEssAnnual*WW26+XH14*POWER(1-(AnnualChurn*VLOOKUP(WT26,ChurnSeasonTable,4,FALSE)),1)*PricePremAnnual*WW26</f>
        <v/>
      </c>
      <c r="XS26" s="9">
        <f>XP26+XQ26+XR26</f>
        <v/>
      </c>
      <c r="XT26" s="12">
        <f>SUM(XS15:XS26)</f>
        <v/>
      </c>
      <c r="XU26" s="12">
        <f>OR(XU25,XT26&gt;=VATThreshold)</f>
        <v/>
      </c>
      <c r="XV26" s="9">
        <f>IF(XU26,XS26/(1+VATRate),XS26)</f>
        <v/>
      </c>
      <c r="XW26" s="12">
        <f>XS26-XV26</f>
        <v/>
      </c>
      <c r="XX26" s="12">
        <f>IF(XU26=0,0,IF(WT26=1,SUMPRODUCT(--(($WU$5:$WU26=$WU26-1)*($WT$5:$WT26&gt;=10)*($WT$5:$WT26&lt;=12)),$XW$5:$XW26),IF(WT26=4,SUMPRODUCT(--(($WU$5:$WU26=$WU26)*($WT$5:$WT26&gt;=1)*($WT$5:$WT26&lt;=3)),$XW$5:$XW26),IF(WT26=7,SUMPRODUCT(--(($WU$5:$WU26=$WU26)*($WT$5:$WT26&gt;=4)*($WT$5:$WT26&lt;=6)),$XW$5:$XW26),IF(WT26=10,SUMPRODUCT(--(($WU$5:$WU26=$WU26)*($WT$5:$WT26&gt;=7)*($WT$5:$WT26&lt;=9)),$XW$5:$XW26),0)))))</f>
        <v/>
      </c>
      <c r="XY26" s="12">
        <f>XY25+XW26-XX26</f>
        <v/>
      </c>
      <c r="XZ26" s="12">
        <f>IF(ProviderDelay&gt;=1,XV25*ProviderShare,XV26*ProviderShare)</f>
        <v/>
      </c>
      <c r="YA26" s="12">
        <f>XS26*PaymentFee</f>
        <v/>
      </c>
      <c r="YB26" s="12">
        <f>XM26*OpsAI</f>
        <v/>
      </c>
      <c r="YC26" s="12">
        <f>MonthlyFixed</f>
        <v/>
      </c>
      <c r="YD26" s="12">
        <f>XA26*ReferralReward</f>
        <v/>
      </c>
      <c r="YE26" s="12">
        <f>WY26</f>
        <v/>
      </c>
      <c r="YF26" s="9">
        <f>XV26-XZ26-YA26-YB26-YC26-YD26-YE26</f>
        <v/>
      </c>
      <c r="YG26" s="9">
        <f>YG25+XS26-(XZ26+YA26+YB26+YC26+YD26+YE26+XX26)</f>
        <v/>
      </c>
      <c r="YH26" s="12">
        <f>IF(XM26&gt;0,XN26/XM26,0)</f>
        <v/>
      </c>
      <c r="YI26" s="11">
        <f>IF(XM25&gt;0,MAX(0,(XM25+XB26-XM26)/XM25),0)</f>
        <v/>
      </c>
      <c r="YK26" s="12" t="n">
        <v>22</v>
      </c>
      <c r="YL26" s="12">
        <f>MOD(YK26-1+LaunchMonth-1,12)+1</f>
        <v/>
      </c>
      <c r="YM26" s="12">
        <f>INT((YK26-1+LaunchMonth-1)/12)+1</f>
        <v/>
      </c>
      <c r="YN26" s="12">
        <f>VLOOKUP(YL26,SeasonTable,2,FALSE)</f>
        <v/>
      </c>
      <c r="YO26" s="12">
        <f>(1+InflationRate)^INT((YK26-1)/12)</f>
        <v/>
      </c>
      <c r="YP26" s="11">
        <f>MonthlyChurn*VLOOKUP(YL26,ChurnSeasonTable,4,FALSE)</f>
        <v/>
      </c>
      <c r="YQ26" s="12">
        <f>MIN(MAX(MktMin19plus,ZK25*MktPct19plus),MAX(0,ZY25-CashBuffer))</f>
        <v/>
      </c>
      <c r="YR26" s="12">
        <f>IF(YQ26&gt;0,MAX(1,ROUND(YQ26/CAC*YN26,0)),0)</f>
        <v/>
      </c>
      <c r="YS26" s="12">
        <f>IF(YR26&gt;0,ROUND(YR26*ReferralMix/(1-ReferralMix),0),0)</f>
        <v/>
      </c>
      <c r="YT26" s="12">
        <f>YR26+YS26</f>
        <v/>
      </c>
      <c r="YU26" s="12">
        <f>ROUND(YT26*(1-'Sens - Annual Mix'!$A$12),0)</f>
        <v/>
      </c>
      <c r="YV26" s="12">
        <f>YT26-YU26</f>
        <v/>
      </c>
      <c r="YW26" s="12">
        <f>ROUND(YU26*EssentialMix,0)</f>
        <v/>
      </c>
      <c r="YX26" s="12">
        <f>YU26-YW26</f>
        <v/>
      </c>
      <c r="YY26" s="12">
        <f>ROUND(YV26*EssentialMix,0)</f>
        <v/>
      </c>
      <c r="YZ26" s="12">
        <f>YV26-YY26</f>
        <v/>
      </c>
      <c r="ZA26" s="12">
        <f>YW26+YW25+YW24+MAX(0,ZA25-YW25-YW24)*(1-YP26)</f>
        <v/>
      </c>
      <c r="ZB26" s="12">
        <f>YX26+YX25+YX24+MAX(0,ZB25-YX25-YX24)*(1-YP26)</f>
        <v/>
      </c>
      <c r="ZC26" s="12">
        <f>ZC25+YY26-YY14*(AnnualChurn*VLOOKUP(YL26,ChurnSeasonTable,4,FALSE))*POWER(1-(AnnualChurn*VLOOKUP(YL26,ChurnSeasonTable,4,FALSE)),0)</f>
        <v/>
      </c>
      <c r="ZD26" s="12">
        <f>ZD25+YZ26-YZ14*(AnnualChurn*VLOOKUP(YL26,ChurnSeasonTable,4,FALSE))*POWER(1-(AnnualChurn*VLOOKUP(YL26,ChurnSeasonTable,4,FALSE)),0)</f>
        <v/>
      </c>
      <c r="ZE26" s="12">
        <f>ZA26+ZB26+ZC26+ZD26</f>
        <v/>
      </c>
      <c r="ZF26" s="9">
        <f>ZA26*PriceEssMonthly*YO26+ZB26*PricePremMonthly*YO26+ZC26*PriceEssAnnual*YO26/12+ZD26*PricePremAnnual*YO26/12</f>
        <v/>
      </c>
      <c r="ZG26" s="9">
        <f>ZF26*12</f>
        <v/>
      </c>
      <c r="ZH26" s="12">
        <f>ZA26*PriceEssMonthly*YO26+ZB26*PricePremMonthly*YO26</f>
        <v/>
      </c>
      <c r="ZI26" s="12">
        <f>YY26*PriceEssAnnual*YO26+YZ26*PricePremAnnual*YO26</f>
        <v/>
      </c>
      <c r="ZJ26" s="12">
        <f>YY14*POWER(1-(AnnualChurn*VLOOKUP(YL26,ChurnSeasonTable,4,FALSE)),1)*PriceEssAnnual*YO26+YZ14*POWER(1-(AnnualChurn*VLOOKUP(YL26,ChurnSeasonTable,4,FALSE)),1)*PricePremAnnual*YO26</f>
        <v/>
      </c>
      <c r="ZK26" s="9">
        <f>ZH26+ZI26+ZJ26</f>
        <v/>
      </c>
      <c r="ZL26" s="12">
        <f>SUM(ZK15:ZK26)</f>
        <v/>
      </c>
      <c r="ZM26" s="12">
        <f>OR(ZM25,ZL26&gt;=VATThreshold)</f>
        <v/>
      </c>
      <c r="ZN26" s="9">
        <f>IF(ZM26,ZK26/(1+VATRate),ZK26)</f>
        <v/>
      </c>
      <c r="ZO26" s="12">
        <f>ZK26-ZN26</f>
        <v/>
      </c>
      <c r="ZP26" s="12">
        <f>IF(ZM26=0,0,IF(YL26=1,SUMPRODUCT(--(($YM$5:$YM26=$YM26-1)*($YL$5:$YL26&gt;=10)*($YL$5:$YL26&lt;=12)),$ZO$5:$ZO26),IF(YL26=4,SUMPRODUCT(--(($YM$5:$YM26=$YM26)*($YL$5:$YL26&gt;=1)*($YL$5:$YL26&lt;=3)),$ZO$5:$ZO26),IF(YL26=7,SUMPRODUCT(--(($YM$5:$YM26=$YM26)*($YL$5:$YL26&gt;=4)*($YL$5:$YL26&lt;=6)),$ZO$5:$ZO26),IF(YL26=10,SUMPRODUCT(--(($YM$5:$YM26=$YM26)*($YL$5:$YL26&gt;=7)*($YL$5:$YL26&lt;=9)),$ZO$5:$ZO26),0)))))</f>
        <v/>
      </c>
      <c r="ZQ26" s="12">
        <f>ZQ25+ZO26-ZP26</f>
        <v/>
      </c>
      <c r="ZR26" s="12">
        <f>IF(ProviderDelay&gt;=1,ZN25*ProviderShare,ZN26*ProviderShare)</f>
        <v/>
      </c>
      <c r="ZS26" s="12">
        <f>ZK26*PaymentFee</f>
        <v/>
      </c>
      <c r="ZT26" s="12">
        <f>ZE26*OpsAI</f>
        <v/>
      </c>
      <c r="ZU26" s="12">
        <f>MonthlyFixed</f>
        <v/>
      </c>
      <c r="ZV26" s="12">
        <f>YS26*ReferralReward</f>
        <v/>
      </c>
      <c r="ZW26" s="12">
        <f>YQ26</f>
        <v/>
      </c>
      <c r="ZX26" s="9">
        <f>ZN26-ZR26-ZS26-ZT26-ZU26-ZV26-ZW26</f>
        <v/>
      </c>
      <c r="ZY26" s="9">
        <f>ZY25+ZK26-(ZR26+ZS26+ZT26+ZU26+ZV26+ZW26+ZP26)</f>
        <v/>
      </c>
      <c r="ZZ26" s="12">
        <f>IF(ZE26&gt;0,ZF26/ZE26,0)</f>
        <v/>
      </c>
      <c r="AAA26" s="11">
        <f>IF(ZE25&gt;0,MAX(0,(ZE25+YT26-ZE26)/ZE25),0)</f>
        <v/>
      </c>
      <c r="AAC26" s="12" t="n">
        <v>22</v>
      </c>
      <c r="AAD26" s="12">
        <f>MOD(AAC26-1+LaunchMonth-1,12)+1</f>
        <v/>
      </c>
      <c r="AAE26" s="12">
        <f>INT((AAC26-1+LaunchMonth-1)/12)+1</f>
        <v/>
      </c>
      <c r="AAF26" s="12">
        <f>VLOOKUP(AAD26,SeasonTable,2,FALSE)</f>
        <v/>
      </c>
      <c r="AAG26" s="12">
        <f>(1+InflationRate)^INT((AAC26-1)/12)</f>
        <v/>
      </c>
      <c r="AAH26" s="11">
        <f>MonthlyChurn*VLOOKUP(AAD26,ChurnSeasonTable,4,FALSE)</f>
        <v/>
      </c>
      <c r="AAI26" s="12">
        <f>MIN(MAX(MktMin19plus,ABC25*MktPct19plus),MAX(0,ABQ25-CashBuffer))</f>
        <v/>
      </c>
      <c r="AAJ26" s="12">
        <f>IF(AAI26&gt;0,MAX(1,ROUND(AAI26/CAC*AAF26,0)),0)</f>
        <v/>
      </c>
      <c r="AAK26" s="12">
        <f>IF(AAJ26&gt;0,ROUND(AAJ26*ReferralMix/(1-ReferralMix),0),0)</f>
        <v/>
      </c>
      <c r="AAL26" s="12">
        <f>AAJ26+AAK26</f>
        <v/>
      </c>
      <c r="AAM26" s="12">
        <f>ROUND(AAL26*(1-'Sens - Annual Mix'!$A$13),0)</f>
        <v/>
      </c>
      <c r="AAN26" s="12">
        <f>AAL26-AAM26</f>
        <v/>
      </c>
      <c r="AAO26" s="12">
        <f>ROUND(AAM26*EssentialMix,0)</f>
        <v/>
      </c>
      <c r="AAP26" s="12">
        <f>AAM26-AAO26</f>
        <v/>
      </c>
      <c r="AAQ26" s="12">
        <f>ROUND(AAN26*EssentialMix,0)</f>
        <v/>
      </c>
      <c r="AAR26" s="12">
        <f>AAN26-AAQ26</f>
        <v/>
      </c>
      <c r="AAS26" s="12">
        <f>AAO26+AAO25+AAO24+MAX(0,AAS25-AAO25-AAO24)*(1-AAH26)</f>
        <v/>
      </c>
      <c r="AAT26" s="12">
        <f>AAP26+AAP25+AAP24+MAX(0,AAT25-AAP25-AAP24)*(1-AAH26)</f>
        <v/>
      </c>
      <c r="AAU26" s="12">
        <f>AAU25+AAQ26-AAQ14*(AnnualChurn*VLOOKUP(AAD26,ChurnSeasonTable,4,FALSE))*POWER(1-(AnnualChurn*VLOOKUP(AAD26,ChurnSeasonTable,4,FALSE)),0)</f>
        <v/>
      </c>
      <c r="AAV26" s="12">
        <f>AAV25+AAR26-AAR14*(AnnualChurn*VLOOKUP(AAD26,ChurnSeasonTable,4,FALSE))*POWER(1-(AnnualChurn*VLOOKUP(AAD26,ChurnSeasonTable,4,FALSE)),0)</f>
        <v/>
      </c>
      <c r="AAW26" s="12">
        <f>AAS26+AAT26+AAU26+AAV26</f>
        <v/>
      </c>
      <c r="AAX26" s="9">
        <f>AAS26*PriceEssMonthly*AAG26+AAT26*PricePremMonthly*AAG26+AAU26*PriceEssAnnual*AAG26/12+AAV26*PricePremAnnual*AAG26/12</f>
        <v/>
      </c>
      <c r="AAY26" s="9">
        <f>AAX26*12</f>
        <v/>
      </c>
      <c r="AAZ26" s="12">
        <f>AAS26*PriceEssMonthly*AAG26+AAT26*PricePremMonthly*AAG26</f>
        <v/>
      </c>
      <c r="ABA26" s="12">
        <f>AAQ26*PriceEssAnnual*AAG26+AAR26*PricePremAnnual*AAG26</f>
        <v/>
      </c>
      <c r="ABB26" s="12">
        <f>AAQ14*POWER(1-(AnnualChurn*VLOOKUP(AAD26,ChurnSeasonTable,4,FALSE)),1)*PriceEssAnnual*AAG26+AAR14*POWER(1-(AnnualChurn*VLOOKUP(AAD26,ChurnSeasonTable,4,FALSE)),1)*PricePremAnnual*AAG26</f>
        <v/>
      </c>
      <c r="ABC26" s="9">
        <f>AAZ26+ABA26+ABB26</f>
        <v/>
      </c>
      <c r="ABD26" s="12">
        <f>SUM(ABC15:ABC26)</f>
        <v/>
      </c>
      <c r="ABE26" s="12">
        <f>OR(ABE25,ABD26&gt;=VATThreshold)</f>
        <v/>
      </c>
      <c r="ABF26" s="9">
        <f>IF(ABE26,ABC26/(1+VATRate),ABC26)</f>
        <v/>
      </c>
      <c r="ABG26" s="12">
        <f>ABC26-ABF26</f>
        <v/>
      </c>
      <c r="ABH26" s="12">
        <f>IF(ABE26=0,0,IF(AAD26=1,SUMPRODUCT(--(($AAE$5:$AAE26=$AAE26-1)*($AAD$5:$AAD26&gt;=10)*($AAD$5:$AAD26&lt;=12)),$ABG$5:$ABG26),IF(AAD26=4,SUMPRODUCT(--(($AAE$5:$AAE26=$AAE26)*($AAD$5:$AAD26&gt;=1)*($AAD$5:$AAD26&lt;=3)),$ABG$5:$ABG26),IF(AAD26=7,SUMPRODUCT(--(($AAE$5:$AAE26=$AAE26)*($AAD$5:$AAD26&gt;=4)*($AAD$5:$AAD26&lt;=6)),$ABG$5:$ABG26),IF(AAD26=10,SUMPRODUCT(--(($AAE$5:$AAE26=$AAE26)*($AAD$5:$AAD26&gt;=7)*($AAD$5:$AAD26&lt;=9)),$ABG$5:$ABG26),0)))))</f>
        <v/>
      </c>
      <c r="ABI26" s="12">
        <f>ABI25+ABG26-ABH26</f>
        <v/>
      </c>
      <c r="ABJ26" s="12">
        <f>IF(ProviderDelay&gt;=1,ABF25*ProviderShare,ABF26*ProviderShare)</f>
        <v/>
      </c>
      <c r="ABK26" s="12">
        <f>ABC26*PaymentFee</f>
        <v/>
      </c>
      <c r="ABL26" s="12">
        <f>AAW26*OpsAI</f>
        <v/>
      </c>
      <c r="ABM26" s="12">
        <f>MonthlyFixed</f>
        <v/>
      </c>
      <c r="ABN26" s="12">
        <f>AAK26*ReferralReward</f>
        <v/>
      </c>
      <c r="ABO26" s="12">
        <f>AAI26</f>
        <v/>
      </c>
      <c r="ABP26" s="9">
        <f>ABF26-ABJ26-ABK26-ABL26-ABM26-ABN26-ABO26</f>
        <v/>
      </c>
      <c r="ABQ26" s="9">
        <f>ABQ25+ABC26-(ABJ26+ABK26+ABL26+ABM26+ABN26+ABO26+ABH26)</f>
        <v/>
      </c>
      <c r="ABR26" s="12">
        <f>IF(AAW26&gt;0,AAX26/AAW26,0)</f>
        <v/>
      </c>
      <c r="ABS26" s="11">
        <f>IF(AAW25&gt;0,MAX(0,(AAW25+AAL26-AAW26)/AAW25),0)</f>
        <v/>
      </c>
      <c r="ABU26" s="12" t="n">
        <v>22</v>
      </c>
      <c r="ABV26" s="12">
        <f>MOD(ABU26-1+LaunchMonth-1,12)+1</f>
        <v/>
      </c>
      <c r="ABW26" s="12">
        <f>INT((ABU26-1+LaunchMonth-1)/12)+1</f>
        <v/>
      </c>
      <c r="ABX26" s="12">
        <f>VLOOKUP(ABV26,SeasonTable,2,FALSE)</f>
        <v/>
      </c>
      <c r="ABY26" s="12">
        <f>(1+InflationRate)^INT((ABU26-1)/12)</f>
        <v/>
      </c>
      <c r="ABZ26" s="11">
        <f>MonthlyChurn*VLOOKUP(ABV26,ChurnSeasonTable,4,FALSE)</f>
        <v/>
      </c>
      <c r="ACA26" s="12">
        <f>MIN(MAX(MktMin19plus,ACU25*MktPct19plus),MAX(0,ADI25-CashBuffer))</f>
        <v/>
      </c>
      <c r="ACB26" s="12">
        <f>IF(ACA26&gt;0,MAX(1,ROUND(ACA26/CAC*ABX26,0)),0)</f>
        <v/>
      </c>
      <c r="ACC26" s="12">
        <f>IF(ACB26&gt;0,ROUND(ACB26*ReferralMix/(1-ReferralMix),0),0)</f>
        <v/>
      </c>
      <c r="ACD26" s="12">
        <f>ACB26+ACC26</f>
        <v/>
      </c>
      <c r="ACE26" s="12">
        <f>ROUND(ACD26*(1-'Sens - Annual Mix'!$A$14),0)</f>
        <v/>
      </c>
      <c r="ACF26" s="12">
        <f>ACD26-ACE26</f>
        <v/>
      </c>
      <c r="ACG26" s="12">
        <f>ROUND(ACE26*EssentialMix,0)</f>
        <v/>
      </c>
      <c r="ACH26" s="12">
        <f>ACE26-ACG26</f>
        <v/>
      </c>
      <c r="ACI26" s="12">
        <f>ROUND(ACF26*EssentialMix,0)</f>
        <v/>
      </c>
      <c r="ACJ26" s="12">
        <f>ACF26-ACI26</f>
        <v/>
      </c>
      <c r="ACK26" s="12">
        <f>ACG26+ACG25+ACG24+MAX(0,ACK25-ACG25-ACG24)*(1-ABZ26)</f>
        <v/>
      </c>
      <c r="ACL26" s="12">
        <f>ACH26+ACH25+ACH24+MAX(0,ACL25-ACH25-ACH24)*(1-ABZ26)</f>
        <v/>
      </c>
      <c r="ACM26" s="12">
        <f>ACM25+ACI26-ACI14*(AnnualChurn*VLOOKUP(ABV26,ChurnSeasonTable,4,FALSE))*POWER(1-(AnnualChurn*VLOOKUP(ABV26,ChurnSeasonTable,4,FALSE)),0)</f>
        <v/>
      </c>
      <c r="ACN26" s="12">
        <f>ACN25+ACJ26-ACJ14*(AnnualChurn*VLOOKUP(ABV26,ChurnSeasonTable,4,FALSE))*POWER(1-(AnnualChurn*VLOOKUP(ABV26,ChurnSeasonTable,4,FALSE)),0)</f>
        <v/>
      </c>
      <c r="ACO26" s="12">
        <f>ACK26+ACL26+ACM26+ACN26</f>
        <v/>
      </c>
      <c r="ACP26" s="9">
        <f>ACK26*PriceEssMonthly*ABY26+ACL26*PricePremMonthly*ABY26+ACM26*PriceEssAnnual*ABY26/12+ACN26*PricePremAnnual*ABY26/12</f>
        <v/>
      </c>
      <c r="ACQ26" s="9">
        <f>ACP26*12</f>
        <v/>
      </c>
      <c r="ACR26" s="12">
        <f>ACK26*PriceEssMonthly*ABY26+ACL26*PricePremMonthly*ABY26</f>
        <v/>
      </c>
      <c r="ACS26" s="12">
        <f>ACI26*PriceEssAnnual*ABY26+ACJ26*PricePremAnnual*ABY26</f>
        <v/>
      </c>
      <c r="ACT26" s="12">
        <f>ACI14*POWER(1-(AnnualChurn*VLOOKUP(ABV26,ChurnSeasonTable,4,FALSE)),1)*PriceEssAnnual*ABY26+ACJ14*POWER(1-(AnnualChurn*VLOOKUP(ABV26,ChurnSeasonTable,4,FALSE)),1)*PricePremAnnual*ABY26</f>
        <v/>
      </c>
      <c r="ACU26" s="9">
        <f>ACR26+ACS26+ACT26</f>
        <v/>
      </c>
      <c r="ACV26" s="12">
        <f>SUM(ACU15:ACU26)</f>
        <v/>
      </c>
      <c r="ACW26" s="12">
        <f>OR(ACW25,ACV26&gt;=VATThreshold)</f>
        <v/>
      </c>
      <c r="ACX26" s="9">
        <f>IF(ACW26,ACU26/(1+VATRate),ACU26)</f>
        <v/>
      </c>
      <c r="ACY26" s="12">
        <f>ACU26-ACX26</f>
        <v/>
      </c>
      <c r="ACZ26" s="12">
        <f>IF(ACW26=0,0,IF(ABV26=1,SUMPRODUCT(--(($ABW$5:$ABW26=$ABW26-1)*($ABV$5:$ABV26&gt;=10)*($ABV$5:$ABV26&lt;=12)),$ACY$5:$ACY26),IF(ABV26=4,SUMPRODUCT(--(($ABW$5:$ABW26=$ABW26)*($ABV$5:$ABV26&gt;=1)*($ABV$5:$ABV26&lt;=3)),$ACY$5:$ACY26),IF(ABV26=7,SUMPRODUCT(--(($ABW$5:$ABW26=$ABW26)*($ABV$5:$ABV26&gt;=4)*($ABV$5:$ABV26&lt;=6)),$ACY$5:$ACY26),IF(ABV26=10,SUMPRODUCT(--(($ABW$5:$ABW26=$ABW26)*($ABV$5:$ABV26&gt;=7)*($ABV$5:$ABV26&lt;=9)),$ACY$5:$ACY26),0)))))</f>
        <v/>
      </c>
      <c r="ADA26" s="12">
        <f>ADA25+ACY26-ACZ26</f>
        <v/>
      </c>
      <c r="ADB26" s="12">
        <f>IF(ProviderDelay&gt;=1,ACX25*ProviderShare,ACX26*ProviderShare)</f>
        <v/>
      </c>
      <c r="ADC26" s="12">
        <f>ACU26*PaymentFee</f>
        <v/>
      </c>
      <c r="ADD26" s="12">
        <f>ACO26*OpsAI</f>
        <v/>
      </c>
      <c r="ADE26" s="12">
        <f>MonthlyFixed</f>
        <v/>
      </c>
      <c r="ADF26" s="12">
        <f>ACC26*ReferralReward</f>
        <v/>
      </c>
      <c r="ADG26" s="12">
        <f>ACA26</f>
        <v/>
      </c>
      <c r="ADH26" s="9">
        <f>ACX26-ADB26-ADC26-ADD26-ADE26-ADF26-ADG26</f>
        <v/>
      </c>
      <c r="ADI26" s="9">
        <f>ADI25+ACU26-(ADB26+ADC26+ADD26+ADE26+ADF26+ADG26+ACZ26)</f>
        <v/>
      </c>
      <c r="ADJ26" s="12">
        <f>IF(ACO26&gt;0,ACP26/ACO26,0)</f>
        <v/>
      </c>
      <c r="ADK26" s="11">
        <f>IF(ACO25&gt;0,MAX(0,(ACO25+ACD26-ACO26)/ACO25),0)</f>
        <v/>
      </c>
      <c r="ADM26" s="12" t="n">
        <v>22</v>
      </c>
      <c r="ADN26" s="12">
        <f>MOD(ADM26-1+LaunchMonth-1,12)+1</f>
        <v/>
      </c>
      <c r="ADO26" s="12">
        <f>INT((ADM26-1+LaunchMonth-1)/12)+1</f>
        <v/>
      </c>
      <c r="ADP26" s="12">
        <f>VLOOKUP(ADN26,SeasonTable,2,FALSE)</f>
        <v/>
      </c>
      <c r="ADQ26" s="12">
        <f>(1+InflationRate)^INT((ADM26-1)/12)</f>
        <v/>
      </c>
      <c r="ADR26" s="11">
        <f>MonthlyChurn*VLOOKUP(ADN26,ChurnSeasonTable,4,FALSE)</f>
        <v/>
      </c>
      <c r="ADS26" s="12">
        <f>MIN(MAX(MktMin19plus,AEM25*MktPct19plus),MAX(0,AFA25-CashBuffer))</f>
        <v/>
      </c>
      <c r="ADT26" s="12">
        <f>IF(ADS26&gt;0,MAX(1,ROUND(ADS26/CAC*ADP26,0)),0)</f>
        <v/>
      </c>
      <c r="ADU26" s="12">
        <f>IF(ADT26&gt;0,ROUND(ADT26*ReferralMix/(1-ReferralMix),0),0)</f>
        <v/>
      </c>
      <c r="ADV26" s="12">
        <f>ADT26+ADU26</f>
        <v/>
      </c>
      <c r="ADW26" s="12">
        <f>ROUND(ADV26*(1-'Sens - Annual Mix'!$A$15),0)</f>
        <v/>
      </c>
      <c r="ADX26" s="12">
        <f>ADV26-ADW26</f>
        <v/>
      </c>
      <c r="ADY26" s="12">
        <f>ROUND(ADW26*EssentialMix,0)</f>
        <v/>
      </c>
      <c r="ADZ26" s="12">
        <f>ADW26-ADY26</f>
        <v/>
      </c>
      <c r="AEA26" s="12">
        <f>ROUND(ADX26*EssentialMix,0)</f>
        <v/>
      </c>
      <c r="AEB26" s="12">
        <f>ADX26-AEA26</f>
        <v/>
      </c>
      <c r="AEC26" s="12">
        <f>ADY26+ADY25+ADY24+MAX(0,AEC25-ADY25-ADY24)*(1-ADR26)</f>
        <v/>
      </c>
      <c r="AED26" s="12">
        <f>ADZ26+ADZ25+ADZ24+MAX(0,AED25-ADZ25-ADZ24)*(1-ADR26)</f>
        <v/>
      </c>
      <c r="AEE26" s="12">
        <f>AEE25+AEA26-AEA14*(AnnualChurn*VLOOKUP(ADN26,ChurnSeasonTable,4,FALSE))*POWER(1-(AnnualChurn*VLOOKUP(ADN26,ChurnSeasonTable,4,FALSE)),0)</f>
        <v/>
      </c>
      <c r="AEF26" s="12">
        <f>AEF25+AEB26-AEB14*(AnnualChurn*VLOOKUP(ADN26,ChurnSeasonTable,4,FALSE))*POWER(1-(AnnualChurn*VLOOKUP(ADN26,ChurnSeasonTable,4,FALSE)),0)</f>
        <v/>
      </c>
      <c r="AEG26" s="12">
        <f>AEC26+AED26+AEE26+AEF26</f>
        <v/>
      </c>
      <c r="AEH26" s="9">
        <f>AEC26*PriceEssMonthly*ADQ26+AED26*PricePremMonthly*ADQ26+AEE26*PriceEssAnnual*ADQ26/12+AEF26*PricePremAnnual*ADQ26/12</f>
        <v/>
      </c>
      <c r="AEI26" s="9">
        <f>AEH26*12</f>
        <v/>
      </c>
      <c r="AEJ26" s="12">
        <f>AEC26*PriceEssMonthly*ADQ26+AED26*PricePremMonthly*ADQ26</f>
        <v/>
      </c>
      <c r="AEK26" s="12">
        <f>AEA26*PriceEssAnnual*ADQ26+AEB26*PricePremAnnual*ADQ26</f>
        <v/>
      </c>
      <c r="AEL26" s="12">
        <f>AEA14*POWER(1-(AnnualChurn*VLOOKUP(ADN26,ChurnSeasonTable,4,FALSE)),1)*PriceEssAnnual*ADQ26+AEB14*POWER(1-(AnnualChurn*VLOOKUP(ADN26,ChurnSeasonTable,4,FALSE)),1)*PricePremAnnual*ADQ26</f>
        <v/>
      </c>
      <c r="AEM26" s="9">
        <f>AEJ26+AEK26+AEL26</f>
        <v/>
      </c>
      <c r="AEN26" s="12">
        <f>SUM(AEM15:AEM26)</f>
        <v/>
      </c>
      <c r="AEO26" s="12">
        <f>OR(AEO25,AEN26&gt;=VATThreshold)</f>
        <v/>
      </c>
      <c r="AEP26" s="9">
        <f>IF(AEO26,AEM26/(1+VATRate),AEM26)</f>
        <v/>
      </c>
      <c r="AEQ26" s="12">
        <f>AEM26-AEP26</f>
        <v/>
      </c>
      <c r="AER26" s="12">
        <f>IF(AEO26=0,0,IF(ADN26=1,SUMPRODUCT(--(($ADO$5:$ADO26=$ADO26-1)*($ADN$5:$ADN26&gt;=10)*($ADN$5:$ADN26&lt;=12)),$AEQ$5:$AEQ26),IF(ADN26=4,SUMPRODUCT(--(($ADO$5:$ADO26=$ADO26)*($ADN$5:$ADN26&gt;=1)*($ADN$5:$ADN26&lt;=3)),$AEQ$5:$AEQ26),IF(ADN26=7,SUMPRODUCT(--(($ADO$5:$ADO26=$ADO26)*($ADN$5:$ADN26&gt;=4)*($ADN$5:$ADN26&lt;=6)),$AEQ$5:$AEQ26),IF(ADN26=10,SUMPRODUCT(--(($ADO$5:$ADO26=$ADO26)*($ADN$5:$ADN26&gt;=7)*($ADN$5:$ADN26&lt;=9)),$AEQ$5:$AEQ26),0)))))</f>
        <v/>
      </c>
      <c r="AES26" s="12">
        <f>AES25+AEQ26-AER26</f>
        <v/>
      </c>
      <c r="AET26" s="12">
        <f>IF(ProviderDelay&gt;=1,AEP25*ProviderShare,AEP26*ProviderShare)</f>
        <v/>
      </c>
      <c r="AEU26" s="12">
        <f>AEM26*PaymentFee</f>
        <v/>
      </c>
      <c r="AEV26" s="12">
        <f>AEG26*OpsAI</f>
        <v/>
      </c>
      <c r="AEW26" s="12">
        <f>MonthlyFixed</f>
        <v/>
      </c>
      <c r="AEX26" s="12">
        <f>ADU26*ReferralReward</f>
        <v/>
      </c>
      <c r="AEY26" s="12">
        <f>ADS26</f>
        <v/>
      </c>
      <c r="AEZ26" s="9">
        <f>AEP26-AET26-AEU26-AEV26-AEW26-AEX26-AEY26</f>
        <v/>
      </c>
      <c r="AFA26" s="9">
        <f>AFA25+AEM26-(AET26+AEU26+AEV26+AEW26+AEX26+AEY26+AER26)</f>
        <v/>
      </c>
      <c r="AFB26" s="12">
        <f>IF(AEG26&gt;0,AEH26/AEG26,0)</f>
        <v/>
      </c>
      <c r="AFC26" s="11">
        <f>IF(AEG25&gt;0,MAX(0,(AEG25+ADV26-AEG26)/AEG25),0)</f>
        <v/>
      </c>
      <c r="AFE26" s="12" t="n">
        <v>22</v>
      </c>
      <c r="AFF26" s="12">
        <f>MOD(AFE26-1+LaunchMonth-1,12)+1</f>
        <v/>
      </c>
      <c r="AFG26" s="12">
        <f>INT((AFE26-1+LaunchMonth-1)/12)+1</f>
        <v/>
      </c>
      <c r="AFH26" s="12">
        <f>VLOOKUP(AFF26,SeasonTable,2,FALSE)</f>
        <v/>
      </c>
      <c r="AFI26" s="12">
        <f>(1+InflationRate)^INT((AFE26-1)/12)</f>
        <v/>
      </c>
      <c r="AFJ26" s="11">
        <f>MonthlyChurn*VLOOKUP(AFF26,ChurnSeasonTable,4,FALSE)</f>
        <v/>
      </c>
      <c r="AFK26" s="12">
        <f>MIN(MAX(MktMin19plus,AGE25*MktPct19plus),MAX(0,AGS25-CashBuffer))</f>
        <v/>
      </c>
      <c r="AFL26" s="12">
        <f>IF(AFK26&gt;0,MAX(1,ROUND(AFK26/'Sens - CAC &amp; Marketing'!$A$9*AFH26,0)),0)</f>
        <v/>
      </c>
      <c r="AFM26" s="12">
        <f>IF(AFL26&gt;0,ROUND(AFL26*ReferralMix/(1-ReferralMix),0),0)</f>
        <v/>
      </c>
      <c r="AFN26" s="12">
        <f>AFL26+AFM26</f>
        <v/>
      </c>
      <c r="AFO26" s="12">
        <f>ROUND(AFN26*(1-AnnualMix),0)</f>
        <v/>
      </c>
      <c r="AFP26" s="12">
        <f>AFN26-AFO26</f>
        <v/>
      </c>
      <c r="AFQ26" s="12">
        <f>ROUND(AFO26*EssentialMix,0)</f>
        <v/>
      </c>
      <c r="AFR26" s="12">
        <f>AFO26-AFQ26</f>
        <v/>
      </c>
      <c r="AFS26" s="12">
        <f>ROUND(AFP26*EssentialMix,0)</f>
        <v/>
      </c>
      <c r="AFT26" s="12">
        <f>AFP26-AFS26</f>
        <v/>
      </c>
      <c r="AFU26" s="12">
        <f>AFQ26+AFQ25+AFQ24+MAX(0,AFU25-AFQ25-AFQ24)*(1-AFJ26)</f>
        <v/>
      </c>
      <c r="AFV26" s="12">
        <f>AFR26+AFR25+AFR24+MAX(0,AFV25-AFR25-AFR24)*(1-AFJ26)</f>
        <v/>
      </c>
      <c r="AFW26" s="12">
        <f>AFW25+AFS26-AFS14*(AnnualChurn*VLOOKUP(AFF26,ChurnSeasonTable,4,FALSE))*POWER(1-(AnnualChurn*VLOOKUP(AFF26,ChurnSeasonTable,4,FALSE)),0)</f>
        <v/>
      </c>
      <c r="AFX26" s="12">
        <f>AFX25+AFT26-AFT14*(AnnualChurn*VLOOKUP(AFF26,ChurnSeasonTable,4,FALSE))*POWER(1-(AnnualChurn*VLOOKUP(AFF26,ChurnSeasonTable,4,FALSE)),0)</f>
        <v/>
      </c>
      <c r="AFY26" s="12">
        <f>AFU26+AFV26+AFW26+AFX26</f>
        <v/>
      </c>
      <c r="AFZ26" s="9">
        <f>AFU26*PriceEssMonthly*AFI26+AFV26*PricePremMonthly*AFI26+AFW26*PriceEssAnnual*AFI26/12+AFX26*PricePremAnnual*AFI26/12</f>
        <v/>
      </c>
      <c r="AGA26" s="9">
        <f>AFZ26*12</f>
        <v/>
      </c>
      <c r="AGB26" s="12">
        <f>AFU26*PriceEssMonthly*AFI26+AFV26*PricePremMonthly*AFI26</f>
        <v/>
      </c>
      <c r="AGC26" s="12">
        <f>AFS26*PriceEssAnnual*AFI26+AFT26*PricePremAnnual*AFI26</f>
        <v/>
      </c>
      <c r="AGD26" s="12">
        <f>AFS14*POWER(1-(AnnualChurn*VLOOKUP(AFF26,ChurnSeasonTable,4,FALSE)),1)*PriceEssAnnual*AFI26+AFT14*POWER(1-(AnnualChurn*VLOOKUP(AFF26,ChurnSeasonTable,4,FALSE)),1)*PricePremAnnual*AFI26</f>
        <v/>
      </c>
      <c r="AGE26" s="9">
        <f>AGB26+AGC26+AGD26</f>
        <v/>
      </c>
      <c r="AGF26" s="12">
        <f>SUM(AGE15:AGE26)</f>
        <v/>
      </c>
      <c r="AGG26" s="12">
        <f>OR(AGG25,AGF26&gt;=VATThreshold)</f>
        <v/>
      </c>
      <c r="AGH26" s="9">
        <f>IF(AGG26,AGE26/(1+VATRate),AGE26)</f>
        <v/>
      </c>
      <c r="AGI26" s="12">
        <f>AGE26-AGH26</f>
        <v/>
      </c>
      <c r="AGJ26" s="12">
        <f>IF(AGG26=0,0,IF(AFF26=1,SUMPRODUCT(--(($AFG$5:$AFG26=$AFG26-1)*($AFF$5:$AFF26&gt;=10)*($AFF$5:$AFF26&lt;=12)),$AGI$5:$AGI26),IF(AFF26=4,SUMPRODUCT(--(($AFG$5:$AFG26=$AFG26)*($AFF$5:$AFF26&gt;=1)*($AFF$5:$AFF26&lt;=3)),$AGI$5:$AGI26),IF(AFF26=7,SUMPRODUCT(--(($AFG$5:$AFG26=$AFG26)*($AFF$5:$AFF26&gt;=4)*($AFF$5:$AFF26&lt;=6)),$AGI$5:$AGI26),IF(AFF26=10,SUMPRODUCT(--(($AFG$5:$AFG26=$AFG26)*($AFF$5:$AFF26&gt;=7)*($AFF$5:$AFF26&lt;=9)),$AGI$5:$AGI26),0)))))</f>
        <v/>
      </c>
      <c r="AGK26" s="12">
        <f>AGK25+AGI26-AGJ26</f>
        <v/>
      </c>
      <c r="AGL26" s="12">
        <f>IF(ProviderDelay&gt;=1,AGH25*ProviderShare,AGH26*ProviderShare)</f>
        <v/>
      </c>
      <c r="AGM26" s="12">
        <f>AGE26*PaymentFee</f>
        <v/>
      </c>
      <c r="AGN26" s="12">
        <f>AFY26*OpsAI</f>
        <v/>
      </c>
      <c r="AGO26" s="12">
        <f>MonthlyFixed</f>
        <v/>
      </c>
      <c r="AGP26" s="12">
        <f>AFM26*ReferralReward</f>
        <v/>
      </c>
      <c r="AGQ26" s="12">
        <f>AFK26</f>
        <v/>
      </c>
      <c r="AGR26" s="9">
        <f>AGH26-AGL26-AGM26-AGN26-AGO26-AGP26-AGQ26</f>
        <v/>
      </c>
      <c r="AGS26" s="9">
        <f>AGS25+AGE26-(AGL26+AGM26+AGN26+AGO26+AGP26+AGQ26+AGJ26)</f>
        <v/>
      </c>
      <c r="AGT26" s="12">
        <f>IF(AFY26&gt;0,AFZ26/AFY26,0)</f>
        <v/>
      </c>
      <c r="AGU26" s="11">
        <f>IF(AFY25&gt;0,MAX(0,(AFY25+AFN26-AFY26)/AFY25),0)</f>
        <v/>
      </c>
      <c r="AGW26" s="12" t="n">
        <v>22</v>
      </c>
      <c r="AGX26" s="12">
        <f>MOD(AGW26-1+LaunchMonth-1,12)+1</f>
        <v/>
      </c>
      <c r="AGY26" s="12">
        <f>INT((AGW26-1+LaunchMonth-1)/12)+1</f>
        <v/>
      </c>
      <c r="AGZ26" s="12">
        <f>VLOOKUP(AGX26,SeasonTable,2,FALSE)</f>
        <v/>
      </c>
      <c r="AHA26" s="12">
        <f>(1+InflationRate)^INT((AGW26-1)/12)</f>
        <v/>
      </c>
      <c r="AHB26" s="11">
        <f>MonthlyChurn*VLOOKUP(AGX26,ChurnSeasonTable,4,FALSE)</f>
        <v/>
      </c>
      <c r="AHC26" s="12">
        <f>MIN(MAX(MktMin19plus,AHW25*MktPct19plus),MAX(0,AIK25-CashBuffer))</f>
        <v/>
      </c>
      <c r="AHD26" s="12">
        <f>IF(AHC26&gt;0,MAX(1,ROUND(AHC26/'Sens - CAC &amp; Marketing'!$A$10*AGZ26,0)),0)</f>
        <v/>
      </c>
      <c r="AHE26" s="12">
        <f>IF(AHD26&gt;0,ROUND(AHD26*ReferralMix/(1-ReferralMix),0),0)</f>
        <v/>
      </c>
      <c r="AHF26" s="12">
        <f>AHD26+AHE26</f>
        <v/>
      </c>
      <c r="AHG26" s="12">
        <f>ROUND(AHF26*(1-AnnualMix),0)</f>
        <v/>
      </c>
      <c r="AHH26" s="12">
        <f>AHF26-AHG26</f>
        <v/>
      </c>
      <c r="AHI26" s="12">
        <f>ROUND(AHG26*EssentialMix,0)</f>
        <v/>
      </c>
      <c r="AHJ26" s="12">
        <f>AHG26-AHI26</f>
        <v/>
      </c>
      <c r="AHK26" s="12">
        <f>ROUND(AHH26*EssentialMix,0)</f>
        <v/>
      </c>
      <c r="AHL26" s="12">
        <f>AHH26-AHK26</f>
        <v/>
      </c>
      <c r="AHM26" s="12">
        <f>AHI26+AHI25+AHI24+MAX(0,AHM25-AHI25-AHI24)*(1-AHB26)</f>
        <v/>
      </c>
      <c r="AHN26" s="12">
        <f>AHJ26+AHJ25+AHJ24+MAX(0,AHN25-AHJ25-AHJ24)*(1-AHB26)</f>
        <v/>
      </c>
      <c r="AHO26" s="12">
        <f>AHO25+AHK26-AHK14*(AnnualChurn*VLOOKUP(AGX26,ChurnSeasonTable,4,FALSE))*POWER(1-(AnnualChurn*VLOOKUP(AGX26,ChurnSeasonTable,4,FALSE)),0)</f>
        <v/>
      </c>
      <c r="AHP26" s="12">
        <f>AHP25+AHL26-AHL14*(AnnualChurn*VLOOKUP(AGX26,ChurnSeasonTable,4,FALSE))*POWER(1-(AnnualChurn*VLOOKUP(AGX26,ChurnSeasonTable,4,FALSE)),0)</f>
        <v/>
      </c>
      <c r="AHQ26" s="12">
        <f>AHM26+AHN26+AHO26+AHP26</f>
        <v/>
      </c>
      <c r="AHR26" s="9">
        <f>AHM26*PriceEssMonthly*AHA26+AHN26*PricePremMonthly*AHA26+AHO26*PriceEssAnnual*AHA26/12+AHP26*PricePremAnnual*AHA26/12</f>
        <v/>
      </c>
      <c r="AHS26" s="9">
        <f>AHR26*12</f>
        <v/>
      </c>
      <c r="AHT26" s="12">
        <f>AHM26*PriceEssMonthly*AHA26+AHN26*PricePremMonthly*AHA26</f>
        <v/>
      </c>
      <c r="AHU26" s="12">
        <f>AHK26*PriceEssAnnual*AHA26+AHL26*PricePremAnnual*AHA26</f>
        <v/>
      </c>
      <c r="AHV26" s="12">
        <f>AHK14*POWER(1-(AnnualChurn*VLOOKUP(AGX26,ChurnSeasonTable,4,FALSE)),1)*PriceEssAnnual*AHA26+AHL14*POWER(1-(AnnualChurn*VLOOKUP(AGX26,ChurnSeasonTable,4,FALSE)),1)*PricePremAnnual*AHA26</f>
        <v/>
      </c>
      <c r="AHW26" s="9">
        <f>AHT26+AHU26+AHV26</f>
        <v/>
      </c>
      <c r="AHX26" s="12">
        <f>SUM(AHW15:AHW26)</f>
        <v/>
      </c>
      <c r="AHY26" s="12">
        <f>OR(AHY25,AHX26&gt;=VATThreshold)</f>
        <v/>
      </c>
      <c r="AHZ26" s="9">
        <f>IF(AHY26,AHW26/(1+VATRate),AHW26)</f>
        <v/>
      </c>
      <c r="AIA26" s="12">
        <f>AHW26-AHZ26</f>
        <v/>
      </c>
      <c r="AIB26" s="12">
        <f>IF(AHY26=0,0,IF(AGX26=1,SUMPRODUCT(--(($AGY$5:$AGY26=$AGY26-1)*($AGX$5:$AGX26&gt;=10)*($AGX$5:$AGX26&lt;=12)),$AIA$5:$AIA26),IF(AGX26=4,SUMPRODUCT(--(($AGY$5:$AGY26=$AGY26)*($AGX$5:$AGX26&gt;=1)*($AGX$5:$AGX26&lt;=3)),$AIA$5:$AIA26),IF(AGX26=7,SUMPRODUCT(--(($AGY$5:$AGY26=$AGY26)*($AGX$5:$AGX26&gt;=4)*($AGX$5:$AGX26&lt;=6)),$AIA$5:$AIA26),IF(AGX26=10,SUMPRODUCT(--(($AGY$5:$AGY26=$AGY26)*($AGX$5:$AGX26&gt;=7)*($AGX$5:$AGX26&lt;=9)),$AIA$5:$AIA26),0)))))</f>
        <v/>
      </c>
      <c r="AIC26" s="12">
        <f>AIC25+AIA26-AIB26</f>
        <v/>
      </c>
      <c r="AID26" s="12">
        <f>IF(ProviderDelay&gt;=1,AHZ25*ProviderShare,AHZ26*ProviderShare)</f>
        <v/>
      </c>
      <c r="AIE26" s="12">
        <f>AHW26*PaymentFee</f>
        <v/>
      </c>
      <c r="AIF26" s="12">
        <f>AHQ26*OpsAI</f>
        <v/>
      </c>
      <c r="AIG26" s="12">
        <f>MonthlyFixed</f>
        <v/>
      </c>
      <c r="AIH26" s="12">
        <f>AHE26*ReferralReward</f>
        <v/>
      </c>
      <c r="AII26" s="12">
        <f>AHC26</f>
        <v/>
      </c>
      <c r="AIJ26" s="9">
        <f>AHZ26-AID26-AIE26-AIF26-AIG26-AIH26-AII26</f>
        <v/>
      </c>
      <c r="AIK26" s="9">
        <f>AIK25+AHW26-(AID26+AIE26+AIF26+AIG26+AIH26+AII26+AIB26)</f>
        <v/>
      </c>
      <c r="AIL26" s="12">
        <f>IF(AHQ26&gt;0,AHR26/AHQ26,0)</f>
        <v/>
      </c>
      <c r="AIM26" s="11">
        <f>IF(AHQ25&gt;0,MAX(0,(AHQ25+AHF26-AHQ26)/AHQ25),0)</f>
        <v/>
      </c>
      <c r="AIO26" s="12" t="n">
        <v>22</v>
      </c>
      <c r="AIP26" s="12">
        <f>MOD(AIO26-1+LaunchMonth-1,12)+1</f>
        <v/>
      </c>
      <c r="AIQ26" s="12">
        <f>INT((AIO26-1+LaunchMonth-1)/12)+1</f>
        <v/>
      </c>
      <c r="AIR26" s="12">
        <f>VLOOKUP(AIP26,SeasonTable,2,FALSE)</f>
        <v/>
      </c>
      <c r="AIS26" s="12">
        <f>(1+InflationRate)^INT((AIO26-1)/12)</f>
        <v/>
      </c>
      <c r="AIT26" s="11">
        <f>MonthlyChurn*VLOOKUP(AIP26,ChurnSeasonTable,4,FALSE)</f>
        <v/>
      </c>
      <c r="AIU26" s="12">
        <f>MIN(MAX(MktMin19plus,AJO25*MktPct19plus),MAX(0,AKC25-CashBuffer))</f>
        <v/>
      </c>
      <c r="AIV26" s="12">
        <f>IF(AIU26&gt;0,MAX(1,ROUND(AIU26/'Sens - CAC &amp; Marketing'!$A$11*AIR26,0)),0)</f>
        <v/>
      </c>
      <c r="AIW26" s="12">
        <f>IF(AIV26&gt;0,ROUND(AIV26*ReferralMix/(1-ReferralMix),0),0)</f>
        <v/>
      </c>
      <c r="AIX26" s="12">
        <f>AIV26+AIW26</f>
        <v/>
      </c>
      <c r="AIY26" s="12">
        <f>ROUND(AIX26*(1-AnnualMix),0)</f>
        <v/>
      </c>
      <c r="AIZ26" s="12">
        <f>AIX26-AIY26</f>
        <v/>
      </c>
      <c r="AJA26" s="12">
        <f>ROUND(AIY26*EssentialMix,0)</f>
        <v/>
      </c>
      <c r="AJB26" s="12">
        <f>AIY26-AJA26</f>
        <v/>
      </c>
      <c r="AJC26" s="12">
        <f>ROUND(AIZ26*EssentialMix,0)</f>
        <v/>
      </c>
      <c r="AJD26" s="12">
        <f>AIZ26-AJC26</f>
        <v/>
      </c>
      <c r="AJE26" s="12">
        <f>AJA26+AJA25+AJA24+MAX(0,AJE25-AJA25-AJA24)*(1-AIT26)</f>
        <v/>
      </c>
      <c r="AJF26" s="12">
        <f>AJB26+AJB25+AJB24+MAX(0,AJF25-AJB25-AJB24)*(1-AIT26)</f>
        <v/>
      </c>
      <c r="AJG26" s="12">
        <f>AJG25+AJC26-AJC14*(AnnualChurn*VLOOKUP(AIP26,ChurnSeasonTable,4,FALSE))*POWER(1-(AnnualChurn*VLOOKUP(AIP26,ChurnSeasonTable,4,FALSE)),0)</f>
        <v/>
      </c>
      <c r="AJH26" s="12">
        <f>AJH25+AJD26-AJD14*(AnnualChurn*VLOOKUP(AIP26,ChurnSeasonTable,4,FALSE))*POWER(1-(AnnualChurn*VLOOKUP(AIP26,ChurnSeasonTable,4,FALSE)),0)</f>
        <v/>
      </c>
      <c r="AJI26" s="12">
        <f>AJE26+AJF26+AJG26+AJH26</f>
        <v/>
      </c>
      <c r="AJJ26" s="9">
        <f>AJE26*PriceEssMonthly*AIS26+AJF26*PricePremMonthly*AIS26+AJG26*PriceEssAnnual*AIS26/12+AJH26*PricePremAnnual*AIS26/12</f>
        <v/>
      </c>
      <c r="AJK26" s="9">
        <f>AJJ26*12</f>
        <v/>
      </c>
      <c r="AJL26" s="12">
        <f>AJE26*PriceEssMonthly*AIS26+AJF26*PricePremMonthly*AIS26</f>
        <v/>
      </c>
      <c r="AJM26" s="12">
        <f>AJC26*PriceEssAnnual*AIS26+AJD26*PricePremAnnual*AIS26</f>
        <v/>
      </c>
      <c r="AJN26" s="12">
        <f>AJC14*POWER(1-(AnnualChurn*VLOOKUP(AIP26,ChurnSeasonTable,4,FALSE)),1)*PriceEssAnnual*AIS26+AJD14*POWER(1-(AnnualChurn*VLOOKUP(AIP26,ChurnSeasonTable,4,FALSE)),1)*PricePremAnnual*AIS26</f>
        <v/>
      </c>
      <c r="AJO26" s="9">
        <f>AJL26+AJM26+AJN26</f>
        <v/>
      </c>
      <c r="AJP26" s="12">
        <f>SUM(AJO15:AJO26)</f>
        <v/>
      </c>
      <c r="AJQ26" s="12">
        <f>OR(AJQ25,AJP26&gt;=VATThreshold)</f>
        <v/>
      </c>
      <c r="AJR26" s="9">
        <f>IF(AJQ26,AJO26/(1+VATRate),AJO26)</f>
        <v/>
      </c>
      <c r="AJS26" s="12">
        <f>AJO26-AJR26</f>
        <v/>
      </c>
      <c r="AJT26" s="12">
        <f>IF(AJQ26=0,0,IF(AIP26=1,SUMPRODUCT(--(($AIQ$5:$AIQ26=$AIQ26-1)*($AIP$5:$AIP26&gt;=10)*($AIP$5:$AIP26&lt;=12)),$AJS$5:$AJS26),IF(AIP26=4,SUMPRODUCT(--(($AIQ$5:$AIQ26=$AIQ26)*($AIP$5:$AIP26&gt;=1)*($AIP$5:$AIP26&lt;=3)),$AJS$5:$AJS26),IF(AIP26=7,SUMPRODUCT(--(($AIQ$5:$AIQ26=$AIQ26)*($AIP$5:$AIP26&gt;=4)*($AIP$5:$AIP26&lt;=6)),$AJS$5:$AJS26),IF(AIP26=10,SUMPRODUCT(--(($AIQ$5:$AIQ26=$AIQ26)*($AIP$5:$AIP26&gt;=7)*($AIP$5:$AIP26&lt;=9)),$AJS$5:$AJS26),0)))))</f>
        <v/>
      </c>
      <c r="AJU26" s="12">
        <f>AJU25+AJS26-AJT26</f>
        <v/>
      </c>
      <c r="AJV26" s="12">
        <f>IF(ProviderDelay&gt;=1,AJR25*ProviderShare,AJR26*ProviderShare)</f>
        <v/>
      </c>
      <c r="AJW26" s="12">
        <f>AJO26*PaymentFee</f>
        <v/>
      </c>
      <c r="AJX26" s="12">
        <f>AJI26*OpsAI</f>
        <v/>
      </c>
      <c r="AJY26" s="12">
        <f>MonthlyFixed</f>
        <v/>
      </c>
      <c r="AJZ26" s="12">
        <f>AIW26*ReferralReward</f>
        <v/>
      </c>
      <c r="AKA26" s="12">
        <f>AIU26</f>
        <v/>
      </c>
      <c r="AKB26" s="9">
        <f>AJR26-AJV26-AJW26-AJX26-AJY26-AJZ26-AKA26</f>
        <v/>
      </c>
      <c r="AKC26" s="9">
        <f>AKC25+AJO26-(AJV26+AJW26+AJX26+AJY26+AJZ26+AKA26+AJT26)</f>
        <v/>
      </c>
      <c r="AKD26" s="12">
        <f>IF(AJI26&gt;0,AJJ26/AJI26,0)</f>
        <v/>
      </c>
      <c r="AKE26" s="11">
        <f>IF(AJI25&gt;0,MAX(0,(AJI25+AIX26-AJI26)/AJI25),0)</f>
        <v/>
      </c>
      <c r="AKG26" s="12" t="n">
        <v>22</v>
      </c>
      <c r="AKH26" s="12">
        <f>MOD(AKG26-1+LaunchMonth-1,12)+1</f>
        <v/>
      </c>
      <c r="AKI26" s="12">
        <f>INT((AKG26-1+LaunchMonth-1)/12)+1</f>
        <v/>
      </c>
      <c r="AKJ26" s="12">
        <f>VLOOKUP(AKH26,SeasonTable,2,FALSE)</f>
        <v/>
      </c>
      <c r="AKK26" s="12">
        <f>(1+InflationRate)^INT((AKG26-1)/12)</f>
        <v/>
      </c>
      <c r="AKL26" s="11">
        <f>MonthlyChurn*VLOOKUP(AKH26,ChurnSeasonTable,4,FALSE)</f>
        <v/>
      </c>
      <c r="AKM26" s="12">
        <f>MIN(MAX(MktMin19plus,ALG25*MktPct19plus),MAX(0,ALU25-CashBuffer))</f>
        <v/>
      </c>
      <c r="AKN26" s="12">
        <f>IF(AKM26&gt;0,MAX(1,ROUND(AKM26/'Sens - CAC &amp; Marketing'!$A$12*AKJ26,0)),0)</f>
        <v/>
      </c>
      <c r="AKO26" s="12">
        <f>IF(AKN26&gt;0,ROUND(AKN26*ReferralMix/(1-ReferralMix),0),0)</f>
        <v/>
      </c>
      <c r="AKP26" s="12">
        <f>AKN26+AKO26</f>
        <v/>
      </c>
      <c r="AKQ26" s="12">
        <f>ROUND(AKP26*(1-AnnualMix),0)</f>
        <v/>
      </c>
      <c r="AKR26" s="12">
        <f>AKP26-AKQ26</f>
        <v/>
      </c>
      <c r="AKS26" s="12">
        <f>ROUND(AKQ26*EssentialMix,0)</f>
        <v/>
      </c>
      <c r="AKT26" s="12">
        <f>AKQ26-AKS26</f>
        <v/>
      </c>
      <c r="AKU26" s="12">
        <f>ROUND(AKR26*EssentialMix,0)</f>
        <v/>
      </c>
      <c r="AKV26" s="12">
        <f>AKR26-AKU26</f>
        <v/>
      </c>
      <c r="AKW26" s="12">
        <f>AKS26+AKS25+AKS24+MAX(0,AKW25-AKS25-AKS24)*(1-AKL26)</f>
        <v/>
      </c>
      <c r="AKX26" s="12">
        <f>AKT26+AKT25+AKT24+MAX(0,AKX25-AKT25-AKT24)*(1-AKL26)</f>
        <v/>
      </c>
      <c r="AKY26" s="12">
        <f>AKY25+AKU26-AKU14*(AnnualChurn*VLOOKUP(AKH26,ChurnSeasonTable,4,FALSE))*POWER(1-(AnnualChurn*VLOOKUP(AKH26,ChurnSeasonTable,4,FALSE)),0)</f>
        <v/>
      </c>
      <c r="AKZ26" s="12">
        <f>AKZ25+AKV26-AKV14*(AnnualChurn*VLOOKUP(AKH26,ChurnSeasonTable,4,FALSE))*POWER(1-(AnnualChurn*VLOOKUP(AKH26,ChurnSeasonTable,4,FALSE)),0)</f>
        <v/>
      </c>
      <c r="ALA26" s="12">
        <f>AKW26+AKX26+AKY26+AKZ26</f>
        <v/>
      </c>
      <c r="ALB26" s="9">
        <f>AKW26*PriceEssMonthly*AKK26+AKX26*PricePremMonthly*AKK26+AKY26*PriceEssAnnual*AKK26/12+AKZ26*PricePremAnnual*AKK26/12</f>
        <v/>
      </c>
      <c r="ALC26" s="9">
        <f>ALB26*12</f>
        <v/>
      </c>
      <c r="ALD26" s="12">
        <f>AKW26*PriceEssMonthly*AKK26+AKX26*PricePremMonthly*AKK26</f>
        <v/>
      </c>
      <c r="ALE26" s="12">
        <f>AKU26*PriceEssAnnual*AKK26+AKV26*PricePremAnnual*AKK26</f>
        <v/>
      </c>
      <c r="ALF26" s="12">
        <f>AKU14*POWER(1-(AnnualChurn*VLOOKUP(AKH26,ChurnSeasonTable,4,FALSE)),1)*PriceEssAnnual*AKK26+AKV14*POWER(1-(AnnualChurn*VLOOKUP(AKH26,ChurnSeasonTable,4,FALSE)),1)*PricePremAnnual*AKK26</f>
        <v/>
      </c>
      <c r="ALG26" s="9">
        <f>ALD26+ALE26+ALF26</f>
        <v/>
      </c>
      <c r="ALH26" s="12">
        <f>SUM(ALG15:ALG26)</f>
        <v/>
      </c>
      <c r="ALI26" s="12">
        <f>OR(ALI25,ALH26&gt;=VATThreshold)</f>
        <v/>
      </c>
      <c r="ALJ26" s="9">
        <f>IF(ALI26,ALG26/(1+VATRate),ALG26)</f>
        <v/>
      </c>
      <c r="ALK26" s="12">
        <f>ALG26-ALJ26</f>
        <v/>
      </c>
      <c r="ALL26" s="12">
        <f>IF(ALI26=0,0,IF(AKH26=1,SUMPRODUCT(--(($AKI$5:$AKI26=$AKI26-1)*($AKH$5:$AKH26&gt;=10)*($AKH$5:$AKH26&lt;=12)),$ALK$5:$ALK26),IF(AKH26=4,SUMPRODUCT(--(($AKI$5:$AKI26=$AKI26)*($AKH$5:$AKH26&gt;=1)*($AKH$5:$AKH26&lt;=3)),$ALK$5:$ALK26),IF(AKH26=7,SUMPRODUCT(--(($AKI$5:$AKI26=$AKI26)*($AKH$5:$AKH26&gt;=4)*($AKH$5:$AKH26&lt;=6)),$ALK$5:$ALK26),IF(AKH26=10,SUMPRODUCT(--(($AKI$5:$AKI26=$AKI26)*($AKH$5:$AKH26&gt;=7)*($AKH$5:$AKH26&lt;=9)),$ALK$5:$ALK26),0)))))</f>
        <v/>
      </c>
      <c r="ALM26" s="12">
        <f>ALM25+ALK26-ALL26</f>
        <v/>
      </c>
      <c r="ALN26" s="12">
        <f>IF(ProviderDelay&gt;=1,ALJ25*ProviderShare,ALJ26*ProviderShare)</f>
        <v/>
      </c>
      <c r="ALO26" s="12">
        <f>ALG26*PaymentFee</f>
        <v/>
      </c>
      <c r="ALP26" s="12">
        <f>ALA26*OpsAI</f>
        <v/>
      </c>
      <c r="ALQ26" s="12">
        <f>MonthlyFixed</f>
        <v/>
      </c>
      <c r="ALR26" s="12">
        <f>AKO26*ReferralReward</f>
        <v/>
      </c>
      <c r="ALS26" s="12">
        <f>AKM26</f>
        <v/>
      </c>
      <c r="ALT26" s="9">
        <f>ALJ26-ALN26-ALO26-ALP26-ALQ26-ALR26-ALS26</f>
        <v/>
      </c>
      <c r="ALU26" s="9">
        <f>ALU25+ALG26-(ALN26+ALO26+ALP26+ALQ26+ALR26+ALS26+ALL26)</f>
        <v/>
      </c>
      <c r="ALV26" s="12">
        <f>IF(ALA26&gt;0,ALB26/ALA26,0)</f>
        <v/>
      </c>
      <c r="ALW26" s="11">
        <f>IF(ALA25&gt;0,MAX(0,(ALA25+AKP26-ALA26)/ALA25),0)</f>
        <v/>
      </c>
      <c r="ALY26" s="12" t="n">
        <v>22</v>
      </c>
      <c r="ALZ26" s="12">
        <f>MOD(ALY26-1+LaunchMonth-1,12)+1</f>
        <v/>
      </c>
      <c r="AMA26" s="12">
        <f>INT((ALY26-1+LaunchMonth-1)/12)+1</f>
        <v/>
      </c>
      <c r="AMB26" s="12">
        <f>VLOOKUP(ALZ26,SeasonTable,2,FALSE)</f>
        <v/>
      </c>
      <c r="AMC26" s="12">
        <f>(1+InflationRate)^INT((ALY26-1)/12)</f>
        <v/>
      </c>
      <c r="AMD26" s="11">
        <f>MonthlyChurn*VLOOKUP(ALZ26,ChurnSeasonTable,4,FALSE)</f>
        <v/>
      </c>
      <c r="AME26" s="12">
        <f>MIN(MAX(MktMin19plus,AMY25*MktPct19plus),MAX(0,ANM25-CashBuffer))</f>
        <v/>
      </c>
      <c r="AMF26" s="12">
        <f>IF(AME26&gt;0,MAX(1,ROUND(AME26/'Sens - CAC &amp; Marketing'!$A$13*AMB26,0)),0)</f>
        <v/>
      </c>
      <c r="AMG26" s="12">
        <f>IF(AMF26&gt;0,ROUND(AMF26*ReferralMix/(1-ReferralMix),0),0)</f>
        <v/>
      </c>
      <c r="AMH26" s="12">
        <f>AMF26+AMG26</f>
        <v/>
      </c>
      <c r="AMI26" s="12">
        <f>ROUND(AMH26*(1-AnnualMix),0)</f>
        <v/>
      </c>
      <c r="AMJ26" s="12">
        <f>AMH26-AMI26</f>
        <v/>
      </c>
      <c r="AMK26" s="12">
        <f>ROUND(AMI26*EssentialMix,0)</f>
        <v/>
      </c>
      <c r="AML26" s="12">
        <f>AMI26-AMK26</f>
        <v/>
      </c>
      <c r="AMM26" s="12">
        <f>ROUND(AMJ26*EssentialMix,0)</f>
        <v/>
      </c>
      <c r="AMN26" s="12">
        <f>AMJ26-AMM26</f>
        <v/>
      </c>
      <c r="AMO26" s="12">
        <f>AMK26+AMK25+AMK24+MAX(0,AMO25-AMK25-AMK24)*(1-AMD26)</f>
        <v/>
      </c>
      <c r="AMP26" s="12">
        <f>AML26+AML25+AML24+MAX(0,AMP25-AML25-AML24)*(1-AMD26)</f>
        <v/>
      </c>
      <c r="AMQ26" s="12">
        <f>AMQ25+AMM26-AMM14*(AnnualChurn*VLOOKUP(ALZ26,ChurnSeasonTable,4,FALSE))*POWER(1-(AnnualChurn*VLOOKUP(ALZ26,ChurnSeasonTable,4,FALSE)),0)</f>
        <v/>
      </c>
      <c r="AMR26" s="12">
        <f>AMR25+AMN26-AMN14*(AnnualChurn*VLOOKUP(ALZ26,ChurnSeasonTable,4,FALSE))*POWER(1-(AnnualChurn*VLOOKUP(ALZ26,ChurnSeasonTable,4,FALSE)),0)</f>
        <v/>
      </c>
      <c r="AMS26" s="12">
        <f>AMO26+AMP26+AMQ26+AMR26</f>
        <v/>
      </c>
      <c r="AMT26" s="9">
        <f>AMO26*PriceEssMonthly*AMC26+AMP26*PricePremMonthly*AMC26+AMQ26*PriceEssAnnual*AMC26/12+AMR26*PricePremAnnual*AMC26/12</f>
        <v/>
      </c>
      <c r="AMU26" s="9">
        <f>AMT26*12</f>
        <v/>
      </c>
      <c r="AMV26" s="12">
        <f>AMO26*PriceEssMonthly*AMC26+AMP26*PricePremMonthly*AMC26</f>
        <v/>
      </c>
      <c r="AMW26" s="12">
        <f>AMM26*PriceEssAnnual*AMC26+AMN26*PricePremAnnual*AMC26</f>
        <v/>
      </c>
      <c r="AMX26" s="12">
        <f>AMM14*POWER(1-(AnnualChurn*VLOOKUP(ALZ26,ChurnSeasonTable,4,FALSE)),1)*PriceEssAnnual*AMC26+AMN14*POWER(1-(AnnualChurn*VLOOKUP(ALZ26,ChurnSeasonTable,4,FALSE)),1)*PricePremAnnual*AMC26</f>
        <v/>
      </c>
      <c r="AMY26" s="9">
        <f>AMV26+AMW26+AMX26</f>
        <v/>
      </c>
      <c r="AMZ26" s="12">
        <f>SUM(AMY15:AMY26)</f>
        <v/>
      </c>
      <c r="ANA26" s="12">
        <f>OR(ANA25,AMZ26&gt;=VATThreshold)</f>
        <v/>
      </c>
      <c r="ANB26" s="9">
        <f>IF(ANA26,AMY26/(1+VATRate),AMY26)</f>
        <v/>
      </c>
      <c r="ANC26" s="12">
        <f>AMY26-ANB26</f>
        <v/>
      </c>
      <c r="AND26" s="12">
        <f>IF(ANA26=0,0,IF(ALZ26=1,SUMPRODUCT(--(($AMA$5:$AMA26=$AMA26-1)*($ALZ$5:$ALZ26&gt;=10)*($ALZ$5:$ALZ26&lt;=12)),$ANC$5:$ANC26),IF(ALZ26=4,SUMPRODUCT(--(($AMA$5:$AMA26=$AMA26)*($ALZ$5:$ALZ26&gt;=1)*($ALZ$5:$ALZ26&lt;=3)),$ANC$5:$ANC26),IF(ALZ26=7,SUMPRODUCT(--(($AMA$5:$AMA26=$AMA26)*($ALZ$5:$ALZ26&gt;=4)*($ALZ$5:$ALZ26&lt;=6)),$ANC$5:$ANC26),IF(ALZ26=10,SUMPRODUCT(--(($AMA$5:$AMA26=$AMA26)*($ALZ$5:$ALZ26&gt;=7)*($ALZ$5:$ALZ26&lt;=9)),$ANC$5:$ANC26),0)))))</f>
        <v/>
      </c>
      <c r="ANE26" s="12">
        <f>ANE25+ANC26-AND26</f>
        <v/>
      </c>
      <c r="ANF26" s="12">
        <f>IF(ProviderDelay&gt;=1,ANB25*ProviderShare,ANB26*ProviderShare)</f>
        <v/>
      </c>
      <c r="ANG26" s="12">
        <f>AMY26*PaymentFee</f>
        <v/>
      </c>
      <c r="ANH26" s="12">
        <f>AMS26*OpsAI</f>
        <v/>
      </c>
      <c r="ANI26" s="12">
        <f>MonthlyFixed</f>
        <v/>
      </c>
      <c r="ANJ26" s="12">
        <f>AMG26*ReferralReward</f>
        <v/>
      </c>
      <c r="ANK26" s="12">
        <f>AME26</f>
        <v/>
      </c>
      <c r="ANL26" s="9">
        <f>ANB26-ANF26-ANG26-ANH26-ANI26-ANJ26-ANK26</f>
        <v/>
      </c>
      <c r="ANM26" s="9">
        <f>ANM25+AMY26-(ANF26+ANG26+ANH26+ANI26+ANJ26+ANK26+AND26)</f>
        <v/>
      </c>
      <c r="ANN26" s="12">
        <f>IF(AMS26&gt;0,AMT26/AMS26,0)</f>
        <v/>
      </c>
      <c r="ANO26" s="11">
        <f>IF(AMS25&gt;0,MAX(0,(AMS25+AMH26-AMS26)/AMS25),0)</f>
        <v/>
      </c>
      <c r="ANQ26" s="12" t="n">
        <v>22</v>
      </c>
      <c r="ANR26" s="12">
        <f>MOD(ANQ26-1+LaunchMonth-1,12)+1</f>
        <v/>
      </c>
      <c r="ANS26" s="12">
        <f>INT((ANQ26-1+LaunchMonth-1)/12)+1</f>
        <v/>
      </c>
      <c r="ANT26" s="12">
        <f>VLOOKUP(ANR26,SeasonTable,2,FALSE)</f>
        <v/>
      </c>
      <c r="ANU26" s="12">
        <f>(1+InflationRate)^INT((ANQ26-1)/12)</f>
        <v/>
      </c>
      <c r="ANV26" s="11">
        <f>MonthlyChurn*VLOOKUP(ANR26,ChurnSeasonTable,4,FALSE)</f>
        <v/>
      </c>
      <c r="ANW26" s="12">
        <f>MIN(MAX(MktMin19plus,AOQ25*MktPct19plus),MAX(0,APE25-CashBuffer))</f>
        <v/>
      </c>
      <c r="ANX26" s="12">
        <f>IF(ANW26&gt;0,MAX(1,ROUND(ANW26/'Sens - CAC &amp; Marketing'!$A$14*ANT26,0)),0)</f>
        <v/>
      </c>
      <c r="ANY26" s="12">
        <f>IF(ANX26&gt;0,ROUND(ANX26*ReferralMix/(1-ReferralMix),0),0)</f>
        <v/>
      </c>
      <c r="ANZ26" s="12">
        <f>ANX26+ANY26</f>
        <v/>
      </c>
      <c r="AOA26" s="12">
        <f>ROUND(ANZ26*(1-AnnualMix),0)</f>
        <v/>
      </c>
      <c r="AOB26" s="12">
        <f>ANZ26-AOA26</f>
        <v/>
      </c>
      <c r="AOC26" s="12">
        <f>ROUND(AOA26*EssentialMix,0)</f>
        <v/>
      </c>
      <c r="AOD26" s="12">
        <f>AOA26-AOC26</f>
        <v/>
      </c>
      <c r="AOE26" s="12">
        <f>ROUND(AOB26*EssentialMix,0)</f>
        <v/>
      </c>
      <c r="AOF26" s="12">
        <f>AOB26-AOE26</f>
        <v/>
      </c>
      <c r="AOG26" s="12">
        <f>AOC26+AOC25+AOC24+MAX(0,AOG25-AOC25-AOC24)*(1-ANV26)</f>
        <v/>
      </c>
      <c r="AOH26" s="12">
        <f>AOD26+AOD25+AOD24+MAX(0,AOH25-AOD25-AOD24)*(1-ANV26)</f>
        <v/>
      </c>
      <c r="AOI26" s="12">
        <f>AOI25+AOE26-AOE14*(AnnualChurn*VLOOKUP(ANR26,ChurnSeasonTable,4,FALSE))*POWER(1-(AnnualChurn*VLOOKUP(ANR26,ChurnSeasonTable,4,FALSE)),0)</f>
        <v/>
      </c>
      <c r="AOJ26" s="12">
        <f>AOJ25+AOF26-AOF14*(AnnualChurn*VLOOKUP(ANR26,ChurnSeasonTable,4,FALSE))*POWER(1-(AnnualChurn*VLOOKUP(ANR26,ChurnSeasonTable,4,FALSE)),0)</f>
        <v/>
      </c>
      <c r="AOK26" s="12">
        <f>AOG26+AOH26+AOI26+AOJ26</f>
        <v/>
      </c>
      <c r="AOL26" s="9">
        <f>AOG26*PriceEssMonthly*ANU26+AOH26*PricePremMonthly*ANU26+AOI26*PriceEssAnnual*ANU26/12+AOJ26*PricePremAnnual*ANU26/12</f>
        <v/>
      </c>
      <c r="AOM26" s="9">
        <f>AOL26*12</f>
        <v/>
      </c>
      <c r="AON26" s="12">
        <f>AOG26*PriceEssMonthly*ANU26+AOH26*PricePremMonthly*ANU26</f>
        <v/>
      </c>
      <c r="AOO26" s="12">
        <f>AOE26*PriceEssAnnual*ANU26+AOF26*PricePremAnnual*ANU26</f>
        <v/>
      </c>
      <c r="AOP26" s="12">
        <f>AOE14*POWER(1-(AnnualChurn*VLOOKUP(ANR26,ChurnSeasonTable,4,FALSE)),1)*PriceEssAnnual*ANU26+AOF14*POWER(1-(AnnualChurn*VLOOKUP(ANR26,ChurnSeasonTable,4,FALSE)),1)*PricePremAnnual*ANU26</f>
        <v/>
      </c>
      <c r="AOQ26" s="9">
        <f>AON26+AOO26+AOP26</f>
        <v/>
      </c>
      <c r="AOR26" s="12">
        <f>SUM(AOQ15:AOQ26)</f>
        <v/>
      </c>
      <c r="AOS26" s="12">
        <f>OR(AOS25,AOR26&gt;=VATThreshold)</f>
        <v/>
      </c>
      <c r="AOT26" s="9">
        <f>IF(AOS26,AOQ26/(1+VATRate),AOQ26)</f>
        <v/>
      </c>
      <c r="AOU26" s="12">
        <f>AOQ26-AOT26</f>
        <v/>
      </c>
      <c r="AOV26" s="12">
        <f>IF(AOS26=0,0,IF(ANR26=1,SUMPRODUCT(--(($ANS$5:$ANS26=$ANS26-1)*($ANR$5:$ANR26&gt;=10)*($ANR$5:$ANR26&lt;=12)),$AOU$5:$AOU26),IF(ANR26=4,SUMPRODUCT(--(($ANS$5:$ANS26=$ANS26)*($ANR$5:$ANR26&gt;=1)*($ANR$5:$ANR26&lt;=3)),$AOU$5:$AOU26),IF(ANR26=7,SUMPRODUCT(--(($ANS$5:$ANS26=$ANS26)*($ANR$5:$ANR26&gt;=4)*($ANR$5:$ANR26&lt;=6)),$AOU$5:$AOU26),IF(ANR26=10,SUMPRODUCT(--(($ANS$5:$ANS26=$ANS26)*($ANR$5:$ANR26&gt;=7)*($ANR$5:$ANR26&lt;=9)),$AOU$5:$AOU26),0)))))</f>
        <v/>
      </c>
      <c r="AOW26" s="12">
        <f>AOW25+AOU26-AOV26</f>
        <v/>
      </c>
      <c r="AOX26" s="12">
        <f>IF(ProviderDelay&gt;=1,AOT25*ProviderShare,AOT26*ProviderShare)</f>
        <v/>
      </c>
      <c r="AOY26" s="12">
        <f>AOQ26*PaymentFee</f>
        <v/>
      </c>
      <c r="AOZ26" s="12">
        <f>AOK26*OpsAI</f>
        <v/>
      </c>
      <c r="APA26" s="12">
        <f>MonthlyFixed</f>
        <v/>
      </c>
      <c r="APB26" s="12">
        <f>ANY26*ReferralReward</f>
        <v/>
      </c>
      <c r="APC26" s="12">
        <f>ANW26</f>
        <v/>
      </c>
      <c r="APD26" s="9">
        <f>AOT26-AOX26-AOY26-AOZ26-APA26-APB26-APC26</f>
        <v/>
      </c>
      <c r="APE26" s="9">
        <f>APE25+AOQ26-(AOX26+AOY26+AOZ26+APA26+APB26+APC26+AOV26)</f>
        <v/>
      </c>
      <c r="APF26" s="12">
        <f>IF(AOK26&gt;0,AOL26/AOK26,0)</f>
        <v/>
      </c>
      <c r="APG26" s="11">
        <f>IF(AOK25&gt;0,MAX(0,(AOK25+ANZ26-AOK26)/AOK25),0)</f>
        <v/>
      </c>
      <c r="API26" s="12" t="n">
        <v>22</v>
      </c>
      <c r="APJ26" s="12">
        <f>MOD(API26-1+LaunchMonth-1,12)+1</f>
        <v/>
      </c>
      <c r="APK26" s="12">
        <f>INT((API26-1+LaunchMonth-1)/12)+1</f>
        <v/>
      </c>
      <c r="APL26" s="12">
        <f>VLOOKUP(APJ26,SeasonTable,2,FALSE)</f>
        <v/>
      </c>
      <c r="APM26" s="12">
        <f>(1+InflationRate)^INT((API26-1)/12)</f>
        <v/>
      </c>
      <c r="APN26" s="11">
        <f>MonthlyChurn*VLOOKUP(APJ26,ChurnSeasonTable,4,FALSE)</f>
        <v/>
      </c>
      <c r="APO26" s="12">
        <f>MIN(MAX(MktMin19plus,AQI25*MktPct19plus),MAX(0,AQW25-CashBuffer))</f>
        <v/>
      </c>
      <c r="APP26" s="12">
        <f>IF(APO26&gt;0,MAX(1,ROUND(APO26/'Sens - CAC &amp; Marketing'!$A$15*APL26,0)),0)</f>
        <v/>
      </c>
      <c r="APQ26" s="12">
        <f>IF(APP26&gt;0,ROUND(APP26*ReferralMix/(1-ReferralMix),0),0)</f>
        <v/>
      </c>
      <c r="APR26" s="12">
        <f>APP26+APQ26</f>
        <v/>
      </c>
      <c r="APS26" s="12">
        <f>ROUND(APR26*(1-AnnualMix),0)</f>
        <v/>
      </c>
      <c r="APT26" s="12">
        <f>APR26-APS26</f>
        <v/>
      </c>
      <c r="APU26" s="12">
        <f>ROUND(APS26*EssentialMix,0)</f>
        <v/>
      </c>
      <c r="APV26" s="12">
        <f>APS26-APU26</f>
        <v/>
      </c>
      <c r="APW26" s="12">
        <f>ROUND(APT26*EssentialMix,0)</f>
        <v/>
      </c>
      <c r="APX26" s="12">
        <f>APT26-APW26</f>
        <v/>
      </c>
      <c r="APY26" s="12">
        <f>APU26+APU25+APU24+MAX(0,APY25-APU25-APU24)*(1-APN26)</f>
        <v/>
      </c>
      <c r="APZ26" s="12">
        <f>APV26+APV25+APV24+MAX(0,APZ25-APV25-APV24)*(1-APN26)</f>
        <v/>
      </c>
      <c r="AQA26" s="12">
        <f>AQA25+APW26-APW14*(AnnualChurn*VLOOKUP(APJ26,ChurnSeasonTable,4,FALSE))*POWER(1-(AnnualChurn*VLOOKUP(APJ26,ChurnSeasonTable,4,FALSE)),0)</f>
        <v/>
      </c>
      <c r="AQB26" s="12">
        <f>AQB25+APX26-APX14*(AnnualChurn*VLOOKUP(APJ26,ChurnSeasonTable,4,FALSE))*POWER(1-(AnnualChurn*VLOOKUP(APJ26,ChurnSeasonTable,4,FALSE)),0)</f>
        <v/>
      </c>
      <c r="AQC26" s="12">
        <f>APY26+APZ26+AQA26+AQB26</f>
        <v/>
      </c>
      <c r="AQD26" s="9">
        <f>APY26*PriceEssMonthly*APM26+APZ26*PricePremMonthly*APM26+AQA26*PriceEssAnnual*APM26/12+AQB26*PricePremAnnual*APM26/12</f>
        <v/>
      </c>
      <c r="AQE26" s="9">
        <f>AQD26*12</f>
        <v/>
      </c>
      <c r="AQF26" s="12">
        <f>APY26*PriceEssMonthly*APM26+APZ26*PricePremMonthly*APM26</f>
        <v/>
      </c>
      <c r="AQG26" s="12">
        <f>APW26*PriceEssAnnual*APM26+APX26*PricePremAnnual*APM26</f>
        <v/>
      </c>
      <c r="AQH26" s="12">
        <f>APW14*POWER(1-(AnnualChurn*VLOOKUP(APJ26,ChurnSeasonTable,4,FALSE)),1)*PriceEssAnnual*APM26+APX14*POWER(1-(AnnualChurn*VLOOKUP(APJ26,ChurnSeasonTable,4,FALSE)),1)*PricePremAnnual*APM26</f>
        <v/>
      </c>
      <c r="AQI26" s="9">
        <f>AQF26+AQG26+AQH26</f>
        <v/>
      </c>
      <c r="AQJ26" s="12">
        <f>SUM(AQI15:AQI26)</f>
        <v/>
      </c>
      <c r="AQK26" s="12">
        <f>OR(AQK25,AQJ26&gt;=VATThreshold)</f>
        <v/>
      </c>
      <c r="AQL26" s="9">
        <f>IF(AQK26,AQI26/(1+VATRate),AQI26)</f>
        <v/>
      </c>
      <c r="AQM26" s="12">
        <f>AQI26-AQL26</f>
        <v/>
      </c>
      <c r="AQN26" s="12">
        <f>IF(AQK26=0,0,IF(APJ26=1,SUMPRODUCT(--(($APK$5:$APK26=$APK26-1)*($APJ$5:$APJ26&gt;=10)*($APJ$5:$APJ26&lt;=12)),$AQM$5:$AQM26),IF(APJ26=4,SUMPRODUCT(--(($APK$5:$APK26=$APK26)*($APJ$5:$APJ26&gt;=1)*($APJ$5:$APJ26&lt;=3)),$AQM$5:$AQM26),IF(APJ26=7,SUMPRODUCT(--(($APK$5:$APK26=$APK26)*($APJ$5:$APJ26&gt;=4)*($APJ$5:$APJ26&lt;=6)),$AQM$5:$AQM26),IF(APJ26=10,SUMPRODUCT(--(($APK$5:$APK26=$APK26)*($APJ$5:$APJ26&gt;=7)*($APJ$5:$APJ26&lt;=9)),$AQM$5:$AQM26),0)))))</f>
        <v/>
      </c>
      <c r="AQO26" s="12">
        <f>AQO25+AQM26-AQN26</f>
        <v/>
      </c>
      <c r="AQP26" s="12">
        <f>IF(ProviderDelay&gt;=1,AQL25*ProviderShare,AQL26*ProviderShare)</f>
        <v/>
      </c>
      <c r="AQQ26" s="12">
        <f>AQI26*PaymentFee</f>
        <v/>
      </c>
      <c r="AQR26" s="12">
        <f>AQC26*OpsAI</f>
        <v/>
      </c>
      <c r="AQS26" s="12">
        <f>MonthlyFixed</f>
        <v/>
      </c>
      <c r="AQT26" s="12">
        <f>APQ26*ReferralReward</f>
        <v/>
      </c>
      <c r="AQU26" s="12">
        <f>APO26</f>
        <v/>
      </c>
      <c r="AQV26" s="9">
        <f>AQL26-AQP26-AQQ26-AQR26-AQS26-AQT26-AQU26</f>
        <v/>
      </c>
      <c r="AQW26" s="9">
        <f>AQW25+AQI26-(AQP26+AQQ26+AQR26+AQS26+AQT26+AQU26+AQN26)</f>
        <v/>
      </c>
      <c r="AQX26" s="12">
        <f>IF(AQC26&gt;0,AQD26/AQC26,0)</f>
        <v/>
      </c>
      <c r="AQY26" s="11">
        <f>IF(AQC25&gt;0,MAX(0,(AQC25+APR26-AQC26)/AQC25),0)</f>
        <v/>
      </c>
      <c r="ARA26" s="12" t="n">
        <v>22</v>
      </c>
      <c r="ARB26" s="12">
        <f>MOD(ARA26-1+LaunchMonth-1,12)+1</f>
        <v/>
      </c>
      <c r="ARC26" s="12">
        <f>INT((ARA26-1+LaunchMonth-1)/12)+1</f>
        <v/>
      </c>
      <c r="ARD26" s="12">
        <f>VLOOKUP(ARB26,WinterPivotSeasonTable,5,FALSE)</f>
        <v/>
      </c>
      <c r="ARE26" s="12">
        <f>(1+InflationRate)^INT((ARA26-1)/12)</f>
        <v/>
      </c>
      <c r="ARF26" s="11">
        <f>MonthlyChurn*VLOOKUP(ARB26,WinterPivotChurnTable,6,FALSE)</f>
        <v/>
      </c>
      <c r="ARG26" s="12">
        <f>MIN(MAX(MktMin19plus,ASA25*MktPct19plus),MAX(0,ASO25-CashBuffer))</f>
        <v/>
      </c>
      <c r="ARH26" s="12">
        <f>IF(ARG26&gt;0,MAX(1,ROUND(ARG26/CAC*ARD26,0)),0)</f>
        <v/>
      </c>
      <c r="ARI26" s="12">
        <f>IF(ARH26&gt;0,ROUND(ARH26*ReferralMix/(1-ReferralMix),0),0)</f>
        <v/>
      </c>
      <c r="ARJ26" s="12">
        <f>ARH26+ARI26</f>
        <v/>
      </c>
      <c r="ARK26" s="12">
        <f>ROUND(ARJ26*(1-AnnualMix),0)</f>
        <v/>
      </c>
      <c r="ARL26" s="12">
        <f>ARJ26-ARK26</f>
        <v/>
      </c>
      <c r="ARM26" s="12">
        <f>ROUND(ARK26*'Sens - Winter Pivot'!$B$6,0)</f>
        <v/>
      </c>
      <c r="ARN26" s="12">
        <f>ARK26-ARM26</f>
        <v/>
      </c>
      <c r="ARO26" s="12">
        <f>ROUND(ARL26*'Sens - Winter Pivot'!$B$6,0)</f>
        <v/>
      </c>
      <c r="ARP26" s="12">
        <f>ARL26-ARO26</f>
        <v/>
      </c>
      <c r="ARQ26" s="12">
        <f>ARM26+ARM25+ARM24+MAX(0,ARQ25-ARM25-ARM24)*(1-ARF26)</f>
        <v/>
      </c>
      <c r="ARR26" s="12">
        <f>ARN26+ARN25+ARN24+MAX(0,ARR25-ARN25-ARN24)*(1-ARF26)</f>
        <v/>
      </c>
      <c r="ARS26" s="12">
        <f>ARS25+ARO26-ARO14*(AnnualChurn*VLOOKUP(ARB26,WinterPivotChurnTable,6,FALSE))*POWER(1-(AnnualChurn*VLOOKUP(ARB26,WinterPivotChurnTable,6,FALSE)),0)</f>
        <v/>
      </c>
      <c r="ART26" s="12">
        <f>ART25+ARP26-ARP14*(AnnualChurn*VLOOKUP(ARB26,WinterPivotChurnTable,6,FALSE))*POWER(1-(AnnualChurn*VLOOKUP(ARB26,WinterPivotChurnTable,6,FALSE)),0)</f>
        <v/>
      </c>
      <c r="ARU26" s="12">
        <f>ARQ26+ARR26+ARS26+ART26</f>
        <v/>
      </c>
      <c r="ARV26" s="9">
        <f>ARQ26*PriceEssMonthly*ARE26+ARR26*(PricePremMonthly+'Sens - Winter Pivot'!$B$7)*ARE26+ARS26*PriceEssAnnual*ARE26/12+ART26*(PricePremAnnual+'Sens - Winter Pivot'!$B$7*12)*ARE26/12</f>
        <v/>
      </c>
      <c r="ARW26" s="9">
        <f>ARV26*12</f>
        <v/>
      </c>
      <c r="ARX26" s="12">
        <f>ARQ26*PriceEssMonthly*ARE26+ARR26*(PricePremMonthly+'Sens - Winter Pivot'!$B$7)*ARE26</f>
        <v/>
      </c>
      <c r="ARY26" s="12">
        <f>ARO26*PriceEssAnnual*ARE26+ARP26*(PricePremAnnual+'Sens - Winter Pivot'!$B$7*12)*ARE26</f>
        <v/>
      </c>
      <c r="ARZ26" s="12">
        <f>ARO14*POWER(1-(AnnualChurn*VLOOKUP(ARB26,WinterPivotChurnTable,6,FALSE)),1)*PriceEssAnnual*ARE26+ARP14*POWER(1-(AnnualChurn*VLOOKUP(ARB26,WinterPivotChurnTable,6,FALSE)),1)*PricePremAnnual*ARE26</f>
        <v/>
      </c>
      <c r="ASA26" s="9">
        <f>ARX26+ARY26+ARZ26</f>
        <v/>
      </c>
      <c r="ASB26" s="12">
        <f>SUM(ASA15:ASA26)</f>
        <v/>
      </c>
      <c r="ASC26" s="12">
        <f>OR(ASC25,ASB26&gt;=VATThreshold)</f>
        <v/>
      </c>
      <c r="ASD26" s="9">
        <f>IF(ASC26,ASA26/(1+VATRate),ASA26)</f>
        <v/>
      </c>
      <c r="ASE26" s="12">
        <f>ASA26-ASD26</f>
        <v/>
      </c>
      <c r="ASF26" s="12">
        <f>IF(ASC26=0,0,IF(ARB26=1,SUMPRODUCT(--(($ARC$5:$ARC26=$ARC26-1)*($ARB$5:$ARB26&gt;=10)*($ARB$5:$ARB26&lt;=12)),$ASE$5:$ASE26),IF(ARB26=4,SUMPRODUCT(--(($ARC$5:$ARC26=$ARC26)*($ARB$5:$ARB26&gt;=1)*($ARB$5:$ARB26&lt;=3)),$ASE$5:$ASE26),IF(ARB26=7,SUMPRODUCT(--(($ARC$5:$ARC26=$ARC26)*($ARB$5:$ARB26&gt;=4)*($ARB$5:$ARB26&lt;=6)),$ASE$5:$ASE26),IF(ARB26=10,SUMPRODUCT(--(($ARC$5:$ARC26=$ARC26)*($ARB$5:$ARB26&gt;=7)*($ARB$5:$ARB26&lt;=9)),$ASE$5:$ASE26),0)))))</f>
        <v/>
      </c>
      <c r="ASG26" s="12">
        <f>ASG25+ASE26-ASF26</f>
        <v/>
      </c>
      <c r="ASH26" s="12">
        <f>IF(ProviderDelay&gt;=1,ASD25*ProviderShare,ASD26*ProviderShare)</f>
        <v/>
      </c>
      <c r="ASI26" s="12">
        <f>ASA26*PaymentFee</f>
        <v/>
      </c>
      <c r="ASJ26" s="12">
        <f>ARU26*OpsAI</f>
        <v/>
      </c>
      <c r="ASK26" s="12">
        <f>MonthlyFixed</f>
        <v/>
      </c>
      <c r="ASL26" s="12">
        <f>ARI26*ReferralReward</f>
        <v/>
      </c>
      <c r="ASM26" s="12">
        <f>ARG26</f>
        <v/>
      </c>
      <c r="ASN26" s="9">
        <f>ASD26-ASH26-ASI26-ASJ26-ASK26-ASL26-ASM26</f>
        <v/>
      </c>
      <c r="ASO26" s="9">
        <f>ASO25+ASA26-(ASH26+ASI26+ASJ26+ASK26+ASL26+ASM26+ASF26)</f>
        <v/>
      </c>
      <c r="ASP26" s="12">
        <f>IF(ARU26&gt;0,ARV26/ARU26,0)</f>
        <v/>
      </c>
      <c r="ASQ26" s="11">
        <f>IF(ARU25&gt;0,MAX(0,(ARU25+ARJ26-ARU26)/ARU25),0)</f>
        <v/>
      </c>
    </row>
    <row r="27">
      <c r="A27" s="12" t="n">
        <v>23</v>
      </c>
      <c r="B27" s="12">
        <f>MOD(A27-1+LaunchMonth-1,12)+1</f>
        <v/>
      </c>
      <c r="C27" s="12">
        <f>INT((A27-1+LaunchMonth-1)/12)+1</f>
        <v/>
      </c>
      <c r="D27" s="12">
        <f>VLOOKUP(B27,SeasonTable,2,FALSE)</f>
        <v/>
      </c>
      <c r="E27" s="12">
        <f>(1+InflationRate)^INT((A27-1)/12)</f>
        <v/>
      </c>
      <c r="F27" s="11">
        <f>'Sens - Scenarios'!$B$5*VLOOKUP(B27,ChurnSeasonTable,4,FALSE)</f>
        <v/>
      </c>
      <c r="G27" s="12">
        <f>MIN(MAX(MktMin19plus,AA26*MktPct19plus),MAX(0,AO26-CashBuffer))</f>
        <v/>
      </c>
      <c r="H27" s="12">
        <f>IF(G27&gt;0,MAX(1,ROUND(G27/'Sens - Scenarios'!$B$8*D27,0)),0)</f>
        <v/>
      </c>
      <c r="I27" s="12">
        <f>IF(H27&gt;0,ROUND(H27*ReferralMix/(1-ReferralMix),0),0)</f>
        <v/>
      </c>
      <c r="J27" s="12">
        <f>H27+I27</f>
        <v/>
      </c>
      <c r="K27" s="12">
        <f>ROUND(J27*(1-'Sens - Scenarios'!$B$7),0)</f>
        <v/>
      </c>
      <c r="L27" s="12">
        <f>J27-K27</f>
        <v/>
      </c>
      <c r="M27" s="12">
        <f>ROUND(K27*EssentialMix,0)</f>
        <v/>
      </c>
      <c r="N27" s="12">
        <f>K27-M27</f>
        <v/>
      </c>
      <c r="O27" s="12">
        <f>ROUND(L27*EssentialMix,0)</f>
        <v/>
      </c>
      <c r="P27" s="12">
        <f>L27-O27</f>
        <v/>
      </c>
      <c r="Q27" s="12">
        <f>M27+M26+M25+MAX(0,Q26-M26-M25)*(1-F27)</f>
        <v/>
      </c>
      <c r="R27" s="12">
        <f>N27+N26+N25+MAX(0,R26-N26-N25)*(1-F27)</f>
        <v/>
      </c>
      <c r="S27" s="12">
        <f>S26+O27-O15*('Sens - Scenarios'!$B$6*VLOOKUP(B27,ChurnSeasonTable,4,FALSE))*POWER(1-('Sens - Scenarios'!$B$6*VLOOKUP(B27,ChurnSeasonTable,4,FALSE)),0)</f>
        <v/>
      </c>
      <c r="T27" s="12">
        <f>T26+P27-P15*('Sens - Scenarios'!$B$6*VLOOKUP(B27,ChurnSeasonTable,4,FALSE))*POWER(1-('Sens - Scenarios'!$B$6*VLOOKUP(B27,ChurnSeasonTable,4,FALSE)),0)</f>
        <v/>
      </c>
      <c r="U27" s="12">
        <f>Q27+R27+S27+T27</f>
        <v/>
      </c>
      <c r="V27" s="9">
        <f>Q27*PriceEssMonthly*E27+R27*PricePremMonthly*E27+S27*PriceEssAnnual*E27/12+T27*PricePremAnnual*E27/12</f>
        <v/>
      </c>
      <c r="W27" s="9">
        <f>V27*12</f>
        <v/>
      </c>
      <c r="X27" s="12">
        <f>Q27*PriceEssMonthly*E27+R27*PricePremMonthly*E27</f>
        <v/>
      </c>
      <c r="Y27" s="12">
        <f>O27*PriceEssAnnual*E27+P27*PricePremAnnual*E27</f>
        <v/>
      </c>
      <c r="Z27" s="12">
        <f>O15*POWER(1-('Sens - Scenarios'!$B$6*VLOOKUP(B27,ChurnSeasonTable,4,FALSE)),1)*PriceEssAnnual*E27+P15*POWER(1-('Sens - Scenarios'!$B$6*VLOOKUP(B27,ChurnSeasonTable,4,FALSE)),1)*PricePremAnnual*E27</f>
        <v/>
      </c>
      <c r="AA27" s="9">
        <f>X27+Y27+Z27</f>
        <v/>
      </c>
      <c r="AB27" s="12">
        <f>SUM(AA16:AA27)</f>
        <v/>
      </c>
      <c r="AC27" s="12">
        <f>OR(AC26,AB27&gt;=VATThreshold)</f>
        <v/>
      </c>
      <c r="AD27" s="9">
        <f>IF(AC27,AA27/(1+VATRate),AA27)</f>
        <v/>
      </c>
      <c r="AE27" s="12">
        <f>AA27-AD27</f>
        <v/>
      </c>
      <c r="AF27" s="12">
        <f>IF(AC27=0,0,IF(B27=1,SUMPRODUCT(--(($C$5:$C27=$C27-1)*($B$5:$B27&gt;=10)*($B$5:$B27&lt;=12)),$AE$5:$AE27),IF(B27=4,SUMPRODUCT(--(($C$5:$C27=$C27)*($B$5:$B27&gt;=1)*($B$5:$B27&lt;=3)),$AE$5:$AE27),IF(B27=7,SUMPRODUCT(--(($C$5:$C27=$C27)*($B$5:$B27&gt;=4)*($B$5:$B27&lt;=6)),$AE$5:$AE27),IF(B27=10,SUMPRODUCT(--(($C$5:$C27=$C27)*($B$5:$B27&gt;=7)*($B$5:$B27&lt;=9)),$AE$5:$AE27),0)))))</f>
        <v/>
      </c>
      <c r="AG27" s="12">
        <f>AG26+AE27-AF27</f>
        <v/>
      </c>
      <c r="AH27" s="12">
        <f>IF(ProviderDelay&gt;=1,AD26*ProviderShare,AD27*ProviderShare)</f>
        <v/>
      </c>
      <c r="AI27" s="12">
        <f>AA27*PaymentFee</f>
        <v/>
      </c>
      <c r="AJ27" s="12">
        <f>U27*OpsAI</f>
        <v/>
      </c>
      <c r="AK27" s="12">
        <f>MonthlyFixed</f>
        <v/>
      </c>
      <c r="AL27" s="12">
        <f>I27*ReferralReward</f>
        <v/>
      </c>
      <c r="AM27" s="12">
        <f>G27</f>
        <v/>
      </c>
      <c r="AN27" s="9">
        <f>AD27-AH27-AI27-AJ27-AK27-AL27-AM27</f>
        <v/>
      </c>
      <c r="AO27" s="9">
        <f>AO26+AA27-(AH27+AI27+AJ27+AK27+AL27+AM27+AF27)</f>
        <v/>
      </c>
      <c r="AP27" s="12">
        <f>IF(U27&gt;0,V27/U27,0)</f>
        <v/>
      </c>
      <c r="AQ27" s="11">
        <f>IF(U26&gt;0,MAX(0,(U26+J27-U27)/U26),0)</f>
        <v/>
      </c>
      <c r="AS27" s="12" t="n">
        <v>23</v>
      </c>
      <c r="AT27" s="12">
        <f>MOD(AS27-1+LaunchMonth-1,12)+1</f>
        <v/>
      </c>
      <c r="AU27" s="12">
        <f>INT((AS27-1+LaunchMonth-1)/12)+1</f>
        <v/>
      </c>
      <c r="AV27" s="12">
        <f>VLOOKUP(AT27,SeasonTable,2,FALSE)</f>
        <v/>
      </c>
      <c r="AW27" s="12">
        <f>(1+InflationRate)^INT((AS27-1)/12)</f>
        <v/>
      </c>
      <c r="AX27" s="11">
        <f>MonthlyChurn*VLOOKUP(AT27,ChurnSeasonTable,4,FALSE)</f>
        <v/>
      </c>
      <c r="AY27" s="12">
        <f>MIN(MAX(MktMin19plus,BS26*MktPct19plus),MAX(0,CG26-CashBuffer))</f>
        <v/>
      </c>
      <c r="AZ27" s="12">
        <f>IF(AY27&gt;0,MAX(1,ROUND(AY27/CAC*AV27,0)),0)</f>
        <v/>
      </c>
      <c r="BA27" s="12">
        <f>IF(AZ27&gt;0,ROUND(AZ27*ReferralMix/(1-ReferralMix),0),0)</f>
        <v/>
      </c>
      <c r="BB27" s="12">
        <f>AZ27+BA27</f>
        <v/>
      </c>
      <c r="BC27" s="12">
        <f>ROUND(BB27*(1-AnnualMix),0)</f>
        <v/>
      </c>
      <c r="BD27" s="12">
        <f>BB27-BC27</f>
        <v/>
      </c>
      <c r="BE27" s="12">
        <f>ROUND(BC27*EssentialMix,0)</f>
        <v/>
      </c>
      <c r="BF27" s="12">
        <f>BC27-BE27</f>
        <v/>
      </c>
      <c r="BG27" s="12">
        <f>ROUND(BD27*EssentialMix,0)</f>
        <v/>
      </c>
      <c r="BH27" s="12">
        <f>BD27-BG27</f>
        <v/>
      </c>
      <c r="BI27" s="12">
        <f>BE27+BE26+BE25+MAX(0,BI26-BE26-BE25)*(1-AX27)</f>
        <v/>
      </c>
      <c r="BJ27" s="12">
        <f>BF27+BF26+BF25+MAX(0,BJ26-BF26-BF25)*(1-AX27)</f>
        <v/>
      </c>
      <c r="BK27" s="12">
        <f>BK26+BG27-BG15*(AnnualChurn*VLOOKUP(AT27,ChurnSeasonTable,4,FALSE))*POWER(1-(AnnualChurn*VLOOKUP(AT27,ChurnSeasonTable,4,FALSE)),0)</f>
        <v/>
      </c>
      <c r="BL27" s="12">
        <f>BL26+BH27-BH15*(AnnualChurn*VLOOKUP(AT27,ChurnSeasonTable,4,FALSE))*POWER(1-(AnnualChurn*VLOOKUP(AT27,ChurnSeasonTable,4,FALSE)),0)</f>
        <v/>
      </c>
      <c r="BM27" s="12">
        <f>BI27+BJ27+BK27+BL27</f>
        <v/>
      </c>
      <c r="BN27" s="9">
        <f>BI27*PriceEssMonthly*AW27+BJ27*PricePremMonthly*AW27+BK27*PriceEssAnnual*AW27/12+BL27*PricePremAnnual*AW27/12</f>
        <v/>
      </c>
      <c r="BO27" s="9">
        <f>BN27*12</f>
        <v/>
      </c>
      <c r="BP27" s="12">
        <f>BI27*PriceEssMonthly*AW27+BJ27*PricePremMonthly*AW27</f>
        <v/>
      </c>
      <c r="BQ27" s="12">
        <f>BG27*PriceEssAnnual*AW27+BH27*PricePremAnnual*AW27</f>
        <v/>
      </c>
      <c r="BR27" s="12">
        <f>BG15*POWER(1-(AnnualChurn*VLOOKUP(AT27,ChurnSeasonTable,4,FALSE)),1)*PriceEssAnnual*AW27+BH15*POWER(1-(AnnualChurn*VLOOKUP(AT27,ChurnSeasonTable,4,FALSE)),1)*PricePremAnnual*AW27</f>
        <v/>
      </c>
      <c r="BS27" s="9">
        <f>BP27+BQ27+BR27</f>
        <v/>
      </c>
      <c r="BT27" s="12">
        <f>SUM(BS16:BS27)</f>
        <v/>
      </c>
      <c r="BU27" s="12">
        <f>OR(BU26,BT27&gt;=VATThreshold)</f>
        <v/>
      </c>
      <c r="BV27" s="9">
        <f>IF(BU27,BS27/(1+VATRate),BS27)</f>
        <v/>
      </c>
      <c r="BW27" s="12">
        <f>BS27-BV27</f>
        <v/>
      </c>
      <c r="BX27" s="12">
        <f>IF(BU27=0,0,IF(AT27=1,SUMPRODUCT(--(($AU$5:$AU27=$AU27-1)*($AT$5:$AT27&gt;=10)*($AT$5:$AT27&lt;=12)),$BW$5:$BW27),IF(AT27=4,SUMPRODUCT(--(($AU$5:$AU27=$AU27)*($AT$5:$AT27&gt;=1)*($AT$5:$AT27&lt;=3)),$BW$5:$BW27),IF(AT27=7,SUMPRODUCT(--(($AU$5:$AU27=$AU27)*($AT$5:$AT27&gt;=4)*($AT$5:$AT27&lt;=6)),$BW$5:$BW27),IF(AT27=10,SUMPRODUCT(--(($AU$5:$AU27=$AU27)*($AT$5:$AT27&gt;=7)*($AT$5:$AT27&lt;=9)),$BW$5:$BW27),0)))))</f>
        <v/>
      </c>
      <c r="BY27" s="12">
        <f>BY26+BW27-BX27</f>
        <v/>
      </c>
      <c r="BZ27" s="12">
        <f>IF(ProviderDelay&gt;=1,BV26*ProviderShare,BV27*ProviderShare)</f>
        <v/>
      </c>
      <c r="CA27" s="12">
        <f>BS27*PaymentFee</f>
        <v/>
      </c>
      <c r="CB27" s="12">
        <f>BM27*OpsAI</f>
        <v/>
      </c>
      <c r="CC27" s="12">
        <f>MonthlyFixed</f>
        <v/>
      </c>
      <c r="CD27" s="12">
        <f>BA27*ReferralReward</f>
        <v/>
      </c>
      <c r="CE27" s="12">
        <f>AY27</f>
        <v/>
      </c>
      <c r="CF27" s="9">
        <f>BV27-BZ27-CA27-CB27-CC27-CD27-CE27</f>
        <v/>
      </c>
      <c r="CG27" s="9">
        <f>CG26+BS27-(BZ27+CA27+CB27+CC27+CD27+CE27+BX27)</f>
        <v/>
      </c>
      <c r="CH27" s="12">
        <f>IF(BM27&gt;0,BN27/BM27,0)</f>
        <v/>
      </c>
      <c r="CI27" s="11">
        <f>IF(BM26&gt;0,MAX(0,(BM26+BB27-BM27)/BM26),0)</f>
        <v/>
      </c>
      <c r="CK27" s="12" t="n">
        <v>23</v>
      </c>
      <c r="CL27" s="12">
        <f>MOD(CK27-1+LaunchMonth-1,12)+1</f>
        <v/>
      </c>
      <c r="CM27" s="12">
        <f>INT((CK27-1+LaunchMonth-1)/12)+1</f>
        <v/>
      </c>
      <c r="CN27" s="12">
        <f>VLOOKUP(CL27,SeasonTable,2,FALSE)</f>
        <v/>
      </c>
      <c r="CO27" s="12">
        <f>(1+InflationRate)^INT((CK27-1)/12)</f>
        <v/>
      </c>
      <c r="CP27" s="11">
        <f>'Sens - Scenarios'!$D$5*VLOOKUP(CL27,ChurnSeasonTable,4,FALSE)</f>
        <v/>
      </c>
      <c r="CQ27" s="12">
        <f>MIN(MAX(MktMin19plus,DK26*MktPct19plus),MAX(0,DY26-CashBuffer))</f>
        <v/>
      </c>
      <c r="CR27" s="12">
        <f>IF(CQ27&gt;0,MAX(1,ROUND(CQ27/'Sens - Scenarios'!$D$8*CN27,0)),0)</f>
        <v/>
      </c>
      <c r="CS27" s="12">
        <f>IF(CR27&gt;0,ROUND(CR27*ReferralMix/(1-ReferralMix),0),0)</f>
        <v/>
      </c>
      <c r="CT27" s="12">
        <f>CR27+CS27</f>
        <v/>
      </c>
      <c r="CU27" s="12">
        <f>ROUND(CT27*(1-'Sens - Scenarios'!$D$7),0)</f>
        <v/>
      </c>
      <c r="CV27" s="12">
        <f>CT27-CU27</f>
        <v/>
      </c>
      <c r="CW27" s="12">
        <f>ROUND(CU27*EssentialMix,0)</f>
        <v/>
      </c>
      <c r="CX27" s="12">
        <f>CU27-CW27</f>
        <v/>
      </c>
      <c r="CY27" s="12">
        <f>ROUND(CV27*EssentialMix,0)</f>
        <v/>
      </c>
      <c r="CZ27" s="12">
        <f>CV27-CY27</f>
        <v/>
      </c>
      <c r="DA27" s="12">
        <f>CW27+CW26+CW25+MAX(0,DA26-CW26-CW25)*(1-CP27)</f>
        <v/>
      </c>
      <c r="DB27" s="12">
        <f>CX27+CX26+CX25+MAX(0,DB26-CX26-CX25)*(1-CP27)</f>
        <v/>
      </c>
      <c r="DC27" s="12">
        <f>DC26+CY27-CY15*('Sens - Scenarios'!$D$6*VLOOKUP(CL27,ChurnSeasonTable,4,FALSE))*POWER(1-('Sens - Scenarios'!$D$6*VLOOKUP(CL27,ChurnSeasonTable,4,FALSE)),0)</f>
        <v/>
      </c>
      <c r="DD27" s="12">
        <f>DD26+CZ27-CZ15*('Sens - Scenarios'!$D$6*VLOOKUP(CL27,ChurnSeasonTable,4,FALSE))*POWER(1-('Sens - Scenarios'!$D$6*VLOOKUP(CL27,ChurnSeasonTable,4,FALSE)),0)</f>
        <v/>
      </c>
      <c r="DE27" s="12">
        <f>DA27+DB27+DC27+DD27</f>
        <v/>
      </c>
      <c r="DF27" s="9">
        <f>DA27*PriceEssMonthly*CO27+DB27*PricePremMonthly*CO27+DC27*PriceEssAnnual*CO27/12+DD27*PricePremAnnual*CO27/12</f>
        <v/>
      </c>
      <c r="DG27" s="9">
        <f>DF27*12</f>
        <v/>
      </c>
      <c r="DH27" s="12">
        <f>DA27*PriceEssMonthly*CO27+DB27*PricePremMonthly*CO27</f>
        <v/>
      </c>
      <c r="DI27" s="12">
        <f>CY27*PriceEssAnnual*CO27+CZ27*PricePremAnnual*CO27</f>
        <v/>
      </c>
      <c r="DJ27" s="12">
        <f>CY15*POWER(1-('Sens - Scenarios'!$D$6*VLOOKUP(CL27,ChurnSeasonTable,4,FALSE)),1)*PriceEssAnnual*CO27+CZ15*POWER(1-('Sens - Scenarios'!$D$6*VLOOKUP(CL27,ChurnSeasonTable,4,FALSE)),1)*PricePremAnnual*CO27</f>
        <v/>
      </c>
      <c r="DK27" s="9">
        <f>DH27+DI27+DJ27</f>
        <v/>
      </c>
      <c r="DL27" s="12">
        <f>SUM(DK16:DK27)</f>
        <v/>
      </c>
      <c r="DM27" s="12">
        <f>OR(DM26,DL27&gt;=VATThreshold)</f>
        <v/>
      </c>
      <c r="DN27" s="9">
        <f>IF(DM27,DK27/(1+VATRate),DK27)</f>
        <v/>
      </c>
      <c r="DO27" s="12">
        <f>DK27-DN27</f>
        <v/>
      </c>
      <c r="DP27" s="12">
        <f>IF(DM27=0,0,IF(CL27=1,SUMPRODUCT(--(($CM$5:$CM27=$CM27-1)*($CL$5:$CL27&gt;=10)*($CL$5:$CL27&lt;=12)),$DO$5:$DO27),IF(CL27=4,SUMPRODUCT(--(($CM$5:$CM27=$CM27)*($CL$5:$CL27&gt;=1)*($CL$5:$CL27&lt;=3)),$DO$5:$DO27),IF(CL27=7,SUMPRODUCT(--(($CM$5:$CM27=$CM27)*($CL$5:$CL27&gt;=4)*($CL$5:$CL27&lt;=6)),$DO$5:$DO27),IF(CL27=10,SUMPRODUCT(--(($CM$5:$CM27=$CM27)*($CL$5:$CL27&gt;=7)*($CL$5:$CL27&lt;=9)),$DO$5:$DO27),0)))))</f>
        <v/>
      </c>
      <c r="DQ27" s="12">
        <f>DQ26+DO27-DP27</f>
        <v/>
      </c>
      <c r="DR27" s="12">
        <f>IF(ProviderDelay&gt;=1,DN26*ProviderShare,DN27*ProviderShare)</f>
        <v/>
      </c>
      <c r="DS27" s="12">
        <f>DK27*PaymentFee</f>
        <v/>
      </c>
      <c r="DT27" s="12">
        <f>DE27*OpsAI</f>
        <v/>
      </c>
      <c r="DU27" s="12">
        <f>MonthlyFixed</f>
        <v/>
      </c>
      <c r="DV27" s="12">
        <f>CS27*ReferralReward</f>
        <v/>
      </c>
      <c r="DW27" s="12">
        <f>CQ27</f>
        <v/>
      </c>
      <c r="DX27" s="9">
        <f>DN27-DR27-DS27-DT27-DU27-DV27-DW27</f>
        <v/>
      </c>
      <c r="DY27" s="9">
        <f>DY26+DK27-(DR27+DS27+DT27+DU27+DV27+DW27+DP27)</f>
        <v/>
      </c>
      <c r="DZ27" s="12">
        <f>IF(DE27&gt;0,DF27/DE27,0)</f>
        <v/>
      </c>
      <c r="EA27" s="11">
        <f>IF(DE26&gt;0,MAX(0,(DE26+CT27-DE27)/DE26),0)</f>
        <v/>
      </c>
      <c r="EC27" s="12" t="n">
        <v>23</v>
      </c>
      <c r="ED27" s="12">
        <f>MOD(EC27-1+LaunchMonth-1,12)+1</f>
        <v/>
      </c>
      <c r="EE27" s="12">
        <f>INT((EC27-1+LaunchMonth-1)/12)+1</f>
        <v/>
      </c>
      <c r="EF27" s="12">
        <f>VLOOKUP(ED27,SeasonTable,2,FALSE)</f>
        <v/>
      </c>
      <c r="EG27" s="12">
        <f>(1+InflationRate)^INT((EC27-1)/12)</f>
        <v/>
      </c>
      <c r="EH27" s="11">
        <f>'Sens - Churn'!$A$13*VLOOKUP(ED27,ChurnSeasonTable,4,FALSE)</f>
        <v/>
      </c>
      <c r="EI27" s="12">
        <f>MIN(MAX(MktMin19plus,FC26*MktPct19plus),MAX(0,FQ26-CashBuffer))</f>
        <v/>
      </c>
      <c r="EJ27" s="12">
        <f>IF(EI27&gt;0,MAX(1,ROUND(EI27/CAC*EF27,0)),0)</f>
        <v/>
      </c>
      <c r="EK27" s="12">
        <f>IF(EJ27&gt;0,ROUND(EJ27*ReferralMix/(1-ReferralMix),0),0)</f>
        <v/>
      </c>
      <c r="EL27" s="12">
        <f>EJ27+EK27</f>
        <v/>
      </c>
      <c r="EM27" s="12">
        <f>ROUND(EL27*(1-AnnualMix),0)</f>
        <v/>
      </c>
      <c r="EN27" s="12">
        <f>EL27-EM27</f>
        <v/>
      </c>
      <c r="EO27" s="12">
        <f>ROUND(EM27*EssentialMix,0)</f>
        <v/>
      </c>
      <c r="EP27" s="12">
        <f>EM27-EO27</f>
        <v/>
      </c>
      <c r="EQ27" s="12">
        <f>ROUND(EN27*EssentialMix,0)</f>
        <v/>
      </c>
      <c r="ER27" s="12">
        <f>EN27-EQ27</f>
        <v/>
      </c>
      <c r="ES27" s="12">
        <f>EO27+EO26+EO25+MAX(0,ES26-EO26-EO25)*(1-EH27)</f>
        <v/>
      </c>
      <c r="ET27" s="12">
        <f>EP27+EP26+EP25+MAX(0,ET26-EP26-EP25)*(1-EH27)</f>
        <v/>
      </c>
      <c r="EU27" s="12">
        <f>EU26+EQ27-EQ15*(AnnualChurn*VLOOKUP(ED27,ChurnSeasonTable,4,FALSE))*POWER(1-(AnnualChurn*VLOOKUP(ED27,ChurnSeasonTable,4,FALSE)),0)</f>
        <v/>
      </c>
      <c r="EV27" s="12">
        <f>EV26+ER27-ER15*(AnnualChurn*VLOOKUP(ED27,ChurnSeasonTable,4,FALSE))*POWER(1-(AnnualChurn*VLOOKUP(ED27,ChurnSeasonTable,4,FALSE)),0)</f>
        <v/>
      </c>
      <c r="EW27" s="12">
        <f>ES27+ET27+EU27+EV27</f>
        <v/>
      </c>
      <c r="EX27" s="9">
        <f>ES27*PriceEssMonthly*EG27+ET27*PricePremMonthly*EG27+EU27*PriceEssAnnual*EG27/12+EV27*PricePremAnnual*EG27/12</f>
        <v/>
      </c>
      <c r="EY27" s="9">
        <f>EX27*12</f>
        <v/>
      </c>
      <c r="EZ27" s="12">
        <f>ES27*PriceEssMonthly*EG27+ET27*PricePremMonthly*EG27</f>
        <v/>
      </c>
      <c r="FA27" s="12">
        <f>EQ27*PriceEssAnnual*EG27+ER27*PricePremAnnual*EG27</f>
        <v/>
      </c>
      <c r="FB27" s="12">
        <f>EQ15*POWER(1-(AnnualChurn*VLOOKUP(ED27,ChurnSeasonTable,4,FALSE)),1)*PriceEssAnnual*EG27+ER15*POWER(1-(AnnualChurn*VLOOKUP(ED27,ChurnSeasonTable,4,FALSE)),1)*PricePremAnnual*EG27</f>
        <v/>
      </c>
      <c r="FC27" s="9">
        <f>EZ27+FA27+FB27</f>
        <v/>
      </c>
      <c r="FD27" s="12">
        <f>SUM(FC16:FC27)</f>
        <v/>
      </c>
      <c r="FE27" s="12">
        <f>OR(FE26,FD27&gt;=VATThreshold)</f>
        <v/>
      </c>
      <c r="FF27" s="9">
        <f>IF(FE27,FC27/(1+VATRate),FC27)</f>
        <v/>
      </c>
      <c r="FG27" s="12">
        <f>FC27-FF27</f>
        <v/>
      </c>
      <c r="FH27" s="12">
        <f>IF(FE27=0,0,IF(ED27=1,SUMPRODUCT(--(($EE$5:$EE27=$EE27-1)*($ED$5:$ED27&gt;=10)*($ED$5:$ED27&lt;=12)),$FG$5:$FG27),IF(ED27=4,SUMPRODUCT(--(($EE$5:$EE27=$EE27)*($ED$5:$ED27&gt;=1)*($ED$5:$ED27&lt;=3)),$FG$5:$FG27),IF(ED27=7,SUMPRODUCT(--(($EE$5:$EE27=$EE27)*($ED$5:$ED27&gt;=4)*($ED$5:$ED27&lt;=6)),$FG$5:$FG27),IF(ED27=10,SUMPRODUCT(--(($EE$5:$EE27=$EE27)*($ED$5:$ED27&gt;=7)*($ED$5:$ED27&lt;=9)),$FG$5:$FG27),0)))))</f>
        <v/>
      </c>
      <c r="FI27" s="12">
        <f>FI26+FG27-FH27</f>
        <v/>
      </c>
      <c r="FJ27" s="12">
        <f>IF(ProviderDelay&gt;=1,FF26*ProviderShare,FF27*ProviderShare)</f>
        <v/>
      </c>
      <c r="FK27" s="12">
        <f>FC27*PaymentFee</f>
        <v/>
      </c>
      <c r="FL27" s="12">
        <f>EW27*OpsAI</f>
        <v/>
      </c>
      <c r="FM27" s="12">
        <f>MonthlyFixed</f>
        <v/>
      </c>
      <c r="FN27" s="12">
        <f>EK27*ReferralReward</f>
        <v/>
      </c>
      <c r="FO27" s="12">
        <f>EI27</f>
        <v/>
      </c>
      <c r="FP27" s="9">
        <f>FF27-FJ27-FK27-FL27-FM27-FN27-FO27</f>
        <v/>
      </c>
      <c r="FQ27" s="9">
        <f>FQ26+FC27-(FJ27+FK27+FL27+FM27+FN27+FO27+FH27)</f>
        <v/>
      </c>
      <c r="FR27" s="12">
        <f>IF(EW27&gt;0,EX27/EW27,0)</f>
        <v/>
      </c>
      <c r="FS27" s="11">
        <f>IF(EW26&gt;0,MAX(0,(EW26+EL27-EW27)/EW26),0)</f>
        <v/>
      </c>
      <c r="FU27" s="12" t="n">
        <v>23</v>
      </c>
      <c r="FV27" s="12">
        <f>MOD(FU27-1+LaunchMonth-1,12)+1</f>
        <v/>
      </c>
      <c r="FW27" s="12">
        <f>INT((FU27-1+LaunchMonth-1)/12)+1</f>
        <v/>
      </c>
      <c r="FX27" s="12">
        <f>VLOOKUP(FV27,SeasonTable,2,FALSE)</f>
        <v/>
      </c>
      <c r="FY27" s="12">
        <f>(1+InflationRate)^INT((FU27-1)/12)</f>
        <v/>
      </c>
      <c r="FZ27" s="11">
        <f>'Sens - Churn'!$A$14*VLOOKUP(FV27,ChurnSeasonTable,4,FALSE)</f>
        <v/>
      </c>
      <c r="GA27" s="12">
        <f>MIN(MAX(MktMin19plus,GU26*MktPct19plus),MAX(0,HI26-CashBuffer))</f>
        <v/>
      </c>
      <c r="GB27" s="12">
        <f>IF(GA27&gt;0,MAX(1,ROUND(GA27/CAC*FX27,0)),0)</f>
        <v/>
      </c>
      <c r="GC27" s="12">
        <f>IF(GB27&gt;0,ROUND(GB27*ReferralMix/(1-ReferralMix),0),0)</f>
        <v/>
      </c>
      <c r="GD27" s="12">
        <f>GB27+GC27</f>
        <v/>
      </c>
      <c r="GE27" s="12">
        <f>ROUND(GD27*(1-AnnualMix),0)</f>
        <v/>
      </c>
      <c r="GF27" s="12">
        <f>GD27-GE27</f>
        <v/>
      </c>
      <c r="GG27" s="12">
        <f>ROUND(GE27*EssentialMix,0)</f>
        <v/>
      </c>
      <c r="GH27" s="12">
        <f>GE27-GG27</f>
        <v/>
      </c>
      <c r="GI27" s="12">
        <f>ROUND(GF27*EssentialMix,0)</f>
        <v/>
      </c>
      <c r="GJ27" s="12">
        <f>GF27-GI27</f>
        <v/>
      </c>
      <c r="GK27" s="12">
        <f>GG27+GG26+GG25+MAX(0,GK26-GG26-GG25)*(1-FZ27)</f>
        <v/>
      </c>
      <c r="GL27" s="12">
        <f>GH27+GH26+GH25+MAX(0,GL26-GH26-GH25)*(1-FZ27)</f>
        <v/>
      </c>
      <c r="GM27" s="12">
        <f>GM26+GI27-GI15*(AnnualChurn*VLOOKUP(FV27,ChurnSeasonTable,4,FALSE))*POWER(1-(AnnualChurn*VLOOKUP(FV27,ChurnSeasonTable,4,FALSE)),0)</f>
        <v/>
      </c>
      <c r="GN27" s="12">
        <f>GN26+GJ27-GJ15*(AnnualChurn*VLOOKUP(FV27,ChurnSeasonTable,4,FALSE))*POWER(1-(AnnualChurn*VLOOKUP(FV27,ChurnSeasonTable,4,FALSE)),0)</f>
        <v/>
      </c>
      <c r="GO27" s="12">
        <f>GK27+GL27+GM27+GN27</f>
        <v/>
      </c>
      <c r="GP27" s="9">
        <f>GK27*PriceEssMonthly*FY27+GL27*PricePremMonthly*FY27+GM27*PriceEssAnnual*FY27/12+GN27*PricePremAnnual*FY27/12</f>
        <v/>
      </c>
      <c r="GQ27" s="9">
        <f>GP27*12</f>
        <v/>
      </c>
      <c r="GR27" s="12">
        <f>GK27*PriceEssMonthly*FY27+GL27*PricePremMonthly*FY27</f>
        <v/>
      </c>
      <c r="GS27" s="12">
        <f>GI27*PriceEssAnnual*FY27+GJ27*PricePremAnnual*FY27</f>
        <v/>
      </c>
      <c r="GT27" s="12">
        <f>GI15*POWER(1-(AnnualChurn*VLOOKUP(FV27,ChurnSeasonTable,4,FALSE)),1)*PriceEssAnnual*FY27+GJ15*POWER(1-(AnnualChurn*VLOOKUP(FV27,ChurnSeasonTable,4,FALSE)),1)*PricePremAnnual*FY27</f>
        <v/>
      </c>
      <c r="GU27" s="9">
        <f>GR27+GS27+GT27</f>
        <v/>
      </c>
      <c r="GV27" s="12">
        <f>SUM(GU16:GU27)</f>
        <v/>
      </c>
      <c r="GW27" s="12">
        <f>OR(GW26,GV27&gt;=VATThreshold)</f>
        <v/>
      </c>
      <c r="GX27" s="9">
        <f>IF(GW27,GU27/(1+VATRate),GU27)</f>
        <v/>
      </c>
      <c r="GY27" s="12">
        <f>GU27-GX27</f>
        <v/>
      </c>
      <c r="GZ27" s="12">
        <f>IF(GW27=0,0,IF(FV27=1,SUMPRODUCT(--(($FW$5:$FW27=$FW27-1)*($FV$5:$FV27&gt;=10)*($FV$5:$FV27&lt;=12)),$GY$5:$GY27),IF(FV27=4,SUMPRODUCT(--(($FW$5:$FW27=$FW27)*($FV$5:$FV27&gt;=1)*($FV$5:$FV27&lt;=3)),$GY$5:$GY27),IF(FV27=7,SUMPRODUCT(--(($FW$5:$FW27=$FW27)*($FV$5:$FV27&gt;=4)*($FV$5:$FV27&lt;=6)),$GY$5:$GY27),IF(FV27=10,SUMPRODUCT(--(($FW$5:$FW27=$FW27)*($FV$5:$FV27&gt;=7)*($FV$5:$FV27&lt;=9)),$GY$5:$GY27),0)))))</f>
        <v/>
      </c>
      <c r="HA27" s="12">
        <f>HA26+GY27-GZ27</f>
        <v/>
      </c>
      <c r="HB27" s="12">
        <f>IF(ProviderDelay&gt;=1,GX26*ProviderShare,GX27*ProviderShare)</f>
        <v/>
      </c>
      <c r="HC27" s="12">
        <f>GU27*PaymentFee</f>
        <v/>
      </c>
      <c r="HD27" s="12">
        <f>GO27*OpsAI</f>
        <v/>
      </c>
      <c r="HE27" s="12">
        <f>MonthlyFixed</f>
        <v/>
      </c>
      <c r="HF27" s="12">
        <f>GC27*ReferralReward</f>
        <v/>
      </c>
      <c r="HG27" s="12">
        <f>GA27</f>
        <v/>
      </c>
      <c r="HH27" s="9">
        <f>GX27-HB27-HC27-HD27-HE27-HF27-HG27</f>
        <v/>
      </c>
      <c r="HI27" s="9">
        <f>HI26+GU27-(HB27+HC27+HD27+HE27+HF27+HG27+GZ27)</f>
        <v/>
      </c>
      <c r="HJ27" s="12">
        <f>IF(GO27&gt;0,GP27/GO27,0)</f>
        <v/>
      </c>
      <c r="HK27" s="11">
        <f>IF(GO26&gt;0,MAX(0,(GO26+GD27-GO27)/GO26),0)</f>
        <v/>
      </c>
      <c r="HM27" s="12" t="n">
        <v>23</v>
      </c>
      <c r="HN27" s="12">
        <f>MOD(HM27-1+LaunchMonth-1,12)+1</f>
        <v/>
      </c>
      <c r="HO27" s="12">
        <f>INT((HM27-1+LaunchMonth-1)/12)+1</f>
        <v/>
      </c>
      <c r="HP27" s="12">
        <f>VLOOKUP(HN27,SeasonTable,2,FALSE)</f>
        <v/>
      </c>
      <c r="HQ27" s="12">
        <f>(1+InflationRate)^INT((HM27-1)/12)</f>
        <v/>
      </c>
      <c r="HR27" s="11">
        <f>'Sens - Churn'!$A$15*VLOOKUP(HN27,ChurnSeasonTable,4,FALSE)</f>
        <v/>
      </c>
      <c r="HS27" s="12">
        <f>MIN(MAX(MktMin19plus,IM26*MktPct19plus),MAX(0,JA26-CashBuffer))</f>
        <v/>
      </c>
      <c r="HT27" s="12">
        <f>IF(HS27&gt;0,MAX(1,ROUND(HS27/CAC*HP27,0)),0)</f>
        <v/>
      </c>
      <c r="HU27" s="12">
        <f>IF(HT27&gt;0,ROUND(HT27*ReferralMix/(1-ReferralMix),0),0)</f>
        <v/>
      </c>
      <c r="HV27" s="12">
        <f>HT27+HU27</f>
        <v/>
      </c>
      <c r="HW27" s="12">
        <f>ROUND(HV27*(1-AnnualMix),0)</f>
        <v/>
      </c>
      <c r="HX27" s="12">
        <f>HV27-HW27</f>
        <v/>
      </c>
      <c r="HY27" s="12">
        <f>ROUND(HW27*EssentialMix,0)</f>
        <v/>
      </c>
      <c r="HZ27" s="12">
        <f>HW27-HY27</f>
        <v/>
      </c>
      <c r="IA27" s="12">
        <f>ROUND(HX27*EssentialMix,0)</f>
        <v/>
      </c>
      <c r="IB27" s="12">
        <f>HX27-IA27</f>
        <v/>
      </c>
      <c r="IC27" s="12">
        <f>HY27+HY26+HY25+MAX(0,IC26-HY26-HY25)*(1-HR27)</f>
        <v/>
      </c>
      <c r="ID27" s="12">
        <f>HZ27+HZ26+HZ25+MAX(0,ID26-HZ26-HZ25)*(1-HR27)</f>
        <v/>
      </c>
      <c r="IE27" s="12">
        <f>IE26+IA27-IA15*(AnnualChurn*VLOOKUP(HN27,ChurnSeasonTable,4,FALSE))*POWER(1-(AnnualChurn*VLOOKUP(HN27,ChurnSeasonTable,4,FALSE)),0)</f>
        <v/>
      </c>
      <c r="IF27" s="12">
        <f>IF26+IB27-IB15*(AnnualChurn*VLOOKUP(HN27,ChurnSeasonTable,4,FALSE))*POWER(1-(AnnualChurn*VLOOKUP(HN27,ChurnSeasonTable,4,FALSE)),0)</f>
        <v/>
      </c>
      <c r="IG27" s="12">
        <f>IC27+ID27+IE27+IF27</f>
        <v/>
      </c>
      <c r="IH27" s="9">
        <f>IC27*PriceEssMonthly*HQ27+ID27*PricePremMonthly*HQ27+IE27*PriceEssAnnual*HQ27/12+IF27*PricePremAnnual*HQ27/12</f>
        <v/>
      </c>
      <c r="II27" s="9">
        <f>IH27*12</f>
        <v/>
      </c>
      <c r="IJ27" s="12">
        <f>IC27*PriceEssMonthly*HQ27+ID27*PricePremMonthly*HQ27</f>
        <v/>
      </c>
      <c r="IK27" s="12">
        <f>IA27*PriceEssAnnual*HQ27+IB27*PricePremAnnual*HQ27</f>
        <v/>
      </c>
      <c r="IL27" s="12">
        <f>IA15*POWER(1-(AnnualChurn*VLOOKUP(HN27,ChurnSeasonTable,4,FALSE)),1)*PriceEssAnnual*HQ27+IB15*POWER(1-(AnnualChurn*VLOOKUP(HN27,ChurnSeasonTable,4,FALSE)),1)*PricePremAnnual*HQ27</f>
        <v/>
      </c>
      <c r="IM27" s="9">
        <f>IJ27+IK27+IL27</f>
        <v/>
      </c>
      <c r="IN27" s="12">
        <f>SUM(IM16:IM27)</f>
        <v/>
      </c>
      <c r="IO27" s="12">
        <f>OR(IO26,IN27&gt;=VATThreshold)</f>
        <v/>
      </c>
      <c r="IP27" s="9">
        <f>IF(IO27,IM27/(1+VATRate),IM27)</f>
        <v/>
      </c>
      <c r="IQ27" s="12">
        <f>IM27-IP27</f>
        <v/>
      </c>
      <c r="IR27" s="12">
        <f>IF(IO27=0,0,IF(HN27=1,SUMPRODUCT(--(($HO$5:$HO27=$HO27-1)*($HN$5:$HN27&gt;=10)*($HN$5:$HN27&lt;=12)),$IQ$5:$IQ27),IF(HN27=4,SUMPRODUCT(--(($HO$5:$HO27=$HO27)*($HN$5:$HN27&gt;=1)*($HN$5:$HN27&lt;=3)),$IQ$5:$IQ27),IF(HN27=7,SUMPRODUCT(--(($HO$5:$HO27=$HO27)*($HN$5:$HN27&gt;=4)*($HN$5:$HN27&lt;=6)),$IQ$5:$IQ27),IF(HN27=10,SUMPRODUCT(--(($HO$5:$HO27=$HO27)*($HN$5:$HN27&gt;=7)*($HN$5:$HN27&lt;=9)),$IQ$5:$IQ27),0)))))</f>
        <v/>
      </c>
      <c r="IS27" s="12">
        <f>IS26+IQ27-IR27</f>
        <v/>
      </c>
      <c r="IT27" s="12">
        <f>IF(ProviderDelay&gt;=1,IP26*ProviderShare,IP27*ProviderShare)</f>
        <v/>
      </c>
      <c r="IU27" s="12">
        <f>IM27*PaymentFee</f>
        <v/>
      </c>
      <c r="IV27" s="12">
        <f>IG27*OpsAI</f>
        <v/>
      </c>
      <c r="IW27" s="12">
        <f>MonthlyFixed</f>
        <v/>
      </c>
      <c r="IX27" s="12">
        <f>HU27*ReferralReward</f>
        <v/>
      </c>
      <c r="IY27" s="12">
        <f>HS27</f>
        <v/>
      </c>
      <c r="IZ27" s="9">
        <f>IP27-IT27-IU27-IV27-IW27-IX27-IY27</f>
        <v/>
      </c>
      <c r="JA27" s="9">
        <f>JA26+IM27-(IT27+IU27+IV27+IW27+IX27+IY27+IR27)</f>
        <v/>
      </c>
      <c r="JB27" s="12">
        <f>IF(IG27&gt;0,IH27/IG27,0)</f>
        <v/>
      </c>
      <c r="JC27" s="11">
        <f>IF(IG26&gt;0,MAX(0,(IG26+HV27-IG27)/IG26),0)</f>
        <v/>
      </c>
      <c r="JE27" s="12" t="n">
        <v>23</v>
      </c>
      <c r="JF27" s="12">
        <f>MOD(JE27-1+LaunchMonth-1,12)+1</f>
        <v/>
      </c>
      <c r="JG27" s="12">
        <f>INT((JE27-1+LaunchMonth-1)/12)+1</f>
        <v/>
      </c>
      <c r="JH27" s="12">
        <f>VLOOKUP(JF27,SeasonTable,2,FALSE)</f>
        <v/>
      </c>
      <c r="JI27" s="12">
        <f>(1+InflationRate)^INT((JE27-1)/12)</f>
        <v/>
      </c>
      <c r="JJ27" s="11">
        <f>'Sens - Churn'!$A$16*VLOOKUP(JF27,ChurnSeasonTable,4,FALSE)</f>
        <v/>
      </c>
      <c r="JK27" s="12">
        <f>MIN(MAX(MktMin19plus,KE26*MktPct19plus),MAX(0,KS26-CashBuffer))</f>
        <v/>
      </c>
      <c r="JL27" s="12">
        <f>IF(JK27&gt;0,MAX(1,ROUND(JK27/CAC*JH27,0)),0)</f>
        <v/>
      </c>
      <c r="JM27" s="12">
        <f>IF(JL27&gt;0,ROUND(JL27*ReferralMix/(1-ReferralMix),0),0)</f>
        <v/>
      </c>
      <c r="JN27" s="12">
        <f>JL27+JM27</f>
        <v/>
      </c>
      <c r="JO27" s="12">
        <f>ROUND(JN27*(1-AnnualMix),0)</f>
        <v/>
      </c>
      <c r="JP27" s="12">
        <f>JN27-JO27</f>
        <v/>
      </c>
      <c r="JQ27" s="12">
        <f>ROUND(JO27*EssentialMix,0)</f>
        <v/>
      </c>
      <c r="JR27" s="12">
        <f>JO27-JQ27</f>
        <v/>
      </c>
      <c r="JS27" s="12">
        <f>ROUND(JP27*EssentialMix,0)</f>
        <v/>
      </c>
      <c r="JT27" s="12">
        <f>JP27-JS27</f>
        <v/>
      </c>
      <c r="JU27" s="12">
        <f>JQ27+JQ26+JQ25+MAX(0,JU26-JQ26-JQ25)*(1-JJ27)</f>
        <v/>
      </c>
      <c r="JV27" s="12">
        <f>JR27+JR26+JR25+MAX(0,JV26-JR26-JR25)*(1-JJ27)</f>
        <v/>
      </c>
      <c r="JW27" s="12">
        <f>JW26+JS27-JS15*(AnnualChurn*VLOOKUP(JF27,ChurnSeasonTable,4,FALSE))*POWER(1-(AnnualChurn*VLOOKUP(JF27,ChurnSeasonTable,4,FALSE)),0)</f>
        <v/>
      </c>
      <c r="JX27" s="12">
        <f>JX26+JT27-JT15*(AnnualChurn*VLOOKUP(JF27,ChurnSeasonTable,4,FALSE))*POWER(1-(AnnualChurn*VLOOKUP(JF27,ChurnSeasonTable,4,FALSE)),0)</f>
        <v/>
      </c>
      <c r="JY27" s="12">
        <f>JU27+JV27+JW27+JX27</f>
        <v/>
      </c>
      <c r="JZ27" s="9">
        <f>JU27*PriceEssMonthly*JI27+JV27*PricePremMonthly*JI27+JW27*PriceEssAnnual*JI27/12+JX27*PricePremAnnual*JI27/12</f>
        <v/>
      </c>
      <c r="KA27" s="9">
        <f>JZ27*12</f>
        <v/>
      </c>
      <c r="KB27" s="12">
        <f>JU27*PriceEssMonthly*JI27+JV27*PricePremMonthly*JI27</f>
        <v/>
      </c>
      <c r="KC27" s="12">
        <f>JS27*PriceEssAnnual*JI27+JT27*PricePremAnnual*JI27</f>
        <v/>
      </c>
      <c r="KD27" s="12">
        <f>JS15*POWER(1-(AnnualChurn*VLOOKUP(JF27,ChurnSeasonTable,4,FALSE)),1)*PriceEssAnnual*JI27+JT15*POWER(1-(AnnualChurn*VLOOKUP(JF27,ChurnSeasonTable,4,FALSE)),1)*PricePremAnnual*JI27</f>
        <v/>
      </c>
      <c r="KE27" s="9">
        <f>KB27+KC27+KD27</f>
        <v/>
      </c>
      <c r="KF27" s="12">
        <f>SUM(KE16:KE27)</f>
        <v/>
      </c>
      <c r="KG27" s="12">
        <f>OR(KG26,KF27&gt;=VATThreshold)</f>
        <v/>
      </c>
      <c r="KH27" s="9">
        <f>IF(KG27,KE27/(1+VATRate),KE27)</f>
        <v/>
      </c>
      <c r="KI27" s="12">
        <f>KE27-KH27</f>
        <v/>
      </c>
      <c r="KJ27" s="12">
        <f>IF(KG27=0,0,IF(JF27=1,SUMPRODUCT(--(($JG$5:$JG27=$JG27-1)*($JF$5:$JF27&gt;=10)*($JF$5:$JF27&lt;=12)),$KI$5:$KI27),IF(JF27=4,SUMPRODUCT(--(($JG$5:$JG27=$JG27)*($JF$5:$JF27&gt;=1)*($JF$5:$JF27&lt;=3)),$KI$5:$KI27),IF(JF27=7,SUMPRODUCT(--(($JG$5:$JG27=$JG27)*($JF$5:$JF27&gt;=4)*($JF$5:$JF27&lt;=6)),$KI$5:$KI27),IF(JF27=10,SUMPRODUCT(--(($JG$5:$JG27=$JG27)*($JF$5:$JF27&gt;=7)*($JF$5:$JF27&lt;=9)),$KI$5:$KI27),0)))))</f>
        <v/>
      </c>
      <c r="KK27" s="12">
        <f>KK26+KI27-KJ27</f>
        <v/>
      </c>
      <c r="KL27" s="12">
        <f>IF(ProviderDelay&gt;=1,KH26*ProviderShare,KH27*ProviderShare)</f>
        <v/>
      </c>
      <c r="KM27" s="12">
        <f>KE27*PaymentFee</f>
        <v/>
      </c>
      <c r="KN27" s="12">
        <f>JY27*OpsAI</f>
        <v/>
      </c>
      <c r="KO27" s="12">
        <f>MonthlyFixed</f>
        <v/>
      </c>
      <c r="KP27" s="12">
        <f>JM27*ReferralReward</f>
        <v/>
      </c>
      <c r="KQ27" s="12">
        <f>JK27</f>
        <v/>
      </c>
      <c r="KR27" s="9">
        <f>KH27-KL27-KM27-KN27-KO27-KP27-KQ27</f>
        <v/>
      </c>
      <c r="KS27" s="9">
        <f>KS26+KE27-(KL27+KM27+KN27+KO27+KP27+KQ27+KJ27)</f>
        <v/>
      </c>
      <c r="KT27" s="12">
        <f>IF(JY27&gt;0,JZ27/JY27,0)</f>
        <v/>
      </c>
      <c r="KU27" s="11">
        <f>IF(JY26&gt;0,MAX(0,(JY26+JN27-JY27)/JY26),0)</f>
        <v/>
      </c>
      <c r="KW27" s="12" t="n">
        <v>23</v>
      </c>
      <c r="KX27" s="12">
        <f>MOD(KW27-1+LaunchMonth-1,12)+1</f>
        <v/>
      </c>
      <c r="KY27" s="12">
        <f>INT((KW27-1+LaunchMonth-1)/12)+1</f>
        <v/>
      </c>
      <c r="KZ27" s="12">
        <f>VLOOKUP(KX27,SeasonTable,2,FALSE)</f>
        <v/>
      </c>
      <c r="LA27" s="12">
        <f>(1+InflationRate)^INT((KW27-1)/12)</f>
        <v/>
      </c>
      <c r="LB27" s="11">
        <f>'Sens - Churn'!$A$17*VLOOKUP(KX27,ChurnSeasonTable,4,FALSE)</f>
        <v/>
      </c>
      <c r="LC27" s="12">
        <f>MIN(MAX(MktMin19plus,LW26*MktPct19plus),MAX(0,MK26-CashBuffer))</f>
        <v/>
      </c>
      <c r="LD27" s="12">
        <f>IF(LC27&gt;0,MAX(1,ROUND(LC27/CAC*KZ27,0)),0)</f>
        <v/>
      </c>
      <c r="LE27" s="12">
        <f>IF(LD27&gt;0,ROUND(LD27*ReferralMix/(1-ReferralMix),0),0)</f>
        <v/>
      </c>
      <c r="LF27" s="12">
        <f>LD27+LE27</f>
        <v/>
      </c>
      <c r="LG27" s="12">
        <f>ROUND(LF27*(1-AnnualMix),0)</f>
        <v/>
      </c>
      <c r="LH27" s="12">
        <f>LF27-LG27</f>
        <v/>
      </c>
      <c r="LI27" s="12">
        <f>ROUND(LG27*EssentialMix,0)</f>
        <v/>
      </c>
      <c r="LJ27" s="12">
        <f>LG27-LI27</f>
        <v/>
      </c>
      <c r="LK27" s="12">
        <f>ROUND(LH27*EssentialMix,0)</f>
        <v/>
      </c>
      <c r="LL27" s="12">
        <f>LH27-LK27</f>
        <v/>
      </c>
      <c r="LM27" s="12">
        <f>LI27+LI26+LI25+MAX(0,LM26-LI26-LI25)*(1-LB27)</f>
        <v/>
      </c>
      <c r="LN27" s="12">
        <f>LJ27+LJ26+LJ25+MAX(0,LN26-LJ26-LJ25)*(1-LB27)</f>
        <v/>
      </c>
      <c r="LO27" s="12">
        <f>LO26+LK27-LK15*(AnnualChurn*VLOOKUP(KX27,ChurnSeasonTable,4,FALSE))*POWER(1-(AnnualChurn*VLOOKUP(KX27,ChurnSeasonTable,4,FALSE)),0)</f>
        <v/>
      </c>
      <c r="LP27" s="12">
        <f>LP26+LL27-LL15*(AnnualChurn*VLOOKUP(KX27,ChurnSeasonTable,4,FALSE))*POWER(1-(AnnualChurn*VLOOKUP(KX27,ChurnSeasonTable,4,FALSE)),0)</f>
        <v/>
      </c>
      <c r="LQ27" s="12">
        <f>LM27+LN27+LO27+LP27</f>
        <v/>
      </c>
      <c r="LR27" s="9">
        <f>LM27*PriceEssMonthly*LA27+LN27*PricePremMonthly*LA27+LO27*PriceEssAnnual*LA27/12+LP27*PricePremAnnual*LA27/12</f>
        <v/>
      </c>
      <c r="LS27" s="9">
        <f>LR27*12</f>
        <v/>
      </c>
      <c r="LT27" s="12">
        <f>LM27*PriceEssMonthly*LA27+LN27*PricePremMonthly*LA27</f>
        <v/>
      </c>
      <c r="LU27" s="12">
        <f>LK27*PriceEssAnnual*LA27+LL27*PricePremAnnual*LA27</f>
        <v/>
      </c>
      <c r="LV27" s="12">
        <f>LK15*POWER(1-(AnnualChurn*VLOOKUP(KX27,ChurnSeasonTable,4,FALSE)),1)*PriceEssAnnual*LA27+LL15*POWER(1-(AnnualChurn*VLOOKUP(KX27,ChurnSeasonTable,4,FALSE)),1)*PricePremAnnual*LA27</f>
        <v/>
      </c>
      <c r="LW27" s="9">
        <f>LT27+LU27+LV27</f>
        <v/>
      </c>
      <c r="LX27" s="12">
        <f>SUM(LW16:LW27)</f>
        <v/>
      </c>
      <c r="LY27" s="12">
        <f>OR(LY26,LX27&gt;=VATThreshold)</f>
        <v/>
      </c>
      <c r="LZ27" s="9">
        <f>IF(LY27,LW27/(1+VATRate),LW27)</f>
        <v/>
      </c>
      <c r="MA27" s="12">
        <f>LW27-LZ27</f>
        <v/>
      </c>
      <c r="MB27" s="12">
        <f>IF(LY27=0,0,IF(KX27=1,SUMPRODUCT(--(($KY$5:$KY27=$KY27-1)*($KX$5:$KX27&gt;=10)*($KX$5:$KX27&lt;=12)),$MA$5:$MA27),IF(KX27=4,SUMPRODUCT(--(($KY$5:$KY27=$KY27)*($KX$5:$KX27&gt;=1)*($KX$5:$KX27&lt;=3)),$MA$5:$MA27),IF(KX27=7,SUMPRODUCT(--(($KY$5:$KY27=$KY27)*($KX$5:$KX27&gt;=4)*($KX$5:$KX27&lt;=6)),$MA$5:$MA27),IF(KX27=10,SUMPRODUCT(--(($KY$5:$KY27=$KY27)*($KX$5:$KX27&gt;=7)*($KX$5:$KX27&lt;=9)),$MA$5:$MA27),0)))))</f>
        <v/>
      </c>
      <c r="MC27" s="12">
        <f>MC26+MA27-MB27</f>
        <v/>
      </c>
      <c r="MD27" s="12">
        <f>IF(ProviderDelay&gt;=1,LZ26*ProviderShare,LZ27*ProviderShare)</f>
        <v/>
      </c>
      <c r="ME27" s="12">
        <f>LW27*PaymentFee</f>
        <v/>
      </c>
      <c r="MF27" s="12">
        <f>LQ27*OpsAI</f>
        <v/>
      </c>
      <c r="MG27" s="12">
        <f>MonthlyFixed</f>
        <v/>
      </c>
      <c r="MH27" s="12">
        <f>LE27*ReferralReward</f>
        <v/>
      </c>
      <c r="MI27" s="12">
        <f>LC27</f>
        <v/>
      </c>
      <c r="MJ27" s="9">
        <f>LZ27-MD27-ME27-MF27-MG27-MH27-MI27</f>
        <v/>
      </c>
      <c r="MK27" s="9">
        <f>MK26+LW27-(MD27+ME27+MF27+MG27+MH27+MI27+MB27)</f>
        <v/>
      </c>
      <c r="ML27" s="12">
        <f>IF(LQ27&gt;0,LR27/LQ27,0)</f>
        <v/>
      </c>
      <c r="MM27" s="11">
        <f>IF(LQ26&gt;0,MAX(0,(LQ26+LF27-LQ27)/LQ26),0)</f>
        <v/>
      </c>
      <c r="MO27" s="12" t="n">
        <v>23</v>
      </c>
      <c r="MP27" s="12">
        <f>MOD(MO27-1+LaunchMonth-1,12)+1</f>
        <v/>
      </c>
      <c r="MQ27" s="12">
        <f>INT((MO27-1+LaunchMonth-1)/12)+1</f>
        <v/>
      </c>
      <c r="MR27" s="12">
        <f>VLOOKUP(MP27,SeasonTable,2,FALSE)</f>
        <v/>
      </c>
      <c r="MS27" s="12">
        <f>(1+InflationRate)^INT((MO27-1)/12)</f>
        <v/>
      </c>
      <c r="MT27" s="11">
        <f>'Sens - Churn'!$A$18*VLOOKUP(MP27,ChurnSeasonTable,4,FALSE)</f>
        <v/>
      </c>
      <c r="MU27" s="12">
        <f>MIN(MAX(MktMin19plus,NO26*MktPct19plus),MAX(0,OC26-CashBuffer))</f>
        <v/>
      </c>
      <c r="MV27" s="12">
        <f>IF(MU27&gt;0,MAX(1,ROUND(MU27/CAC*MR27,0)),0)</f>
        <v/>
      </c>
      <c r="MW27" s="12">
        <f>IF(MV27&gt;0,ROUND(MV27*ReferralMix/(1-ReferralMix),0),0)</f>
        <v/>
      </c>
      <c r="MX27" s="12">
        <f>MV27+MW27</f>
        <v/>
      </c>
      <c r="MY27" s="12">
        <f>ROUND(MX27*(1-AnnualMix),0)</f>
        <v/>
      </c>
      <c r="MZ27" s="12">
        <f>MX27-MY27</f>
        <v/>
      </c>
      <c r="NA27" s="12">
        <f>ROUND(MY27*EssentialMix,0)</f>
        <v/>
      </c>
      <c r="NB27" s="12">
        <f>MY27-NA27</f>
        <v/>
      </c>
      <c r="NC27" s="12">
        <f>ROUND(MZ27*EssentialMix,0)</f>
        <v/>
      </c>
      <c r="ND27" s="12">
        <f>MZ27-NC27</f>
        <v/>
      </c>
      <c r="NE27" s="12">
        <f>NA27+NA26+NA25+MAX(0,NE26-NA26-NA25)*(1-MT27)</f>
        <v/>
      </c>
      <c r="NF27" s="12">
        <f>NB27+NB26+NB25+MAX(0,NF26-NB26-NB25)*(1-MT27)</f>
        <v/>
      </c>
      <c r="NG27" s="12">
        <f>NG26+NC27-NC15*(AnnualChurn*VLOOKUP(MP27,ChurnSeasonTable,4,FALSE))*POWER(1-(AnnualChurn*VLOOKUP(MP27,ChurnSeasonTable,4,FALSE)),0)</f>
        <v/>
      </c>
      <c r="NH27" s="12">
        <f>NH26+ND27-ND15*(AnnualChurn*VLOOKUP(MP27,ChurnSeasonTable,4,FALSE))*POWER(1-(AnnualChurn*VLOOKUP(MP27,ChurnSeasonTable,4,FALSE)),0)</f>
        <v/>
      </c>
      <c r="NI27" s="12">
        <f>NE27+NF27+NG27+NH27</f>
        <v/>
      </c>
      <c r="NJ27" s="9">
        <f>NE27*PriceEssMonthly*MS27+NF27*PricePremMonthly*MS27+NG27*PriceEssAnnual*MS27/12+NH27*PricePremAnnual*MS27/12</f>
        <v/>
      </c>
      <c r="NK27" s="9">
        <f>NJ27*12</f>
        <v/>
      </c>
      <c r="NL27" s="12">
        <f>NE27*PriceEssMonthly*MS27+NF27*PricePremMonthly*MS27</f>
        <v/>
      </c>
      <c r="NM27" s="12">
        <f>NC27*PriceEssAnnual*MS27+ND27*PricePremAnnual*MS27</f>
        <v/>
      </c>
      <c r="NN27" s="12">
        <f>NC15*POWER(1-(AnnualChurn*VLOOKUP(MP27,ChurnSeasonTable,4,FALSE)),1)*PriceEssAnnual*MS27+ND15*POWER(1-(AnnualChurn*VLOOKUP(MP27,ChurnSeasonTable,4,FALSE)),1)*PricePremAnnual*MS27</f>
        <v/>
      </c>
      <c r="NO27" s="9">
        <f>NL27+NM27+NN27</f>
        <v/>
      </c>
      <c r="NP27" s="12">
        <f>SUM(NO16:NO27)</f>
        <v/>
      </c>
      <c r="NQ27" s="12">
        <f>OR(NQ26,NP27&gt;=VATThreshold)</f>
        <v/>
      </c>
      <c r="NR27" s="9">
        <f>IF(NQ27,NO27/(1+VATRate),NO27)</f>
        <v/>
      </c>
      <c r="NS27" s="12">
        <f>NO27-NR27</f>
        <v/>
      </c>
      <c r="NT27" s="12">
        <f>IF(NQ27=0,0,IF(MP27=1,SUMPRODUCT(--(($MQ$5:$MQ27=$MQ27-1)*($MP$5:$MP27&gt;=10)*($MP$5:$MP27&lt;=12)),$NS$5:$NS27),IF(MP27=4,SUMPRODUCT(--(($MQ$5:$MQ27=$MQ27)*($MP$5:$MP27&gt;=1)*($MP$5:$MP27&lt;=3)),$NS$5:$NS27),IF(MP27=7,SUMPRODUCT(--(($MQ$5:$MQ27=$MQ27)*($MP$5:$MP27&gt;=4)*($MP$5:$MP27&lt;=6)),$NS$5:$NS27),IF(MP27=10,SUMPRODUCT(--(($MQ$5:$MQ27=$MQ27)*($MP$5:$MP27&gt;=7)*($MP$5:$MP27&lt;=9)),$NS$5:$NS27),0)))))</f>
        <v/>
      </c>
      <c r="NU27" s="12">
        <f>NU26+NS27-NT27</f>
        <v/>
      </c>
      <c r="NV27" s="12">
        <f>IF(ProviderDelay&gt;=1,NR26*ProviderShare,NR27*ProviderShare)</f>
        <v/>
      </c>
      <c r="NW27" s="12">
        <f>NO27*PaymentFee</f>
        <v/>
      </c>
      <c r="NX27" s="12">
        <f>NI27*OpsAI</f>
        <v/>
      </c>
      <c r="NY27" s="12">
        <f>MonthlyFixed</f>
        <v/>
      </c>
      <c r="NZ27" s="12">
        <f>MW27*ReferralReward</f>
        <v/>
      </c>
      <c r="OA27" s="12">
        <f>MU27</f>
        <v/>
      </c>
      <c r="OB27" s="9">
        <f>NR27-NV27-NW27-NX27-NY27-NZ27-OA27</f>
        <v/>
      </c>
      <c r="OC27" s="9">
        <f>OC26+NO27-(NV27+NW27+NX27+NY27+NZ27+OA27+NT27)</f>
        <v/>
      </c>
      <c r="OD27" s="12">
        <f>IF(NI27&gt;0,NJ27/NI27,0)</f>
        <v/>
      </c>
      <c r="OE27" s="11">
        <f>IF(NI26&gt;0,MAX(0,(NI26+MX27-NI27)/NI26),0)</f>
        <v/>
      </c>
      <c r="OG27" s="12" t="n">
        <v>23</v>
      </c>
      <c r="OH27" s="12">
        <f>MOD(OG27-1+LaunchMonth-1,12)+1</f>
        <v/>
      </c>
      <c r="OI27" s="12">
        <f>INT((OG27-1+LaunchMonth-1)/12)+1</f>
        <v/>
      </c>
      <c r="OJ27" s="12">
        <f>VLOOKUP(OH27,SeasonTable,2,FALSE)</f>
        <v/>
      </c>
      <c r="OK27" s="12">
        <f>(1+InflationRate)^INT((OG27-1)/12)</f>
        <v/>
      </c>
      <c r="OL27" s="11">
        <f>'Sens - Churn'!$A$19*VLOOKUP(OH27,ChurnSeasonTable,4,FALSE)</f>
        <v/>
      </c>
      <c r="OM27" s="12">
        <f>MIN(MAX(MktMin19plus,PG26*MktPct19plus),MAX(0,PU26-CashBuffer))</f>
        <v/>
      </c>
      <c r="ON27" s="12">
        <f>IF(OM27&gt;0,MAX(1,ROUND(OM27/CAC*OJ27,0)),0)</f>
        <v/>
      </c>
      <c r="OO27" s="12">
        <f>IF(ON27&gt;0,ROUND(ON27*ReferralMix/(1-ReferralMix),0),0)</f>
        <v/>
      </c>
      <c r="OP27" s="12">
        <f>ON27+OO27</f>
        <v/>
      </c>
      <c r="OQ27" s="12">
        <f>ROUND(OP27*(1-AnnualMix),0)</f>
        <v/>
      </c>
      <c r="OR27" s="12">
        <f>OP27-OQ27</f>
        <v/>
      </c>
      <c r="OS27" s="12">
        <f>ROUND(OQ27*EssentialMix,0)</f>
        <v/>
      </c>
      <c r="OT27" s="12">
        <f>OQ27-OS27</f>
        <v/>
      </c>
      <c r="OU27" s="12">
        <f>ROUND(OR27*EssentialMix,0)</f>
        <v/>
      </c>
      <c r="OV27" s="12">
        <f>OR27-OU27</f>
        <v/>
      </c>
      <c r="OW27" s="12">
        <f>OS27+OS26+OS25+MAX(0,OW26-OS26-OS25)*(1-OL27)</f>
        <v/>
      </c>
      <c r="OX27" s="12">
        <f>OT27+OT26+OT25+MAX(0,OX26-OT26-OT25)*(1-OL27)</f>
        <v/>
      </c>
      <c r="OY27" s="12">
        <f>OY26+OU27-OU15*(AnnualChurn*VLOOKUP(OH27,ChurnSeasonTable,4,FALSE))*POWER(1-(AnnualChurn*VLOOKUP(OH27,ChurnSeasonTable,4,FALSE)),0)</f>
        <v/>
      </c>
      <c r="OZ27" s="12">
        <f>OZ26+OV27-OV15*(AnnualChurn*VLOOKUP(OH27,ChurnSeasonTable,4,FALSE))*POWER(1-(AnnualChurn*VLOOKUP(OH27,ChurnSeasonTable,4,FALSE)),0)</f>
        <v/>
      </c>
      <c r="PA27" s="12">
        <f>OW27+OX27+OY27+OZ27</f>
        <v/>
      </c>
      <c r="PB27" s="9">
        <f>OW27*PriceEssMonthly*OK27+OX27*PricePremMonthly*OK27+OY27*PriceEssAnnual*OK27/12+OZ27*PricePremAnnual*OK27/12</f>
        <v/>
      </c>
      <c r="PC27" s="9">
        <f>PB27*12</f>
        <v/>
      </c>
      <c r="PD27" s="12">
        <f>OW27*PriceEssMonthly*OK27+OX27*PricePremMonthly*OK27</f>
        <v/>
      </c>
      <c r="PE27" s="12">
        <f>OU27*PriceEssAnnual*OK27+OV27*PricePremAnnual*OK27</f>
        <v/>
      </c>
      <c r="PF27" s="12">
        <f>OU15*POWER(1-(AnnualChurn*VLOOKUP(OH27,ChurnSeasonTable,4,FALSE)),1)*PriceEssAnnual*OK27+OV15*POWER(1-(AnnualChurn*VLOOKUP(OH27,ChurnSeasonTable,4,FALSE)),1)*PricePremAnnual*OK27</f>
        <v/>
      </c>
      <c r="PG27" s="9">
        <f>PD27+PE27+PF27</f>
        <v/>
      </c>
      <c r="PH27" s="12">
        <f>SUM(PG16:PG27)</f>
        <v/>
      </c>
      <c r="PI27" s="12">
        <f>OR(PI26,PH27&gt;=VATThreshold)</f>
        <v/>
      </c>
      <c r="PJ27" s="9">
        <f>IF(PI27,PG27/(1+VATRate),PG27)</f>
        <v/>
      </c>
      <c r="PK27" s="12">
        <f>PG27-PJ27</f>
        <v/>
      </c>
      <c r="PL27" s="12">
        <f>IF(PI27=0,0,IF(OH27=1,SUMPRODUCT(--(($OI$5:$OI27=$OI27-1)*($OH$5:$OH27&gt;=10)*($OH$5:$OH27&lt;=12)),$PK$5:$PK27),IF(OH27=4,SUMPRODUCT(--(($OI$5:$OI27=$OI27)*($OH$5:$OH27&gt;=1)*($OH$5:$OH27&lt;=3)),$PK$5:$PK27),IF(OH27=7,SUMPRODUCT(--(($OI$5:$OI27=$OI27)*($OH$5:$OH27&gt;=4)*($OH$5:$OH27&lt;=6)),$PK$5:$PK27),IF(OH27=10,SUMPRODUCT(--(($OI$5:$OI27=$OI27)*($OH$5:$OH27&gt;=7)*($OH$5:$OH27&lt;=9)),$PK$5:$PK27),0)))))</f>
        <v/>
      </c>
      <c r="PM27" s="12">
        <f>PM26+PK27-PL27</f>
        <v/>
      </c>
      <c r="PN27" s="12">
        <f>IF(ProviderDelay&gt;=1,PJ26*ProviderShare,PJ27*ProviderShare)</f>
        <v/>
      </c>
      <c r="PO27" s="12">
        <f>PG27*PaymentFee</f>
        <v/>
      </c>
      <c r="PP27" s="12">
        <f>PA27*OpsAI</f>
        <v/>
      </c>
      <c r="PQ27" s="12">
        <f>MonthlyFixed</f>
        <v/>
      </c>
      <c r="PR27" s="12">
        <f>OO27*ReferralReward</f>
        <v/>
      </c>
      <c r="PS27" s="12">
        <f>OM27</f>
        <v/>
      </c>
      <c r="PT27" s="9">
        <f>PJ27-PN27-PO27-PP27-PQ27-PR27-PS27</f>
        <v/>
      </c>
      <c r="PU27" s="9">
        <f>PU26+PG27-(PN27+PO27+PP27+PQ27+PR27+PS27+PL27)</f>
        <v/>
      </c>
      <c r="PV27" s="12">
        <f>IF(PA27&gt;0,PB27/PA27,0)</f>
        <v/>
      </c>
      <c r="PW27" s="11">
        <f>IF(PA26&gt;0,MAX(0,(PA26+OP27-PA27)/PA26),0)</f>
        <v/>
      </c>
      <c r="PY27" s="12" t="n">
        <v>23</v>
      </c>
      <c r="PZ27" s="12">
        <f>MOD(PY27-1+LaunchMonth-1,12)+1</f>
        <v/>
      </c>
      <c r="QA27" s="12">
        <f>INT((PY27-1+LaunchMonth-1)/12)+1</f>
        <v/>
      </c>
      <c r="QB27" s="12">
        <f>VLOOKUP(PZ27,SeasonTable,2,FALSE)</f>
        <v/>
      </c>
      <c r="QC27" s="12">
        <f>(1+InflationRate)^INT((PY27-1)/12)</f>
        <v/>
      </c>
      <c r="QD27" s="11">
        <f>'Sens - Churn'!$A$20*VLOOKUP(PZ27,ChurnSeasonTable,4,FALSE)</f>
        <v/>
      </c>
      <c r="QE27" s="12">
        <f>MIN(MAX(MktMin19plus,QY26*MktPct19plus),MAX(0,RM26-CashBuffer))</f>
        <v/>
      </c>
      <c r="QF27" s="12">
        <f>IF(QE27&gt;0,MAX(1,ROUND(QE27/CAC*QB27,0)),0)</f>
        <v/>
      </c>
      <c r="QG27" s="12">
        <f>IF(QF27&gt;0,ROUND(QF27*ReferralMix/(1-ReferralMix),0),0)</f>
        <v/>
      </c>
      <c r="QH27" s="12">
        <f>QF27+QG27</f>
        <v/>
      </c>
      <c r="QI27" s="12">
        <f>ROUND(QH27*(1-AnnualMix),0)</f>
        <v/>
      </c>
      <c r="QJ27" s="12">
        <f>QH27-QI27</f>
        <v/>
      </c>
      <c r="QK27" s="12">
        <f>ROUND(QI27*EssentialMix,0)</f>
        <v/>
      </c>
      <c r="QL27" s="12">
        <f>QI27-QK27</f>
        <v/>
      </c>
      <c r="QM27" s="12">
        <f>ROUND(QJ27*EssentialMix,0)</f>
        <v/>
      </c>
      <c r="QN27" s="12">
        <f>QJ27-QM27</f>
        <v/>
      </c>
      <c r="QO27" s="12">
        <f>QK27+QK26+QK25+MAX(0,QO26-QK26-QK25)*(1-QD27)</f>
        <v/>
      </c>
      <c r="QP27" s="12">
        <f>QL27+QL26+QL25+MAX(0,QP26-QL26-QL25)*(1-QD27)</f>
        <v/>
      </c>
      <c r="QQ27" s="12">
        <f>QQ26+QM27-QM15*(AnnualChurn*VLOOKUP(PZ27,ChurnSeasonTable,4,FALSE))*POWER(1-(AnnualChurn*VLOOKUP(PZ27,ChurnSeasonTable,4,FALSE)),0)</f>
        <v/>
      </c>
      <c r="QR27" s="12">
        <f>QR26+QN27-QN15*(AnnualChurn*VLOOKUP(PZ27,ChurnSeasonTable,4,FALSE))*POWER(1-(AnnualChurn*VLOOKUP(PZ27,ChurnSeasonTable,4,FALSE)),0)</f>
        <v/>
      </c>
      <c r="QS27" s="12">
        <f>QO27+QP27+QQ27+QR27</f>
        <v/>
      </c>
      <c r="QT27" s="9">
        <f>QO27*PriceEssMonthly*QC27+QP27*PricePremMonthly*QC27+QQ27*PriceEssAnnual*QC27/12+QR27*PricePremAnnual*QC27/12</f>
        <v/>
      </c>
      <c r="QU27" s="9">
        <f>QT27*12</f>
        <v/>
      </c>
      <c r="QV27" s="12">
        <f>QO27*PriceEssMonthly*QC27+QP27*PricePremMonthly*QC27</f>
        <v/>
      </c>
      <c r="QW27" s="12">
        <f>QM27*PriceEssAnnual*QC27+QN27*PricePremAnnual*QC27</f>
        <v/>
      </c>
      <c r="QX27" s="12">
        <f>QM15*POWER(1-(AnnualChurn*VLOOKUP(PZ27,ChurnSeasonTable,4,FALSE)),1)*PriceEssAnnual*QC27+QN15*POWER(1-(AnnualChurn*VLOOKUP(PZ27,ChurnSeasonTable,4,FALSE)),1)*PricePremAnnual*QC27</f>
        <v/>
      </c>
      <c r="QY27" s="9">
        <f>QV27+QW27+QX27</f>
        <v/>
      </c>
      <c r="QZ27" s="12">
        <f>SUM(QY16:QY27)</f>
        <v/>
      </c>
      <c r="RA27" s="12">
        <f>OR(RA26,QZ27&gt;=VATThreshold)</f>
        <v/>
      </c>
      <c r="RB27" s="9">
        <f>IF(RA27,QY27/(1+VATRate),QY27)</f>
        <v/>
      </c>
      <c r="RC27" s="12">
        <f>QY27-RB27</f>
        <v/>
      </c>
      <c r="RD27" s="12">
        <f>IF(RA27=0,0,IF(PZ27=1,SUMPRODUCT(--(($QA$5:$QA27=$QA27-1)*($PZ$5:$PZ27&gt;=10)*($PZ$5:$PZ27&lt;=12)),$RC$5:$RC27),IF(PZ27=4,SUMPRODUCT(--(($QA$5:$QA27=$QA27)*($PZ$5:$PZ27&gt;=1)*($PZ$5:$PZ27&lt;=3)),$RC$5:$RC27),IF(PZ27=7,SUMPRODUCT(--(($QA$5:$QA27=$QA27)*($PZ$5:$PZ27&gt;=4)*($PZ$5:$PZ27&lt;=6)),$RC$5:$RC27),IF(PZ27=10,SUMPRODUCT(--(($QA$5:$QA27=$QA27)*($PZ$5:$PZ27&gt;=7)*($PZ$5:$PZ27&lt;=9)),$RC$5:$RC27),0)))))</f>
        <v/>
      </c>
      <c r="RE27" s="12">
        <f>RE26+RC27-RD27</f>
        <v/>
      </c>
      <c r="RF27" s="12">
        <f>IF(ProviderDelay&gt;=1,RB26*ProviderShare,RB27*ProviderShare)</f>
        <v/>
      </c>
      <c r="RG27" s="12">
        <f>QY27*PaymentFee</f>
        <v/>
      </c>
      <c r="RH27" s="12">
        <f>QS27*OpsAI</f>
        <v/>
      </c>
      <c r="RI27" s="12">
        <f>MonthlyFixed</f>
        <v/>
      </c>
      <c r="RJ27" s="12">
        <f>QG27*ReferralReward</f>
        <v/>
      </c>
      <c r="RK27" s="12">
        <f>QE27</f>
        <v/>
      </c>
      <c r="RL27" s="9">
        <f>RB27-RF27-RG27-RH27-RI27-RJ27-RK27</f>
        <v/>
      </c>
      <c r="RM27" s="9">
        <f>RM26+QY27-(RF27+RG27+RH27+RI27+RJ27+RK27+RD27)</f>
        <v/>
      </c>
      <c r="RN27" s="12">
        <f>IF(QS27&gt;0,QT27/QS27,0)</f>
        <v/>
      </c>
      <c r="RO27" s="11">
        <f>IF(QS26&gt;0,MAX(0,(QS26+QH27-QS27)/QS26),0)</f>
        <v/>
      </c>
      <c r="RQ27" s="12" t="n">
        <v>23</v>
      </c>
      <c r="RR27" s="12">
        <f>MOD(RQ27-1+LaunchMonth-1,12)+1</f>
        <v/>
      </c>
      <c r="RS27" s="12">
        <f>INT((RQ27-1+LaunchMonth-1)/12)+1</f>
        <v/>
      </c>
      <c r="RT27" s="12">
        <f>VLOOKUP(RR27,SeasonTable,2,FALSE)</f>
        <v/>
      </c>
      <c r="RU27" s="12">
        <f>(1+InflationRate)^INT((RQ27-1)/12)</f>
        <v/>
      </c>
      <c r="RV27" s="11">
        <f>'Sens - Churn'!$A$21*VLOOKUP(RR27,ChurnSeasonTable,4,FALSE)</f>
        <v/>
      </c>
      <c r="RW27" s="12">
        <f>MIN(MAX(MktMin19plus,SQ26*MktPct19plus),MAX(0,TE26-CashBuffer))</f>
        <v/>
      </c>
      <c r="RX27" s="12">
        <f>IF(RW27&gt;0,MAX(1,ROUND(RW27/CAC*RT27,0)),0)</f>
        <v/>
      </c>
      <c r="RY27" s="12">
        <f>IF(RX27&gt;0,ROUND(RX27*ReferralMix/(1-ReferralMix),0),0)</f>
        <v/>
      </c>
      <c r="RZ27" s="12">
        <f>RX27+RY27</f>
        <v/>
      </c>
      <c r="SA27" s="12">
        <f>ROUND(RZ27*(1-AnnualMix),0)</f>
        <v/>
      </c>
      <c r="SB27" s="12">
        <f>RZ27-SA27</f>
        <v/>
      </c>
      <c r="SC27" s="12">
        <f>ROUND(SA27*EssentialMix,0)</f>
        <v/>
      </c>
      <c r="SD27" s="12">
        <f>SA27-SC27</f>
        <v/>
      </c>
      <c r="SE27" s="12">
        <f>ROUND(SB27*EssentialMix,0)</f>
        <v/>
      </c>
      <c r="SF27" s="12">
        <f>SB27-SE27</f>
        <v/>
      </c>
      <c r="SG27" s="12">
        <f>SC27+SC26+SC25+MAX(0,SG26-SC26-SC25)*(1-RV27)</f>
        <v/>
      </c>
      <c r="SH27" s="12">
        <f>SD27+SD26+SD25+MAX(0,SH26-SD26-SD25)*(1-RV27)</f>
        <v/>
      </c>
      <c r="SI27" s="12">
        <f>SI26+SE27-SE15*(AnnualChurn*VLOOKUP(RR27,ChurnSeasonTable,4,FALSE))*POWER(1-(AnnualChurn*VLOOKUP(RR27,ChurnSeasonTable,4,FALSE)),0)</f>
        <v/>
      </c>
      <c r="SJ27" s="12">
        <f>SJ26+SF27-SF15*(AnnualChurn*VLOOKUP(RR27,ChurnSeasonTable,4,FALSE))*POWER(1-(AnnualChurn*VLOOKUP(RR27,ChurnSeasonTable,4,FALSE)),0)</f>
        <v/>
      </c>
      <c r="SK27" s="12">
        <f>SG27+SH27+SI27+SJ27</f>
        <v/>
      </c>
      <c r="SL27" s="9">
        <f>SG27*PriceEssMonthly*RU27+SH27*PricePremMonthly*RU27+SI27*PriceEssAnnual*RU27/12+SJ27*PricePremAnnual*RU27/12</f>
        <v/>
      </c>
      <c r="SM27" s="9">
        <f>SL27*12</f>
        <v/>
      </c>
      <c r="SN27" s="12">
        <f>SG27*PriceEssMonthly*RU27+SH27*PricePremMonthly*RU27</f>
        <v/>
      </c>
      <c r="SO27" s="12">
        <f>SE27*PriceEssAnnual*RU27+SF27*PricePremAnnual*RU27</f>
        <v/>
      </c>
      <c r="SP27" s="12">
        <f>SE15*POWER(1-(AnnualChurn*VLOOKUP(RR27,ChurnSeasonTable,4,FALSE)),1)*PriceEssAnnual*RU27+SF15*POWER(1-(AnnualChurn*VLOOKUP(RR27,ChurnSeasonTable,4,FALSE)),1)*PricePremAnnual*RU27</f>
        <v/>
      </c>
      <c r="SQ27" s="9">
        <f>SN27+SO27+SP27</f>
        <v/>
      </c>
      <c r="SR27" s="12">
        <f>SUM(SQ16:SQ27)</f>
        <v/>
      </c>
      <c r="SS27" s="12">
        <f>OR(SS26,SR27&gt;=VATThreshold)</f>
        <v/>
      </c>
      <c r="ST27" s="9">
        <f>IF(SS27,SQ27/(1+VATRate),SQ27)</f>
        <v/>
      </c>
      <c r="SU27" s="12">
        <f>SQ27-ST27</f>
        <v/>
      </c>
      <c r="SV27" s="12">
        <f>IF(SS27=0,0,IF(RR27=1,SUMPRODUCT(--(($RS$5:$RS27=$RS27-1)*($RR$5:$RR27&gt;=10)*($RR$5:$RR27&lt;=12)),$SU$5:$SU27),IF(RR27=4,SUMPRODUCT(--(($RS$5:$RS27=$RS27)*($RR$5:$RR27&gt;=1)*($RR$5:$RR27&lt;=3)),$SU$5:$SU27),IF(RR27=7,SUMPRODUCT(--(($RS$5:$RS27=$RS27)*($RR$5:$RR27&gt;=4)*($RR$5:$RR27&lt;=6)),$SU$5:$SU27),IF(RR27=10,SUMPRODUCT(--(($RS$5:$RS27=$RS27)*($RR$5:$RR27&gt;=7)*($RR$5:$RR27&lt;=9)),$SU$5:$SU27),0)))))</f>
        <v/>
      </c>
      <c r="SW27" s="12">
        <f>SW26+SU27-SV27</f>
        <v/>
      </c>
      <c r="SX27" s="12">
        <f>IF(ProviderDelay&gt;=1,ST26*ProviderShare,ST27*ProviderShare)</f>
        <v/>
      </c>
      <c r="SY27" s="12">
        <f>SQ27*PaymentFee</f>
        <v/>
      </c>
      <c r="SZ27" s="12">
        <f>SK27*OpsAI</f>
        <v/>
      </c>
      <c r="TA27" s="12">
        <f>MonthlyFixed</f>
        <v/>
      </c>
      <c r="TB27" s="12">
        <f>RY27*ReferralReward</f>
        <v/>
      </c>
      <c r="TC27" s="12">
        <f>RW27</f>
        <v/>
      </c>
      <c r="TD27" s="9">
        <f>ST27-SX27-SY27-SZ27-TA27-TB27-TC27</f>
        <v/>
      </c>
      <c r="TE27" s="9">
        <f>TE26+SQ27-(SX27+SY27+SZ27+TA27+TB27+TC27+SV27)</f>
        <v/>
      </c>
      <c r="TF27" s="12">
        <f>IF(SK27&gt;0,SL27/SK27,0)</f>
        <v/>
      </c>
      <c r="TG27" s="11">
        <f>IF(SK26&gt;0,MAX(0,(SK26+RZ27-SK27)/SK26),0)</f>
        <v/>
      </c>
      <c r="TI27" s="12" t="n">
        <v>23</v>
      </c>
      <c r="TJ27" s="12">
        <f>MOD(TI27-1+LaunchMonth-1,12)+1</f>
        <v/>
      </c>
      <c r="TK27" s="12">
        <f>INT((TI27-1+LaunchMonth-1)/12)+1</f>
        <v/>
      </c>
      <c r="TL27" s="12">
        <f>VLOOKUP(TJ27,SeasonTable,2,FALSE)</f>
        <v/>
      </c>
      <c r="TM27" s="12">
        <f>(1+InflationRate)^INT((TI27-1)/12)</f>
        <v/>
      </c>
      <c r="TN27" s="11">
        <f>MonthlyChurn*VLOOKUP(TJ27,ChurnSeasonTable,4,FALSE)</f>
        <v/>
      </c>
      <c r="TO27" s="12">
        <f>MIN(MAX(MktMin19plus,UI26*MktPct19plus),MAX(0,UW26-CashBuffer))</f>
        <v/>
      </c>
      <c r="TP27" s="12">
        <f>IF(TO27&gt;0,MAX(1,ROUND(TO27/CAC*TL27,0)),0)</f>
        <v/>
      </c>
      <c r="TQ27" s="12">
        <f>IF(TP27&gt;0,ROUND(TP27*ReferralMix/(1-ReferralMix),0),0)</f>
        <v/>
      </c>
      <c r="TR27" s="12">
        <f>TP27+TQ27</f>
        <v/>
      </c>
      <c r="TS27" s="12">
        <f>ROUND(TR27*(1-'Sens - Annual Mix'!$A$9),0)</f>
        <v/>
      </c>
      <c r="TT27" s="12">
        <f>TR27-TS27</f>
        <v/>
      </c>
      <c r="TU27" s="12">
        <f>ROUND(TS27*EssentialMix,0)</f>
        <v/>
      </c>
      <c r="TV27" s="12">
        <f>TS27-TU27</f>
        <v/>
      </c>
      <c r="TW27" s="12">
        <f>ROUND(TT27*EssentialMix,0)</f>
        <v/>
      </c>
      <c r="TX27" s="12">
        <f>TT27-TW27</f>
        <v/>
      </c>
      <c r="TY27" s="12">
        <f>TU27+TU26+TU25+MAX(0,TY26-TU26-TU25)*(1-TN27)</f>
        <v/>
      </c>
      <c r="TZ27" s="12">
        <f>TV27+TV26+TV25+MAX(0,TZ26-TV26-TV25)*(1-TN27)</f>
        <v/>
      </c>
      <c r="UA27" s="12">
        <f>UA26+TW27-TW15*(AnnualChurn*VLOOKUP(TJ27,ChurnSeasonTable,4,FALSE))*POWER(1-(AnnualChurn*VLOOKUP(TJ27,ChurnSeasonTable,4,FALSE)),0)</f>
        <v/>
      </c>
      <c r="UB27" s="12">
        <f>UB26+TX27-TX15*(AnnualChurn*VLOOKUP(TJ27,ChurnSeasonTable,4,FALSE))*POWER(1-(AnnualChurn*VLOOKUP(TJ27,ChurnSeasonTable,4,FALSE)),0)</f>
        <v/>
      </c>
      <c r="UC27" s="12">
        <f>TY27+TZ27+UA27+UB27</f>
        <v/>
      </c>
      <c r="UD27" s="9">
        <f>TY27*PriceEssMonthly*TM27+TZ27*PricePremMonthly*TM27+UA27*PriceEssAnnual*TM27/12+UB27*PricePremAnnual*TM27/12</f>
        <v/>
      </c>
      <c r="UE27" s="9">
        <f>UD27*12</f>
        <v/>
      </c>
      <c r="UF27" s="12">
        <f>TY27*PriceEssMonthly*TM27+TZ27*PricePremMonthly*TM27</f>
        <v/>
      </c>
      <c r="UG27" s="12">
        <f>TW27*PriceEssAnnual*TM27+TX27*PricePremAnnual*TM27</f>
        <v/>
      </c>
      <c r="UH27" s="12">
        <f>TW15*POWER(1-(AnnualChurn*VLOOKUP(TJ27,ChurnSeasonTable,4,FALSE)),1)*PriceEssAnnual*TM27+TX15*POWER(1-(AnnualChurn*VLOOKUP(TJ27,ChurnSeasonTable,4,FALSE)),1)*PricePremAnnual*TM27</f>
        <v/>
      </c>
      <c r="UI27" s="9">
        <f>UF27+UG27+UH27</f>
        <v/>
      </c>
      <c r="UJ27" s="12">
        <f>SUM(UI16:UI27)</f>
        <v/>
      </c>
      <c r="UK27" s="12">
        <f>OR(UK26,UJ27&gt;=VATThreshold)</f>
        <v/>
      </c>
      <c r="UL27" s="9">
        <f>IF(UK27,UI27/(1+VATRate),UI27)</f>
        <v/>
      </c>
      <c r="UM27" s="12">
        <f>UI27-UL27</f>
        <v/>
      </c>
      <c r="UN27" s="12">
        <f>IF(UK27=0,0,IF(TJ27=1,SUMPRODUCT(--(($TK$5:$TK27=$TK27-1)*($TJ$5:$TJ27&gt;=10)*($TJ$5:$TJ27&lt;=12)),$UM$5:$UM27),IF(TJ27=4,SUMPRODUCT(--(($TK$5:$TK27=$TK27)*($TJ$5:$TJ27&gt;=1)*($TJ$5:$TJ27&lt;=3)),$UM$5:$UM27),IF(TJ27=7,SUMPRODUCT(--(($TK$5:$TK27=$TK27)*($TJ$5:$TJ27&gt;=4)*($TJ$5:$TJ27&lt;=6)),$UM$5:$UM27),IF(TJ27=10,SUMPRODUCT(--(($TK$5:$TK27=$TK27)*($TJ$5:$TJ27&gt;=7)*($TJ$5:$TJ27&lt;=9)),$UM$5:$UM27),0)))))</f>
        <v/>
      </c>
      <c r="UO27" s="12">
        <f>UO26+UM27-UN27</f>
        <v/>
      </c>
      <c r="UP27" s="12">
        <f>IF(ProviderDelay&gt;=1,UL26*ProviderShare,UL27*ProviderShare)</f>
        <v/>
      </c>
      <c r="UQ27" s="12">
        <f>UI27*PaymentFee</f>
        <v/>
      </c>
      <c r="UR27" s="12">
        <f>UC27*OpsAI</f>
        <v/>
      </c>
      <c r="US27" s="12">
        <f>MonthlyFixed</f>
        <v/>
      </c>
      <c r="UT27" s="12">
        <f>TQ27*ReferralReward</f>
        <v/>
      </c>
      <c r="UU27" s="12">
        <f>TO27</f>
        <v/>
      </c>
      <c r="UV27" s="9">
        <f>UL27-UP27-UQ27-UR27-US27-UT27-UU27</f>
        <v/>
      </c>
      <c r="UW27" s="9">
        <f>UW26+UI27-(UP27+UQ27+UR27+US27+UT27+UU27+UN27)</f>
        <v/>
      </c>
      <c r="UX27" s="12">
        <f>IF(UC27&gt;0,UD27/UC27,0)</f>
        <v/>
      </c>
      <c r="UY27" s="11">
        <f>IF(UC26&gt;0,MAX(0,(UC26+TR27-UC27)/UC26),0)</f>
        <v/>
      </c>
      <c r="VA27" s="12" t="n">
        <v>23</v>
      </c>
      <c r="VB27" s="12">
        <f>MOD(VA27-1+LaunchMonth-1,12)+1</f>
        <v/>
      </c>
      <c r="VC27" s="12">
        <f>INT((VA27-1+LaunchMonth-1)/12)+1</f>
        <v/>
      </c>
      <c r="VD27" s="12">
        <f>VLOOKUP(VB27,SeasonTable,2,FALSE)</f>
        <v/>
      </c>
      <c r="VE27" s="12">
        <f>(1+InflationRate)^INT((VA27-1)/12)</f>
        <v/>
      </c>
      <c r="VF27" s="11">
        <f>MonthlyChurn*VLOOKUP(VB27,ChurnSeasonTable,4,FALSE)</f>
        <v/>
      </c>
      <c r="VG27" s="12">
        <f>MIN(MAX(MktMin19plus,WA26*MktPct19plus),MAX(0,WO26-CashBuffer))</f>
        <v/>
      </c>
      <c r="VH27" s="12">
        <f>IF(VG27&gt;0,MAX(1,ROUND(VG27/CAC*VD27,0)),0)</f>
        <v/>
      </c>
      <c r="VI27" s="12">
        <f>IF(VH27&gt;0,ROUND(VH27*ReferralMix/(1-ReferralMix),0),0)</f>
        <v/>
      </c>
      <c r="VJ27" s="12">
        <f>VH27+VI27</f>
        <v/>
      </c>
      <c r="VK27" s="12">
        <f>ROUND(VJ27*(1-'Sens - Annual Mix'!$A$10),0)</f>
        <v/>
      </c>
      <c r="VL27" s="12">
        <f>VJ27-VK27</f>
        <v/>
      </c>
      <c r="VM27" s="12">
        <f>ROUND(VK27*EssentialMix,0)</f>
        <v/>
      </c>
      <c r="VN27" s="12">
        <f>VK27-VM27</f>
        <v/>
      </c>
      <c r="VO27" s="12">
        <f>ROUND(VL27*EssentialMix,0)</f>
        <v/>
      </c>
      <c r="VP27" s="12">
        <f>VL27-VO27</f>
        <v/>
      </c>
      <c r="VQ27" s="12">
        <f>VM27+VM26+VM25+MAX(0,VQ26-VM26-VM25)*(1-VF27)</f>
        <v/>
      </c>
      <c r="VR27" s="12">
        <f>VN27+VN26+VN25+MAX(0,VR26-VN26-VN25)*(1-VF27)</f>
        <v/>
      </c>
      <c r="VS27" s="12">
        <f>VS26+VO27-VO15*(AnnualChurn*VLOOKUP(VB27,ChurnSeasonTable,4,FALSE))*POWER(1-(AnnualChurn*VLOOKUP(VB27,ChurnSeasonTable,4,FALSE)),0)</f>
        <v/>
      </c>
      <c r="VT27" s="12">
        <f>VT26+VP27-VP15*(AnnualChurn*VLOOKUP(VB27,ChurnSeasonTable,4,FALSE))*POWER(1-(AnnualChurn*VLOOKUP(VB27,ChurnSeasonTable,4,FALSE)),0)</f>
        <v/>
      </c>
      <c r="VU27" s="12">
        <f>VQ27+VR27+VS27+VT27</f>
        <v/>
      </c>
      <c r="VV27" s="9">
        <f>VQ27*PriceEssMonthly*VE27+VR27*PricePremMonthly*VE27+VS27*PriceEssAnnual*VE27/12+VT27*PricePremAnnual*VE27/12</f>
        <v/>
      </c>
      <c r="VW27" s="9">
        <f>VV27*12</f>
        <v/>
      </c>
      <c r="VX27" s="12">
        <f>VQ27*PriceEssMonthly*VE27+VR27*PricePremMonthly*VE27</f>
        <v/>
      </c>
      <c r="VY27" s="12">
        <f>VO27*PriceEssAnnual*VE27+VP27*PricePremAnnual*VE27</f>
        <v/>
      </c>
      <c r="VZ27" s="12">
        <f>VO15*POWER(1-(AnnualChurn*VLOOKUP(VB27,ChurnSeasonTable,4,FALSE)),1)*PriceEssAnnual*VE27+VP15*POWER(1-(AnnualChurn*VLOOKUP(VB27,ChurnSeasonTable,4,FALSE)),1)*PricePremAnnual*VE27</f>
        <v/>
      </c>
      <c r="WA27" s="9">
        <f>VX27+VY27+VZ27</f>
        <v/>
      </c>
      <c r="WB27" s="12">
        <f>SUM(WA16:WA27)</f>
        <v/>
      </c>
      <c r="WC27" s="12">
        <f>OR(WC26,WB27&gt;=VATThreshold)</f>
        <v/>
      </c>
      <c r="WD27" s="9">
        <f>IF(WC27,WA27/(1+VATRate),WA27)</f>
        <v/>
      </c>
      <c r="WE27" s="12">
        <f>WA27-WD27</f>
        <v/>
      </c>
      <c r="WF27" s="12">
        <f>IF(WC27=0,0,IF(VB27=1,SUMPRODUCT(--(($VC$5:$VC27=$VC27-1)*($VB$5:$VB27&gt;=10)*($VB$5:$VB27&lt;=12)),$WE$5:$WE27),IF(VB27=4,SUMPRODUCT(--(($VC$5:$VC27=$VC27)*($VB$5:$VB27&gt;=1)*($VB$5:$VB27&lt;=3)),$WE$5:$WE27),IF(VB27=7,SUMPRODUCT(--(($VC$5:$VC27=$VC27)*($VB$5:$VB27&gt;=4)*($VB$5:$VB27&lt;=6)),$WE$5:$WE27),IF(VB27=10,SUMPRODUCT(--(($VC$5:$VC27=$VC27)*($VB$5:$VB27&gt;=7)*($VB$5:$VB27&lt;=9)),$WE$5:$WE27),0)))))</f>
        <v/>
      </c>
      <c r="WG27" s="12">
        <f>WG26+WE27-WF27</f>
        <v/>
      </c>
      <c r="WH27" s="12">
        <f>IF(ProviderDelay&gt;=1,WD26*ProviderShare,WD27*ProviderShare)</f>
        <v/>
      </c>
      <c r="WI27" s="12">
        <f>WA27*PaymentFee</f>
        <v/>
      </c>
      <c r="WJ27" s="12">
        <f>VU27*OpsAI</f>
        <v/>
      </c>
      <c r="WK27" s="12">
        <f>MonthlyFixed</f>
        <v/>
      </c>
      <c r="WL27" s="12">
        <f>VI27*ReferralReward</f>
        <v/>
      </c>
      <c r="WM27" s="12">
        <f>VG27</f>
        <v/>
      </c>
      <c r="WN27" s="9">
        <f>WD27-WH27-WI27-WJ27-WK27-WL27-WM27</f>
        <v/>
      </c>
      <c r="WO27" s="9">
        <f>WO26+WA27-(WH27+WI27+WJ27+WK27+WL27+WM27+WF27)</f>
        <v/>
      </c>
      <c r="WP27" s="12">
        <f>IF(VU27&gt;0,VV27/VU27,0)</f>
        <v/>
      </c>
      <c r="WQ27" s="11">
        <f>IF(VU26&gt;0,MAX(0,(VU26+VJ27-VU27)/VU26),0)</f>
        <v/>
      </c>
      <c r="WS27" s="12" t="n">
        <v>23</v>
      </c>
      <c r="WT27" s="12">
        <f>MOD(WS27-1+LaunchMonth-1,12)+1</f>
        <v/>
      </c>
      <c r="WU27" s="12">
        <f>INT((WS27-1+LaunchMonth-1)/12)+1</f>
        <v/>
      </c>
      <c r="WV27" s="12">
        <f>VLOOKUP(WT27,SeasonTable,2,FALSE)</f>
        <v/>
      </c>
      <c r="WW27" s="12">
        <f>(1+InflationRate)^INT((WS27-1)/12)</f>
        <v/>
      </c>
      <c r="WX27" s="11">
        <f>MonthlyChurn*VLOOKUP(WT27,ChurnSeasonTable,4,FALSE)</f>
        <v/>
      </c>
      <c r="WY27" s="12">
        <f>MIN(MAX(MktMin19plus,XS26*MktPct19plus),MAX(0,YG26-CashBuffer))</f>
        <v/>
      </c>
      <c r="WZ27" s="12">
        <f>IF(WY27&gt;0,MAX(1,ROUND(WY27/CAC*WV27,0)),0)</f>
        <v/>
      </c>
      <c r="XA27" s="12">
        <f>IF(WZ27&gt;0,ROUND(WZ27*ReferralMix/(1-ReferralMix),0),0)</f>
        <v/>
      </c>
      <c r="XB27" s="12">
        <f>WZ27+XA27</f>
        <v/>
      </c>
      <c r="XC27" s="12">
        <f>ROUND(XB27*(1-'Sens - Annual Mix'!$A$11),0)</f>
        <v/>
      </c>
      <c r="XD27" s="12">
        <f>XB27-XC27</f>
        <v/>
      </c>
      <c r="XE27" s="12">
        <f>ROUND(XC27*EssentialMix,0)</f>
        <v/>
      </c>
      <c r="XF27" s="12">
        <f>XC27-XE27</f>
        <v/>
      </c>
      <c r="XG27" s="12">
        <f>ROUND(XD27*EssentialMix,0)</f>
        <v/>
      </c>
      <c r="XH27" s="12">
        <f>XD27-XG27</f>
        <v/>
      </c>
      <c r="XI27" s="12">
        <f>XE27+XE26+XE25+MAX(0,XI26-XE26-XE25)*(1-WX27)</f>
        <v/>
      </c>
      <c r="XJ27" s="12">
        <f>XF27+XF26+XF25+MAX(0,XJ26-XF26-XF25)*(1-WX27)</f>
        <v/>
      </c>
      <c r="XK27" s="12">
        <f>XK26+XG27-XG15*(AnnualChurn*VLOOKUP(WT27,ChurnSeasonTable,4,FALSE))*POWER(1-(AnnualChurn*VLOOKUP(WT27,ChurnSeasonTable,4,FALSE)),0)</f>
        <v/>
      </c>
      <c r="XL27" s="12">
        <f>XL26+XH27-XH15*(AnnualChurn*VLOOKUP(WT27,ChurnSeasonTable,4,FALSE))*POWER(1-(AnnualChurn*VLOOKUP(WT27,ChurnSeasonTable,4,FALSE)),0)</f>
        <v/>
      </c>
      <c r="XM27" s="12">
        <f>XI27+XJ27+XK27+XL27</f>
        <v/>
      </c>
      <c r="XN27" s="9">
        <f>XI27*PriceEssMonthly*WW27+XJ27*PricePremMonthly*WW27+XK27*PriceEssAnnual*WW27/12+XL27*PricePremAnnual*WW27/12</f>
        <v/>
      </c>
      <c r="XO27" s="9">
        <f>XN27*12</f>
        <v/>
      </c>
      <c r="XP27" s="12">
        <f>XI27*PriceEssMonthly*WW27+XJ27*PricePremMonthly*WW27</f>
        <v/>
      </c>
      <c r="XQ27" s="12">
        <f>XG27*PriceEssAnnual*WW27+XH27*PricePremAnnual*WW27</f>
        <v/>
      </c>
      <c r="XR27" s="12">
        <f>XG15*POWER(1-(AnnualChurn*VLOOKUP(WT27,ChurnSeasonTable,4,FALSE)),1)*PriceEssAnnual*WW27+XH15*POWER(1-(AnnualChurn*VLOOKUP(WT27,ChurnSeasonTable,4,FALSE)),1)*PricePremAnnual*WW27</f>
        <v/>
      </c>
      <c r="XS27" s="9">
        <f>XP27+XQ27+XR27</f>
        <v/>
      </c>
      <c r="XT27" s="12">
        <f>SUM(XS16:XS27)</f>
        <v/>
      </c>
      <c r="XU27" s="12">
        <f>OR(XU26,XT27&gt;=VATThreshold)</f>
        <v/>
      </c>
      <c r="XV27" s="9">
        <f>IF(XU27,XS27/(1+VATRate),XS27)</f>
        <v/>
      </c>
      <c r="XW27" s="12">
        <f>XS27-XV27</f>
        <v/>
      </c>
      <c r="XX27" s="12">
        <f>IF(XU27=0,0,IF(WT27=1,SUMPRODUCT(--(($WU$5:$WU27=$WU27-1)*($WT$5:$WT27&gt;=10)*($WT$5:$WT27&lt;=12)),$XW$5:$XW27),IF(WT27=4,SUMPRODUCT(--(($WU$5:$WU27=$WU27)*($WT$5:$WT27&gt;=1)*($WT$5:$WT27&lt;=3)),$XW$5:$XW27),IF(WT27=7,SUMPRODUCT(--(($WU$5:$WU27=$WU27)*($WT$5:$WT27&gt;=4)*($WT$5:$WT27&lt;=6)),$XW$5:$XW27),IF(WT27=10,SUMPRODUCT(--(($WU$5:$WU27=$WU27)*($WT$5:$WT27&gt;=7)*($WT$5:$WT27&lt;=9)),$XW$5:$XW27),0)))))</f>
        <v/>
      </c>
      <c r="XY27" s="12">
        <f>XY26+XW27-XX27</f>
        <v/>
      </c>
      <c r="XZ27" s="12">
        <f>IF(ProviderDelay&gt;=1,XV26*ProviderShare,XV27*ProviderShare)</f>
        <v/>
      </c>
      <c r="YA27" s="12">
        <f>XS27*PaymentFee</f>
        <v/>
      </c>
      <c r="YB27" s="12">
        <f>XM27*OpsAI</f>
        <v/>
      </c>
      <c r="YC27" s="12">
        <f>MonthlyFixed</f>
        <v/>
      </c>
      <c r="YD27" s="12">
        <f>XA27*ReferralReward</f>
        <v/>
      </c>
      <c r="YE27" s="12">
        <f>WY27</f>
        <v/>
      </c>
      <c r="YF27" s="9">
        <f>XV27-XZ27-YA27-YB27-YC27-YD27-YE27</f>
        <v/>
      </c>
      <c r="YG27" s="9">
        <f>YG26+XS27-(XZ27+YA27+YB27+YC27+YD27+YE27+XX27)</f>
        <v/>
      </c>
      <c r="YH27" s="12">
        <f>IF(XM27&gt;0,XN27/XM27,0)</f>
        <v/>
      </c>
      <c r="YI27" s="11">
        <f>IF(XM26&gt;0,MAX(0,(XM26+XB27-XM27)/XM26),0)</f>
        <v/>
      </c>
      <c r="YK27" s="12" t="n">
        <v>23</v>
      </c>
      <c r="YL27" s="12">
        <f>MOD(YK27-1+LaunchMonth-1,12)+1</f>
        <v/>
      </c>
      <c r="YM27" s="12">
        <f>INT((YK27-1+LaunchMonth-1)/12)+1</f>
        <v/>
      </c>
      <c r="YN27" s="12">
        <f>VLOOKUP(YL27,SeasonTable,2,FALSE)</f>
        <v/>
      </c>
      <c r="YO27" s="12">
        <f>(1+InflationRate)^INT((YK27-1)/12)</f>
        <v/>
      </c>
      <c r="YP27" s="11">
        <f>MonthlyChurn*VLOOKUP(YL27,ChurnSeasonTable,4,FALSE)</f>
        <v/>
      </c>
      <c r="YQ27" s="12">
        <f>MIN(MAX(MktMin19plus,ZK26*MktPct19plus),MAX(0,ZY26-CashBuffer))</f>
        <v/>
      </c>
      <c r="YR27" s="12">
        <f>IF(YQ27&gt;0,MAX(1,ROUND(YQ27/CAC*YN27,0)),0)</f>
        <v/>
      </c>
      <c r="YS27" s="12">
        <f>IF(YR27&gt;0,ROUND(YR27*ReferralMix/(1-ReferralMix),0),0)</f>
        <v/>
      </c>
      <c r="YT27" s="12">
        <f>YR27+YS27</f>
        <v/>
      </c>
      <c r="YU27" s="12">
        <f>ROUND(YT27*(1-'Sens - Annual Mix'!$A$12),0)</f>
        <v/>
      </c>
      <c r="YV27" s="12">
        <f>YT27-YU27</f>
        <v/>
      </c>
      <c r="YW27" s="12">
        <f>ROUND(YU27*EssentialMix,0)</f>
        <v/>
      </c>
      <c r="YX27" s="12">
        <f>YU27-YW27</f>
        <v/>
      </c>
      <c r="YY27" s="12">
        <f>ROUND(YV27*EssentialMix,0)</f>
        <v/>
      </c>
      <c r="YZ27" s="12">
        <f>YV27-YY27</f>
        <v/>
      </c>
      <c r="ZA27" s="12">
        <f>YW27+YW26+YW25+MAX(0,ZA26-YW26-YW25)*(1-YP27)</f>
        <v/>
      </c>
      <c r="ZB27" s="12">
        <f>YX27+YX26+YX25+MAX(0,ZB26-YX26-YX25)*(1-YP27)</f>
        <v/>
      </c>
      <c r="ZC27" s="12">
        <f>ZC26+YY27-YY15*(AnnualChurn*VLOOKUP(YL27,ChurnSeasonTable,4,FALSE))*POWER(1-(AnnualChurn*VLOOKUP(YL27,ChurnSeasonTable,4,FALSE)),0)</f>
        <v/>
      </c>
      <c r="ZD27" s="12">
        <f>ZD26+YZ27-YZ15*(AnnualChurn*VLOOKUP(YL27,ChurnSeasonTable,4,FALSE))*POWER(1-(AnnualChurn*VLOOKUP(YL27,ChurnSeasonTable,4,FALSE)),0)</f>
        <v/>
      </c>
      <c r="ZE27" s="12">
        <f>ZA27+ZB27+ZC27+ZD27</f>
        <v/>
      </c>
      <c r="ZF27" s="9">
        <f>ZA27*PriceEssMonthly*YO27+ZB27*PricePremMonthly*YO27+ZC27*PriceEssAnnual*YO27/12+ZD27*PricePremAnnual*YO27/12</f>
        <v/>
      </c>
      <c r="ZG27" s="9">
        <f>ZF27*12</f>
        <v/>
      </c>
      <c r="ZH27" s="12">
        <f>ZA27*PriceEssMonthly*YO27+ZB27*PricePremMonthly*YO27</f>
        <v/>
      </c>
      <c r="ZI27" s="12">
        <f>YY27*PriceEssAnnual*YO27+YZ27*PricePremAnnual*YO27</f>
        <v/>
      </c>
      <c r="ZJ27" s="12">
        <f>YY15*POWER(1-(AnnualChurn*VLOOKUP(YL27,ChurnSeasonTable,4,FALSE)),1)*PriceEssAnnual*YO27+YZ15*POWER(1-(AnnualChurn*VLOOKUP(YL27,ChurnSeasonTable,4,FALSE)),1)*PricePremAnnual*YO27</f>
        <v/>
      </c>
      <c r="ZK27" s="9">
        <f>ZH27+ZI27+ZJ27</f>
        <v/>
      </c>
      <c r="ZL27" s="12">
        <f>SUM(ZK16:ZK27)</f>
        <v/>
      </c>
      <c r="ZM27" s="12">
        <f>OR(ZM26,ZL27&gt;=VATThreshold)</f>
        <v/>
      </c>
      <c r="ZN27" s="9">
        <f>IF(ZM27,ZK27/(1+VATRate),ZK27)</f>
        <v/>
      </c>
      <c r="ZO27" s="12">
        <f>ZK27-ZN27</f>
        <v/>
      </c>
      <c r="ZP27" s="12">
        <f>IF(ZM27=0,0,IF(YL27=1,SUMPRODUCT(--(($YM$5:$YM27=$YM27-1)*($YL$5:$YL27&gt;=10)*($YL$5:$YL27&lt;=12)),$ZO$5:$ZO27),IF(YL27=4,SUMPRODUCT(--(($YM$5:$YM27=$YM27)*($YL$5:$YL27&gt;=1)*($YL$5:$YL27&lt;=3)),$ZO$5:$ZO27),IF(YL27=7,SUMPRODUCT(--(($YM$5:$YM27=$YM27)*($YL$5:$YL27&gt;=4)*($YL$5:$YL27&lt;=6)),$ZO$5:$ZO27),IF(YL27=10,SUMPRODUCT(--(($YM$5:$YM27=$YM27)*($YL$5:$YL27&gt;=7)*($YL$5:$YL27&lt;=9)),$ZO$5:$ZO27),0)))))</f>
        <v/>
      </c>
      <c r="ZQ27" s="12">
        <f>ZQ26+ZO27-ZP27</f>
        <v/>
      </c>
      <c r="ZR27" s="12">
        <f>IF(ProviderDelay&gt;=1,ZN26*ProviderShare,ZN27*ProviderShare)</f>
        <v/>
      </c>
      <c r="ZS27" s="12">
        <f>ZK27*PaymentFee</f>
        <v/>
      </c>
      <c r="ZT27" s="12">
        <f>ZE27*OpsAI</f>
        <v/>
      </c>
      <c r="ZU27" s="12">
        <f>MonthlyFixed</f>
        <v/>
      </c>
      <c r="ZV27" s="12">
        <f>YS27*ReferralReward</f>
        <v/>
      </c>
      <c r="ZW27" s="12">
        <f>YQ27</f>
        <v/>
      </c>
      <c r="ZX27" s="9">
        <f>ZN27-ZR27-ZS27-ZT27-ZU27-ZV27-ZW27</f>
        <v/>
      </c>
      <c r="ZY27" s="9">
        <f>ZY26+ZK27-(ZR27+ZS27+ZT27+ZU27+ZV27+ZW27+ZP27)</f>
        <v/>
      </c>
      <c r="ZZ27" s="12">
        <f>IF(ZE27&gt;0,ZF27/ZE27,0)</f>
        <v/>
      </c>
      <c r="AAA27" s="11">
        <f>IF(ZE26&gt;0,MAX(0,(ZE26+YT27-ZE27)/ZE26),0)</f>
        <v/>
      </c>
      <c r="AAC27" s="12" t="n">
        <v>23</v>
      </c>
      <c r="AAD27" s="12">
        <f>MOD(AAC27-1+LaunchMonth-1,12)+1</f>
        <v/>
      </c>
      <c r="AAE27" s="12">
        <f>INT((AAC27-1+LaunchMonth-1)/12)+1</f>
        <v/>
      </c>
      <c r="AAF27" s="12">
        <f>VLOOKUP(AAD27,SeasonTable,2,FALSE)</f>
        <v/>
      </c>
      <c r="AAG27" s="12">
        <f>(1+InflationRate)^INT((AAC27-1)/12)</f>
        <v/>
      </c>
      <c r="AAH27" s="11">
        <f>MonthlyChurn*VLOOKUP(AAD27,ChurnSeasonTable,4,FALSE)</f>
        <v/>
      </c>
      <c r="AAI27" s="12">
        <f>MIN(MAX(MktMin19plus,ABC26*MktPct19plus),MAX(0,ABQ26-CashBuffer))</f>
        <v/>
      </c>
      <c r="AAJ27" s="12">
        <f>IF(AAI27&gt;0,MAX(1,ROUND(AAI27/CAC*AAF27,0)),0)</f>
        <v/>
      </c>
      <c r="AAK27" s="12">
        <f>IF(AAJ27&gt;0,ROUND(AAJ27*ReferralMix/(1-ReferralMix),0),0)</f>
        <v/>
      </c>
      <c r="AAL27" s="12">
        <f>AAJ27+AAK27</f>
        <v/>
      </c>
      <c r="AAM27" s="12">
        <f>ROUND(AAL27*(1-'Sens - Annual Mix'!$A$13),0)</f>
        <v/>
      </c>
      <c r="AAN27" s="12">
        <f>AAL27-AAM27</f>
        <v/>
      </c>
      <c r="AAO27" s="12">
        <f>ROUND(AAM27*EssentialMix,0)</f>
        <v/>
      </c>
      <c r="AAP27" s="12">
        <f>AAM27-AAO27</f>
        <v/>
      </c>
      <c r="AAQ27" s="12">
        <f>ROUND(AAN27*EssentialMix,0)</f>
        <v/>
      </c>
      <c r="AAR27" s="12">
        <f>AAN27-AAQ27</f>
        <v/>
      </c>
      <c r="AAS27" s="12">
        <f>AAO27+AAO26+AAO25+MAX(0,AAS26-AAO26-AAO25)*(1-AAH27)</f>
        <v/>
      </c>
      <c r="AAT27" s="12">
        <f>AAP27+AAP26+AAP25+MAX(0,AAT26-AAP26-AAP25)*(1-AAH27)</f>
        <v/>
      </c>
      <c r="AAU27" s="12">
        <f>AAU26+AAQ27-AAQ15*(AnnualChurn*VLOOKUP(AAD27,ChurnSeasonTable,4,FALSE))*POWER(1-(AnnualChurn*VLOOKUP(AAD27,ChurnSeasonTable,4,FALSE)),0)</f>
        <v/>
      </c>
      <c r="AAV27" s="12">
        <f>AAV26+AAR27-AAR15*(AnnualChurn*VLOOKUP(AAD27,ChurnSeasonTable,4,FALSE))*POWER(1-(AnnualChurn*VLOOKUP(AAD27,ChurnSeasonTable,4,FALSE)),0)</f>
        <v/>
      </c>
      <c r="AAW27" s="12">
        <f>AAS27+AAT27+AAU27+AAV27</f>
        <v/>
      </c>
      <c r="AAX27" s="9">
        <f>AAS27*PriceEssMonthly*AAG27+AAT27*PricePremMonthly*AAG27+AAU27*PriceEssAnnual*AAG27/12+AAV27*PricePremAnnual*AAG27/12</f>
        <v/>
      </c>
      <c r="AAY27" s="9">
        <f>AAX27*12</f>
        <v/>
      </c>
      <c r="AAZ27" s="12">
        <f>AAS27*PriceEssMonthly*AAG27+AAT27*PricePremMonthly*AAG27</f>
        <v/>
      </c>
      <c r="ABA27" s="12">
        <f>AAQ27*PriceEssAnnual*AAG27+AAR27*PricePremAnnual*AAG27</f>
        <v/>
      </c>
      <c r="ABB27" s="12">
        <f>AAQ15*POWER(1-(AnnualChurn*VLOOKUP(AAD27,ChurnSeasonTable,4,FALSE)),1)*PriceEssAnnual*AAG27+AAR15*POWER(1-(AnnualChurn*VLOOKUP(AAD27,ChurnSeasonTable,4,FALSE)),1)*PricePremAnnual*AAG27</f>
        <v/>
      </c>
      <c r="ABC27" s="9">
        <f>AAZ27+ABA27+ABB27</f>
        <v/>
      </c>
      <c r="ABD27" s="12">
        <f>SUM(ABC16:ABC27)</f>
        <v/>
      </c>
      <c r="ABE27" s="12">
        <f>OR(ABE26,ABD27&gt;=VATThreshold)</f>
        <v/>
      </c>
      <c r="ABF27" s="9">
        <f>IF(ABE27,ABC27/(1+VATRate),ABC27)</f>
        <v/>
      </c>
      <c r="ABG27" s="12">
        <f>ABC27-ABF27</f>
        <v/>
      </c>
      <c r="ABH27" s="12">
        <f>IF(ABE27=0,0,IF(AAD27=1,SUMPRODUCT(--(($AAE$5:$AAE27=$AAE27-1)*($AAD$5:$AAD27&gt;=10)*($AAD$5:$AAD27&lt;=12)),$ABG$5:$ABG27),IF(AAD27=4,SUMPRODUCT(--(($AAE$5:$AAE27=$AAE27)*($AAD$5:$AAD27&gt;=1)*($AAD$5:$AAD27&lt;=3)),$ABG$5:$ABG27),IF(AAD27=7,SUMPRODUCT(--(($AAE$5:$AAE27=$AAE27)*($AAD$5:$AAD27&gt;=4)*($AAD$5:$AAD27&lt;=6)),$ABG$5:$ABG27),IF(AAD27=10,SUMPRODUCT(--(($AAE$5:$AAE27=$AAE27)*($AAD$5:$AAD27&gt;=7)*($AAD$5:$AAD27&lt;=9)),$ABG$5:$ABG27),0)))))</f>
        <v/>
      </c>
      <c r="ABI27" s="12">
        <f>ABI26+ABG27-ABH27</f>
        <v/>
      </c>
      <c r="ABJ27" s="12">
        <f>IF(ProviderDelay&gt;=1,ABF26*ProviderShare,ABF27*ProviderShare)</f>
        <v/>
      </c>
      <c r="ABK27" s="12">
        <f>ABC27*PaymentFee</f>
        <v/>
      </c>
      <c r="ABL27" s="12">
        <f>AAW27*OpsAI</f>
        <v/>
      </c>
      <c r="ABM27" s="12">
        <f>MonthlyFixed</f>
        <v/>
      </c>
      <c r="ABN27" s="12">
        <f>AAK27*ReferralReward</f>
        <v/>
      </c>
      <c r="ABO27" s="12">
        <f>AAI27</f>
        <v/>
      </c>
      <c r="ABP27" s="9">
        <f>ABF27-ABJ27-ABK27-ABL27-ABM27-ABN27-ABO27</f>
        <v/>
      </c>
      <c r="ABQ27" s="9">
        <f>ABQ26+ABC27-(ABJ27+ABK27+ABL27+ABM27+ABN27+ABO27+ABH27)</f>
        <v/>
      </c>
      <c r="ABR27" s="12">
        <f>IF(AAW27&gt;0,AAX27/AAW27,0)</f>
        <v/>
      </c>
      <c r="ABS27" s="11">
        <f>IF(AAW26&gt;0,MAX(0,(AAW26+AAL27-AAW27)/AAW26),0)</f>
        <v/>
      </c>
      <c r="ABU27" s="12" t="n">
        <v>23</v>
      </c>
      <c r="ABV27" s="12">
        <f>MOD(ABU27-1+LaunchMonth-1,12)+1</f>
        <v/>
      </c>
      <c r="ABW27" s="12">
        <f>INT((ABU27-1+LaunchMonth-1)/12)+1</f>
        <v/>
      </c>
      <c r="ABX27" s="12">
        <f>VLOOKUP(ABV27,SeasonTable,2,FALSE)</f>
        <v/>
      </c>
      <c r="ABY27" s="12">
        <f>(1+InflationRate)^INT((ABU27-1)/12)</f>
        <v/>
      </c>
      <c r="ABZ27" s="11">
        <f>MonthlyChurn*VLOOKUP(ABV27,ChurnSeasonTable,4,FALSE)</f>
        <v/>
      </c>
      <c r="ACA27" s="12">
        <f>MIN(MAX(MktMin19plus,ACU26*MktPct19plus),MAX(0,ADI26-CashBuffer))</f>
        <v/>
      </c>
      <c r="ACB27" s="12">
        <f>IF(ACA27&gt;0,MAX(1,ROUND(ACA27/CAC*ABX27,0)),0)</f>
        <v/>
      </c>
      <c r="ACC27" s="12">
        <f>IF(ACB27&gt;0,ROUND(ACB27*ReferralMix/(1-ReferralMix),0),0)</f>
        <v/>
      </c>
      <c r="ACD27" s="12">
        <f>ACB27+ACC27</f>
        <v/>
      </c>
      <c r="ACE27" s="12">
        <f>ROUND(ACD27*(1-'Sens - Annual Mix'!$A$14),0)</f>
        <v/>
      </c>
      <c r="ACF27" s="12">
        <f>ACD27-ACE27</f>
        <v/>
      </c>
      <c r="ACG27" s="12">
        <f>ROUND(ACE27*EssentialMix,0)</f>
        <v/>
      </c>
      <c r="ACH27" s="12">
        <f>ACE27-ACG27</f>
        <v/>
      </c>
      <c r="ACI27" s="12">
        <f>ROUND(ACF27*EssentialMix,0)</f>
        <v/>
      </c>
      <c r="ACJ27" s="12">
        <f>ACF27-ACI27</f>
        <v/>
      </c>
      <c r="ACK27" s="12">
        <f>ACG27+ACG26+ACG25+MAX(0,ACK26-ACG26-ACG25)*(1-ABZ27)</f>
        <v/>
      </c>
      <c r="ACL27" s="12">
        <f>ACH27+ACH26+ACH25+MAX(0,ACL26-ACH26-ACH25)*(1-ABZ27)</f>
        <v/>
      </c>
      <c r="ACM27" s="12">
        <f>ACM26+ACI27-ACI15*(AnnualChurn*VLOOKUP(ABV27,ChurnSeasonTable,4,FALSE))*POWER(1-(AnnualChurn*VLOOKUP(ABV27,ChurnSeasonTable,4,FALSE)),0)</f>
        <v/>
      </c>
      <c r="ACN27" s="12">
        <f>ACN26+ACJ27-ACJ15*(AnnualChurn*VLOOKUP(ABV27,ChurnSeasonTable,4,FALSE))*POWER(1-(AnnualChurn*VLOOKUP(ABV27,ChurnSeasonTable,4,FALSE)),0)</f>
        <v/>
      </c>
      <c r="ACO27" s="12">
        <f>ACK27+ACL27+ACM27+ACN27</f>
        <v/>
      </c>
      <c r="ACP27" s="9">
        <f>ACK27*PriceEssMonthly*ABY27+ACL27*PricePremMonthly*ABY27+ACM27*PriceEssAnnual*ABY27/12+ACN27*PricePremAnnual*ABY27/12</f>
        <v/>
      </c>
      <c r="ACQ27" s="9">
        <f>ACP27*12</f>
        <v/>
      </c>
      <c r="ACR27" s="12">
        <f>ACK27*PriceEssMonthly*ABY27+ACL27*PricePremMonthly*ABY27</f>
        <v/>
      </c>
      <c r="ACS27" s="12">
        <f>ACI27*PriceEssAnnual*ABY27+ACJ27*PricePremAnnual*ABY27</f>
        <v/>
      </c>
      <c r="ACT27" s="12">
        <f>ACI15*POWER(1-(AnnualChurn*VLOOKUP(ABV27,ChurnSeasonTable,4,FALSE)),1)*PriceEssAnnual*ABY27+ACJ15*POWER(1-(AnnualChurn*VLOOKUP(ABV27,ChurnSeasonTable,4,FALSE)),1)*PricePremAnnual*ABY27</f>
        <v/>
      </c>
      <c r="ACU27" s="9">
        <f>ACR27+ACS27+ACT27</f>
        <v/>
      </c>
      <c r="ACV27" s="12">
        <f>SUM(ACU16:ACU27)</f>
        <v/>
      </c>
      <c r="ACW27" s="12">
        <f>OR(ACW26,ACV27&gt;=VATThreshold)</f>
        <v/>
      </c>
      <c r="ACX27" s="9">
        <f>IF(ACW27,ACU27/(1+VATRate),ACU27)</f>
        <v/>
      </c>
      <c r="ACY27" s="12">
        <f>ACU27-ACX27</f>
        <v/>
      </c>
      <c r="ACZ27" s="12">
        <f>IF(ACW27=0,0,IF(ABV27=1,SUMPRODUCT(--(($ABW$5:$ABW27=$ABW27-1)*($ABV$5:$ABV27&gt;=10)*($ABV$5:$ABV27&lt;=12)),$ACY$5:$ACY27),IF(ABV27=4,SUMPRODUCT(--(($ABW$5:$ABW27=$ABW27)*($ABV$5:$ABV27&gt;=1)*($ABV$5:$ABV27&lt;=3)),$ACY$5:$ACY27),IF(ABV27=7,SUMPRODUCT(--(($ABW$5:$ABW27=$ABW27)*($ABV$5:$ABV27&gt;=4)*($ABV$5:$ABV27&lt;=6)),$ACY$5:$ACY27),IF(ABV27=10,SUMPRODUCT(--(($ABW$5:$ABW27=$ABW27)*($ABV$5:$ABV27&gt;=7)*($ABV$5:$ABV27&lt;=9)),$ACY$5:$ACY27),0)))))</f>
        <v/>
      </c>
      <c r="ADA27" s="12">
        <f>ADA26+ACY27-ACZ27</f>
        <v/>
      </c>
      <c r="ADB27" s="12">
        <f>IF(ProviderDelay&gt;=1,ACX26*ProviderShare,ACX27*ProviderShare)</f>
        <v/>
      </c>
      <c r="ADC27" s="12">
        <f>ACU27*PaymentFee</f>
        <v/>
      </c>
      <c r="ADD27" s="12">
        <f>ACO27*OpsAI</f>
        <v/>
      </c>
      <c r="ADE27" s="12">
        <f>MonthlyFixed</f>
        <v/>
      </c>
      <c r="ADF27" s="12">
        <f>ACC27*ReferralReward</f>
        <v/>
      </c>
      <c r="ADG27" s="12">
        <f>ACA27</f>
        <v/>
      </c>
      <c r="ADH27" s="9">
        <f>ACX27-ADB27-ADC27-ADD27-ADE27-ADF27-ADG27</f>
        <v/>
      </c>
      <c r="ADI27" s="9">
        <f>ADI26+ACU27-(ADB27+ADC27+ADD27+ADE27+ADF27+ADG27+ACZ27)</f>
        <v/>
      </c>
      <c r="ADJ27" s="12">
        <f>IF(ACO27&gt;0,ACP27/ACO27,0)</f>
        <v/>
      </c>
      <c r="ADK27" s="11">
        <f>IF(ACO26&gt;0,MAX(0,(ACO26+ACD27-ACO27)/ACO26),0)</f>
        <v/>
      </c>
      <c r="ADM27" s="12" t="n">
        <v>23</v>
      </c>
      <c r="ADN27" s="12">
        <f>MOD(ADM27-1+LaunchMonth-1,12)+1</f>
        <v/>
      </c>
      <c r="ADO27" s="12">
        <f>INT((ADM27-1+LaunchMonth-1)/12)+1</f>
        <v/>
      </c>
      <c r="ADP27" s="12">
        <f>VLOOKUP(ADN27,SeasonTable,2,FALSE)</f>
        <v/>
      </c>
      <c r="ADQ27" s="12">
        <f>(1+InflationRate)^INT((ADM27-1)/12)</f>
        <v/>
      </c>
      <c r="ADR27" s="11">
        <f>MonthlyChurn*VLOOKUP(ADN27,ChurnSeasonTable,4,FALSE)</f>
        <v/>
      </c>
      <c r="ADS27" s="12">
        <f>MIN(MAX(MktMin19plus,AEM26*MktPct19plus),MAX(0,AFA26-CashBuffer))</f>
        <v/>
      </c>
      <c r="ADT27" s="12">
        <f>IF(ADS27&gt;0,MAX(1,ROUND(ADS27/CAC*ADP27,0)),0)</f>
        <v/>
      </c>
      <c r="ADU27" s="12">
        <f>IF(ADT27&gt;0,ROUND(ADT27*ReferralMix/(1-ReferralMix),0),0)</f>
        <v/>
      </c>
      <c r="ADV27" s="12">
        <f>ADT27+ADU27</f>
        <v/>
      </c>
      <c r="ADW27" s="12">
        <f>ROUND(ADV27*(1-'Sens - Annual Mix'!$A$15),0)</f>
        <v/>
      </c>
      <c r="ADX27" s="12">
        <f>ADV27-ADW27</f>
        <v/>
      </c>
      <c r="ADY27" s="12">
        <f>ROUND(ADW27*EssentialMix,0)</f>
        <v/>
      </c>
      <c r="ADZ27" s="12">
        <f>ADW27-ADY27</f>
        <v/>
      </c>
      <c r="AEA27" s="12">
        <f>ROUND(ADX27*EssentialMix,0)</f>
        <v/>
      </c>
      <c r="AEB27" s="12">
        <f>ADX27-AEA27</f>
        <v/>
      </c>
      <c r="AEC27" s="12">
        <f>ADY27+ADY26+ADY25+MAX(0,AEC26-ADY26-ADY25)*(1-ADR27)</f>
        <v/>
      </c>
      <c r="AED27" s="12">
        <f>ADZ27+ADZ26+ADZ25+MAX(0,AED26-ADZ26-ADZ25)*(1-ADR27)</f>
        <v/>
      </c>
      <c r="AEE27" s="12">
        <f>AEE26+AEA27-AEA15*(AnnualChurn*VLOOKUP(ADN27,ChurnSeasonTable,4,FALSE))*POWER(1-(AnnualChurn*VLOOKUP(ADN27,ChurnSeasonTable,4,FALSE)),0)</f>
        <v/>
      </c>
      <c r="AEF27" s="12">
        <f>AEF26+AEB27-AEB15*(AnnualChurn*VLOOKUP(ADN27,ChurnSeasonTable,4,FALSE))*POWER(1-(AnnualChurn*VLOOKUP(ADN27,ChurnSeasonTable,4,FALSE)),0)</f>
        <v/>
      </c>
      <c r="AEG27" s="12">
        <f>AEC27+AED27+AEE27+AEF27</f>
        <v/>
      </c>
      <c r="AEH27" s="9">
        <f>AEC27*PriceEssMonthly*ADQ27+AED27*PricePremMonthly*ADQ27+AEE27*PriceEssAnnual*ADQ27/12+AEF27*PricePremAnnual*ADQ27/12</f>
        <v/>
      </c>
      <c r="AEI27" s="9">
        <f>AEH27*12</f>
        <v/>
      </c>
      <c r="AEJ27" s="12">
        <f>AEC27*PriceEssMonthly*ADQ27+AED27*PricePremMonthly*ADQ27</f>
        <v/>
      </c>
      <c r="AEK27" s="12">
        <f>AEA27*PriceEssAnnual*ADQ27+AEB27*PricePremAnnual*ADQ27</f>
        <v/>
      </c>
      <c r="AEL27" s="12">
        <f>AEA15*POWER(1-(AnnualChurn*VLOOKUP(ADN27,ChurnSeasonTable,4,FALSE)),1)*PriceEssAnnual*ADQ27+AEB15*POWER(1-(AnnualChurn*VLOOKUP(ADN27,ChurnSeasonTable,4,FALSE)),1)*PricePremAnnual*ADQ27</f>
        <v/>
      </c>
      <c r="AEM27" s="9">
        <f>AEJ27+AEK27+AEL27</f>
        <v/>
      </c>
      <c r="AEN27" s="12">
        <f>SUM(AEM16:AEM27)</f>
        <v/>
      </c>
      <c r="AEO27" s="12">
        <f>OR(AEO26,AEN27&gt;=VATThreshold)</f>
        <v/>
      </c>
      <c r="AEP27" s="9">
        <f>IF(AEO27,AEM27/(1+VATRate),AEM27)</f>
        <v/>
      </c>
      <c r="AEQ27" s="12">
        <f>AEM27-AEP27</f>
        <v/>
      </c>
      <c r="AER27" s="12">
        <f>IF(AEO27=0,0,IF(ADN27=1,SUMPRODUCT(--(($ADO$5:$ADO27=$ADO27-1)*($ADN$5:$ADN27&gt;=10)*($ADN$5:$ADN27&lt;=12)),$AEQ$5:$AEQ27),IF(ADN27=4,SUMPRODUCT(--(($ADO$5:$ADO27=$ADO27)*($ADN$5:$ADN27&gt;=1)*($ADN$5:$ADN27&lt;=3)),$AEQ$5:$AEQ27),IF(ADN27=7,SUMPRODUCT(--(($ADO$5:$ADO27=$ADO27)*($ADN$5:$ADN27&gt;=4)*($ADN$5:$ADN27&lt;=6)),$AEQ$5:$AEQ27),IF(ADN27=10,SUMPRODUCT(--(($ADO$5:$ADO27=$ADO27)*($ADN$5:$ADN27&gt;=7)*($ADN$5:$ADN27&lt;=9)),$AEQ$5:$AEQ27),0)))))</f>
        <v/>
      </c>
      <c r="AES27" s="12">
        <f>AES26+AEQ27-AER27</f>
        <v/>
      </c>
      <c r="AET27" s="12">
        <f>IF(ProviderDelay&gt;=1,AEP26*ProviderShare,AEP27*ProviderShare)</f>
        <v/>
      </c>
      <c r="AEU27" s="12">
        <f>AEM27*PaymentFee</f>
        <v/>
      </c>
      <c r="AEV27" s="12">
        <f>AEG27*OpsAI</f>
        <v/>
      </c>
      <c r="AEW27" s="12">
        <f>MonthlyFixed</f>
        <v/>
      </c>
      <c r="AEX27" s="12">
        <f>ADU27*ReferralReward</f>
        <v/>
      </c>
      <c r="AEY27" s="12">
        <f>ADS27</f>
        <v/>
      </c>
      <c r="AEZ27" s="9">
        <f>AEP27-AET27-AEU27-AEV27-AEW27-AEX27-AEY27</f>
        <v/>
      </c>
      <c r="AFA27" s="9">
        <f>AFA26+AEM27-(AET27+AEU27+AEV27+AEW27+AEX27+AEY27+AER27)</f>
        <v/>
      </c>
      <c r="AFB27" s="12">
        <f>IF(AEG27&gt;0,AEH27/AEG27,0)</f>
        <v/>
      </c>
      <c r="AFC27" s="11">
        <f>IF(AEG26&gt;0,MAX(0,(AEG26+ADV27-AEG27)/AEG26),0)</f>
        <v/>
      </c>
      <c r="AFE27" s="12" t="n">
        <v>23</v>
      </c>
      <c r="AFF27" s="12">
        <f>MOD(AFE27-1+LaunchMonth-1,12)+1</f>
        <v/>
      </c>
      <c r="AFG27" s="12">
        <f>INT((AFE27-1+LaunchMonth-1)/12)+1</f>
        <v/>
      </c>
      <c r="AFH27" s="12">
        <f>VLOOKUP(AFF27,SeasonTable,2,FALSE)</f>
        <v/>
      </c>
      <c r="AFI27" s="12">
        <f>(1+InflationRate)^INT((AFE27-1)/12)</f>
        <v/>
      </c>
      <c r="AFJ27" s="11">
        <f>MonthlyChurn*VLOOKUP(AFF27,ChurnSeasonTable,4,FALSE)</f>
        <v/>
      </c>
      <c r="AFK27" s="12">
        <f>MIN(MAX(MktMin19plus,AGE26*MktPct19plus),MAX(0,AGS26-CashBuffer))</f>
        <v/>
      </c>
      <c r="AFL27" s="12">
        <f>IF(AFK27&gt;0,MAX(1,ROUND(AFK27/'Sens - CAC &amp; Marketing'!$A$9*AFH27,0)),0)</f>
        <v/>
      </c>
      <c r="AFM27" s="12">
        <f>IF(AFL27&gt;0,ROUND(AFL27*ReferralMix/(1-ReferralMix),0),0)</f>
        <v/>
      </c>
      <c r="AFN27" s="12">
        <f>AFL27+AFM27</f>
        <v/>
      </c>
      <c r="AFO27" s="12">
        <f>ROUND(AFN27*(1-AnnualMix),0)</f>
        <v/>
      </c>
      <c r="AFP27" s="12">
        <f>AFN27-AFO27</f>
        <v/>
      </c>
      <c r="AFQ27" s="12">
        <f>ROUND(AFO27*EssentialMix,0)</f>
        <v/>
      </c>
      <c r="AFR27" s="12">
        <f>AFO27-AFQ27</f>
        <v/>
      </c>
      <c r="AFS27" s="12">
        <f>ROUND(AFP27*EssentialMix,0)</f>
        <v/>
      </c>
      <c r="AFT27" s="12">
        <f>AFP27-AFS27</f>
        <v/>
      </c>
      <c r="AFU27" s="12">
        <f>AFQ27+AFQ26+AFQ25+MAX(0,AFU26-AFQ26-AFQ25)*(1-AFJ27)</f>
        <v/>
      </c>
      <c r="AFV27" s="12">
        <f>AFR27+AFR26+AFR25+MAX(0,AFV26-AFR26-AFR25)*(1-AFJ27)</f>
        <v/>
      </c>
      <c r="AFW27" s="12">
        <f>AFW26+AFS27-AFS15*(AnnualChurn*VLOOKUP(AFF27,ChurnSeasonTable,4,FALSE))*POWER(1-(AnnualChurn*VLOOKUP(AFF27,ChurnSeasonTable,4,FALSE)),0)</f>
        <v/>
      </c>
      <c r="AFX27" s="12">
        <f>AFX26+AFT27-AFT15*(AnnualChurn*VLOOKUP(AFF27,ChurnSeasonTable,4,FALSE))*POWER(1-(AnnualChurn*VLOOKUP(AFF27,ChurnSeasonTable,4,FALSE)),0)</f>
        <v/>
      </c>
      <c r="AFY27" s="12">
        <f>AFU27+AFV27+AFW27+AFX27</f>
        <v/>
      </c>
      <c r="AFZ27" s="9">
        <f>AFU27*PriceEssMonthly*AFI27+AFV27*PricePremMonthly*AFI27+AFW27*PriceEssAnnual*AFI27/12+AFX27*PricePremAnnual*AFI27/12</f>
        <v/>
      </c>
      <c r="AGA27" s="9">
        <f>AFZ27*12</f>
        <v/>
      </c>
      <c r="AGB27" s="12">
        <f>AFU27*PriceEssMonthly*AFI27+AFV27*PricePremMonthly*AFI27</f>
        <v/>
      </c>
      <c r="AGC27" s="12">
        <f>AFS27*PriceEssAnnual*AFI27+AFT27*PricePremAnnual*AFI27</f>
        <v/>
      </c>
      <c r="AGD27" s="12">
        <f>AFS15*POWER(1-(AnnualChurn*VLOOKUP(AFF27,ChurnSeasonTable,4,FALSE)),1)*PriceEssAnnual*AFI27+AFT15*POWER(1-(AnnualChurn*VLOOKUP(AFF27,ChurnSeasonTable,4,FALSE)),1)*PricePremAnnual*AFI27</f>
        <v/>
      </c>
      <c r="AGE27" s="9">
        <f>AGB27+AGC27+AGD27</f>
        <v/>
      </c>
      <c r="AGF27" s="12">
        <f>SUM(AGE16:AGE27)</f>
        <v/>
      </c>
      <c r="AGG27" s="12">
        <f>OR(AGG26,AGF27&gt;=VATThreshold)</f>
        <v/>
      </c>
      <c r="AGH27" s="9">
        <f>IF(AGG27,AGE27/(1+VATRate),AGE27)</f>
        <v/>
      </c>
      <c r="AGI27" s="12">
        <f>AGE27-AGH27</f>
        <v/>
      </c>
      <c r="AGJ27" s="12">
        <f>IF(AGG27=0,0,IF(AFF27=1,SUMPRODUCT(--(($AFG$5:$AFG27=$AFG27-1)*($AFF$5:$AFF27&gt;=10)*($AFF$5:$AFF27&lt;=12)),$AGI$5:$AGI27),IF(AFF27=4,SUMPRODUCT(--(($AFG$5:$AFG27=$AFG27)*($AFF$5:$AFF27&gt;=1)*($AFF$5:$AFF27&lt;=3)),$AGI$5:$AGI27),IF(AFF27=7,SUMPRODUCT(--(($AFG$5:$AFG27=$AFG27)*($AFF$5:$AFF27&gt;=4)*($AFF$5:$AFF27&lt;=6)),$AGI$5:$AGI27),IF(AFF27=10,SUMPRODUCT(--(($AFG$5:$AFG27=$AFG27)*($AFF$5:$AFF27&gt;=7)*($AFF$5:$AFF27&lt;=9)),$AGI$5:$AGI27),0)))))</f>
        <v/>
      </c>
      <c r="AGK27" s="12">
        <f>AGK26+AGI27-AGJ27</f>
        <v/>
      </c>
      <c r="AGL27" s="12">
        <f>IF(ProviderDelay&gt;=1,AGH26*ProviderShare,AGH27*ProviderShare)</f>
        <v/>
      </c>
      <c r="AGM27" s="12">
        <f>AGE27*PaymentFee</f>
        <v/>
      </c>
      <c r="AGN27" s="12">
        <f>AFY27*OpsAI</f>
        <v/>
      </c>
      <c r="AGO27" s="12">
        <f>MonthlyFixed</f>
        <v/>
      </c>
      <c r="AGP27" s="12">
        <f>AFM27*ReferralReward</f>
        <v/>
      </c>
      <c r="AGQ27" s="12">
        <f>AFK27</f>
        <v/>
      </c>
      <c r="AGR27" s="9">
        <f>AGH27-AGL27-AGM27-AGN27-AGO27-AGP27-AGQ27</f>
        <v/>
      </c>
      <c r="AGS27" s="9">
        <f>AGS26+AGE27-(AGL27+AGM27+AGN27+AGO27+AGP27+AGQ27+AGJ27)</f>
        <v/>
      </c>
      <c r="AGT27" s="12">
        <f>IF(AFY27&gt;0,AFZ27/AFY27,0)</f>
        <v/>
      </c>
      <c r="AGU27" s="11">
        <f>IF(AFY26&gt;0,MAX(0,(AFY26+AFN27-AFY27)/AFY26),0)</f>
        <v/>
      </c>
      <c r="AGW27" s="12" t="n">
        <v>23</v>
      </c>
      <c r="AGX27" s="12">
        <f>MOD(AGW27-1+LaunchMonth-1,12)+1</f>
        <v/>
      </c>
      <c r="AGY27" s="12">
        <f>INT((AGW27-1+LaunchMonth-1)/12)+1</f>
        <v/>
      </c>
      <c r="AGZ27" s="12">
        <f>VLOOKUP(AGX27,SeasonTable,2,FALSE)</f>
        <v/>
      </c>
      <c r="AHA27" s="12">
        <f>(1+InflationRate)^INT((AGW27-1)/12)</f>
        <v/>
      </c>
      <c r="AHB27" s="11">
        <f>MonthlyChurn*VLOOKUP(AGX27,ChurnSeasonTable,4,FALSE)</f>
        <v/>
      </c>
      <c r="AHC27" s="12">
        <f>MIN(MAX(MktMin19plus,AHW26*MktPct19plus),MAX(0,AIK26-CashBuffer))</f>
        <v/>
      </c>
      <c r="AHD27" s="12">
        <f>IF(AHC27&gt;0,MAX(1,ROUND(AHC27/'Sens - CAC &amp; Marketing'!$A$10*AGZ27,0)),0)</f>
        <v/>
      </c>
      <c r="AHE27" s="12">
        <f>IF(AHD27&gt;0,ROUND(AHD27*ReferralMix/(1-ReferralMix),0),0)</f>
        <v/>
      </c>
      <c r="AHF27" s="12">
        <f>AHD27+AHE27</f>
        <v/>
      </c>
      <c r="AHG27" s="12">
        <f>ROUND(AHF27*(1-AnnualMix),0)</f>
        <v/>
      </c>
      <c r="AHH27" s="12">
        <f>AHF27-AHG27</f>
        <v/>
      </c>
      <c r="AHI27" s="12">
        <f>ROUND(AHG27*EssentialMix,0)</f>
        <v/>
      </c>
      <c r="AHJ27" s="12">
        <f>AHG27-AHI27</f>
        <v/>
      </c>
      <c r="AHK27" s="12">
        <f>ROUND(AHH27*EssentialMix,0)</f>
        <v/>
      </c>
      <c r="AHL27" s="12">
        <f>AHH27-AHK27</f>
        <v/>
      </c>
      <c r="AHM27" s="12">
        <f>AHI27+AHI26+AHI25+MAX(0,AHM26-AHI26-AHI25)*(1-AHB27)</f>
        <v/>
      </c>
      <c r="AHN27" s="12">
        <f>AHJ27+AHJ26+AHJ25+MAX(0,AHN26-AHJ26-AHJ25)*(1-AHB27)</f>
        <v/>
      </c>
      <c r="AHO27" s="12">
        <f>AHO26+AHK27-AHK15*(AnnualChurn*VLOOKUP(AGX27,ChurnSeasonTable,4,FALSE))*POWER(1-(AnnualChurn*VLOOKUP(AGX27,ChurnSeasonTable,4,FALSE)),0)</f>
        <v/>
      </c>
      <c r="AHP27" s="12">
        <f>AHP26+AHL27-AHL15*(AnnualChurn*VLOOKUP(AGX27,ChurnSeasonTable,4,FALSE))*POWER(1-(AnnualChurn*VLOOKUP(AGX27,ChurnSeasonTable,4,FALSE)),0)</f>
        <v/>
      </c>
      <c r="AHQ27" s="12">
        <f>AHM27+AHN27+AHO27+AHP27</f>
        <v/>
      </c>
      <c r="AHR27" s="9">
        <f>AHM27*PriceEssMonthly*AHA27+AHN27*PricePremMonthly*AHA27+AHO27*PriceEssAnnual*AHA27/12+AHP27*PricePremAnnual*AHA27/12</f>
        <v/>
      </c>
      <c r="AHS27" s="9">
        <f>AHR27*12</f>
        <v/>
      </c>
      <c r="AHT27" s="12">
        <f>AHM27*PriceEssMonthly*AHA27+AHN27*PricePremMonthly*AHA27</f>
        <v/>
      </c>
      <c r="AHU27" s="12">
        <f>AHK27*PriceEssAnnual*AHA27+AHL27*PricePremAnnual*AHA27</f>
        <v/>
      </c>
      <c r="AHV27" s="12">
        <f>AHK15*POWER(1-(AnnualChurn*VLOOKUP(AGX27,ChurnSeasonTable,4,FALSE)),1)*PriceEssAnnual*AHA27+AHL15*POWER(1-(AnnualChurn*VLOOKUP(AGX27,ChurnSeasonTable,4,FALSE)),1)*PricePremAnnual*AHA27</f>
        <v/>
      </c>
      <c r="AHW27" s="9">
        <f>AHT27+AHU27+AHV27</f>
        <v/>
      </c>
      <c r="AHX27" s="12">
        <f>SUM(AHW16:AHW27)</f>
        <v/>
      </c>
      <c r="AHY27" s="12">
        <f>OR(AHY26,AHX27&gt;=VATThreshold)</f>
        <v/>
      </c>
      <c r="AHZ27" s="9">
        <f>IF(AHY27,AHW27/(1+VATRate),AHW27)</f>
        <v/>
      </c>
      <c r="AIA27" s="12">
        <f>AHW27-AHZ27</f>
        <v/>
      </c>
      <c r="AIB27" s="12">
        <f>IF(AHY27=0,0,IF(AGX27=1,SUMPRODUCT(--(($AGY$5:$AGY27=$AGY27-1)*($AGX$5:$AGX27&gt;=10)*($AGX$5:$AGX27&lt;=12)),$AIA$5:$AIA27),IF(AGX27=4,SUMPRODUCT(--(($AGY$5:$AGY27=$AGY27)*($AGX$5:$AGX27&gt;=1)*($AGX$5:$AGX27&lt;=3)),$AIA$5:$AIA27),IF(AGX27=7,SUMPRODUCT(--(($AGY$5:$AGY27=$AGY27)*($AGX$5:$AGX27&gt;=4)*($AGX$5:$AGX27&lt;=6)),$AIA$5:$AIA27),IF(AGX27=10,SUMPRODUCT(--(($AGY$5:$AGY27=$AGY27)*($AGX$5:$AGX27&gt;=7)*($AGX$5:$AGX27&lt;=9)),$AIA$5:$AIA27),0)))))</f>
        <v/>
      </c>
      <c r="AIC27" s="12">
        <f>AIC26+AIA27-AIB27</f>
        <v/>
      </c>
      <c r="AID27" s="12">
        <f>IF(ProviderDelay&gt;=1,AHZ26*ProviderShare,AHZ27*ProviderShare)</f>
        <v/>
      </c>
      <c r="AIE27" s="12">
        <f>AHW27*PaymentFee</f>
        <v/>
      </c>
      <c r="AIF27" s="12">
        <f>AHQ27*OpsAI</f>
        <v/>
      </c>
      <c r="AIG27" s="12">
        <f>MonthlyFixed</f>
        <v/>
      </c>
      <c r="AIH27" s="12">
        <f>AHE27*ReferralReward</f>
        <v/>
      </c>
      <c r="AII27" s="12">
        <f>AHC27</f>
        <v/>
      </c>
      <c r="AIJ27" s="9">
        <f>AHZ27-AID27-AIE27-AIF27-AIG27-AIH27-AII27</f>
        <v/>
      </c>
      <c r="AIK27" s="9">
        <f>AIK26+AHW27-(AID27+AIE27+AIF27+AIG27+AIH27+AII27+AIB27)</f>
        <v/>
      </c>
      <c r="AIL27" s="12">
        <f>IF(AHQ27&gt;0,AHR27/AHQ27,0)</f>
        <v/>
      </c>
      <c r="AIM27" s="11">
        <f>IF(AHQ26&gt;0,MAX(0,(AHQ26+AHF27-AHQ27)/AHQ26),0)</f>
        <v/>
      </c>
      <c r="AIO27" s="12" t="n">
        <v>23</v>
      </c>
      <c r="AIP27" s="12">
        <f>MOD(AIO27-1+LaunchMonth-1,12)+1</f>
        <v/>
      </c>
      <c r="AIQ27" s="12">
        <f>INT((AIO27-1+LaunchMonth-1)/12)+1</f>
        <v/>
      </c>
      <c r="AIR27" s="12">
        <f>VLOOKUP(AIP27,SeasonTable,2,FALSE)</f>
        <v/>
      </c>
      <c r="AIS27" s="12">
        <f>(1+InflationRate)^INT((AIO27-1)/12)</f>
        <v/>
      </c>
      <c r="AIT27" s="11">
        <f>MonthlyChurn*VLOOKUP(AIP27,ChurnSeasonTable,4,FALSE)</f>
        <v/>
      </c>
      <c r="AIU27" s="12">
        <f>MIN(MAX(MktMin19plus,AJO26*MktPct19plus),MAX(0,AKC26-CashBuffer))</f>
        <v/>
      </c>
      <c r="AIV27" s="12">
        <f>IF(AIU27&gt;0,MAX(1,ROUND(AIU27/'Sens - CAC &amp; Marketing'!$A$11*AIR27,0)),0)</f>
        <v/>
      </c>
      <c r="AIW27" s="12">
        <f>IF(AIV27&gt;0,ROUND(AIV27*ReferralMix/(1-ReferralMix),0),0)</f>
        <v/>
      </c>
      <c r="AIX27" s="12">
        <f>AIV27+AIW27</f>
        <v/>
      </c>
      <c r="AIY27" s="12">
        <f>ROUND(AIX27*(1-AnnualMix),0)</f>
        <v/>
      </c>
      <c r="AIZ27" s="12">
        <f>AIX27-AIY27</f>
        <v/>
      </c>
      <c r="AJA27" s="12">
        <f>ROUND(AIY27*EssentialMix,0)</f>
        <v/>
      </c>
      <c r="AJB27" s="12">
        <f>AIY27-AJA27</f>
        <v/>
      </c>
      <c r="AJC27" s="12">
        <f>ROUND(AIZ27*EssentialMix,0)</f>
        <v/>
      </c>
      <c r="AJD27" s="12">
        <f>AIZ27-AJC27</f>
        <v/>
      </c>
      <c r="AJE27" s="12">
        <f>AJA27+AJA26+AJA25+MAX(0,AJE26-AJA26-AJA25)*(1-AIT27)</f>
        <v/>
      </c>
      <c r="AJF27" s="12">
        <f>AJB27+AJB26+AJB25+MAX(0,AJF26-AJB26-AJB25)*(1-AIT27)</f>
        <v/>
      </c>
      <c r="AJG27" s="12">
        <f>AJG26+AJC27-AJC15*(AnnualChurn*VLOOKUP(AIP27,ChurnSeasonTable,4,FALSE))*POWER(1-(AnnualChurn*VLOOKUP(AIP27,ChurnSeasonTable,4,FALSE)),0)</f>
        <v/>
      </c>
      <c r="AJH27" s="12">
        <f>AJH26+AJD27-AJD15*(AnnualChurn*VLOOKUP(AIP27,ChurnSeasonTable,4,FALSE))*POWER(1-(AnnualChurn*VLOOKUP(AIP27,ChurnSeasonTable,4,FALSE)),0)</f>
        <v/>
      </c>
      <c r="AJI27" s="12">
        <f>AJE27+AJF27+AJG27+AJH27</f>
        <v/>
      </c>
      <c r="AJJ27" s="9">
        <f>AJE27*PriceEssMonthly*AIS27+AJF27*PricePremMonthly*AIS27+AJG27*PriceEssAnnual*AIS27/12+AJH27*PricePremAnnual*AIS27/12</f>
        <v/>
      </c>
      <c r="AJK27" s="9">
        <f>AJJ27*12</f>
        <v/>
      </c>
      <c r="AJL27" s="12">
        <f>AJE27*PriceEssMonthly*AIS27+AJF27*PricePremMonthly*AIS27</f>
        <v/>
      </c>
      <c r="AJM27" s="12">
        <f>AJC27*PriceEssAnnual*AIS27+AJD27*PricePremAnnual*AIS27</f>
        <v/>
      </c>
      <c r="AJN27" s="12">
        <f>AJC15*POWER(1-(AnnualChurn*VLOOKUP(AIP27,ChurnSeasonTable,4,FALSE)),1)*PriceEssAnnual*AIS27+AJD15*POWER(1-(AnnualChurn*VLOOKUP(AIP27,ChurnSeasonTable,4,FALSE)),1)*PricePremAnnual*AIS27</f>
        <v/>
      </c>
      <c r="AJO27" s="9">
        <f>AJL27+AJM27+AJN27</f>
        <v/>
      </c>
      <c r="AJP27" s="12">
        <f>SUM(AJO16:AJO27)</f>
        <v/>
      </c>
      <c r="AJQ27" s="12">
        <f>OR(AJQ26,AJP27&gt;=VATThreshold)</f>
        <v/>
      </c>
      <c r="AJR27" s="9">
        <f>IF(AJQ27,AJO27/(1+VATRate),AJO27)</f>
        <v/>
      </c>
      <c r="AJS27" s="12">
        <f>AJO27-AJR27</f>
        <v/>
      </c>
      <c r="AJT27" s="12">
        <f>IF(AJQ27=0,0,IF(AIP27=1,SUMPRODUCT(--(($AIQ$5:$AIQ27=$AIQ27-1)*($AIP$5:$AIP27&gt;=10)*($AIP$5:$AIP27&lt;=12)),$AJS$5:$AJS27),IF(AIP27=4,SUMPRODUCT(--(($AIQ$5:$AIQ27=$AIQ27)*($AIP$5:$AIP27&gt;=1)*($AIP$5:$AIP27&lt;=3)),$AJS$5:$AJS27),IF(AIP27=7,SUMPRODUCT(--(($AIQ$5:$AIQ27=$AIQ27)*($AIP$5:$AIP27&gt;=4)*($AIP$5:$AIP27&lt;=6)),$AJS$5:$AJS27),IF(AIP27=10,SUMPRODUCT(--(($AIQ$5:$AIQ27=$AIQ27)*($AIP$5:$AIP27&gt;=7)*($AIP$5:$AIP27&lt;=9)),$AJS$5:$AJS27),0)))))</f>
        <v/>
      </c>
      <c r="AJU27" s="12">
        <f>AJU26+AJS27-AJT27</f>
        <v/>
      </c>
      <c r="AJV27" s="12">
        <f>IF(ProviderDelay&gt;=1,AJR26*ProviderShare,AJR27*ProviderShare)</f>
        <v/>
      </c>
      <c r="AJW27" s="12">
        <f>AJO27*PaymentFee</f>
        <v/>
      </c>
      <c r="AJX27" s="12">
        <f>AJI27*OpsAI</f>
        <v/>
      </c>
      <c r="AJY27" s="12">
        <f>MonthlyFixed</f>
        <v/>
      </c>
      <c r="AJZ27" s="12">
        <f>AIW27*ReferralReward</f>
        <v/>
      </c>
      <c r="AKA27" s="12">
        <f>AIU27</f>
        <v/>
      </c>
      <c r="AKB27" s="9">
        <f>AJR27-AJV27-AJW27-AJX27-AJY27-AJZ27-AKA27</f>
        <v/>
      </c>
      <c r="AKC27" s="9">
        <f>AKC26+AJO27-(AJV27+AJW27+AJX27+AJY27+AJZ27+AKA27+AJT27)</f>
        <v/>
      </c>
      <c r="AKD27" s="12">
        <f>IF(AJI27&gt;0,AJJ27/AJI27,0)</f>
        <v/>
      </c>
      <c r="AKE27" s="11">
        <f>IF(AJI26&gt;0,MAX(0,(AJI26+AIX27-AJI27)/AJI26),0)</f>
        <v/>
      </c>
      <c r="AKG27" s="12" t="n">
        <v>23</v>
      </c>
      <c r="AKH27" s="12">
        <f>MOD(AKG27-1+LaunchMonth-1,12)+1</f>
        <v/>
      </c>
      <c r="AKI27" s="12">
        <f>INT((AKG27-1+LaunchMonth-1)/12)+1</f>
        <v/>
      </c>
      <c r="AKJ27" s="12">
        <f>VLOOKUP(AKH27,SeasonTable,2,FALSE)</f>
        <v/>
      </c>
      <c r="AKK27" s="12">
        <f>(1+InflationRate)^INT((AKG27-1)/12)</f>
        <v/>
      </c>
      <c r="AKL27" s="11">
        <f>MonthlyChurn*VLOOKUP(AKH27,ChurnSeasonTable,4,FALSE)</f>
        <v/>
      </c>
      <c r="AKM27" s="12">
        <f>MIN(MAX(MktMin19plus,ALG26*MktPct19plus),MAX(0,ALU26-CashBuffer))</f>
        <v/>
      </c>
      <c r="AKN27" s="12">
        <f>IF(AKM27&gt;0,MAX(1,ROUND(AKM27/'Sens - CAC &amp; Marketing'!$A$12*AKJ27,0)),0)</f>
        <v/>
      </c>
      <c r="AKO27" s="12">
        <f>IF(AKN27&gt;0,ROUND(AKN27*ReferralMix/(1-ReferralMix),0),0)</f>
        <v/>
      </c>
      <c r="AKP27" s="12">
        <f>AKN27+AKO27</f>
        <v/>
      </c>
      <c r="AKQ27" s="12">
        <f>ROUND(AKP27*(1-AnnualMix),0)</f>
        <v/>
      </c>
      <c r="AKR27" s="12">
        <f>AKP27-AKQ27</f>
        <v/>
      </c>
      <c r="AKS27" s="12">
        <f>ROUND(AKQ27*EssentialMix,0)</f>
        <v/>
      </c>
      <c r="AKT27" s="12">
        <f>AKQ27-AKS27</f>
        <v/>
      </c>
      <c r="AKU27" s="12">
        <f>ROUND(AKR27*EssentialMix,0)</f>
        <v/>
      </c>
      <c r="AKV27" s="12">
        <f>AKR27-AKU27</f>
        <v/>
      </c>
      <c r="AKW27" s="12">
        <f>AKS27+AKS26+AKS25+MAX(0,AKW26-AKS26-AKS25)*(1-AKL27)</f>
        <v/>
      </c>
      <c r="AKX27" s="12">
        <f>AKT27+AKT26+AKT25+MAX(0,AKX26-AKT26-AKT25)*(1-AKL27)</f>
        <v/>
      </c>
      <c r="AKY27" s="12">
        <f>AKY26+AKU27-AKU15*(AnnualChurn*VLOOKUP(AKH27,ChurnSeasonTable,4,FALSE))*POWER(1-(AnnualChurn*VLOOKUP(AKH27,ChurnSeasonTable,4,FALSE)),0)</f>
        <v/>
      </c>
      <c r="AKZ27" s="12">
        <f>AKZ26+AKV27-AKV15*(AnnualChurn*VLOOKUP(AKH27,ChurnSeasonTable,4,FALSE))*POWER(1-(AnnualChurn*VLOOKUP(AKH27,ChurnSeasonTable,4,FALSE)),0)</f>
        <v/>
      </c>
      <c r="ALA27" s="12">
        <f>AKW27+AKX27+AKY27+AKZ27</f>
        <v/>
      </c>
      <c r="ALB27" s="9">
        <f>AKW27*PriceEssMonthly*AKK27+AKX27*PricePremMonthly*AKK27+AKY27*PriceEssAnnual*AKK27/12+AKZ27*PricePremAnnual*AKK27/12</f>
        <v/>
      </c>
      <c r="ALC27" s="9">
        <f>ALB27*12</f>
        <v/>
      </c>
      <c r="ALD27" s="12">
        <f>AKW27*PriceEssMonthly*AKK27+AKX27*PricePremMonthly*AKK27</f>
        <v/>
      </c>
      <c r="ALE27" s="12">
        <f>AKU27*PriceEssAnnual*AKK27+AKV27*PricePremAnnual*AKK27</f>
        <v/>
      </c>
      <c r="ALF27" s="12">
        <f>AKU15*POWER(1-(AnnualChurn*VLOOKUP(AKH27,ChurnSeasonTable,4,FALSE)),1)*PriceEssAnnual*AKK27+AKV15*POWER(1-(AnnualChurn*VLOOKUP(AKH27,ChurnSeasonTable,4,FALSE)),1)*PricePremAnnual*AKK27</f>
        <v/>
      </c>
      <c r="ALG27" s="9">
        <f>ALD27+ALE27+ALF27</f>
        <v/>
      </c>
      <c r="ALH27" s="12">
        <f>SUM(ALG16:ALG27)</f>
        <v/>
      </c>
      <c r="ALI27" s="12">
        <f>OR(ALI26,ALH27&gt;=VATThreshold)</f>
        <v/>
      </c>
      <c r="ALJ27" s="9">
        <f>IF(ALI27,ALG27/(1+VATRate),ALG27)</f>
        <v/>
      </c>
      <c r="ALK27" s="12">
        <f>ALG27-ALJ27</f>
        <v/>
      </c>
      <c r="ALL27" s="12">
        <f>IF(ALI27=0,0,IF(AKH27=1,SUMPRODUCT(--(($AKI$5:$AKI27=$AKI27-1)*($AKH$5:$AKH27&gt;=10)*($AKH$5:$AKH27&lt;=12)),$ALK$5:$ALK27),IF(AKH27=4,SUMPRODUCT(--(($AKI$5:$AKI27=$AKI27)*($AKH$5:$AKH27&gt;=1)*($AKH$5:$AKH27&lt;=3)),$ALK$5:$ALK27),IF(AKH27=7,SUMPRODUCT(--(($AKI$5:$AKI27=$AKI27)*($AKH$5:$AKH27&gt;=4)*($AKH$5:$AKH27&lt;=6)),$ALK$5:$ALK27),IF(AKH27=10,SUMPRODUCT(--(($AKI$5:$AKI27=$AKI27)*($AKH$5:$AKH27&gt;=7)*($AKH$5:$AKH27&lt;=9)),$ALK$5:$ALK27),0)))))</f>
        <v/>
      </c>
      <c r="ALM27" s="12">
        <f>ALM26+ALK27-ALL27</f>
        <v/>
      </c>
      <c r="ALN27" s="12">
        <f>IF(ProviderDelay&gt;=1,ALJ26*ProviderShare,ALJ27*ProviderShare)</f>
        <v/>
      </c>
      <c r="ALO27" s="12">
        <f>ALG27*PaymentFee</f>
        <v/>
      </c>
      <c r="ALP27" s="12">
        <f>ALA27*OpsAI</f>
        <v/>
      </c>
      <c r="ALQ27" s="12">
        <f>MonthlyFixed</f>
        <v/>
      </c>
      <c r="ALR27" s="12">
        <f>AKO27*ReferralReward</f>
        <v/>
      </c>
      <c r="ALS27" s="12">
        <f>AKM27</f>
        <v/>
      </c>
      <c r="ALT27" s="9">
        <f>ALJ27-ALN27-ALO27-ALP27-ALQ27-ALR27-ALS27</f>
        <v/>
      </c>
      <c r="ALU27" s="9">
        <f>ALU26+ALG27-(ALN27+ALO27+ALP27+ALQ27+ALR27+ALS27+ALL27)</f>
        <v/>
      </c>
      <c r="ALV27" s="12">
        <f>IF(ALA27&gt;0,ALB27/ALA27,0)</f>
        <v/>
      </c>
      <c r="ALW27" s="11">
        <f>IF(ALA26&gt;0,MAX(0,(ALA26+AKP27-ALA27)/ALA26),0)</f>
        <v/>
      </c>
      <c r="ALY27" s="12" t="n">
        <v>23</v>
      </c>
      <c r="ALZ27" s="12">
        <f>MOD(ALY27-1+LaunchMonth-1,12)+1</f>
        <v/>
      </c>
      <c r="AMA27" s="12">
        <f>INT((ALY27-1+LaunchMonth-1)/12)+1</f>
        <v/>
      </c>
      <c r="AMB27" s="12">
        <f>VLOOKUP(ALZ27,SeasonTable,2,FALSE)</f>
        <v/>
      </c>
      <c r="AMC27" s="12">
        <f>(1+InflationRate)^INT((ALY27-1)/12)</f>
        <v/>
      </c>
      <c r="AMD27" s="11">
        <f>MonthlyChurn*VLOOKUP(ALZ27,ChurnSeasonTable,4,FALSE)</f>
        <v/>
      </c>
      <c r="AME27" s="12">
        <f>MIN(MAX(MktMin19plus,AMY26*MktPct19plus),MAX(0,ANM26-CashBuffer))</f>
        <v/>
      </c>
      <c r="AMF27" s="12">
        <f>IF(AME27&gt;0,MAX(1,ROUND(AME27/'Sens - CAC &amp; Marketing'!$A$13*AMB27,0)),0)</f>
        <v/>
      </c>
      <c r="AMG27" s="12">
        <f>IF(AMF27&gt;0,ROUND(AMF27*ReferralMix/(1-ReferralMix),0),0)</f>
        <v/>
      </c>
      <c r="AMH27" s="12">
        <f>AMF27+AMG27</f>
        <v/>
      </c>
      <c r="AMI27" s="12">
        <f>ROUND(AMH27*(1-AnnualMix),0)</f>
        <v/>
      </c>
      <c r="AMJ27" s="12">
        <f>AMH27-AMI27</f>
        <v/>
      </c>
      <c r="AMK27" s="12">
        <f>ROUND(AMI27*EssentialMix,0)</f>
        <v/>
      </c>
      <c r="AML27" s="12">
        <f>AMI27-AMK27</f>
        <v/>
      </c>
      <c r="AMM27" s="12">
        <f>ROUND(AMJ27*EssentialMix,0)</f>
        <v/>
      </c>
      <c r="AMN27" s="12">
        <f>AMJ27-AMM27</f>
        <v/>
      </c>
      <c r="AMO27" s="12">
        <f>AMK27+AMK26+AMK25+MAX(0,AMO26-AMK26-AMK25)*(1-AMD27)</f>
        <v/>
      </c>
      <c r="AMP27" s="12">
        <f>AML27+AML26+AML25+MAX(0,AMP26-AML26-AML25)*(1-AMD27)</f>
        <v/>
      </c>
      <c r="AMQ27" s="12">
        <f>AMQ26+AMM27-AMM15*(AnnualChurn*VLOOKUP(ALZ27,ChurnSeasonTable,4,FALSE))*POWER(1-(AnnualChurn*VLOOKUP(ALZ27,ChurnSeasonTable,4,FALSE)),0)</f>
        <v/>
      </c>
      <c r="AMR27" s="12">
        <f>AMR26+AMN27-AMN15*(AnnualChurn*VLOOKUP(ALZ27,ChurnSeasonTable,4,FALSE))*POWER(1-(AnnualChurn*VLOOKUP(ALZ27,ChurnSeasonTable,4,FALSE)),0)</f>
        <v/>
      </c>
      <c r="AMS27" s="12">
        <f>AMO27+AMP27+AMQ27+AMR27</f>
        <v/>
      </c>
      <c r="AMT27" s="9">
        <f>AMO27*PriceEssMonthly*AMC27+AMP27*PricePremMonthly*AMC27+AMQ27*PriceEssAnnual*AMC27/12+AMR27*PricePremAnnual*AMC27/12</f>
        <v/>
      </c>
      <c r="AMU27" s="9">
        <f>AMT27*12</f>
        <v/>
      </c>
      <c r="AMV27" s="12">
        <f>AMO27*PriceEssMonthly*AMC27+AMP27*PricePremMonthly*AMC27</f>
        <v/>
      </c>
      <c r="AMW27" s="12">
        <f>AMM27*PriceEssAnnual*AMC27+AMN27*PricePremAnnual*AMC27</f>
        <v/>
      </c>
      <c r="AMX27" s="12">
        <f>AMM15*POWER(1-(AnnualChurn*VLOOKUP(ALZ27,ChurnSeasonTable,4,FALSE)),1)*PriceEssAnnual*AMC27+AMN15*POWER(1-(AnnualChurn*VLOOKUP(ALZ27,ChurnSeasonTable,4,FALSE)),1)*PricePremAnnual*AMC27</f>
        <v/>
      </c>
      <c r="AMY27" s="9">
        <f>AMV27+AMW27+AMX27</f>
        <v/>
      </c>
      <c r="AMZ27" s="12">
        <f>SUM(AMY16:AMY27)</f>
        <v/>
      </c>
      <c r="ANA27" s="12">
        <f>OR(ANA26,AMZ27&gt;=VATThreshold)</f>
        <v/>
      </c>
      <c r="ANB27" s="9">
        <f>IF(ANA27,AMY27/(1+VATRate),AMY27)</f>
        <v/>
      </c>
      <c r="ANC27" s="12">
        <f>AMY27-ANB27</f>
        <v/>
      </c>
      <c r="AND27" s="12">
        <f>IF(ANA27=0,0,IF(ALZ27=1,SUMPRODUCT(--(($AMA$5:$AMA27=$AMA27-1)*($ALZ$5:$ALZ27&gt;=10)*($ALZ$5:$ALZ27&lt;=12)),$ANC$5:$ANC27),IF(ALZ27=4,SUMPRODUCT(--(($AMA$5:$AMA27=$AMA27)*($ALZ$5:$ALZ27&gt;=1)*($ALZ$5:$ALZ27&lt;=3)),$ANC$5:$ANC27),IF(ALZ27=7,SUMPRODUCT(--(($AMA$5:$AMA27=$AMA27)*($ALZ$5:$ALZ27&gt;=4)*($ALZ$5:$ALZ27&lt;=6)),$ANC$5:$ANC27),IF(ALZ27=10,SUMPRODUCT(--(($AMA$5:$AMA27=$AMA27)*($ALZ$5:$ALZ27&gt;=7)*($ALZ$5:$ALZ27&lt;=9)),$ANC$5:$ANC27),0)))))</f>
        <v/>
      </c>
      <c r="ANE27" s="12">
        <f>ANE26+ANC27-AND27</f>
        <v/>
      </c>
      <c r="ANF27" s="12">
        <f>IF(ProviderDelay&gt;=1,ANB26*ProviderShare,ANB27*ProviderShare)</f>
        <v/>
      </c>
      <c r="ANG27" s="12">
        <f>AMY27*PaymentFee</f>
        <v/>
      </c>
      <c r="ANH27" s="12">
        <f>AMS27*OpsAI</f>
        <v/>
      </c>
      <c r="ANI27" s="12">
        <f>MonthlyFixed</f>
        <v/>
      </c>
      <c r="ANJ27" s="12">
        <f>AMG27*ReferralReward</f>
        <v/>
      </c>
      <c r="ANK27" s="12">
        <f>AME27</f>
        <v/>
      </c>
      <c r="ANL27" s="9">
        <f>ANB27-ANF27-ANG27-ANH27-ANI27-ANJ27-ANK27</f>
        <v/>
      </c>
      <c r="ANM27" s="9">
        <f>ANM26+AMY27-(ANF27+ANG27+ANH27+ANI27+ANJ27+ANK27+AND27)</f>
        <v/>
      </c>
      <c r="ANN27" s="12">
        <f>IF(AMS27&gt;0,AMT27/AMS27,0)</f>
        <v/>
      </c>
      <c r="ANO27" s="11">
        <f>IF(AMS26&gt;0,MAX(0,(AMS26+AMH27-AMS27)/AMS26),0)</f>
        <v/>
      </c>
      <c r="ANQ27" s="12" t="n">
        <v>23</v>
      </c>
      <c r="ANR27" s="12">
        <f>MOD(ANQ27-1+LaunchMonth-1,12)+1</f>
        <v/>
      </c>
      <c r="ANS27" s="12">
        <f>INT((ANQ27-1+LaunchMonth-1)/12)+1</f>
        <v/>
      </c>
      <c r="ANT27" s="12">
        <f>VLOOKUP(ANR27,SeasonTable,2,FALSE)</f>
        <v/>
      </c>
      <c r="ANU27" s="12">
        <f>(1+InflationRate)^INT((ANQ27-1)/12)</f>
        <v/>
      </c>
      <c r="ANV27" s="11">
        <f>MonthlyChurn*VLOOKUP(ANR27,ChurnSeasonTable,4,FALSE)</f>
        <v/>
      </c>
      <c r="ANW27" s="12">
        <f>MIN(MAX(MktMin19plus,AOQ26*MktPct19plus),MAX(0,APE26-CashBuffer))</f>
        <v/>
      </c>
      <c r="ANX27" s="12">
        <f>IF(ANW27&gt;0,MAX(1,ROUND(ANW27/'Sens - CAC &amp; Marketing'!$A$14*ANT27,0)),0)</f>
        <v/>
      </c>
      <c r="ANY27" s="12">
        <f>IF(ANX27&gt;0,ROUND(ANX27*ReferralMix/(1-ReferralMix),0),0)</f>
        <v/>
      </c>
      <c r="ANZ27" s="12">
        <f>ANX27+ANY27</f>
        <v/>
      </c>
      <c r="AOA27" s="12">
        <f>ROUND(ANZ27*(1-AnnualMix),0)</f>
        <v/>
      </c>
      <c r="AOB27" s="12">
        <f>ANZ27-AOA27</f>
        <v/>
      </c>
      <c r="AOC27" s="12">
        <f>ROUND(AOA27*EssentialMix,0)</f>
        <v/>
      </c>
      <c r="AOD27" s="12">
        <f>AOA27-AOC27</f>
        <v/>
      </c>
      <c r="AOE27" s="12">
        <f>ROUND(AOB27*EssentialMix,0)</f>
        <v/>
      </c>
      <c r="AOF27" s="12">
        <f>AOB27-AOE27</f>
        <v/>
      </c>
      <c r="AOG27" s="12">
        <f>AOC27+AOC26+AOC25+MAX(0,AOG26-AOC26-AOC25)*(1-ANV27)</f>
        <v/>
      </c>
      <c r="AOH27" s="12">
        <f>AOD27+AOD26+AOD25+MAX(0,AOH26-AOD26-AOD25)*(1-ANV27)</f>
        <v/>
      </c>
      <c r="AOI27" s="12">
        <f>AOI26+AOE27-AOE15*(AnnualChurn*VLOOKUP(ANR27,ChurnSeasonTable,4,FALSE))*POWER(1-(AnnualChurn*VLOOKUP(ANR27,ChurnSeasonTable,4,FALSE)),0)</f>
        <v/>
      </c>
      <c r="AOJ27" s="12">
        <f>AOJ26+AOF27-AOF15*(AnnualChurn*VLOOKUP(ANR27,ChurnSeasonTable,4,FALSE))*POWER(1-(AnnualChurn*VLOOKUP(ANR27,ChurnSeasonTable,4,FALSE)),0)</f>
        <v/>
      </c>
      <c r="AOK27" s="12">
        <f>AOG27+AOH27+AOI27+AOJ27</f>
        <v/>
      </c>
      <c r="AOL27" s="9">
        <f>AOG27*PriceEssMonthly*ANU27+AOH27*PricePremMonthly*ANU27+AOI27*PriceEssAnnual*ANU27/12+AOJ27*PricePremAnnual*ANU27/12</f>
        <v/>
      </c>
      <c r="AOM27" s="9">
        <f>AOL27*12</f>
        <v/>
      </c>
      <c r="AON27" s="12">
        <f>AOG27*PriceEssMonthly*ANU27+AOH27*PricePremMonthly*ANU27</f>
        <v/>
      </c>
      <c r="AOO27" s="12">
        <f>AOE27*PriceEssAnnual*ANU27+AOF27*PricePremAnnual*ANU27</f>
        <v/>
      </c>
      <c r="AOP27" s="12">
        <f>AOE15*POWER(1-(AnnualChurn*VLOOKUP(ANR27,ChurnSeasonTable,4,FALSE)),1)*PriceEssAnnual*ANU27+AOF15*POWER(1-(AnnualChurn*VLOOKUP(ANR27,ChurnSeasonTable,4,FALSE)),1)*PricePremAnnual*ANU27</f>
        <v/>
      </c>
      <c r="AOQ27" s="9">
        <f>AON27+AOO27+AOP27</f>
        <v/>
      </c>
      <c r="AOR27" s="12">
        <f>SUM(AOQ16:AOQ27)</f>
        <v/>
      </c>
      <c r="AOS27" s="12">
        <f>OR(AOS26,AOR27&gt;=VATThreshold)</f>
        <v/>
      </c>
      <c r="AOT27" s="9">
        <f>IF(AOS27,AOQ27/(1+VATRate),AOQ27)</f>
        <v/>
      </c>
      <c r="AOU27" s="12">
        <f>AOQ27-AOT27</f>
        <v/>
      </c>
      <c r="AOV27" s="12">
        <f>IF(AOS27=0,0,IF(ANR27=1,SUMPRODUCT(--(($ANS$5:$ANS27=$ANS27-1)*($ANR$5:$ANR27&gt;=10)*($ANR$5:$ANR27&lt;=12)),$AOU$5:$AOU27),IF(ANR27=4,SUMPRODUCT(--(($ANS$5:$ANS27=$ANS27)*($ANR$5:$ANR27&gt;=1)*($ANR$5:$ANR27&lt;=3)),$AOU$5:$AOU27),IF(ANR27=7,SUMPRODUCT(--(($ANS$5:$ANS27=$ANS27)*($ANR$5:$ANR27&gt;=4)*($ANR$5:$ANR27&lt;=6)),$AOU$5:$AOU27),IF(ANR27=10,SUMPRODUCT(--(($ANS$5:$ANS27=$ANS27)*($ANR$5:$ANR27&gt;=7)*($ANR$5:$ANR27&lt;=9)),$AOU$5:$AOU27),0)))))</f>
        <v/>
      </c>
      <c r="AOW27" s="12">
        <f>AOW26+AOU27-AOV27</f>
        <v/>
      </c>
      <c r="AOX27" s="12">
        <f>IF(ProviderDelay&gt;=1,AOT26*ProviderShare,AOT27*ProviderShare)</f>
        <v/>
      </c>
      <c r="AOY27" s="12">
        <f>AOQ27*PaymentFee</f>
        <v/>
      </c>
      <c r="AOZ27" s="12">
        <f>AOK27*OpsAI</f>
        <v/>
      </c>
      <c r="APA27" s="12">
        <f>MonthlyFixed</f>
        <v/>
      </c>
      <c r="APB27" s="12">
        <f>ANY27*ReferralReward</f>
        <v/>
      </c>
      <c r="APC27" s="12">
        <f>ANW27</f>
        <v/>
      </c>
      <c r="APD27" s="9">
        <f>AOT27-AOX27-AOY27-AOZ27-APA27-APB27-APC27</f>
        <v/>
      </c>
      <c r="APE27" s="9">
        <f>APE26+AOQ27-(AOX27+AOY27+AOZ27+APA27+APB27+APC27+AOV27)</f>
        <v/>
      </c>
      <c r="APF27" s="12">
        <f>IF(AOK27&gt;0,AOL27/AOK27,0)</f>
        <v/>
      </c>
      <c r="APG27" s="11">
        <f>IF(AOK26&gt;0,MAX(0,(AOK26+ANZ27-AOK27)/AOK26),0)</f>
        <v/>
      </c>
      <c r="API27" s="12" t="n">
        <v>23</v>
      </c>
      <c r="APJ27" s="12">
        <f>MOD(API27-1+LaunchMonth-1,12)+1</f>
        <v/>
      </c>
      <c r="APK27" s="12">
        <f>INT((API27-1+LaunchMonth-1)/12)+1</f>
        <v/>
      </c>
      <c r="APL27" s="12">
        <f>VLOOKUP(APJ27,SeasonTable,2,FALSE)</f>
        <v/>
      </c>
      <c r="APM27" s="12">
        <f>(1+InflationRate)^INT((API27-1)/12)</f>
        <v/>
      </c>
      <c r="APN27" s="11">
        <f>MonthlyChurn*VLOOKUP(APJ27,ChurnSeasonTable,4,FALSE)</f>
        <v/>
      </c>
      <c r="APO27" s="12">
        <f>MIN(MAX(MktMin19plus,AQI26*MktPct19plus),MAX(0,AQW26-CashBuffer))</f>
        <v/>
      </c>
      <c r="APP27" s="12">
        <f>IF(APO27&gt;0,MAX(1,ROUND(APO27/'Sens - CAC &amp; Marketing'!$A$15*APL27,0)),0)</f>
        <v/>
      </c>
      <c r="APQ27" s="12">
        <f>IF(APP27&gt;0,ROUND(APP27*ReferralMix/(1-ReferralMix),0),0)</f>
        <v/>
      </c>
      <c r="APR27" s="12">
        <f>APP27+APQ27</f>
        <v/>
      </c>
      <c r="APS27" s="12">
        <f>ROUND(APR27*(1-AnnualMix),0)</f>
        <v/>
      </c>
      <c r="APT27" s="12">
        <f>APR27-APS27</f>
        <v/>
      </c>
      <c r="APU27" s="12">
        <f>ROUND(APS27*EssentialMix,0)</f>
        <v/>
      </c>
      <c r="APV27" s="12">
        <f>APS27-APU27</f>
        <v/>
      </c>
      <c r="APW27" s="12">
        <f>ROUND(APT27*EssentialMix,0)</f>
        <v/>
      </c>
      <c r="APX27" s="12">
        <f>APT27-APW27</f>
        <v/>
      </c>
      <c r="APY27" s="12">
        <f>APU27+APU26+APU25+MAX(0,APY26-APU26-APU25)*(1-APN27)</f>
        <v/>
      </c>
      <c r="APZ27" s="12">
        <f>APV27+APV26+APV25+MAX(0,APZ26-APV26-APV25)*(1-APN27)</f>
        <v/>
      </c>
      <c r="AQA27" s="12">
        <f>AQA26+APW27-APW15*(AnnualChurn*VLOOKUP(APJ27,ChurnSeasonTable,4,FALSE))*POWER(1-(AnnualChurn*VLOOKUP(APJ27,ChurnSeasonTable,4,FALSE)),0)</f>
        <v/>
      </c>
      <c r="AQB27" s="12">
        <f>AQB26+APX27-APX15*(AnnualChurn*VLOOKUP(APJ27,ChurnSeasonTable,4,FALSE))*POWER(1-(AnnualChurn*VLOOKUP(APJ27,ChurnSeasonTable,4,FALSE)),0)</f>
        <v/>
      </c>
      <c r="AQC27" s="12">
        <f>APY27+APZ27+AQA27+AQB27</f>
        <v/>
      </c>
      <c r="AQD27" s="9">
        <f>APY27*PriceEssMonthly*APM27+APZ27*PricePremMonthly*APM27+AQA27*PriceEssAnnual*APM27/12+AQB27*PricePremAnnual*APM27/12</f>
        <v/>
      </c>
      <c r="AQE27" s="9">
        <f>AQD27*12</f>
        <v/>
      </c>
      <c r="AQF27" s="12">
        <f>APY27*PriceEssMonthly*APM27+APZ27*PricePremMonthly*APM27</f>
        <v/>
      </c>
      <c r="AQG27" s="12">
        <f>APW27*PriceEssAnnual*APM27+APX27*PricePremAnnual*APM27</f>
        <v/>
      </c>
      <c r="AQH27" s="12">
        <f>APW15*POWER(1-(AnnualChurn*VLOOKUP(APJ27,ChurnSeasonTable,4,FALSE)),1)*PriceEssAnnual*APM27+APX15*POWER(1-(AnnualChurn*VLOOKUP(APJ27,ChurnSeasonTable,4,FALSE)),1)*PricePremAnnual*APM27</f>
        <v/>
      </c>
      <c r="AQI27" s="9">
        <f>AQF27+AQG27+AQH27</f>
        <v/>
      </c>
      <c r="AQJ27" s="12">
        <f>SUM(AQI16:AQI27)</f>
        <v/>
      </c>
      <c r="AQK27" s="12">
        <f>OR(AQK26,AQJ27&gt;=VATThreshold)</f>
        <v/>
      </c>
      <c r="AQL27" s="9">
        <f>IF(AQK27,AQI27/(1+VATRate),AQI27)</f>
        <v/>
      </c>
      <c r="AQM27" s="12">
        <f>AQI27-AQL27</f>
        <v/>
      </c>
      <c r="AQN27" s="12">
        <f>IF(AQK27=0,0,IF(APJ27=1,SUMPRODUCT(--(($APK$5:$APK27=$APK27-1)*($APJ$5:$APJ27&gt;=10)*($APJ$5:$APJ27&lt;=12)),$AQM$5:$AQM27),IF(APJ27=4,SUMPRODUCT(--(($APK$5:$APK27=$APK27)*($APJ$5:$APJ27&gt;=1)*($APJ$5:$APJ27&lt;=3)),$AQM$5:$AQM27),IF(APJ27=7,SUMPRODUCT(--(($APK$5:$APK27=$APK27)*($APJ$5:$APJ27&gt;=4)*($APJ$5:$APJ27&lt;=6)),$AQM$5:$AQM27),IF(APJ27=10,SUMPRODUCT(--(($APK$5:$APK27=$APK27)*($APJ$5:$APJ27&gt;=7)*($APJ$5:$APJ27&lt;=9)),$AQM$5:$AQM27),0)))))</f>
        <v/>
      </c>
      <c r="AQO27" s="12">
        <f>AQO26+AQM27-AQN27</f>
        <v/>
      </c>
      <c r="AQP27" s="12">
        <f>IF(ProviderDelay&gt;=1,AQL26*ProviderShare,AQL27*ProviderShare)</f>
        <v/>
      </c>
      <c r="AQQ27" s="12">
        <f>AQI27*PaymentFee</f>
        <v/>
      </c>
      <c r="AQR27" s="12">
        <f>AQC27*OpsAI</f>
        <v/>
      </c>
      <c r="AQS27" s="12">
        <f>MonthlyFixed</f>
        <v/>
      </c>
      <c r="AQT27" s="12">
        <f>APQ27*ReferralReward</f>
        <v/>
      </c>
      <c r="AQU27" s="12">
        <f>APO27</f>
        <v/>
      </c>
      <c r="AQV27" s="9">
        <f>AQL27-AQP27-AQQ27-AQR27-AQS27-AQT27-AQU27</f>
        <v/>
      </c>
      <c r="AQW27" s="9">
        <f>AQW26+AQI27-(AQP27+AQQ27+AQR27+AQS27+AQT27+AQU27+AQN27)</f>
        <v/>
      </c>
      <c r="AQX27" s="12">
        <f>IF(AQC27&gt;0,AQD27/AQC27,0)</f>
        <v/>
      </c>
      <c r="AQY27" s="11">
        <f>IF(AQC26&gt;0,MAX(0,(AQC26+APR27-AQC27)/AQC26),0)</f>
        <v/>
      </c>
      <c r="ARA27" s="12" t="n">
        <v>23</v>
      </c>
      <c r="ARB27" s="12">
        <f>MOD(ARA27-1+LaunchMonth-1,12)+1</f>
        <v/>
      </c>
      <c r="ARC27" s="12">
        <f>INT((ARA27-1+LaunchMonth-1)/12)+1</f>
        <v/>
      </c>
      <c r="ARD27" s="12">
        <f>VLOOKUP(ARB27,WinterPivotSeasonTable,5,FALSE)</f>
        <v/>
      </c>
      <c r="ARE27" s="12">
        <f>(1+InflationRate)^INT((ARA27-1)/12)</f>
        <v/>
      </c>
      <c r="ARF27" s="11">
        <f>MonthlyChurn*VLOOKUP(ARB27,WinterPivotChurnTable,6,FALSE)</f>
        <v/>
      </c>
      <c r="ARG27" s="12">
        <f>MIN(MAX(MktMin19plus,ASA26*MktPct19plus),MAX(0,ASO26-CashBuffer))</f>
        <v/>
      </c>
      <c r="ARH27" s="12">
        <f>IF(ARG27&gt;0,MAX(1,ROUND(ARG27/CAC*ARD27,0)),0)</f>
        <v/>
      </c>
      <c r="ARI27" s="12">
        <f>IF(ARH27&gt;0,ROUND(ARH27*ReferralMix/(1-ReferralMix),0),0)</f>
        <v/>
      </c>
      <c r="ARJ27" s="12">
        <f>ARH27+ARI27</f>
        <v/>
      </c>
      <c r="ARK27" s="12">
        <f>ROUND(ARJ27*(1-AnnualMix),0)</f>
        <v/>
      </c>
      <c r="ARL27" s="12">
        <f>ARJ27-ARK27</f>
        <v/>
      </c>
      <c r="ARM27" s="12">
        <f>ROUND(ARK27*'Sens - Winter Pivot'!$B$6,0)</f>
        <v/>
      </c>
      <c r="ARN27" s="12">
        <f>ARK27-ARM27</f>
        <v/>
      </c>
      <c r="ARO27" s="12">
        <f>ROUND(ARL27*'Sens - Winter Pivot'!$B$6,0)</f>
        <v/>
      </c>
      <c r="ARP27" s="12">
        <f>ARL27-ARO27</f>
        <v/>
      </c>
      <c r="ARQ27" s="12">
        <f>ARM27+ARM26+ARM25+MAX(0,ARQ26-ARM26-ARM25)*(1-ARF27)</f>
        <v/>
      </c>
      <c r="ARR27" s="12">
        <f>ARN27+ARN26+ARN25+MAX(0,ARR26-ARN26-ARN25)*(1-ARF27)</f>
        <v/>
      </c>
      <c r="ARS27" s="12">
        <f>ARS26+ARO27-ARO15*(AnnualChurn*VLOOKUP(ARB27,WinterPivotChurnTable,6,FALSE))*POWER(1-(AnnualChurn*VLOOKUP(ARB27,WinterPivotChurnTable,6,FALSE)),0)</f>
        <v/>
      </c>
      <c r="ART27" s="12">
        <f>ART26+ARP27-ARP15*(AnnualChurn*VLOOKUP(ARB27,WinterPivotChurnTable,6,FALSE))*POWER(1-(AnnualChurn*VLOOKUP(ARB27,WinterPivotChurnTable,6,FALSE)),0)</f>
        <v/>
      </c>
      <c r="ARU27" s="12">
        <f>ARQ27+ARR27+ARS27+ART27</f>
        <v/>
      </c>
      <c r="ARV27" s="9">
        <f>ARQ27*PriceEssMonthly*ARE27+ARR27*(PricePremMonthly+'Sens - Winter Pivot'!$B$7)*ARE27+ARS27*PriceEssAnnual*ARE27/12+ART27*(PricePremAnnual+'Sens - Winter Pivot'!$B$7*12)*ARE27/12</f>
        <v/>
      </c>
      <c r="ARW27" s="9">
        <f>ARV27*12</f>
        <v/>
      </c>
      <c r="ARX27" s="12">
        <f>ARQ27*PriceEssMonthly*ARE27+ARR27*(PricePremMonthly+'Sens - Winter Pivot'!$B$7)*ARE27</f>
        <v/>
      </c>
      <c r="ARY27" s="12">
        <f>ARO27*PriceEssAnnual*ARE27+ARP27*(PricePremAnnual+'Sens - Winter Pivot'!$B$7*12)*ARE27</f>
        <v/>
      </c>
      <c r="ARZ27" s="12">
        <f>ARO15*POWER(1-(AnnualChurn*VLOOKUP(ARB27,WinterPivotChurnTable,6,FALSE)),1)*PriceEssAnnual*ARE27+ARP15*POWER(1-(AnnualChurn*VLOOKUP(ARB27,WinterPivotChurnTable,6,FALSE)),1)*PricePremAnnual*ARE27</f>
        <v/>
      </c>
      <c r="ASA27" s="9">
        <f>ARX27+ARY27+ARZ27</f>
        <v/>
      </c>
      <c r="ASB27" s="12">
        <f>SUM(ASA16:ASA27)</f>
        <v/>
      </c>
      <c r="ASC27" s="12">
        <f>OR(ASC26,ASB27&gt;=VATThreshold)</f>
        <v/>
      </c>
      <c r="ASD27" s="9">
        <f>IF(ASC27,ASA27/(1+VATRate),ASA27)</f>
        <v/>
      </c>
      <c r="ASE27" s="12">
        <f>ASA27-ASD27</f>
        <v/>
      </c>
      <c r="ASF27" s="12">
        <f>IF(ASC27=0,0,IF(ARB27=1,SUMPRODUCT(--(($ARC$5:$ARC27=$ARC27-1)*($ARB$5:$ARB27&gt;=10)*($ARB$5:$ARB27&lt;=12)),$ASE$5:$ASE27),IF(ARB27=4,SUMPRODUCT(--(($ARC$5:$ARC27=$ARC27)*($ARB$5:$ARB27&gt;=1)*($ARB$5:$ARB27&lt;=3)),$ASE$5:$ASE27),IF(ARB27=7,SUMPRODUCT(--(($ARC$5:$ARC27=$ARC27)*($ARB$5:$ARB27&gt;=4)*($ARB$5:$ARB27&lt;=6)),$ASE$5:$ASE27),IF(ARB27=10,SUMPRODUCT(--(($ARC$5:$ARC27=$ARC27)*($ARB$5:$ARB27&gt;=7)*($ARB$5:$ARB27&lt;=9)),$ASE$5:$ASE27),0)))))</f>
        <v/>
      </c>
      <c r="ASG27" s="12">
        <f>ASG26+ASE27-ASF27</f>
        <v/>
      </c>
      <c r="ASH27" s="12">
        <f>IF(ProviderDelay&gt;=1,ASD26*ProviderShare,ASD27*ProviderShare)</f>
        <v/>
      </c>
      <c r="ASI27" s="12">
        <f>ASA27*PaymentFee</f>
        <v/>
      </c>
      <c r="ASJ27" s="12">
        <f>ARU27*OpsAI</f>
        <v/>
      </c>
      <c r="ASK27" s="12">
        <f>MonthlyFixed</f>
        <v/>
      </c>
      <c r="ASL27" s="12">
        <f>ARI27*ReferralReward</f>
        <v/>
      </c>
      <c r="ASM27" s="12">
        <f>ARG27</f>
        <v/>
      </c>
      <c r="ASN27" s="9">
        <f>ASD27-ASH27-ASI27-ASJ27-ASK27-ASL27-ASM27</f>
        <v/>
      </c>
      <c r="ASO27" s="9">
        <f>ASO26+ASA27-(ASH27+ASI27+ASJ27+ASK27+ASL27+ASM27+ASF27)</f>
        <v/>
      </c>
      <c r="ASP27" s="12">
        <f>IF(ARU27&gt;0,ARV27/ARU27,0)</f>
        <v/>
      </c>
      <c r="ASQ27" s="11">
        <f>IF(ARU26&gt;0,MAX(0,(ARU26+ARJ27-ARU27)/ARU26),0)</f>
        <v/>
      </c>
    </row>
    <row r="28">
      <c r="A28" s="12" t="n">
        <v>24</v>
      </c>
      <c r="B28" s="12">
        <f>MOD(A28-1+LaunchMonth-1,12)+1</f>
        <v/>
      </c>
      <c r="C28" s="12">
        <f>INT((A28-1+LaunchMonth-1)/12)+1</f>
        <v/>
      </c>
      <c r="D28" s="12">
        <f>VLOOKUP(B28,SeasonTable,2,FALSE)</f>
        <v/>
      </c>
      <c r="E28" s="12">
        <f>(1+InflationRate)^INT((A28-1)/12)</f>
        <v/>
      </c>
      <c r="F28" s="11">
        <f>'Sens - Scenarios'!$B$5*VLOOKUP(B28,ChurnSeasonTable,4,FALSE)</f>
        <v/>
      </c>
      <c r="G28" s="12">
        <f>MIN(MAX(MktMin19plus,AA27*MktPct19plus),MAX(0,AO27-CashBuffer))</f>
        <v/>
      </c>
      <c r="H28" s="12">
        <f>IF(G28&gt;0,MAX(1,ROUND(G28/'Sens - Scenarios'!$B$8*D28,0)),0)</f>
        <v/>
      </c>
      <c r="I28" s="12">
        <f>IF(H28&gt;0,ROUND(H28*ReferralMix/(1-ReferralMix),0),0)</f>
        <v/>
      </c>
      <c r="J28" s="12">
        <f>H28+I28</f>
        <v/>
      </c>
      <c r="K28" s="12">
        <f>ROUND(J28*(1-'Sens - Scenarios'!$B$7),0)</f>
        <v/>
      </c>
      <c r="L28" s="12">
        <f>J28-K28</f>
        <v/>
      </c>
      <c r="M28" s="12">
        <f>ROUND(K28*EssentialMix,0)</f>
        <v/>
      </c>
      <c r="N28" s="12">
        <f>K28-M28</f>
        <v/>
      </c>
      <c r="O28" s="12">
        <f>ROUND(L28*EssentialMix,0)</f>
        <v/>
      </c>
      <c r="P28" s="12">
        <f>L28-O28</f>
        <v/>
      </c>
      <c r="Q28" s="12">
        <f>M28+M27+M26+MAX(0,Q27-M27-M26)*(1-F28)</f>
        <v/>
      </c>
      <c r="R28" s="12">
        <f>N28+N27+N26+MAX(0,R27-N27-N26)*(1-F28)</f>
        <v/>
      </c>
      <c r="S28" s="12">
        <f>S27+O28-O16*('Sens - Scenarios'!$B$6*VLOOKUP(B28,ChurnSeasonTable,4,FALSE))*POWER(1-('Sens - Scenarios'!$B$6*VLOOKUP(B28,ChurnSeasonTable,4,FALSE)),0)</f>
        <v/>
      </c>
      <c r="T28" s="12">
        <f>T27+P28-P16*('Sens - Scenarios'!$B$6*VLOOKUP(B28,ChurnSeasonTable,4,FALSE))*POWER(1-('Sens - Scenarios'!$B$6*VLOOKUP(B28,ChurnSeasonTable,4,FALSE)),0)</f>
        <v/>
      </c>
      <c r="U28" s="12">
        <f>Q28+R28+S28+T28</f>
        <v/>
      </c>
      <c r="V28" s="9">
        <f>Q28*PriceEssMonthly*E28+R28*PricePremMonthly*E28+S28*PriceEssAnnual*E28/12+T28*PricePremAnnual*E28/12</f>
        <v/>
      </c>
      <c r="W28" s="9">
        <f>V28*12</f>
        <v/>
      </c>
      <c r="X28" s="12">
        <f>Q28*PriceEssMonthly*E28+R28*PricePremMonthly*E28</f>
        <v/>
      </c>
      <c r="Y28" s="12">
        <f>O28*PriceEssAnnual*E28+P28*PricePremAnnual*E28</f>
        <v/>
      </c>
      <c r="Z28" s="12">
        <f>O16*POWER(1-('Sens - Scenarios'!$B$6*VLOOKUP(B28,ChurnSeasonTable,4,FALSE)),1)*PriceEssAnnual*E28+P16*POWER(1-('Sens - Scenarios'!$B$6*VLOOKUP(B28,ChurnSeasonTable,4,FALSE)),1)*PricePremAnnual*E28</f>
        <v/>
      </c>
      <c r="AA28" s="9">
        <f>X28+Y28+Z28</f>
        <v/>
      </c>
      <c r="AB28" s="12">
        <f>SUM(AA17:AA28)</f>
        <v/>
      </c>
      <c r="AC28" s="12">
        <f>OR(AC27,AB28&gt;=VATThreshold)</f>
        <v/>
      </c>
      <c r="AD28" s="9">
        <f>IF(AC28,AA28/(1+VATRate),AA28)</f>
        <v/>
      </c>
      <c r="AE28" s="12">
        <f>AA28-AD28</f>
        <v/>
      </c>
      <c r="AF28" s="12">
        <f>IF(AC28=0,0,IF(B28=1,SUMPRODUCT(--(($C$5:$C28=$C28-1)*($B$5:$B28&gt;=10)*($B$5:$B28&lt;=12)),$AE$5:$AE28),IF(B28=4,SUMPRODUCT(--(($C$5:$C28=$C28)*($B$5:$B28&gt;=1)*($B$5:$B28&lt;=3)),$AE$5:$AE28),IF(B28=7,SUMPRODUCT(--(($C$5:$C28=$C28)*($B$5:$B28&gt;=4)*($B$5:$B28&lt;=6)),$AE$5:$AE28),IF(B28=10,SUMPRODUCT(--(($C$5:$C28=$C28)*($B$5:$B28&gt;=7)*($B$5:$B28&lt;=9)),$AE$5:$AE28),0)))))</f>
        <v/>
      </c>
      <c r="AG28" s="12">
        <f>AG27+AE28-AF28</f>
        <v/>
      </c>
      <c r="AH28" s="12">
        <f>IF(ProviderDelay&gt;=1,AD27*ProviderShare,AD28*ProviderShare)</f>
        <v/>
      </c>
      <c r="AI28" s="12">
        <f>AA28*PaymentFee</f>
        <v/>
      </c>
      <c r="AJ28" s="12">
        <f>U28*OpsAI</f>
        <v/>
      </c>
      <c r="AK28" s="12">
        <f>MonthlyFixed</f>
        <v/>
      </c>
      <c r="AL28" s="12">
        <f>I28*ReferralReward</f>
        <v/>
      </c>
      <c r="AM28" s="12">
        <f>G28</f>
        <v/>
      </c>
      <c r="AN28" s="9">
        <f>AD28-AH28-AI28-AJ28-AK28-AL28-AM28</f>
        <v/>
      </c>
      <c r="AO28" s="9">
        <f>AO27+AA28-(AH28+AI28+AJ28+AK28+AL28+AM28+AF28)</f>
        <v/>
      </c>
      <c r="AP28" s="12">
        <f>IF(U28&gt;0,V28/U28,0)</f>
        <v/>
      </c>
      <c r="AQ28" s="11">
        <f>IF(U27&gt;0,MAX(0,(U27+J28-U28)/U27),0)</f>
        <v/>
      </c>
      <c r="AS28" s="12" t="n">
        <v>24</v>
      </c>
      <c r="AT28" s="12">
        <f>MOD(AS28-1+LaunchMonth-1,12)+1</f>
        <v/>
      </c>
      <c r="AU28" s="12">
        <f>INT((AS28-1+LaunchMonth-1)/12)+1</f>
        <v/>
      </c>
      <c r="AV28" s="12">
        <f>VLOOKUP(AT28,SeasonTable,2,FALSE)</f>
        <v/>
      </c>
      <c r="AW28" s="12">
        <f>(1+InflationRate)^INT((AS28-1)/12)</f>
        <v/>
      </c>
      <c r="AX28" s="11">
        <f>MonthlyChurn*VLOOKUP(AT28,ChurnSeasonTable,4,FALSE)</f>
        <v/>
      </c>
      <c r="AY28" s="12">
        <f>MIN(MAX(MktMin19plus,BS27*MktPct19plus),MAX(0,CG27-CashBuffer))</f>
        <v/>
      </c>
      <c r="AZ28" s="12">
        <f>IF(AY28&gt;0,MAX(1,ROUND(AY28/CAC*AV28,0)),0)</f>
        <v/>
      </c>
      <c r="BA28" s="12">
        <f>IF(AZ28&gt;0,ROUND(AZ28*ReferralMix/(1-ReferralMix),0),0)</f>
        <v/>
      </c>
      <c r="BB28" s="12">
        <f>AZ28+BA28</f>
        <v/>
      </c>
      <c r="BC28" s="12">
        <f>ROUND(BB28*(1-AnnualMix),0)</f>
        <v/>
      </c>
      <c r="BD28" s="12">
        <f>BB28-BC28</f>
        <v/>
      </c>
      <c r="BE28" s="12">
        <f>ROUND(BC28*EssentialMix,0)</f>
        <v/>
      </c>
      <c r="BF28" s="12">
        <f>BC28-BE28</f>
        <v/>
      </c>
      <c r="BG28" s="12">
        <f>ROUND(BD28*EssentialMix,0)</f>
        <v/>
      </c>
      <c r="BH28" s="12">
        <f>BD28-BG28</f>
        <v/>
      </c>
      <c r="BI28" s="12">
        <f>BE28+BE27+BE26+MAX(0,BI27-BE27-BE26)*(1-AX28)</f>
        <v/>
      </c>
      <c r="BJ28" s="12">
        <f>BF28+BF27+BF26+MAX(0,BJ27-BF27-BF26)*(1-AX28)</f>
        <v/>
      </c>
      <c r="BK28" s="12">
        <f>BK27+BG28-BG16*(AnnualChurn*VLOOKUP(AT28,ChurnSeasonTable,4,FALSE))*POWER(1-(AnnualChurn*VLOOKUP(AT28,ChurnSeasonTable,4,FALSE)),0)</f>
        <v/>
      </c>
      <c r="BL28" s="12">
        <f>BL27+BH28-BH16*(AnnualChurn*VLOOKUP(AT28,ChurnSeasonTable,4,FALSE))*POWER(1-(AnnualChurn*VLOOKUP(AT28,ChurnSeasonTable,4,FALSE)),0)</f>
        <v/>
      </c>
      <c r="BM28" s="12">
        <f>BI28+BJ28+BK28+BL28</f>
        <v/>
      </c>
      <c r="BN28" s="9">
        <f>BI28*PriceEssMonthly*AW28+BJ28*PricePremMonthly*AW28+BK28*PriceEssAnnual*AW28/12+BL28*PricePremAnnual*AW28/12</f>
        <v/>
      </c>
      <c r="BO28" s="9">
        <f>BN28*12</f>
        <v/>
      </c>
      <c r="BP28" s="12">
        <f>BI28*PriceEssMonthly*AW28+BJ28*PricePremMonthly*AW28</f>
        <v/>
      </c>
      <c r="BQ28" s="12">
        <f>BG28*PriceEssAnnual*AW28+BH28*PricePremAnnual*AW28</f>
        <v/>
      </c>
      <c r="BR28" s="12">
        <f>BG16*POWER(1-(AnnualChurn*VLOOKUP(AT28,ChurnSeasonTable,4,FALSE)),1)*PriceEssAnnual*AW28+BH16*POWER(1-(AnnualChurn*VLOOKUP(AT28,ChurnSeasonTable,4,FALSE)),1)*PricePremAnnual*AW28</f>
        <v/>
      </c>
      <c r="BS28" s="9">
        <f>BP28+BQ28+BR28</f>
        <v/>
      </c>
      <c r="BT28" s="12">
        <f>SUM(BS17:BS28)</f>
        <v/>
      </c>
      <c r="BU28" s="12">
        <f>OR(BU27,BT28&gt;=VATThreshold)</f>
        <v/>
      </c>
      <c r="BV28" s="9">
        <f>IF(BU28,BS28/(1+VATRate),BS28)</f>
        <v/>
      </c>
      <c r="BW28" s="12">
        <f>BS28-BV28</f>
        <v/>
      </c>
      <c r="BX28" s="12">
        <f>IF(BU28=0,0,IF(AT28=1,SUMPRODUCT(--(($AU$5:$AU28=$AU28-1)*($AT$5:$AT28&gt;=10)*($AT$5:$AT28&lt;=12)),$BW$5:$BW28),IF(AT28=4,SUMPRODUCT(--(($AU$5:$AU28=$AU28)*($AT$5:$AT28&gt;=1)*($AT$5:$AT28&lt;=3)),$BW$5:$BW28),IF(AT28=7,SUMPRODUCT(--(($AU$5:$AU28=$AU28)*($AT$5:$AT28&gt;=4)*($AT$5:$AT28&lt;=6)),$BW$5:$BW28),IF(AT28=10,SUMPRODUCT(--(($AU$5:$AU28=$AU28)*($AT$5:$AT28&gt;=7)*($AT$5:$AT28&lt;=9)),$BW$5:$BW28),0)))))</f>
        <v/>
      </c>
      <c r="BY28" s="12">
        <f>BY27+BW28-BX28</f>
        <v/>
      </c>
      <c r="BZ28" s="12">
        <f>IF(ProviderDelay&gt;=1,BV27*ProviderShare,BV28*ProviderShare)</f>
        <v/>
      </c>
      <c r="CA28" s="12">
        <f>BS28*PaymentFee</f>
        <v/>
      </c>
      <c r="CB28" s="12">
        <f>BM28*OpsAI</f>
        <v/>
      </c>
      <c r="CC28" s="12">
        <f>MonthlyFixed</f>
        <v/>
      </c>
      <c r="CD28" s="12">
        <f>BA28*ReferralReward</f>
        <v/>
      </c>
      <c r="CE28" s="12">
        <f>AY28</f>
        <v/>
      </c>
      <c r="CF28" s="9">
        <f>BV28-BZ28-CA28-CB28-CC28-CD28-CE28</f>
        <v/>
      </c>
      <c r="CG28" s="9">
        <f>CG27+BS28-(BZ28+CA28+CB28+CC28+CD28+CE28+BX28)</f>
        <v/>
      </c>
      <c r="CH28" s="12">
        <f>IF(BM28&gt;0,BN28/BM28,0)</f>
        <v/>
      </c>
      <c r="CI28" s="11">
        <f>IF(BM27&gt;0,MAX(0,(BM27+BB28-BM28)/BM27),0)</f>
        <v/>
      </c>
      <c r="CK28" s="12" t="n">
        <v>24</v>
      </c>
      <c r="CL28" s="12">
        <f>MOD(CK28-1+LaunchMonth-1,12)+1</f>
        <v/>
      </c>
      <c r="CM28" s="12">
        <f>INT((CK28-1+LaunchMonth-1)/12)+1</f>
        <v/>
      </c>
      <c r="CN28" s="12">
        <f>VLOOKUP(CL28,SeasonTable,2,FALSE)</f>
        <v/>
      </c>
      <c r="CO28" s="12">
        <f>(1+InflationRate)^INT((CK28-1)/12)</f>
        <v/>
      </c>
      <c r="CP28" s="11">
        <f>'Sens - Scenarios'!$D$5*VLOOKUP(CL28,ChurnSeasonTable,4,FALSE)</f>
        <v/>
      </c>
      <c r="CQ28" s="12">
        <f>MIN(MAX(MktMin19plus,DK27*MktPct19plus),MAX(0,DY27-CashBuffer))</f>
        <v/>
      </c>
      <c r="CR28" s="12">
        <f>IF(CQ28&gt;0,MAX(1,ROUND(CQ28/'Sens - Scenarios'!$D$8*CN28,0)),0)</f>
        <v/>
      </c>
      <c r="CS28" s="12">
        <f>IF(CR28&gt;0,ROUND(CR28*ReferralMix/(1-ReferralMix),0),0)</f>
        <v/>
      </c>
      <c r="CT28" s="12">
        <f>CR28+CS28</f>
        <v/>
      </c>
      <c r="CU28" s="12">
        <f>ROUND(CT28*(1-'Sens - Scenarios'!$D$7),0)</f>
        <v/>
      </c>
      <c r="CV28" s="12">
        <f>CT28-CU28</f>
        <v/>
      </c>
      <c r="CW28" s="12">
        <f>ROUND(CU28*EssentialMix,0)</f>
        <v/>
      </c>
      <c r="CX28" s="12">
        <f>CU28-CW28</f>
        <v/>
      </c>
      <c r="CY28" s="12">
        <f>ROUND(CV28*EssentialMix,0)</f>
        <v/>
      </c>
      <c r="CZ28" s="12">
        <f>CV28-CY28</f>
        <v/>
      </c>
      <c r="DA28" s="12">
        <f>CW28+CW27+CW26+MAX(0,DA27-CW27-CW26)*(1-CP28)</f>
        <v/>
      </c>
      <c r="DB28" s="12">
        <f>CX28+CX27+CX26+MAX(0,DB27-CX27-CX26)*(1-CP28)</f>
        <v/>
      </c>
      <c r="DC28" s="12">
        <f>DC27+CY28-CY16*('Sens - Scenarios'!$D$6*VLOOKUP(CL28,ChurnSeasonTable,4,FALSE))*POWER(1-('Sens - Scenarios'!$D$6*VLOOKUP(CL28,ChurnSeasonTable,4,FALSE)),0)</f>
        <v/>
      </c>
      <c r="DD28" s="12">
        <f>DD27+CZ28-CZ16*('Sens - Scenarios'!$D$6*VLOOKUP(CL28,ChurnSeasonTable,4,FALSE))*POWER(1-('Sens - Scenarios'!$D$6*VLOOKUP(CL28,ChurnSeasonTable,4,FALSE)),0)</f>
        <v/>
      </c>
      <c r="DE28" s="12">
        <f>DA28+DB28+DC28+DD28</f>
        <v/>
      </c>
      <c r="DF28" s="9">
        <f>DA28*PriceEssMonthly*CO28+DB28*PricePremMonthly*CO28+DC28*PriceEssAnnual*CO28/12+DD28*PricePremAnnual*CO28/12</f>
        <v/>
      </c>
      <c r="DG28" s="9">
        <f>DF28*12</f>
        <v/>
      </c>
      <c r="DH28" s="12">
        <f>DA28*PriceEssMonthly*CO28+DB28*PricePremMonthly*CO28</f>
        <v/>
      </c>
      <c r="DI28" s="12">
        <f>CY28*PriceEssAnnual*CO28+CZ28*PricePremAnnual*CO28</f>
        <v/>
      </c>
      <c r="DJ28" s="12">
        <f>CY16*POWER(1-('Sens - Scenarios'!$D$6*VLOOKUP(CL28,ChurnSeasonTable,4,FALSE)),1)*PriceEssAnnual*CO28+CZ16*POWER(1-('Sens - Scenarios'!$D$6*VLOOKUP(CL28,ChurnSeasonTable,4,FALSE)),1)*PricePremAnnual*CO28</f>
        <v/>
      </c>
      <c r="DK28" s="9">
        <f>DH28+DI28+DJ28</f>
        <v/>
      </c>
      <c r="DL28" s="12">
        <f>SUM(DK17:DK28)</f>
        <v/>
      </c>
      <c r="DM28" s="12">
        <f>OR(DM27,DL28&gt;=VATThreshold)</f>
        <v/>
      </c>
      <c r="DN28" s="9">
        <f>IF(DM28,DK28/(1+VATRate),DK28)</f>
        <v/>
      </c>
      <c r="DO28" s="12">
        <f>DK28-DN28</f>
        <v/>
      </c>
      <c r="DP28" s="12">
        <f>IF(DM28=0,0,IF(CL28=1,SUMPRODUCT(--(($CM$5:$CM28=$CM28-1)*($CL$5:$CL28&gt;=10)*($CL$5:$CL28&lt;=12)),$DO$5:$DO28),IF(CL28=4,SUMPRODUCT(--(($CM$5:$CM28=$CM28)*($CL$5:$CL28&gt;=1)*($CL$5:$CL28&lt;=3)),$DO$5:$DO28),IF(CL28=7,SUMPRODUCT(--(($CM$5:$CM28=$CM28)*($CL$5:$CL28&gt;=4)*($CL$5:$CL28&lt;=6)),$DO$5:$DO28),IF(CL28=10,SUMPRODUCT(--(($CM$5:$CM28=$CM28)*($CL$5:$CL28&gt;=7)*($CL$5:$CL28&lt;=9)),$DO$5:$DO28),0)))))</f>
        <v/>
      </c>
      <c r="DQ28" s="12">
        <f>DQ27+DO28-DP28</f>
        <v/>
      </c>
      <c r="DR28" s="12">
        <f>IF(ProviderDelay&gt;=1,DN27*ProviderShare,DN28*ProviderShare)</f>
        <v/>
      </c>
      <c r="DS28" s="12">
        <f>DK28*PaymentFee</f>
        <v/>
      </c>
      <c r="DT28" s="12">
        <f>DE28*OpsAI</f>
        <v/>
      </c>
      <c r="DU28" s="12">
        <f>MonthlyFixed</f>
        <v/>
      </c>
      <c r="DV28" s="12">
        <f>CS28*ReferralReward</f>
        <v/>
      </c>
      <c r="DW28" s="12">
        <f>CQ28</f>
        <v/>
      </c>
      <c r="DX28" s="9">
        <f>DN28-DR28-DS28-DT28-DU28-DV28-DW28</f>
        <v/>
      </c>
      <c r="DY28" s="9">
        <f>DY27+DK28-(DR28+DS28+DT28+DU28+DV28+DW28+DP28)</f>
        <v/>
      </c>
      <c r="DZ28" s="12">
        <f>IF(DE28&gt;0,DF28/DE28,0)</f>
        <v/>
      </c>
      <c r="EA28" s="11">
        <f>IF(DE27&gt;0,MAX(0,(DE27+CT28-DE28)/DE27),0)</f>
        <v/>
      </c>
      <c r="EC28" s="12" t="n">
        <v>24</v>
      </c>
      <c r="ED28" s="12">
        <f>MOD(EC28-1+LaunchMonth-1,12)+1</f>
        <v/>
      </c>
      <c r="EE28" s="12">
        <f>INT((EC28-1+LaunchMonth-1)/12)+1</f>
        <v/>
      </c>
      <c r="EF28" s="12">
        <f>VLOOKUP(ED28,SeasonTable,2,FALSE)</f>
        <v/>
      </c>
      <c r="EG28" s="12">
        <f>(1+InflationRate)^INT((EC28-1)/12)</f>
        <v/>
      </c>
      <c r="EH28" s="11">
        <f>'Sens - Churn'!$A$13*VLOOKUP(ED28,ChurnSeasonTable,4,FALSE)</f>
        <v/>
      </c>
      <c r="EI28" s="12">
        <f>MIN(MAX(MktMin19plus,FC27*MktPct19plus),MAX(0,FQ27-CashBuffer))</f>
        <v/>
      </c>
      <c r="EJ28" s="12">
        <f>IF(EI28&gt;0,MAX(1,ROUND(EI28/CAC*EF28,0)),0)</f>
        <v/>
      </c>
      <c r="EK28" s="12">
        <f>IF(EJ28&gt;0,ROUND(EJ28*ReferralMix/(1-ReferralMix),0),0)</f>
        <v/>
      </c>
      <c r="EL28" s="12">
        <f>EJ28+EK28</f>
        <v/>
      </c>
      <c r="EM28" s="12">
        <f>ROUND(EL28*(1-AnnualMix),0)</f>
        <v/>
      </c>
      <c r="EN28" s="12">
        <f>EL28-EM28</f>
        <v/>
      </c>
      <c r="EO28" s="12">
        <f>ROUND(EM28*EssentialMix,0)</f>
        <v/>
      </c>
      <c r="EP28" s="12">
        <f>EM28-EO28</f>
        <v/>
      </c>
      <c r="EQ28" s="12">
        <f>ROUND(EN28*EssentialMix,0)</f>
        <v/>
      </c>
      <c r="ER28" s="12">
        <f>EN28-EQ28</f>
        <v/>
      </c>
      <c r="ES28" s="12">
        <f>EO28+EO27+EO26+MAX(0,ES27-EO27-EO26)*(1-EH28)</f>
        <v/>
      </c>
      <c r="ET28" s="12">
        <f>EP28+EP27+EP26+MAX(0,ET27-EP27-EP26)*(1-EH28)</f>
        <v/>
      </c>
      <c r="EU28" s="12">
        <f>EU27+EQ28-EQ16*(AnnualChurn*VLOOKUP(ED28,ChurnSeasonTable,4,FALSE))*POWER(1-(AnnualChurn*VLOOKUP(ED28,ChurnSeasonTable,4,FALSE)),0)</f>
        <v/>
      </c>
      <c r="EV28" s="12">
        <f>EV27+ER28-ER16*(AnnualChurn*VLOOKUP(ED28,ChurnSeasonTable,4,FALSE))*POWER(1-(AnnualChurn*VLOOKUP(ED28,ChurnSeasonTable,4,FALSE)),0)</f>
        <v/>
      </c>
      <c r="EW28" s="12">
        <f>ES28+ET28+EU28+EV28</f>
        <v/>
      </c>
      <c r="EX28" s="9">
        <f>ES28*PriceEssMonthly*EG28+ET28*PricePremMonthly*EG28+EU28*PriceEssAnnual*EG28/12+EV28*PricePremAnnual*EG28/12</f>
        <v/>
      </c>
      <c r="EY28" s="9">
        <f>EX28*12</f>
        <v/>
      </c>
      <c r="EZ28" s="12">
        <f>ES28*PriceEssMonthly*EG28+ET28*PricePremMonthly*EG28</f>
        <v/>
      </c>
      <c r="FA28" s="12">
        <f>EQ28*PriceEssAnnual*EG28+ER28*PricePremAnnual*EG28</f>
        <v/>
      </c>
      <c r="FB28" s="12">
        <f>EQ16*POWER(1-(AnnualChurn*VLOOKUP(ED28,ChurnSeasonTable,4,FALSE)),1)*PriceEssAnnual*EG28+ER16*POWER(1-(AnnualChurn*VLOOKUP(ED28,ChurnSeasonTable,4,FALSE)),1)*PricePremAnnual*EG28</f>
        <v/>
      </c>
      <c r="FC28" s="9">
        <f>EZ28+FA28+FB28</f>
        <v/>
      </c>
      <c r="FD28" s="12">
        <f>SUM(FC17:FC28)</f>
        <v/>
      </c>
      <c r="FE28" s="12">
        <f>OR(FE27,FD28&gt;=VATThreshold)</f>
        <v/>
      </c>
      <c r="FF28" s="9">
        <f>IF(FE28,FC28/(1+VATRate),FC28)</f>
        <v/>
      </c>
      <c r="FG28" s="12">
        <f>FC28-FF28</f>
        <v/>
      </c>
      <c r="FH28" s="12">
        <f>IF(FE28=0,0,IF(ED28=1,SUMPRODUCT(--(($EE$5:$EE28=$EE28-1)*($ED$5:$ED28&gt;=10)*($ED$5:$ED28&lt;=12)),$FG$5:$FG28),IF(ED28=4,SUMPRODUCT(--(($EE$5:$EE28=$EE28)*($ED$5:$ED28&gt;=1)*($ED$5:$ED28&lt;=3)),$FG$5:$FG28),IF(ED28=7,SUMPRODUCT(--(($EE$5:$EE28=$EE28)*($ED$5:$ED28&gt;=4)*($ED$5:$ED28&lt;=6)),$FG$5:$FG28),IF(ED28=10,SUMPRODUCT(--(($EE$5:$EE28=$EE28)*($ED$5:$ED28&gt;=7)*($ED$5:$ED28&lt;=9)),$FG$5:$FG28),0)))))</f>
        <v/>
      </c>
      <c r="FI28" s="12">
        <f>FI27+FG28-FH28</f>
        <v/>
      </c>
      <c r="FJ28" s="12">
        <f>IF(ProviderDelay&gt;=1,FF27*ProviderShare,FF28*ProviderShare)</f>
        <v/>
      </c>
      <c r="FK28" s="12">
        <f>FC28*PaymentFee</f>
        <v/>
      </c>
      <c r="FL28" s="12">
        <f>EW28*OpsAI</f>
        <v/>
      </c>
      <c r="FM28" s="12">
        <f>MonthlyFixed</f>
        <v/>
      </c>
      <c r="FN28" s="12">
        <f>EK28*ReferralReward</f>
        <v/>
      </c>
      <c r="FO28" s="12">
        <f>EI28</f>
        <v/>
      </c>
      <c r="FP28" s="9">
        <f>FF28-FJ28-FK28-FL28-FM28-FN28-FO28</f>
        <v/>
      </c>
      <c r="FQ28" s="9">
        <f>FQ27+FC28-(FJ28+FK28+FL28+FM28+FN28+FO28+FH28)</f>
        <v/>
      </c>
      <c r="FR28" s="12">
        <f>IF(EW28&gt;0,EX28/EW28,0)</f>
        <v/>
      </c>
      <c r="FS28" s="11">
        <f>IF(EW27&gt;0,MAX(0,(EW27+EL28-EW28)/EW27),0)</f>
        <v/>
      </c>
      <c r="FU28" s="12" t="n">
        <v>24</v>
      </c>
      <c r="FV28" s="12">
        <f>MOD(FU28-1+LaunchMonth-1,12)+1</f>
        <v/>
      </c>
      <c r="FW28" s="12">
        <f>INT((FU28-1+LaunchMonth-1)/12)+1</f>
        <v/>
      </c>
      <c r="FX28" s="12">
        <f>VLOOKUP(FV28,SeasonTable,2,FALSE)</f>
        <v/>
      </c>
      <c r="FY28" s="12">
        <f>(1+InflationRate)^INT((FU28-1)/12)</f>
        <v/>
      </c>
      <c r="FZ28" s="11">
        <f>'Sens - Churn'!$A$14*VLOOKUP(FV28,ChurnSeasonTable,4,FALSE)</f>
        <v/>
      </c>
      <c r="GA28" s="12">
        <f>MIN(MAX(MktMin19plus,GU27*MktPct19plus),MAX(0,HI27-CashBuffer))</f>
        <v/>
      </c>
      <c r="GB28" s="12">
        <f>IF(GA28&gt;0,MAX(1,ROUND(GA28/CAC*FX28,0)),0)</f>
        <v/>
      </c>
      <c r="GC28" s="12">
        <f>IF(GB28&gt;0,ROUND(GB28*ReferralMix/(1-ReferralMix),0),0)</f>
        <v/>
      </c>
      <c r="GD28" s="12">
        <f>GB28+GC28</f>
        <v/>
      </c>
      <c r="GE28" s="12">
        <f>ROUND(GD28*(1-AnnualMix),0)</f>
        <v/>
      </c>
      <c r="GF28" s="12">
        <f>GD28-GE28</f>
        <v/>
      </c>
      <c r="GG28" s="12">
        <f>ROUND(GE28*EssentialMix,0)</f>
        <v/>
      </c>
      <c r="GH28" s="12">
        <f>GE28-GG28</f>
        <v/>
      </c>
      <c r="GI28" s="12">
        <f>ROUND(GF28*EssentialMix,0)</f>
        <v/>
      </c>
      <c r="GJ28" s="12">
        <f>GF28-GI28</f>
        <v/>
      </c>
      <c r="GK28" s="12">
        <f>GG28+GG27+GG26+MAX(0,GK27-GG27-GG26)*(1-FZ28)</f>
        <v/>
      </c>
      <c r="GL28" s="12">
        <f>GH28+GH27+GH26+MAX(0,GL27-GH27-GH26)*(1-FZ28)</f>
        <v/>
      </c>
      <c r="GM28" s="12">
        <f>GM27+GI28-GI16*(AnnualChurn*VLOOKUP(FV28,ChurnSeasonTable,4,FALSE))*POWER(1-(AnnualChurn*VLOOKUP(FV28,ChurnSeasonTable,4,FALSE)),0)</f>
        <v/>
      </c>
      <c r="GN28" s="12">
        <f>GN27+GJ28-GJ16*(AnnualChurn*VLOOKUP(FV28,ChurnSeasonTable,4,FALSE))*POWER(1-(AnnualChurn*VLOOKUP(FV28,ChurnSeasonTable,4,FALSE)),0)</f>
        <v/>
      </c>
      <c r="GO28" s="12">
        <f>GK28+GL28+GM28+GN28</f>
        <v/>
      </c>
      <c r="GP28" s="9">
        <f>GK28*PriceEssMonthly*FY28+GL28*PricePremMonthly*FY28+GM28*PriceEssAnnual*FY28/12+GN28*PricePremAnnual*FY28/12</f>
        <v/>
      </c>
      <c r="GQ28" s="9">
        <f>GP28*12</f>
        <v/>
      </c>
      <c r="GR28" s="12">
        <f>GK28*PriceEssMonthly*FY28+GL28*PricePremMonthly*FY28</f>
        <v/>
      </c>
      <c r="GS28" s="12">
        <f>GI28*PriceEssAnnual*FY28+GJ28*PricePremAnnual*FY28</f>
        <v/>
      </c>
      <c r="GT28" s="12">
        <f>GI16*POWER(1-(AnnualChurn*VLOOKUP(FV28,ChurnSeasonTable,4,FALSE)),1)*PriceEssAnnual*FY28+GJ16*POWER(1-(AnnualChurn*VLOOKUP(FV28,ChurnSeasonTable,4,FALSE)),1)*PricePremAnnual*FY28</f>
        <v/>
      </c>
      <c r="GU28" s="9">
        <f>GR28+GS28+GT28</f>
        <v/>
      </c>
      <c r="GV28" s="12">
        <f>SUM(GU17:GU28)</f>
        <v/>
      </c>
      <c r="GW28" s="12">
        <f>OR(GW27,GV28&gt;=VATThreshold)</f>
        <v/>
      </c>
      <c r="GX28" s="9">
        <f>IF(GW28,GU28/(1+VATRate),GU28)</f>
        <v/>
      </c>
      <c r="GY28" s="12">
        <f>GU28-GX28</f>
        <v/>
      </c>
      <c r="GZ28" s="12">
        <f>IF(GW28=0,0,IF(FV28=1,SUMPRODUCT(--(($FW$5:$FW28=$FW28-1)*($FV$5:$FV28&gt;=10)*($FV$5:$FV28&lt;=12)),$GY$5:$GY28),IF(FV28=4,SUMPRODUCT(--(($FW$5:$FW28=$FW28)*($FV$5:$FV28&gt;=1)*($FV$5:$FV28&lt;=3)),$GY$5:$GY28),IF(FV28=7,SUMPRODUCT(--(($FW$5:$FW28=$FW28)*($FV$5:$FV28&gt;=4)*($FV$5:$FV28&lt;=6)),$GY$5:$GY28),IF(FV28=10,SUMPRODUCT(--(($FW$5:$FW28=$FW28)*($FV$5:$FV28&gt;=7)*($FV$5:$FV28&lt;=9)),$GY$5:$GY28),0)))))</f>
        <v/>
      </c>
      <c r="HA28" s="12">
        <f>HA27+GY28-GZ28</f>
        <v/>
      </c>
      <c r="HB28" s="12">
        <f>IF(ProviderDelay&gt;=1,GX27*ProviderShare,GX28*ProviderShare)</f>
        <v/>
      </c>
      <c r="HC28" s="12">
        <f>GU28*PaymentFee</f>
        <v/>
      </c>
      <c r="HD28" s="12">
        <f>GO28*OpsAI</f>
        <v/>
      </c>
      <c r="HE28" s="12">
        <f>MonthlyFixed</f>
        <v/>
      </c>
      <c r="HF28" s="12">
        <f>GC28*ReferralReward</f>
        <v/>
      </c>
      <c r="HG28" s="12">
        <f>GA28</f>
        <v/>
      </c>
      <c r="HH28" s="9">
        <f>GX28-HB28-HC28-HD28-HE28-HF28-HG28</f>
        <v/>
      </c>
      <c r="HI28" s="9">
        <f>HI27+GU28-(HB28+HC28+HD28+HE28+HF28+HG28+GZ28)</f>
        <v/>
      </c>
      <c r="HJ28" s="12">
        <f>IF(GO28&gt;0,GP28/GO28,0)</f>
        <v/>
      </c>
      <c r="HK28" s="11">
        <f>IF(GO27&gt;0,MAX(0,(GO27+GD28-GO28)/GO27),0)</f>
        <v/>
      </c>
      <c r="HM28" s="12" t="n">
        <v>24</v>
      </c>
      <c r="HN28" s="12">
        <f>MOD(HM28-1+LaunchMonth-1,12)+1</f>
        <v/>
      </c>
      <c r="HO28" s="12">
        <f>INT((HM28-1+LaunchMonth-1)/12)+1</f>
        <v/>
      </c>
      <c r="HP28" s="12">
        <f>VLOOKUP(HN28,SeasonTable,2,FALSE)</f>
        <v/>
      </c>
      <c r="HQ28" s="12">
        <f>(1+InflationRate)^INT((HM28-1)/12)</f>
        <v/>
      </c>
      <c r="HR28" s="11">
        <f>'Sens - Churn'!$A$15*VLOOKUP(HN28,ChurnSeasonTable,4,FALSE)</f>
        <v/>
      </c>
      <c r="HS28" s="12">
        <f>MIN(MAX(MktMin19plus,IM27*MktPct19plus),MAX(0,JA27-CashBuffer))</f>
        <v/>
      </c>
      <c r="HT28" s="12">
        <f>IF(HS28&gt;0,MAX(1,ROUND(HS28/CAC*HP28,0)),0)</f>
        <v/>
      </c>
      <c r="HU28" s="12">
        <f>IF(HT28&gt;0,ROUND(HT28*ReferralMix/(1-ReferralMix),0),0)</f>
        <v/>
      </c>
      <c r="HV28" s="12">
        <f>HT28+HU28</f>
        <v/>
      </c>
      <c r="HW28" s="12">
        <f>ROUND(HV28*(1-AnnualMix),0)</f>
        <v/>
      </c>
      <c r="HX28" s="12">
        <f>HV28-HW28</f>
        <v/>
      </c>
      <c r="HY28" s="12">
        <f>ROUND(HW28*EssentialMix,0)</f>
        <v/>
      </c>
      <c r="HZ28" s="12">
        <f>HW28-HY28</f>
        <v/>
      </c>
      <c r="IA28" s="12">
        <f>ROUND(HX28*EssentialMix,0)</f>
        <v/>
      </c>
      <c r="IB28" s="12">
        <f>HX28-IA28</f>
        <v/>
      </c>
      <c r="IC28" s="12">
        <f>HY28+HY27+HY26+MAX(0,IC27-HY27-HY26)*(1-HR28)</f>
        <v/>
      </c>
      <c r="ID28" s="12">
        <f>HZ28+HZ27+HZ26+MAX(0,ID27-HZ27-HZ26)*(1-HR28)</f>
        <v/>
      </c>
      <c r="IE28" s="12">
        <f>IE27+IA28-IA16*(AnnualChurn*VLOOKUP(HN28,ChurnSeasonTable,4,FALSE))*POWER(1-(AnnualChurn*VLOOKUP(HN28,ChurnSeasonTable,4,FALSE)),0)</f>
        <v/>
      </c>
      <c r="IF28" s="12">
        <f>IF27+IB28-IB16*(AnnualChurn*VLOOKUP(HN28,ChurnSeasonTable,4,FALSE))*POWER(1-(AnnualChurn*VLOOKUP(HN28,ChurnSeasonTable,4,FALSE)),0)</f>
        <v/>
      </c>
      <c r="IG28" s="12">
        <f>IC28+ID28+IE28+IF28</f>
        <v/>
      </c>
      <c r="IH28" s="9">
        <f>IC28*PriceEssMonthly*HQ28+ID28*PricePremMonthly*HQ28+IE28*PriceEssAnnual*HQ28/12+IF28*PricePremAnnual*HQ28/12</f>
        <v/>
      </c>
      <c r="II28" s="9">
        <f>IH28*12</f>
        <v/>
      </c>
      <c r="IJ28" s="12">
        <f>IC28*PriceEssMonthly*HQ28+ID28*PricePremMonthly*HQ28</f>
        <v/>
      </c>
      <c r="IK28" s="12">
        <f>IA28*PriceEssAnnual*HQ28+IB28*PricePremAnnual*HQ28</f>
        <v/>
      </c>
      <c r="IL28" s="12">
        <f>IA16*POWER(1-(AnnualChurn*VLOOKUP(HN28,ChurnSeasonTable,4,FALSE)),1)*PriceEssAnnual*HQ28+IB16*POWER(1-(AnnualChurn*VLOOKUP(HN28,ChurnSeasonTable,4,FALSE)),1)*PricePremAnnual*HQ28</f>
        <v/>
      </c>
      <c r="IM28" s="9">
        <f>IJ28+IK28+IL28</f>
        <v/>
      </c>
      <c r="IN28" s="12">
        <f>SUM(IM17:IM28)</f>
        <v/>
      </c>
      <c r="IO28" s="12">
        <f>OR(IO27,IN28&gt;=VATThreshold)</f>
        <v/>
      </c>
      <c r="IP28" s="9">
        <f>IF(IO28,IM28/(1+VATRate),IM28)</f>
        <v/>
      </c>
      <c r="IQ28" s="12">
        <f>IM28-IP28</f>
        <v/>
      </c>
      <c r="IR28" s="12">
        <f>IF(IO28=0,0,IF(HN28=1,SUMPRODUCT(--(($HO$5:$HO28=$HO28-1)*($HN$5:$HN28&gt;=10)*($HN$5:$HN28&lt;=12)),$IQ$5:$IQ28),IF(HN28=4,SUMPRODUCT(--(($HO$5:$HO28=$HO28)*($HN$5:$HN28&gt;=1)*($HN$5:$HN28&lt;=3)),$IQ$5:$IQ28),IF(HN28=7,SUMPRODUCT(--(($HO$5:$HO28=$HO28)*($HN$5:$HN28&gt;=4)*($HN$5:$HN28&lt;=6)),$IQ$5:$IQ28),IF(HN28=10,SUMPRODUCT(--(($HO$5:$HO28=$HO28)*($HN$5:$HN28&gt;=7)*($HN$5:$HN28&lt;=9)),$IQ$5:$IQ28),0)))))</f>
        <v/>
      </c>
      <c r="IS28" s="12">
        <f>IS27+IQ28-IR28</f>
        <v/>
      </c>
      <c r="IT28" s="12">
        <f>IF(ProviderDelay&gt;=1,IP27*ProviderShare,IP28*ProviderShare)</f>
        <v/>
      </c>
      <c r="IU28" s="12">
        <f>IM28*PaymentFee</f>
        <v/>
      </c>
      <c r="IV28" s="12">
        <f>IG28*OpsAI</f>
        <v/>
      </c>
      <c r="IW28" s="12">
        <f>MonthlyFixed</f>
        <v/>
      </c>
      <c r="IX28" s="12">
        <f>HU28*ReferralReward</f>
        <v/>
      </c>
      <c r="IY28" s="12">
        <f>HS28</f>
        <v/>
      </c>
      <c r="IZ28" s="9">
        <f>IP28-IT28-IU28-IV28-IW28-IX28-IY28</f>
        <v/>
      </c>
      <c r="JA28" s="9">
        <f>JA27+IM28-(IT28+IU28+IV28+IW28+IX28+IY28+IR28)</f>
        <v/>
      </c>
      <c r="JB28" s="12">
        <f>IF(IG28&gt;0,IH28/IG28,0)</f>
        <v/>
      </c>
      <c r="JC28" s="11">
        <f>IF(IG27&gt;0,MAX(0,(IG27+HV28-IG28)/IG27),0)</f>
        <v/>
      </c>
      <c r="JE28" s="12" t="n">
        <v>24</v>
      </c>
      <c r="JF28" s="12">
        <f>MOD(JE28-1+LaunchMonth-1,12)+1</f>
        <v/>
      </c>
      <c r="JG28" s="12">
        <f>INT((JE28-1+LaunchMonth-1)/12)+1</f>
        <v/>
      </c>
      <c r="JH28" s="12">
        <f>VLOOKUP(JF28,SeasonTable,2,FALSE)</f>
        <v/>
      </c>
      <c r="JI28" s="12">
        <f>(1+InflationRate)^INT((JE28-1)/12)</f>
        <v/>
      </c>
      <c r="JJ28" s="11">
        <f>'Sens - Churn'!$A$16*VLOOKUP(JF28,ChurnSeasonTable,4,FALSE)</f>
        <v/>
      </c>
      <c r="JK28" s="12">
        <f>MIN(MAX(MktMin19plus,KE27*MktPct19plus),MAX(0,KS27-CashBuffer))</f>
        <v/>
      </c>
      <c r="JL28" s="12">
        <f>IF(JK28&gt;0,MAX(1,ROUND(JK28/CAC*JH28,0)),0)</f>
        <v/>
      </c>
      <c r="JM28" s="12">
        <f>IF(JL28&gt;0,ROUND(JL28*ReferralMix/(1-ReferralMix),0),0)</f>
        <v/>
      </c>
      <c r="JN28" s="12">
        <f>JL28+JM28</f>
        <v/>
      </c>
      <c r="JO28" s="12">
        <f>ROUND(JN28*(1-AnnualMix),0)</f>
        <v/>
      </c>
      <c r="JP28" s="12">
        <f>JN28-JO28</f>
        <v/>
      </c>
      <c r="JQ28" s="12">
        <f>ROUND(JO28*EssentialMix,0)</f>
        <v/>
      </c>
      <c r="JR28" s="12">
        <f>JO28-JQ28</f>
        <v/>
      </c>
      <c r="JS28" s="12">
        <f>ROUND(JP28*EssentialMix,0)</f>
        <v/>
      </c>
      <c r="JT28" s="12">
        <f>JP28-JS28</f>
        <v/>
      </c>
      <c r="JU28" s="12">
        <f>JQ28+JQ27+JQ26+MAX(0,JU27-JQ27-JQ26)*(1-JJ28)</f>
        <v/>
      </c>
      <c r="JV28" s="12">
        <f>JR28+JR27+JR26+MAX(0,JV27-JR27-JR26)*(1-JJ28)</f>
        <v/>
      </c>
      <c r="JW28" s="12">
        <f>JW27+JS28-JS16*(AnnualChurn*VLOOKUP(JF28,ChurnSeasonTable,4,FALSE))*POWER(1-(AnnualChurn*VLOOKUP(JF28,ChurnSeasonTable,4,FALSE)),0)</f>
        <v/>
      </c>
      <c r="JX28" s="12">
        <f>JX27+JT28-JT16*(AnnualChurn*VLOOKUP(JF28,ChurnSeasonTable,4,FALSE))*POWER(1-(AnnualChurn*VLOOKUP(JF28,ChurnSeasonTable,4,FALSE)),0)</f>
        <v/>
      </c>
      <c r="JY28" s="12">
        <f>JU28+JV28+JW28+JX28</f>
        <v/>
      </c>
      <c r="JZ28" s="9">
        <f>JU28*PriceEssMonthly*JI28+JV28*PricePremMonthly*JI28+JW28*PriceEssAnnual*JI28/12+JX28*PricePremAnnual*JI28/12</f>
        <v/>
      </c>
      <c r="KA28" s="9">
        <f>JZ28*12</f>
        <v/>
      </c>
      <c r="KB28" s="12">
        <f>JU28*PriceEssMonthly*JI28+JV28*PricePremMonthly*JI28</f>
        <v/>
      </c>
      <c r="KC28" s="12">
        <f>JS28*PriceEssAnnual*JI28+JT28*PricePremAnnual*JI28</f>
        <v/>
      </c>
      <c r="KD28" s="12">
        <f>JS16*POWER(1-(AnnualChurn*VLOOKUP(JF28,ChurnSeasonTable,4,FALSE)),1)*PriceEssAnnual*JI28+JT16*POWER(1-(AnnualChurn*VLOOKUP(JF28,ChurnSeasonTable,4,FALSE)),1)*PricePremAnnual*JI28</f>
        <v/>
      </c>
      <c r="KE28" s="9">
        <f>KB28+KC28+KD28</f>
        <v/>
      </c>
      <c r="KF28" s="12">
        <f>SUM(KE17:KE28)</f>
        <v/>
      </c>
      <c r="KG28" s="12">
        <f>OR(KG27,KF28&gt;=VATThreshold)</f>
        <v/>
      </c>
      <c r="KH28" s="9">
        <f>IF(KG28,KE28/(1+VATRate),KE28)</f>
        <v/>
      </c>
      <c r="KI28" s="12">
        <f>KE28-KH28</f>
        <v/>
      </c>
      <c r="KJ28" s="12">
        <f>IF(KG28=0,0,IF(JF28=1,SUMPRODUCT(--(($JG$5:$JG28=$JG28-1)*($JF$5:$JF28&gt;=10)*($JF$5:$JF28&lt;=12)),$KI$5:$KI28),IF(JF28=4,SUMPRODUCT(--(($JG$5:$JG28=$JG28)*($JF$5:$JF28&gt;=1)*($JF$5:$JF28&lt;=3)),$KI$5:$KI28),IF(JF28=7,SUMPRODUCT(--(($JG$5:$JG28=$JG28)*($JF$5:$JF28&gt;=4)*($JF$5:$JF28&lt;=6)),$KI$5:$KI28),IF(JF28=10,SUMPRODUCT(--(($JG$5:$JG28=$JG28)*($JF$5:$JF28&gt;=7)*($JF$5:$JF28&lt;=9)),$KI$5:$KI28),0)))))</f>
        <v/>
      </c>
      <c r="KK28" s="12">
        <f>KK27+KI28-KJ28</f>
        <v/>
      </c>
      <c r="KL28" s="12">
        <f>IF(ProviderDelay&gt;=1,KH27*ProviderShare,KH28*ProviderShare)</f>
        <v/>
      </c>
      <c r="KM28" s="12">
        <f>KE28*PaymentFee</f>
        <v/>
      </c>
      <c r="KN28" s="12">
        <f>JY28*OpsAI</f>
        <v/>
      </c>
      <c r="KO28" s="12">
        <f>MonthlyFixed</f>
        <v/>
      </c>
      <c r="KP28" s="12">
        <f>JM28*ReferralReward</f>
        <v/>
      </c>
      <c r="KQ28" s="12">
        <f>JK28</f>
        <v/>
      </c>
      <c r="KR28" s="9">
        <f>KH28-KL28-KM28-KN28-KO28-KP28-KQ28</f>
        <v/>
      </c>
      <c r="KS28" s="9">
        <f>KS27+KE28-(KL28+KM28+KN28+KO28+KP28+KQ28+KJ28)</f>
        <v/>
      </c>
      <c r="KT28" s="12">
        <f>IF(JY28&gt;0,JZ28/JY28,0)</f>
        <v/>
      </c>
      <c r="KU28" s="11">
        <f>IF(JY27&gt;0,MAX(0,(JY27+JN28-JY28)/JY27),0)</f>
        <v/>
      </c>
      <c r="KW28" s="12" t="n">
        <v>24</v>
      </c>
      <c r="KX28" s="12">
        <f>MOD(KW28-1+LaunchMonth-1,12)+1</f>
        <v/>
      </c>
      <c r="KY28" s="12">
        <f>INT((KW28-1+LaunchMonth-1)/12)+1</f>
        <v/>
      </c>
      <c r="KZ28" s="12">
        <f>VLOOKUP(KX28,SeasonTable,2,FALSE)</f>
        <v/>
      </c>
      <c r="LA28" s="12">
        <f>(1+InflationRate)^INT((KW28-1)/12)</f>
        <v/>
      </c>
      <c r="LB28" s="11">
        <f>'Sens - Churn'!$A$17*VLOOKUP(KX28,ChurnSeasonTable,4,FALSE)</f>
        <v/>
      </c>
      <c r="LC28" s="12">
        <f>MIN(MAX(MktMin19plus,LW27*MktPct19plus),MAX(0,MK27-CashBuffer))</f>
        <v/>
      </c>
      <c r="LD28" s="12">
        <f>IF(LC28&gt;0,MAX(1,ROUND(LC28/CAC*KZ28,0)),0)</f>
        <v/>
      </c>
      <c r="LE28" s="12">
        <f>IF(LD28&gt;0,ROUND(LD28*ReferralMix/(1-ReferralMix),0),0)</f>
        <v/>
      </c>
      <c r="LF28" s="12">
        <f>LD28+LE28</f>
        <v/>
      </c>
      <c r="LG28" s="12">
        <f>ROUND(LF28*(1-AnnualMix),0)</f>
        <v/>
      </c>
      <c r="LH28" s="12">
        <f>LF28-LG28</f>
        <v/>
      </c>
      <c r="LI28" s="12">
        <f>ROUND(LG28*EssentialMix,0)</f>
        <v/>
      </c>
      <c r="LJ28" s="12">
        <f>LG28-LI28</f>
        <v/>
      </c>
      <c r="LK28" s="12">
        <f>ROUND(LH28*EssentialMix,0)</f>
        <v/>
      </c>
      <c r="LL28" s="12">
        <f>LH28-LK28</f>
        <v/>
      </c>
      <c r="LM28" s="12">
        <f>LI28+LI27+LI26+MAX(0,LM27-LI27-LI26)*(1-LB28)</f>
        <v/>
      </c>
      <c r="LN28" s="12">
        <f>LJ28+LJ27+LJ26+MAX(0,LN27-LJ27-LJ26)*(1-LB28)</f>
        <v/>
      </c>
      <c r="LO28" s="12">
        <f>LO27+LK28-LK16*(AnnualChurn*VLOOKUP(KX28,ChurnSeasonTable,4,FALSE))*POWER(1-(AnnualChurn*VLOOKUP(KX28,ChurnSeasonTable,4,FALSE)),0)</f>
        <v/>
      </c>
      <c r="LP28" s="12">
        <f>LP27+LL28-LL16*(AnnualChurn*VLOOKUP(KX28,ChurnSeasonTable,4,FALSE))*POWER(1-(AnnualChurn*VLOOKUP(KX28,ChurnSeasonTable,4,FALSE)),0)</f>
        <v/>
      </c>
      <c r="LQ28" s="12">
        <f>LM28+LN28+LO28+LP28</f>
        <v/>
      </c>
      <c r="LR28" s="9">
        <f>LM28*PriceEssMonthly*LA28+LN28*PricePremMonthly*LA28+LO28*PriceEssAnnual*LA28/12+LP28*PricePremAnnual*LA28/12</f>
        <v/>
      </c>
      <c r="LS28" s="9">
        <f>LR28*12</f>
        <v/>
      </c>
      <c r="LT28" s="12">
        <f>LM28*PriceEssMonthly*LA28+LN28*PricePremMonthly*LA28</f>
        <v/>
      </c>
      <c r="LU28" s="12">
        <f>LK28*PriceEssAnnual*LA28+LL28*PricePremAnnual*LA28</f>
        <v/>
      </c>
      <c r="LV28" s="12">
        <f>LK16*POWER(1-(AnnualChurn*VLOOKUP(KX28,ChurnSeasonTable,4,FALSE)),1)*PriceEssAnnual*LA28+LL16*POWER(1-(AnnualChurn*VLOOKUP(KX28,ChurnSeasonTable,4,FALSE)),1)*PricePremAnnual*LA28</f>
        <v/>
      </c>
      <c r="LW28" s="9">
        <f>LT28+LU28+LV28</f>
        <v/>
      </c>
      <c r="LX28" s="12">
        <f>SUM(LW17:LW28)</f>
        <v/>
      </c>
      <c r="LY28" s="12">
        <f>OR(LY27,LX28&gt;=VATThreshold)</f>
        <v/>
      </c>
      <c r="LZ28" s="9">
        <f>IF(LY28,LW28/(1+VATRate),LW28)</f>
        <v/>
      </c>
      <c r="MA28" s="12">
        <f>LW28-LZ28</f>
        <v/>
      </c>
      <c r="MB28" s="12">
        <f>IF(LY28=0,0,IF(KX28=1,SUMPRODUCT(--(($KY$5:$KY28=$KY28-1)*($KX$5:$KX28&gt;=10)*($KX$5:$KX28&lt;=12)),$MA$5:$MA28),IF(KX28=4,SUMPRODUCT(--(($KY$5:$KY28=$KY28)*($KX$5:$KX28&gt;=1)*($KX$5:$KX28&lt;=3)),$MA$5:$MA28),IF(KX28=7,SUMPRODUCT(--(($KY$5:$KY28=$KY28)*($KX$5:$KX28&gt;=4)*($KX$5:$KX28&lt;=6)),$MA$5:$MA28),IF(KX28=10,SUMPRODUCT(--(($KY$5:$KY28=$KY28)*($KX$5:$KX28&gt;=7)*($KX$5:$KX28&lt;=9)),$MA$5:$MA28),0)))))</f>
        <v/>
      </c>
      <c r="MC28" s="12">
        <f>MC27+MA28-MB28</f>
        <v/>
      </c>
      <c r="MD28" s="12">
        <f>IF(ProviderDelay&gt;=1,LZ27*ProviderShare,LZ28*ProviderShare)</f>
        <v/>
      </c>
      <c r="ME28" s="12">
        <f>LW28*PaymentFee</f>
        <v/>
      </c>
      <c r="MF28" s="12">
        <f>LQ28*OpsAI</f>
        <v/>
      </c>
      <c r="MG28" s="12">
        <f>MonthlyFixed</f>
        <v/>
      </c>
      <c r="MH28" s="12">
        <f>LE28*ReferralReward</f>
        <v/>
      </c>
      <c r="MI28" s="12">
        <f>LC28</f>
        <v/>
      </c>
      <c r="MJ28" s="9">
        <f>LZ28-MD28-ME28-MF28-MG28-MH28-MI28</f>
        <v/>
      </c>
      <c r="MK28" s="9">
        <f>MK27+LW28-(MD28+ME28+MF28+MG28+MH28+MI28+MB28)</f>
        <v/>
      </c>
      <c r="ML28" s="12">
        <f>IF(LQ28&gt;0,LR28/LQ28,0)</f>
        <v/>
      </c>
      <c r="MM28" s="11">
        <f>IF(LQ27&gt;0,MAX(0,(LQ27+LF28-LQ28)/LQ27),0)</f>
        <v/>
      </c>
      <c r="MO28" s="12" t="n">
        <v>24</v>
      </c>
      <c r="MP28" s="12">
        <f>MOD(MO28-1+LaunchMonth-1,12)+1</f>
        <v/>
      </c>
      <c r="MQ28" s="12">
        <f>INT((MO28-1+LaunchMonth-1)/12)+1</f>
        <v/>
      </c>
      <c r="MR28" s="12">
        <f>VLOOKUP(MP28,SeasonTable,2,FALSE)</f>
        <v/>
      </c>
      <c r="MS28" s="12">
        <f>(1+InflationRate)^INT((MO28-1)/12)</f>
        <v/>
      </c>
      <c r="MT28" s="11">
        <f>'Sens - Churn'!$A$18*VLOOKUP(MP28,ChurnSeasonTable,4,FALSE)</f>
        <v/>
      </c>
      <c r="MU28" s="12">
        <f>MIN(MAX(MktMin19plus,NO27*MktPct19plus),MAX(0,OC27-CashBuffer))</f>
        <v/>
      </c>
      <c r="MV28" s="12">
        <f>IF(MU28&gt;0,MAX(1,ROUND(MU28/CAC*MR28,0)),0)</f>
        <v/>
      </c>
      <c r="MW28" s="12">
        <f>IF(MV28&gt;0,ROUND(MV28*ReferralMix/(1-ReferralMix),0),0)</f>
        <v/>
      </c>
      <c r="MX28" s="12">
        <f>MV28+MW28</f>
        <v/>
      </c>
      <c r="MY28" s="12">
        <f>ROUND(MX28*(1-AnnualMix),0)</f>
        <v/>
      </c>
      <c r="MZ28" s="12">
        <f>MX28-MY28</f>
        <v/>
      </c>
      <c r="NA28" s="12">
        <f>ROUND(MY28*EssentialMix,0)</f>
        <v/>
      </c>
      <c r="NB28" s="12">
        <f>MY28-NA28</f>
        <v/>
      </c>
      <c r="NC28" s="12">
        <f>ROUND(MZ28*EssentialMix,0)</f>
        <v/>
      </c>
      <c r="ND28" s="12">
        <f>MZ28-NC28</f>
        <v/>
      </c>
      <c r="NE28" s="12">
        <f>NA28+NA27+NA26+MAX(0,NE27-NA27-NA26)*(1-MT28)</f>
        <v/>
      </c>
      <c r="NF28" s="12">
        <f>NB28+NB27+NB26+MAX(0,NF27-NB27-NB26)*(1-MT28)</f>
        <v/>
      </c>
      <c r="NG28" s="12">
        <f>NG27+NC28-NC16*(AnnualChurn*VLOOKUP(MP28,ChurnSeasonTable,4,FALSE))*POWER(1-(AnnualChurn*VLOOKUP(MP28,ChurnSeasonTable,4,FALSE)),0)</f>
        <v/>
      </c>
      <c r="NH28" s="12">
        <f>NH27+ND28-ND16*(AnnualChurn*VLOOKUP(MP28,ChurnSeasonTable,4,FALSE))*POWER(1-(AnnualChurn*VLOOKUP(MP28,ChurnSeasonTable,4,FALSE)),0)</f>
        <v/>
      </c>
      <c r="NI28" s="12">
        <f>NE28+NF28+NG28+NH28</f>
        <v/>
      </c>
      <c r="NJ28" s="9">
        <f>NE28*PriceEssMonthly*MS28+NF28*PricePremMonthly*MS28+NG28*PriceEssAnnual*MS28/12+NH28*PricePremAnnual*MS28/12</f>
        <v/>
      </c>
      <c r="NK28" s="9">
        <f>NJ28*12</f>
        <v/>
      </c>
      <c r="NL28" s="12">
        <f>NE28*PriceEssMonthly*MS28+NF28*PricePremMonthly*MS28</f>
        <v/>
      </c>
      <c r="NM28" s="12">
        <f>NC28*PriceEssAnnual*MS28+ND28*PricePremAnnual*MS28</f>
        <v/>
      </c>
      <c r="NN28" s="12">
        <f>NC16*POWER(1-(AnnualChurn*VLOOKUP(MP28,ChurnSeasonTable,4,FALSE)),1)*PriceEssAnnual*MS28+ND16*POWER(1-(AnnualChurn*VLOOKUP(MP28,ChurnSeasonTable,4,FALSE)),1)*PricePremAnnual*MS28</f>
        <v/>
      </c>
      <c r="NO28" s="9">
        <f>NL28+NM28+NN28</f>
        <v/>
      </c>
      <c r="NP28" s="12">
        <f>SUM(NO17:NO28)</f>
        <v/>
      </c>
      <c r="NQ28" s="12">
        <f>OR(NQ27,NP28&gt;=VATThreshold)</f>
        <v/>
      </c>
      <c r="NR28" s="9">
        <f>IF(NQ28,NO28/(1+VATRate),NO28)</f>
        <v/>
      </c>
      <c r="NS28" s="12">
        <f>NO28-NR28</f>
        <v/>
      </c>
      <c r="NT28" s="12">
        <f>IF(NQ28=0,0,IF(MP28=1,SUMPRODUCT(--(($MQ$5:$MQ28=$MQ28-1)*($MP$5:$MP28&gt;=10)*($MP$5:$MP28&lt;=12)),$NS$5:$NS28),IF(MP28=4,SUMPRODUCT(--(($MQ$5:$MQ28=$MQ28)*($MP$5:$MP28&gt;=1)*($MP$5:$MP28&lt;=3)),$NS$5:$NS28),IF(MP28=7,SUMPRODUCT(--(($MQ$5:$MQ28=$MQ28)*($MP$5:$MP28&gt;=4)*($MP$5:$MP28&lt;=6)),$NS$5:$NS28),IF(MP28=10,SUMPRODUCT(--(($MQ$5:$MQ28=$MQ28)*($MP$5:$MP28&gt;=7)*($MP$5:$MP28&lt;=9)),$NS$5:$NS28),0)))))</f>
        <v/>
      </c>
      <c r="NU28" s="12">
        <f>NU27+NS28-NT28</f>
        <v/>
      </c>
      <c r="NV28" s="12">
        <f>IF(ProviderDelay&gt;=1,NR27*ProviderShare,NR28*ProviderShare)</f>
        <v/>
      </c>
      <c r="NW28" s="12">
        <f>NO28*PaymentFee</f>
        <v/>
      </c>
      <c r="NX28" s="12">
        <f>NI28*OpsAI</f>
        <v/>
      </c>
      <c r="NY28" s="12">
        <f>MonthlyFixed</f>
        <v/>
      </c>
      <c r="NZ28" s="12">
        <f>MW28*ReferralReward</f>
        <v/>
      </c>
      <c r="OA28" s="12">
        <f>MU28</f>
        <v/>
      </c>
      <c r="OB28" s="9">
        <f>NR28-NV28-NW28-NX28-NY28-NZ28-OA28</f>
        <v/>
      </c>
      <c r="OC28" s="9">
        <f>OC27+NO28-(NV28+NW28+NX28+NY28+NZ28+OA28+NT28)</f>
        <v/>
      </c>
      <c r="OD28" s="12">
        <f>IF(NI28&gt;0,NJ28/NI28,0)</f>
        <v/>
      </c>
      <c r="OE28" s="11">
        <f>IF(NI27&gt;0,MAX(0,(NI27+MX28-NI28)/NI27),0)</f>
        <v/>
      </c>
      <c r="OG28" s="12" t="n">
        <v>24</v>
      </c>
      <c r="OH28" s="12">
        <f>MOD(OG28-1+LaunchMonth-1,12)+1</f>
        <v/>
      </c>
      <c r="OI28" s="12">
        <f>INT((OG28-1+LaunchMonth-1)/12)+1</f>
        <v/>
      </c>
      <c r="OJ28" s="12">
        <f>VLOOKUP(OH28,SeasonTable,2,FALSE)</f>
        <v/>
      </c>
      <c r="OK28" s="12">
        <f>(1+InflationRate)^INT((OG28-1)/12)</f>
        <v/>
      </c>
      <c r="OL28" s="11">
        <f>'Sens - Churn'!$A$19*VLOOKUP(OH28,ChurnSeasonTable,4,FALSE)</f>
        <v/>
      </c>
      <c r="OM28" s="12">
        <f>MIN(MAX(MktMin19plus,PG27*MktPct19plus),MAX(0,PU27-CashBuffer))</f>
        <v/>
      </c>
      <c r="ON28" s="12">
        <f>IF(OM28&gt;0,MAX(1,ROUND(OM28/CAC*OJ28,0)),0)</f>
        <v/>
      </c>
      <c r="OO28" s="12">
        <f>IF(ON28&gt;0,ROUND(ON28*ReferralMix/(1-ReferralMix),0),0)</f>
        <v/>
      </c>
      <c r="OP28" s="12">
        <f>ON28+OO28</f>
        <v/>
      </c>
      <c r="OQ28" s="12">
        <f>ROUND(OP28*(1-AnnualMix),0)</f>
        <v/>
      </c>
      <c r="OR28" s="12">
        <f>OP28-OQ28</f>
        <v/>
      </c>
      <c r="OS28" s="12">
        <f>ROUND(OQ28*EssentialMix,0)</f>
        <v/>
      </c>
      <c r="OT28" s="12">
        <f>OQ28-OS28</f>
        <v/>
      </c>
      <c r="OU28" s="12">
        <f>ROUND(OR28*EssentialMix,0)</f>
        <v/>
      </c>
      <c r="OV28" s="12">
        <f>OR28-OU28</f>
        <v/>
      </c>
      <c r="OW28" s="12">
        <f>OS28+OS27+OS26+MAX(0,OW27-OS27-OS26)*(1-OL28)</f>
        <v/>
      </c>
      <c r="OX28" s="12">
        <f>OT28+OT27+OT26+MAX(0,OX27-OT27-OT26)*(1-OL28)</f>
        <v/>
      </c>
      <c r="OY28" s="12">
        <f>OY27+OU28-OU16*(AnnualChurn*VLOOKUP(OH28,ChurnSeasonTable,4,FALSE))*POWER(1-(AnnualChurn*VLOOKUP(OH28,ChurnSeasonTable,4,FALSE)),0)</f>
        <v/>
      </c>
      <c r="OZ28" s="12">
        <f>OZ27+OV28-OV16*(AnnualChurn*VLOOKUP(OH28,ChurnSeasonTable,4,FALSE))*POWER(1-(AnnualChurn*VLOOKUP(OH28,ChurnSeasonTable,4,FALSE)),0)</f>
        <v/>
      </c>
      <c r="PA28" s="12">
        <f>OW28+OX28+OY28+OZ28</f>
        <v/>
      </c>
      <c r="PB28" s="9">
        <f>OW28*PriceEssMonthly*OK28+OX28*PricePremMonthly*OK28+OY28*PriceEssAnnual*OK28/12+OZ28*PricePremAnnual*OK28/12</f>
        <v/>
      </c>
      <c r="PC28" s="9">
        <f>PB28*12</f>
        <v/>
      </c>
      <c r="PD28" s="12">
        <f>OW28*PriceEssMonthly*OK28+OX28*PricePremMonthly*OK28</f>
        <v/>
      </c>
      <c r="PE28" s="12">
        <f>OU28*PriceEssAnnual*OK28+OV28*PricePremAnnual*OK28</f>
        <v/>
      </c>
      <c r="PF28" s="12">
        <f>OU16*POWER(1-(AnnualChurn*VLOOKUP(OH28,ChurnSeasonTable,4,FALSE)),1)*PriceEssAnnual*OK28+OV16*POWER(1-(AnnualChurn*VLOOKUP(OH28,ChurnSeasonTable,4,FALSE)),1)*PricePremAnnual*OK28</f>
        <v/>
      </c>
      <c r="PG28" s="9">
        <f>PD28+PE28+PF28</f>
        <v/>
      </c>
      <c r="PH28" s="12">
        <f>SUM(PG17:PG28)</f>
        <v/>
      </c>
      <c r="PI28" s="12">
        <f>OR(PI27,PH28&gt;=VATThreshold)</f>
        <v/>
      </c>
      <c r="PJ28" s="9">
        <f>IF(PI28,PG28/(1+VATRate),PG28)</f>
        <v/>
      </c>
      <c r="PK28" s="12">
        <f>PG28-PJ28</f>
        <v/>
      </c>
      <c r="PL28" s="12">
        <f>IF(PI28=0,0,IF(OH28=1,SUMPRODUCT(--(($OI$5:$OI28=$OI28-1)*($OH$5:$OH28&gt;=10)*($OH$5:$OH28&lt;=12)),$PK$5:$PK28),IF(OH28=4,SUMPRODUCT(--(($OI$5:$OI28=$OI28)*($OH$5:$OH28&gt;=1)*($OH$5:$OH28&lt;=3)),$PK$5:$PK28),IF(OH28=7,SUMPRODUCT(--(($OI$5:$OI28=$OI28)*($OH$5:$OH28&gt;=4)*($OH$5:$OH28&lt;=6)),$PK$5:$PK28),IF(OH28=10,SUMPRODUCT(--(($OI$5:$OI28=$OI28)*($OH$5:$OH28&gt;=7)*($OH$5:$OH28&lt;=9)),$PK$5:$PK28),0)))))</f>
        <v/>
      </c>
      <c r="PM28" s="12">
        <f>PM27+PK28-PL28</f>
        <v/>
      </c>
      <c r="PN28" s="12">
        <f>IF(ProviderDelay&gt;=1,PJ27*ProviderShare,PJ28*ProviderShare)</f>
        <v/>
      </c>
      <c r="PO28" s="12">
        <f>PG28*PaymentFee</f>
        <v/>
      </c>
      <c r="PP28" s="12">
        <f>PA28*OpsAI</f>
        <v/>
      </c>
      <c r="PQ28" s="12">
        <f>MonthlyFixed</f>
        <v/>
      </c>
      <c r="PR28" s="12">
        <f>OO28*ReferralReward</f>
        <v/>
      </c>
      <c r="PS28" s="12">
        <f>OM28</f>
        <v/>
      </c>
      <c r="PT28" s="9">
        <f>PJ28-PN28-PO28-PP28-PQ28-PR28-PS28</f>
        <v/>
      </c>
      <c r="PU28" s="9">
        <f>PU27+PG28-(PN28+PO28+PP28+PQ28+PR28+PS28+PL28)</f>
        <v/>
      </c>
      <c r="PV28" s="12">
        <f>IF(PA28&gt;0,PB28/PA28,0)</f>
        <v/>
      </c>
      <c r="PW28" s="11">
        <f>IF(PA27&gt;0,MAX(0,(PA27+OP28-PA28)/PA27),0)</f>
        <v/>
      </c>
      <c r="PY28" s="12" t="n">
        <v>24</v>
      </c>
      <c r="PZ28" s="12">
        <f>MOD(PY28-1+LaunchMonth-1,12)+1</f>
        <v/>
      </c>
      <c r="QA28" s="12">
        <f>INT((PY28-1+LaunchMonth-1)/12)+1</f>
        <v/>
      </c>
      <c r="QB28" s="12">
        <f>VLOOKUP(PZ28,SeasonTable,2,FALSE)</f>
        <v/>
      </c>
      <c r="QC28" s="12">
        <f>(1+InflationRate)^INT((PY28-1)/12)</f>
        <v/>
      </c>
      <c r="QD28" s="11">
        <f>'Sens - Churn'!$A$20*VLOOKUP(PZ28,ChurnSeasonTable,4,FALSE)</f>
        <v/>
      </c>
      <c r="QE28" s="12">
        <f>MIN(MAX(MktMin19plus,QY27*MktPct19plus),MAX(0,RM27-CashBuffer))</f>
        <v/>
      </c>
      <c r="QF28" s="12">
        <f>IF(QE28&gt;0,MAX(1,ROUND(QE28/CAC*QB28,0)),0)</f>
        <v/>
      </c>
      <c r="QG28" s="12">
        <f>IF(QF28&gt;0,ROUND(QF28*ReferralMix/(1-ReferralMix),0),0)</f>
        <v/>
      </c>
      <c r="QH28" s="12">
        <f>QF28+QG28</f>
        <v/>
      </c>
      <c r="QI28" s="12">
        <f>ROUND(QH28*(1-AnnualMix),0)</f>
        <v/>
      </c>
      <c r="QJ28" s="12">
        <f>QH28-QI28</f>
        <v/>
      </c>
      <c r="QK28" s="12">
        <f>ROUND(QI28*EssentialMix,0)</f>
        <v/>
      </c>
      <c r="QL28" s="12">
        <f>QI28-QK28</f>
        <v/>
      </c>
      <c r="QM28" s="12">
        <f>ROUND(QJ28*EssentialMix,0)</f>
        <v/>
      </c>
      <c r="QN28" s="12">
        <f>QJ28-QM28</f>
        <v/>
      </c>
      <c r="QO28" s="12">
        <f>QK28+QK27+QK26+MAX(0,QO27-QK27-QK26)*(1-QD28)</f>
        <v/>
      </c>
      <c r="QP28" s="12">
        <f>QL28+QL27+QL26+MAX(0,QP27-QL27-QL26)*(1-QD28)</f>
        <v/>
      </c>
      <c r="QQ28" s="12">
        <f>QQ27+QM28-QM16*(AnnualChurn*VLOOKUP(PZ28,ChurnSeasonTable,4,FALSE))*POWER(1-(AnnualChurn*VLOOKUP(PZ28,ChurnSeasonTable,4,FALSE)),0)</f>
        <v/>
      </c>
      <c r="QR28" s="12">
        <f>QR27+QN28-QN16*(AnnualChurn*VLOOKUP(PZ28,ChurnSeasonTable,4,FALSE))*POWER(1-(AnnualChurn*VLOOKUP(PZ28,ChurnSeasonTable,4,FALSE)),0)</f>
        <v/>
      </c>
      <c r="QS28" s="12">
        <f>QO28+QP28+QQ28+QR28</f>
        <v/>
      </c>
      <c r="QT28" s="9">
        <f>QO28*PriceEssMonthly*QC28+QP28*PricePremMonthly*QC28+QQ28*PriceEssAnnual*QC28/12+QR28*PricePremAnnual*QC28/12</f>
        <v/>
      </c>
      <c r="QU28" s="9">
        <f>QT28*12</f>
        <v/>
      </c>
      <c r="QV28" s="12">
        <f>QO28*PriceEssMonthly*QC28+QP28*PricePremMonthly*QC28</f>
        <v/>
      </c>
      <c r="QW28" s="12">
        <f>QM28*PriceEssAnnual*QC28+QN28*PricePremAnnual*QC28</f>
        <v/>
      </c>
      <c r="QX28" s="12">
        <f>QM16*POWER(1-(AnnualChurn*VLOOKUP(PZ28,ChurnSeasonTable,4,FALSE)),1)*PriceEssAnnual*QC28+QN16*POWER(1-(AnnualChurn*VLOOKUP(PZ28,ChurnSeasonTable,4,FALSE)),1)*PricePremAnnual*QC28</f>
        <v/>
      </c>
      <c r="QY28" s="9">
        <f>QV28+QW28+QX28</f>
        <v/>
      </c>
      <c r="QZ28" s="12">
        <f>SUM(QY17:QY28)</f>
        <v/>
      </c>
      <c r="RA28" s="12">
        <f>OR(RA27,QZ28&gt;=VATThreshold)</f>
        <v/>
      </c>
      <c r="RB28" s="9">
        <f>IF(RA28,QY28/(1+VATRate),QY28)</f>
        <v/>
      </c>
      <c r="RC28" s="12">
        <f>QY28-RB28</f>
        <v/>
      </c>
      <c r="RD28" s="12">
        <f>IF(RA28=0,0,IF(PZ28=1,SUMPRODUCT(--(($QA$5:$QA28=$QA28-1)*($PZ$5:$PZ28&gt;=10)*($PZ$5:$PZ28&lt;=12)),$RC$5:$RC28),IF(PZ28=4,SUMPRODUCT(--(($QA$5:$QA28=$QA28)*($PZ$5:$PZ28&gt;=1)*($PZ$5:$PZ28&lt;=3)),$RC$5:$RC28),IF(PZ28=7,SUMPRODUCT(--(($QA$5:$QA28=$QA28)*($PZ$5:$PZ28&gt;=4)*($PZ$5:$PZ28&lt;=6)),$RC$5:$RC28),IF(PZ28=10,SUMPRODUCT(--(($QA$5:$QA28=$QA28)*($PZ$5:$PZ28&gt;=7)*($PZ$5:$PZ28&lt;=9)),$RC$5:$RC28),0)))))</f>
        <v/>
      </c>
      <c r="RE28" s="12">
        <f>RE27+RC28-RD28</f>
        <v/>
      </c>
      <c r="RF28" s="12">
        <f>IF(ProviderDelay&gt;=1,RB27*ProviderShare,RB28*ProviderShare)</f>
        <v/>
      </c>
      <c r="RG28" s="12">
        <f>QY28*PaymentFee</f>
        <v/>
      </c>
      <c r="RH28" s="12">
        <f>QS28*OpsAI</f>
        <v/>
      </c>
      <c r="RI28" s="12">
        <f>MonthlyFixed</f>
        <v/>
      </c>
      <c r="RJ28" s="12">
        <f>QG28*ReferralReward</f>
        <v/>
      </c>
      <c r="RK28" s="12">
        <f>QE28</f>
        <v/>
      </c>
      <c r="RL28" s="9">
        <f>RB28-RF28-RG28-RH28-RI28-RJ28-RK28</f>
        <v/>
      </c>
      <c r="RM28" s="9">
        <f>RM27+QY28-(RF28+RG28+RH28+RI28+RJ28+RK28+RD28)</f>
        <v/>
      </c>
      <c r="RN28" s="12">
        <f>IF(QS28&gt;0,QT28/QS28,0)</f>
        <v/>
      </c>
      <c r="RO28" s="11">
        <f>IF(QS27&gt;0,MAX(0,(QS27+QH28-QS28)/QS27),0)</f>
        <v/>
      </c>
      <c r="RQ28" s="12" t="n">
        <v>24</v>
      </c>
      <c r="RR28" s="12">
        <f>MOD(RQ28-1+LaunchMonth-1,12)+1</f>
        <v/>
      </c>
      <c r="RS28" s="12">
        <f>INT((RQ28-1+LaunchMonth-1)/12)+1</f>
        <v/>
      </c>
      <c r="RT28" s="12">
        <f>VLOOKUP(RR28,SeasonTable,2,FALSE)</f>
        <v/>
      </c>
      <c r="RU28" s="12">
        <f>(1+InflationRate)^INT((RQ28-1)/12)</f>
        <v/>
      </c>
      <c r="RV28" s="11">
        <f>'Sens - Churn'!$A$21*VLOOKUP(RR28,ChurnSeasonTable,4,FALSE)</f>
        <v/>
      </c>
      <c r="RW28" s="12">
        <f>MIN(MAX(MktMin19plus,SQ27*MktPct19plus),MAX(0,TE27-CashBuffer))</f>
        <v/>
      </c>
      <c r="RX28" s="12">
        <f>IF(RW28&gt;0,MAX(1,ROUND(RW28/CAC*RT28,0)),0)</f>
        <v/>
      </c>
      <c r="RY28" s="12">
        <f>IF(RX28&gt;0,ROUND(RX28*ReferralMix/(1-ReferralMix),0),0)</f>
        <v/>
      </c>
      <c r="RZ28" s="12">
        <f>RX28+RY28</f>
        <v/>
      </c>
      <c r="SA28" s="12">
        <f>ROUND(RZ28*(1-AnnualMix),0)</f>
        <v/>
      </c>
      <c r="SB28" s="12">
        <f>RZ28-SA28</f>
        <v/>
      </c>
      <c r="SC28" s="12">
        <f>ROUND(SA28*EssentialMix,0)</f>
        <v/>
      </c>
      <c r="SD28" s="12">
        <f>SA28-SC28</f>
        <v/>
      </c>
      <c r="SE28" s="12">
        <f>ROUND(SB28*EssentialMix,0)</f>
        <v/>
      </c>
      <c r="SF28" s="12">
        <f>SB28-SE28</f>
        <v/>
      </c>
      <c r="SG28" s="12">
        <f>SC28+SC27+SC26+MAX(0,SG27-SC27-SC26)*(1-RV28)</f>
        <v/>
      </c>
      <c r="SH28" s="12">
        <f>SD28+SD27+SD26+MAX(0,SH27-SD27-SD26)*(1-RV28)</f>
        <v/>
      </c>
      <c r="SI28" s="12">
        <f>SI27+SE28-SE16*(AnnualChurn*VLOOKUP(RR28,ChurnSeasonTable,4,FALSE))*POWER(1-(AnnualChurn*VLOOKUP(RR28,ChurnSeasonTable,4,FALSE)),0)</f>
        <v/>
      </c>
      <c r="SJ28" s="12">
        <f>SJ27+SF28-SF16*(AnnualChurn*VLOOKUP(RR28,ChurnSeasonTable,4,FALSE))*POWER(1-(AnnualChurn*VLOOKUP(RR28,ChurnSeasonTable,4,FALSE)),0)</f>
        <v/>
      </c>
      <c r="SK28" s="12">
        <f>SG28+SH28+SI28+SJ28</f>
        <v/>
      </c>
      <c r="SL28" s="9">
        <f>SG28*PriceEssMonthly*RU28+SH28*PricePremMonthly*RU28+SI28*PriceEssAnnual*RU28/12+SJ28*PricePremAnnual*RU28/12</f>
        <v/>
      </c>
      <c r="SM28" s="9">
        <f>SL28*12</f>
        <v/>
      </c>
      <c r="SN28" s="12">
        <f>SG28*PriceEssMonthly*RU28+SH28*PricePremMonthly*RU28</f>
        <v/>
      </c>
      <c r="SO28" s="12">
        <f>SE28*PriceEssAnnual*RU28+SF28*PricePremAnnual*RU28</f>
        <v/>
      </c>
      <c r="SP28" s="12">
        <f>SE16*POWER(1-(AnnualChurn*VLOOKUP(RR28,ChurnSeasonTable,4,FALSE)),1)*PriceEssAnnual*RU28+SF16*POWER(1-(AnnualChurn*VLOOKUP(RR28,ChurnSeasonTable,4,FALSE)),1)*PricePremAnnual*RU28</f>
        <v/>
      </c>
      <c r="SQ28" s="9">
        <f>SN28+SO28+SP28</f>
        <v/>
      </c>
      <c r="SR28" s="12">
        <f>SUM(SQ17:SQ28)</f>
        <v/>
      </c>
      <c r="SS28" s="12">
        <f>OR(SS27,SR28&gt;=VATThreshold)</f>
        <v/>
      </c>
      <c r="ST28" s="9">
        <f>IF(SS28,SQ28/(1+VATRate),SQ28)</f>
        <v/>
      </c>
      <c r="SU28" s="12">
        <f>SQ28-ST28</f>
        <v/>
      </c>
      <c r="SV28" s="12">
        <f>IF(SS28=0,0,IF(RR28=1,SUMPRODUCT(--(($RS$5:$RS28=$RS28-1)*($RR$5:$RR28&gt;=10)*($RR$5:$RR28&lt;=12)),$SU$5:$SU28),IF(RR28=4,SUMPRODUCT(--(($RS$5:$RS28=$RS28)*($RR$5:$RR28&gt;=1)*($RR$5:$RR28&lt;=3)),$SU$5:$SU28),IF(RR28=7,SUMPRODUCT(--(($RS$5:$RS28=$RS28)*($RR$5:$RR28&gt;=4)*($RR$5:$RR28&lt;=6)),$SU$5:$SU28),IF(RR28=10,SUMPRODUCT(--(($RS$5:$RS28=$RS28)*($RR$5:$RR28&gt;=7)*($RR$5:$RR28&lt;=9)),$SU$5:$SU28),0)))))</f>
        <v/>
      </c>
      <c r="SW28" s="12">
        <f>SW27+SU28-SV28</f>
        <v/>
      </c>
      <c r="SX28" s="12">
        <f>IF(ProviderDelay&gt;=1,ST27*ProviderShare,ST28*ProviderShare)</f>
        <v/>
      </c>
      <c r="SY28" s="12">
        <f>SQ28*PaymentFee</f>
        <v/>
      </c>
      <c r="SZ28" s="12">
        <f>SK28*OpsAI</f>
        <v/>
      </c>
      <c r="TA28" s="12">
        <f>MonthlyFixed</f>
        <v/>
      </c>
      <c r="TB28" s="12">
        <f>RY28*ReferralReward</f>
        <v/>
      </c>
      <c r="TC28" s="12">
        <f>RW28</f>
        <v/>
      </c>
      <c r="TD28" s="9">
        <f>ST28-SX28-SY28-SZ28-TA28-TB28-TC28</f>
        <v/>
      </c>
      <c r="TE28" s="9">
        <f>TE27+SQ28-(SX28+SY28+SZ28+TA28+TB28+TC28+SV28)</f>
        <v/>
      </c>
      <c r="TF28" s="12">
        <f>IF(SK28&gt;0,SL28/SK28,0)</f>
        <v/>
      </c>
      <c r="TG28" s="11">
        <f>IF(SK27&gt;0,MAX(0,(SK27+RZ28-SK28)/SK27),0)</f>
        <v/>
      </c>
      <c r="TI28" s="12" t="n">
        <v>24</v>
      </c>
      <c r="TJ28" s="12">
        <f>MOD(TI28-1+LaunchMonth-1,12)+1</f>
        <v/>
      </c>
      <c r="TK28" s="12">
        <f>INT((TI28-1+LaunchMonth-1)/12)+1</f>
        <v/>
      </c>
      <c r="TL28" s="12">
        <f>VLOOKUP(TJ28,SeasonTable,2,FALSE)</f>
        <v/>
      </c>
      <c r="TM28" s="12">
        <f>(1+InflationRate)^INT((TI28-1)/12)</f>
        <v/>
      </c>
      <c r="TN28" s="11">
        <f>MonthlyChurn*VLOOKUP(TJ28,ChurnSeasonTable,4,FALSE)</f>
        <v/>
      </c>
      <c r="TO28" s="12">
        <f>MIN(MAX(MktMin19plus,UI27*MktPct19plus),MAX(0,UW27-CashBuffer))</f>
        <v/>
      </c>
      <c r="TP28" s="12">
        <f>IF(TO28&gt;0,MAX(1,ROUND(TO28/CAC*TL28,0)),0)</f>
        <v/>
      </c>
      <c r="TQ28" s="12">
        <f>IF(TP28&gt;0,ROUND(TP28*ReferralMix/(1-ReferralMix),0),0)</f>
        <v/>
      </c>
      <c r="TR28" s="12">
        <f>TP28+TQ28</f>
        <v/>
      </c>
      <c r="TS28" s="12">
        <f>ROUND(TR28*(1-'Sens - Annual Mix'!$A$9),0)</f>
        <v/>
      </c>
      <c r="TT28" s="12">
        <f>TR28-TS28</f>
        <v/>
      </c>
      <c r="TU28" s="12">
        <f>ROUND(TS28*EssentialMix,0)</f>
        <v/>
      </c>
      <c r="TV28" s="12">
        <f>TS28-TU28</f>
        <v/>
      </c>
      <c r="TW28" s="12">
        <f>ROUND(TT28*EssentialMix,0)</f>
        <v/>
      </c>
      <c r="TX28" s="12">
        <f>TT28-TW28</f>
        <v/>
      </c>
      <c r="TY28" s="12">
        <f>TU28+TU27+TU26+MAX(0,TY27-TU27-TU26)*(1-TN28)</f>
        <v/>
      </c>
      <c r="TZ28" s="12">
        <f>TV28+TV27+TV26+MAX(0,TZ27-TV27-TV26)*(1-TN28)</f>
        <v/>
      </c>
      <c r="UA28" s="12">
        <f>UA27+TW28-TW16*(AnnualChurn*VLOOKUP(TJ28,ChurnSeasonTable,4,FALSE))*POWER(1-(AnnualChurn*VLOOKUP(TJ28,ChurnSeasonTable,4,FALSE)),0)</f>
        <v/>
      </c>
      <c r="UB28" s="12">
        <f>UB27+TX28-TX16*(AnnualChurn*VLOOKUP(TJ28,ChurnSeasonTable,4,FALSE))*POWER(1-(AnnualChurn*VLOOKUP(TJ28,ChurnSeasonTable,4,FALSE)),0)</f>
        <v/>
      </c>
      <c r="UC28" s="12">
        <f>TY28+TZ28+UA28+UB28</f>
        <v/>
      </c>
      <c r="UD28" s="9">
        <f>TY28*PriceEssMonthly*TM28+TZ28*PricePremMonthly*TM28+UA28*PriceEssAnnual*TM28/12+UB28*PricePremAnnual*TM28/12</f>
        <v/>
      </c>
      <c r="UE28" s="9">
        <f>UD28*12</f>
        <v/>
      </c>
      <c r="UF28" s="12">
        <f>TY28*PriceEssMonthly*TM28+TZ28*PricePremMonthly*TM28</f>
        <v/>
      </c>
      <c r="UG28" s="12">
        <f>TW28*PriceEssAnnual*TM28+TX28*PricePremAnnual*TM28</f>
        <v/>
      </c>
      <c r="UH28" s="12">
        <f>TW16*POWER(1-(AnnualChurn*VLOOKUP(TJ28,ChurnSeasonTable,4,FALSE)),1)*PriceEssAnnual*TM28+TX16*POWER(1-(AnnualChurn*VLOOKUP(TJ28,ChurnSeasonTable,4,FALSE)),1)*PricePremAnnual*TM28</f>
        <v/>
      </c>
      <c r="UI28" s="9">
        <f>UF28+UG28+UH28</f>
        <v/>
      </c>
      <c r="UJ28" s="12">
        <f>SUM(UI17:UI28)</f>
        <v/>
      </c>
      <c r="UK28" s="12">
        <f>OR(UK27,UJ28&gt;=VATThreshold)</f>
        <v/>
      </c>
      <c r="UL28" s="9">
        <f>IF(UK28,UI28/(1+VATRate),UI28)</f>
        <v/>
      </c>
      <c r="UM28" s="12">
        <f>UI28-UL28</f>
        <v/>
      </c>
      <c r="UN28" s="12">
        <f>IF(UK28=0,0,IF(TJ28=1,SUMPRODUCT(--(($TK$5:$TK28=$TK28-1)*($TJ$5:$TJ28&gt;=10)*($TJ$5:$TJ28&lt;=12)),$UM$5:$UM28),IF(TJ28=4,SUMPRODUCT(--(($TK$5:$TK28=$TK28)*($TJ$5:$TJ28&gt;=1)*($TJ$5:$TJ28&lt;=3)),$UM$5:$UM28),IF(TJ28=7,SUMPRODUCT(--(($TK$5:$TK28=$TK28)*($TJ$5:$TJ28&gt;=4)*($TJ$5:$TJ28&lt;=6)),$UM$5:$UM28),IF(TJ28=10,SUMPRODUCT(--(($TK$5:$TK28=$TK28)*($TJ$5:$TJ28&gt;=7)*($TJ$5:$TJ28&lt;=9)),$UM$5:$UM28),0)))))</f>
        <v/>
      </c>
      <c r="UO28" s="12">
        <f>UO27+UM28-UN28</f>
        <v/>
      </c>
      <c r="UP28" s="12">
        <f>IF(ProviderDelay&gt;=1,UL27*ProviderShare,UL28*ProviderShare)</f>
        <v/>
      </c>
      <c r="UQ28" s="12">
        <f>UI28*PaymentFee</f>
        <v/>
      </c>
      <c r="UR28" s="12">
        <f>UC28*OpsAI</f>
        <v/>
      </c>
      <c r="US28" s="12">
        <f>MonthlyFixed</f>
        <v/>
      </c>
      <c r="UT28" s="12">
        <f>TQ28*ReferralReward</f>
        <v/>
      </c>
      <c r="UU28" s="12">
        <f>TO28</f>
        <v/>
      </c>
      <c r="UV28" s="9">
        <f>UL28-UP28-UQ28-UR28-US28-UT28-UU28</f>
        <v/>
      </c>
      <c r="UW28" s="9">
        <f>UW27+UI28-(UP28+UQ28+UR28+US28+UT28+UU28+UN28)</f>
        <v/>
      </c>
      <c r="UX28" s="12">
        <f>IF(UC28&gt;0,UD28/UC28,0)</f>
        <v/>
      </c>
      <c r="UY28" s="11">
        <f>IF(UC27&gt;0,MAX(0,(UC27+TR28-UC28)/UC27),0)</f>
        <v/>
      </c>
      <c r="VA28" s="12" t="n">
        <v>24</v>
      </c>
      <c r="VB28" s="12">
        <f>MOD(VA28-1+LaunchMonth-1,12)+1</f>
        <v/>
      </c>
      <c r="VC28" s="12">
        <f>INT((VA28-1+LaunchMonth-1)/12)+1</f>
        <v/>
      </c>
      <c r="VD28" s="12">
        <f>VLOOKUP(VB28,SeasonTable,2,FALSE)</f>
        <v/>
      </c>
      <c r="VE28" s="12">
        <f>(1+InflationRate)^INT((VA28-1)/12)</f>
        <v/>
      </c>
      <c r="VF28" s="11">
        <f>MonthlyChurn*VLOOKUP(VB28,ChurnSeasonTable,4,FALSE)</f>
        <v/>
      </c>
      <c r="VG28" s="12">
        <f>MIN(MAX(MktMin19plus,WA27*MktPct19plus),MAX(0,WO27-CashBuffer))</f>
        <v/>
      </c>
      <c r="VH28" s="12">
        <f>IF(VG28&gt;0,MAX(1,ROUND(VG28/CAC*VD28,0)),0)</f>
        <v/>
      </c>
      <c r="VI28" s="12">
        <f>IF(VH28&gt;0,ROUND(VH28*ReferralMix/(1-ReferralMix),0),0)</f>
        <v/>
      </c>
      <c r="VJ28" s="12">
        <f>VH28+VI28</f>
        <v/>
      </c>
      <c r="VK28" s="12">
        <f>ROUND(VJ28*(1-'Sens - Annual Mix'!$A$10),0)</f>
        <v/>
      </c>
      <c r="VL28" s="12">
        <f>VJ28-VK28</f>
        <v/>
      </c>
      <c r="VM28" s="12">
        <f>ROUND(VK28*EssentialMix,0)</f>
        <v/>
      </c>
      <c r="VN28" s="12">
        <f>VK28-VM28</f>
        <v/>
      </c>
      <c r="VO28" s="12">
        <f>ROUND(VL28*EssentialMix,0)</f>
        <v/>
      </c>
      <c r="VP28" s="12">
        <f>VL28-VO28</f>
        <v/>
      </c>
      <c r="VQ28" s="12">
        <f>VM28+VM27+VM26+MAX(0,VQ27-VM27-VM26)*(1-VF28)</f>
        <v/>
      </c>
      <c r="VR28" s="12">
        <f>VN28+VN27+VN26+MAX(0,VR27-VN27-VN26)*(1-VF28)</f>
        <v/>
      </c>
      <c r="VS28" s="12">
        <f>VS27+VO28-VO16*(AnnualChurn*VLOOKUP(VB28,ChurnSeasonTable,4,FALSE))*POWER(1-(AnnualChurn*VLOOKUP(VB28,ChurnSeasonTable,4,FALSE)),0)</f>
        <v/>
      </c>
      <c r="VT28" s="12">
        <f>VT27+VP28-VP16*(AnnualChurn*VLOOKUP(VB28,ChurnSeasonTable,4,FALSE))*POWER(1-(AnnualChurn*VLOOKUP(VB28,ChurnSeasonTable,4,FALSE)),0)</f>
        <v/>
      </c>
      <c r="VU28" s="12">
        <f>VQ28+VR28+VS28+VT28</f>
        <v/>
      </c>
      <c r="VV28" s="9">
        <f>VQ28*PriceEssMonthly*VE28+VR28*PricePremMonthly*VE28+VS28*PriceEssAnnual*VE28/12+VT28*PricePremAnnual*VE28/12</f>
        <v/>
      </c>
      <c r="VW28" s="9">
        <f>VV28*12</f>
        <v/>
      </c>
      <c r="VX28" s="12">
        <f>VQ28*PriceEssMonthly*VE28+VR28*PricePremMonthly*VE28</f>
        <v/>
      </c>
      <c r="VY28" s="12">
        <f>VO28*PriceEssAnnual*VE28+VP28*PricePremAnnual*VE28</f>
        <v/>
      </c>
      <c r="VZ28" s="12">
        <f>VO16*POWER(1-(AnnualChurn*VLOOKUP(VB28,ChurnSeasonTable,4,FALSE)),1)*PriceEssAnnual*VE28+VP16*POWER(1-(AnnualChurn*VLOOKUP(VB28,ChurnSeasonTable,4,FALSE)),1)*PricePremAnnual*VE28</f>
        <v/>
      </c>
      <c r="WA28" s="9">
        <f>VX28+VY28+VZ28</f>
        <v/>
      </c>
      <c r="WB28" s="12">
        <f>SUM(WA17:WA28)</f>
        <v/>
      </c>
      <c r="WC28" s="12">
        <f>OR(WC27,WB28&gt;=VATThreshold)</f>
        <v/>
      </c>
      <c r="WD28" s="9">
        <f>IF(WC28,WA28/(1+VATRate),WA28)</f>
        <v/>
      </c>
      <c r="WE28" s="12">
        <f>WA28-WD28</f>
        <v/>
      </c>
      <c r="WF28" s="12">
        <f>IF(WC28=0,0,IF(VB28=1,SUMPRODUCT(--(($VC$5:$VC28=$VC28-1)*($VB$5:$VB28&gt;=10)*($VB$5:$VB28&lt;=12)),$WE$5:$WE28),IF(VB28=4,SUMPRODUCT(--(($VC$5:$VC28=$VC28)*($VB$5:$VB28&gt;=1)*($VB$5:$VB28&lt;=3)),$WE$5:$WE28),IF(VB28=7,SUMPRODUCT(--(($VC$5:$VC28=$VC28)*($VB$5:$VB28&gt;=4)*($VB$5:$VB28&lt;=6)),$WE$5:$WE28),IF(VB28=10,SUMPRODUCT(--(($VC$5:$VC28=$VC28)*($VB$5:$VB28&gt;=7)*($VB$5:$VB28&lt;=9)),$WE$5:$WE28),0)))))</f>
        <v/>
      </c>
      <c r="WG28" s="12">
        <f>WG27+WE28-WF28</f>
        <v/>
      </c>
      <c r="WH28" s="12">
        <f>IF(ProviderDelay&gt;=1,WD27*ProviderShare,WD28*ProviderShare)</f>
        <v/>
      </c>
      <c r="WI28" s="12">
        <f>WA28*PaymentFee</f>
        <v/>
      </c>
      <c r="WJ28" s="12">
        <f>VU28*OpsAI</f>
        <v/>
      </c>
      <c r="WK28" s="12">
        <f>MonthlyFixed</f>
        <v/>
      </c>
      <c r="WL28" s="12">
        <f>VI28*ReferralReward</f>
        <v/>
      </c>
      <c r="WM28" s="12">
        <f>VG28</f>
        <v/>
      </c>
      <c r="WN28" s="9">
        <f>WD28-WH28-WI28-WJ28-WK28-WL28-WM28</f>
        <v/>
      </c>
      <c r="WO28" s="9">
        <f>WO27+WA28-(WH28+WI28+WJ28+WK28+WL28+WM28+WF28)</f>
        <v/>
      </c>
      <c r="WP28" s="12">
        <f>IF(VU28&gt;0,VV28/VU28,0)</f>
        <v/>
      </c>
      <c r="WQ28" s="11">
        <f>IF(VU27&gt;0,MAX(0,(VU27+VJ28-VU28)/VU27),0)</f>
        <v/>
      </c>
      <c r="WS28" s="12" t="n">
        <v>24</v>
      </c>
      <c r="WT28" s="12">
        <f>MOD(WS28-1+LaunchMonth-1,12)+1</f>
        <v/>
      </c>
      <c r="WU28" s="12">
        <f>INT((WS28-1+LaunchMonth-1)/12)+1</f>
        <v/>
      </c>
      <c r="WV28" s="12">
        <f>VLOOKUP(WT28,SeasonTable,2,FALSE)</f>
        <v/>
      </c>
      <c r="WW28" s="12">
        <f>(1+InflationRate)^INT((WS28-1)/12)</f>
        <v/>
      </c>
      <c r="WX28" s="11">
        <f>MonthlyChurn*VLOOKUP(WT28,ChurnSeasonTable,4,FALSE)</f>
        <v/>
      </c>
      <c r="WY28" s="12">
        <f>MIN(MAX(MktMin19plus,XS27*MktPct19plus),MAX(0,YG27-CashBuffer))</f>
        <v/>
      </c>
      <c r="WZ28" s="12">
        <f>IF(WY28&gt;0,MAX(1,ROUND(WY28/CAC*WV28,0)),0)</f>
        <v/>
      </c>
      <c r="XA28" s="12">
        <f>IF(WZ28&gt;0,ROUND(WZ28*ReferralMix/(1-ReferralMix),0),0)</f>
        <v/>
      </c>
      <c r="XB28" s="12">
        <f>WZ28+XA28</f>
        <v/>
      </c>
      <c r="XC28" s="12">
        <f>ROUND(XB28*(1-'Sens - Annual Mix'!$A$11),0)</f>
        <v/>
      </c>
      <c r="XD28" s="12">
        <f>XB28-XC28</f>
        <v/>
      </c>
      <c r="XE28" s="12">
        <f>ROUND(XC28*EssentialMix,0)</f>
        <v/>
      </c>
      <c r="XF28" s="12">
        <f>XC28-XE28</f>
        <v/>
      </c>
      <c r="XG28" s="12">
        <f>ROUND(XD28*EssentialMix,0)</f>
        <v/>
      </c>
      <c r="XH28" s="12">
        <f>XD28-XG28</f>
        <v/>
      </c>
      <c r="XI28" s="12">
        <f>XE28+XE27+XE26+MAX(0,XI27-XE27-XE26)*(1-WX28)</f>
        <v/>
      </c>
      <c r="XJ28" s="12">
        <f>XF28+XF27+XF26+MAX(0,XJ27-XF27-XF26)*(1-WX28)</f>
        <v/>
      </c>
      <c r="XK28" s="12">
        <f>XK27+XG28-XG16*(AnnualChurn*VLOOKUP(WT28,ChurnSeasonTable,4,FALSE))*POWER(1-(AnnualChurn*VLOOKUP(WT28,ChurnSeasonTable,4,FALSE)),0)</f>
        <v/>
      </c>
      <c r="XL28" s="12">
        <f>XL27+XH28-XH16*(AnnualChurn*VLOOKUP(WT28,ChurnSeasonTable,4,FALSE))*POWER(1-(AnnualChurn*VLOOKUP(WT28,ChurnSeasonTable,4,FALSE)),0)</f>
        <v/>
      </c>
      <c r="XM28" s="12">
        <f>XI28+XJ28+XK28+XL28</f>
        <v/>
      </c>
      <c r="XN28" s="9">
        <f>XI28*PriceEssMonthly*WW28+XJ28*PricePremMonthly*WW28+XK28*PriceEssAnnual*WW28/12+XL28*PricePremAnnual*WW28/12</f>
        <v/>
      </c>
      <c r="XO28" s="9">
        <f>XN28*12</f>
        <v/>
      </c>
      <c r="XP28" s="12">
        <f>XI28*PriceEssMonthly*WW28+XJ28*PricePremMonthly*WW28</f>
        <v/>
      </c>
      <c r="XQ28" s="12">
        <f>XG28*PriceEssAnnual*WW28+XH28*PricePremAnnual*WW28</f>
        <v/>
      </c>
      <c r="XR28" s="12">
        <f>XG16*POWER(1-(AnnualChurn*VLOOKUP(WT28,ChurnSeasonTable,4,FALSE)),1)*PriceEssAnnual*WW28+XH16*POWER(1-(AnnualChurn*VLOOKUP(WT28,ChurnSeasonTable,4,FALSE)),1)*PricePremAnnual*WW28</f>
        <v/>
      </c>
      <c r="XS28" s="9">
        <f>XP28+XQ28+XR28</f>
        <v/>
      </c>
      <c r="XT28" s="12">
        <f>SUM(XS17:XS28)</f>
        <v/>
      </c>
      <c r="XU28" s="12">
        <f>OR(XU27,XT28&gt;=VATThreshold)</f>
        <v/>
      </c>
      <c r="XV28" s="9">
        <f>IF(XU28,XS28/(1+VATRate),XS28)</f>
        <v/>
      </c>
      <c r="XW28" s="12">
        <f>XS28-XV28</f>
        <v/>
      </c>
      <c r="XX28" s="12">
        <f>IF(XU28=0,0,IF(WT28=1,SUMPRODUCT(--(($WU$5:$WU28=$WU28-1)*($WT$5:$WT28&gt;=10)*($WT$5:$WT28&lt;=12)),$XW$5:$XW28),IF(WT28=4,SUMPRODUCT(--(($WU$5:$WU28=$WU28)*($WT$5:$WT28&gt;=1)*($WT$5:$WT28&lt;=3)),$XW$5:$XW28),IF(WT28=7,SUMPRODUCT(--(($WU$5:$WU28=$WU28)*($WT$5:$WT28&gt;=4)*($WT$5:$WT28&lt;=6)),$XW$5:$XW28),IF(WT28=10,SUMPRODUCT(--(($WU$5:$WU28=$WU28)*($WT$5:$WT28&gt;=7)*($WT$5:$WT28&lt;=9)),$XW$5:$XW28),0)))))</f>
        <v/>
      </c>
      <c r="XY28" s="12">
        <f>XY27+XW28-XX28</f>
        <v/>
      </c>
      <c r="XZ28" s="12">
        <f>IF(ProviderDelay&gt;=1,XV27*ProviderShare,XV28*ProviderShare)</f>
        <v/>
      </c>
      <c r="YA28" s="12">
        <f>XS28*PaymentFee</f>
        <v/>
      </c>
      <c r="YB28" s="12">
        <f>XM28*OpsAI</f>
        <v/>
      </c>
      <c r="YC28" s="12">
        <f>MonthlyFixed</f>
        <v/>
      </c>
      <c r="YD28" s="12">
        <f>XA28*ReferralReward</f>
        <v/>
      </c>
      <c r="YE28" s="12">
        <f>WY28</f>
        <v/>
      </c>
      <c r="YF28" s="9">
        <f>XV28-XZ28-YA28-YB28-YC28-YD28-YE28</f>
        <v/>
      </c>
      <c r="YG28" s="9">
        <f>YG27+XS28-(XZ28+YA28+YB28+YC28+YD28+YE28+XX28)</f>
        <v/>
      </c>
      <c r="YH28" s="12">
        <f>IF(XM28&gt;0,XN28/XM28,0)</f>
        <v/>
      </c>
      <c r="YI28" s="11">
        <f>IF(XM27&gt;0,MAX(0,(XM27+XB28-XM28)/XM27),0)</f>
        <v/>
      </c>
      <c r="YK28" s="12" t="n">
        <v>24</v>
      </c>
      <c r="YL28" s="12">
        <f>MOD(YK28-1+LaunchMonth-1,12)+1</f>
        <v/>
      </c>
      <c r="YM28" s="12">
        <f>INT((YK28-1+LaunchMonth-1)/12)+1</f>
        <v/>
      </c>
      <c r="YN28" s="12">
        <f>VLOOKUP(YL28,SeasonTable,2,FALSE)</f>
        <v/>
      </c>
      <c r="YO28" s="12">
        <f>(1+InflationRate)^INT((YK28-1)/12)</f>
        <v/>
      </c>
      <c r="YP28" s="11">
        <f>MonthlyChurn*VLOOKUP(YL28,ChurnSeasonTable,4,FALSE)</f>
        <v/>
      </c>
      <c r="YQ28" s="12">
        <f>MIN(MAX(MktMin19plus,ZK27*MktPct19plus),MAX(0,ZY27-CashBuffer))</f>
        <v/>
      </c>
      <c r="YR28" s="12">
        <f>IF(YQ28&gt;0,MAX(1,ROUND(YQ28/CAC*YN28,0)),0)</f>
        <v/>
      </c>
      <c r="YS28" s="12">
        <f>IF(YR28&gt;0,ROUND(YR28*ReferralMix/(1-ReferralMix),0),0)</f>
        <v/>
      </c>
      <c r="YT28" s="12">
        <f>YR28+YS28</f>
        <v/>
      </c>
      <c r="YU28" s="12">
        <f>ROUND(YT28*(1-'Sens - Annual Mix'!$A$12),0)</f>
        <v/>
      </c>
      <c r="YV28" s="12">
        <f>YT28-YU28</f>
        <v/>
      </c>
      <c r="YW28" s="12">
        <f>ROUND(YU28*EssentialMix,0)</f>
        <v/>
      </c>
      <c r="YX28" s="12">
        <f>YU28-YW28</f>
        <v/>
      </c>
      <c r="YY28" s="12">
        <f>ROUND(YV28*EssentialMix,0)</f>
        <v/>
      </c>
      <c r="YZ28" s="12">
        <f>YV28-YY28</f>
        <v/>
      </c>
      <c r="ZA28" s="12">
        <f>YW28+YW27+YW26+MAX(0,ZA27-YW27-YW26)*(1-YP28)</f>
        <v/>
      </c>
      <c r="ZB28" s="12">
        <f>YX28+YX27+YX26+MAX(0,ZB27-YX27-YX26)*(1-YP28)</f>
        <v/>
      </c>
      <c r="ZC28" s="12">
        <f>ZC27+YY28-YY16*(AnnualChurn*VLOOKUP(YL28,ChurnSeasonTable,4,FALSE))*POWER(1-(AnnualChurn*VLOOKUP(YL28,ChurnSeasonTable,4,FALSE)),0)</f>
        <v/>
      </c>
      <c r="ZD28" s="12">
        <f>ZD27+YZ28-YZ16*(AnnualChurn*VLOOKUP(YL28,ChurnSeasonTable,4,FALSE))*POWER(1-(AnnualChurn*VLOOKUP(YL28,ChurnSeasonTable,4,FALSE)),0)</f>
        <v/>
      </c>
      <c r="ZE28" s="12">
        <f>ZA28+ZB28+ZC28+ZD28</f>
        <v/>
      </c>
      <c r="ZF28" s="9">
        <f>ZA28*PriceEssMonthly*YO28+ZB28*PricePremMonthly*YO28+ZC28*PriceEssAnnual*YO28/12+ZD28*PricePremAnnual*YO28/12</f>
        <v/>
      </c>
      <c r="ZG28" s="9">
        <f>ZF28*12</f>
        <v/>
      </c>
      <c r="ZH28" s="12">
        <f>ZA28*PriceEssMonthly*YO28+ZB28*PricePremMonthly*YO28</f>
        <v/>
      </c>
      <c r="ZI28" s="12">
        <f>YY28*PriceEssAnnual*YO28+YZ28*PricePremAnnual*YO28</f>
        <v/>
      </c>
      <c r="ZJ28" s="12">
        <f>YY16*POWER(1-(AnnualChurn*VLOOKUP(YL28,ChurnSeasonTable,4,FALSE)),1)*PriceEssAnnual*YO28+YZ16*POWER(1-(AnnualChurn*VLOOKUP(YL28,ChurnSeasonTable,4,FALSE)),1)*PricePremAnnual*YO28</f>
        <v/>
      </c>
      <c r="ZK28" s="9">
        <f>ZH28+ZI28+ZJ28</f>
        <v/>
      </c>
      <c r="ZL28" s="12">
        <f>SUM(ZK17:ZK28)</f>
        <v/>
      </c>
      <c r="ZM28" s="12">
        <f>OR(ZM27,ZL28&gt;=VATThreshold)</f>
        <v/>
      </c>
      <c r="ZN28" s="9">
        <f>IF(ZM28,ZK28/(1+VATRate),ZK28)</f>
        <v/>
      </c>
      <c r="ZO28" s="12">
        <f>ZK28-ZN28</f>
        <v/>
      </c>
      <c r="ZP28" s="12">
        <f>IF(ZM28=0,0,IF(YL28=1,SUMPRODUCT(--(($YM$5:$YM28=$YM28-1)*($YL$5:$YL28&gt;=10)*($YL$5:$YL28&lt;=12)),$ZO$5:$ZO28),IF(YL28=4,SUMPRODUCT(--(($YM$5:$YM28=$YM28)*($YL$5:$YL28&gt;=1)*($YL$5:$YL28&lt;=3)),$ZO$5:$ZO28),IF(YL28=7,SUMPRODUCT(--(($YM$5:$YM28=$YM28)*($YL$5:$YL28&gt;=4)*($YL$5:$YL28&lt;=6)),$ZO$5:$ZO28),IF(YL28=10,SUMPRODUCT(--(($YM$5:$YM28=$YM28)*($YL$5:$YL28&gt;=7)*($YL$5:$YL28&lt;=9)),$ZO$5:$ZO28),0)))))</f>
        <v/>
      </c>
      <c r="ZQ28" s="12">
        <f>ZQ27+ZO28-ZP28</f>
        <v/>
      </c>
      <c r="ZR28" s="12">
        <f>IF(ProviderDelay&gt;=1,ZN27*ProviderShare,ZN28*ProviderShare)</f>
        <v/>
      </c>
      <c r="ZS28" s="12">
        <f>ZK28*PaymentFee</f>
        <v/>
      </c>
      <c r="ZT28" s="12">
        <f>ZE28*OpsAI</f>
        <v/>
      </c>
      <c r="ZU28" s="12">
        <f>MonthlyFixed</f>
        <v/>
      </c>
      <c r="ZV28" s="12">
        <f>YS28*ReferralReward</f>
        <v/>
      </c>
      <c r="ZW28" s="12">
        <f>YQ28</f>
        <v/>
      </c>
      <c r="ZX28" s="9">
        <f>ZN28-ZR28-ZS28-ZT28-ZU28-ZV28-ZW28</f>
        <v/>
      </c>
      <c r="ZY28" s="9">
        <f>ZY27+ZK28-(ZR28+ZS28+ZT28+ZU28+ZV28+ZW28+ZP28)</f>
        <v/>
      </c>
      <c r="ZZ28" s="12">
        <f>IF(ZE28&gt;0,ZF28/ZE28,0)</f>
        <v/>
      </c>
      <c r="AAA28" s="11">
        <f>IF(ZE27&gt;0,MAX(0,(ZE27+YT28-ZE28)/ZE27),0)</f>
        <v/>
      </c>
      <c r="AAC28" s="12" t="n">
        <v>24</v>
      </c>
      <c r="AAD28" s="12">
        <f>MOD(AAC28-1+LaunchMonth-1,12)+1</f>
        <v/>
      </c>
      <c r="AAE28" s="12">
        <f>INT((AAC28-1+LaunchMonth-1)/12)+1</f>
        <v/>
      </c>
      <c r="AAF28" s="12">
        <f>VLOOKUP(AAD28,SeasonTable,2,FALSE)</f>
        <v/>
      </c>
      <c r="AAG28" s="12">
        <f>(1+InflationRate)^INT((AAC28-1)/12)</f>
        <v/>
      </c>
      <c r="AAH28" s="11">
        <f>MonthlyChurn*VLOOKUP(AAD28,ChurnSeasonTable,4,FALSE)</f>
        <v/>
      </c>
      <c r="AAI28" s="12">
        <f>MIN(MAX(MktMin19plus,ABC27*MktPct19plus),MAX(0,ABQ27-CashBuffer))</f>
        <v/>
      </c>
      <c r="AAJ28" s="12">
        <f>IF(AAI28&gt;0,MAX(1,ROUND(AAI28/CAC*AAF28,0)),0)</f>
        <v/>
      </c>
      <c r="AAK28" s="12">
        <f>IF(AAJ28&gt;0,ROUND(AAJ28*ReferralMix/(1-ReferralMix),0),0)</f>
        <v/>
      </c>
      <c r="AAL28" s="12">
        <f>AAJ28+AAK28</f>
        <v/>
      </c>
      <c r="AAM28" s="12">
        <f>ROUND(AAL28*(1-'Sens - Annual Mix'!$A$13),0)</f>
        <v/>
      </c>
      <c r="AAN28" s="12">
        <f>AAL28-AAM28</f>
        <v/>
      </c>
      <c r="AAO28" s="12">
        <f>ROUND(AAM28*EssentialMix,0)</f>
        <v/>
      </c>
      <c r="AAP28" s="12">
        <f>AAM28-AAO28</f>
        <v/>
      </c>
      <c r="AAQ28" s="12">
        <f>ROUND(AAN28*EssentialMix,0)</f>
        <v/>
      </c>
      <c r="AAR28" s="12">
        <f>AAN28-AAQ28</f>
        <v/>
      </c>
      <c r="AAS28" s="12">
        <f>AAO28+AAO27+AAO26+MAX(0,AAS27-AAO27-AAO26)*(1-AAH28)</f>
        <v/>
      </c>
      <c r="AAT28" s="12">
        <f>AAP28+AAP27+AAP26+MAX(0,AAT27-AAP27-AAP26)*(1-AAH28)</f>
        <v/>
      </c>
      <c r="AAU28" s="12">
        <f>AAU27+AAQ28-AAQ16*(AnnualChurn*VLOOKUP(AAD28,ChurnSeasonTable,4,FALSE))*POWER(1-(AnnualChurn*VLOOKUP(AAD28,ChurnSeasonTable,4,FALSE)),0)</f>
        <v/>
      </c>
      <c r="AAV28" s="12">
        <f>AAV27+AAR28-AAR16*(AnnualChurn*VLOOKUP(AAD28,ChurnSeasonTable,4,FALSE))*POWER(1-(AnnualChurn*VLOOKUP(AAD28,ChurnSeasonTable,4,FALSE)),0)</f>
        <v/>
      </c>
      <c r="AAW28" s="12">
        <f>AAS28+AAT28+AAU28+AAV28</f>
        <v/>
      </c>
      <c r="AAX28" s="9">
        <f>AAS28*PriceEssMonthly*AAG28+AAT28*PricePremMonthly*AAG28+AAU28*PriceEssAnnual*AAG28/12+AAV28*PricePremAnnual*AAG28/12</f>
        <v/>
      </c>
      <c r="AAY28" s="9">
        <f>AAX28*12</f>
        <v/>
      </c>
      <c r="AAZ28" s="12">
        <f>AAS28*PriceEssMonthly*AAG28+AAT28*PricePremMonthly*AAG28</f>
        <v/>
      </c>
      <c r="ABA28" s="12">
        <f>AAQ28*PriceEssAnnual*AAG28+AAR28*PricePremAnnual*AAG28</f>
        <v/>
      </c>
      <c r="ABB28" s="12">
        <f>AAQ16*POWER(1-(AnnualChurn*VLOOKUP(AAD28,ChurnSeasonTable,4,FALSE)),1)*PriceEssAnnual*AAG28+AAR16*POWER(1-(AnnualChurn*VLOOKUP(AAD28,ChurnSeasonTable,4,FALSE)),1)*PricePremAnnual*AAG28</f>
        <v/>
      </c>
      <c r="ABC28" s="9">
        <f>AAZ28+ABA28+ABB28</f>
        <v/>
      </c>
      <c r="ABD28" s="12">
        <f>SUM(ABC17:ABC28)</f>
        <v/>
      </c>
      <c r="ABE28" s="12">
        <f>OR(ABE27,ABD28&gt;=VATThreshold)</f>
        <v/>
      </c>
      <c r="ABF28" s="9">
        <f>IF(ABE28,ABC28/(1+VATRate),ABC28)</f>
        <v/>
      </c>
      <c r="ABG28" s="12">
        <f>ABC28-ABF28</f>
        <v/>
      </c>
      <c r="ABH28" s="12">
        <f>IF(ABE28=0,0,IF(AAD28=1,SUMPRODUCT(--(($AAE$5:$AAE28=$AAE28-1)*($AAD$5:$AAD28&gt;=10)*($AAD$5:$AAD28&lt;=12)),$ABG$5:$ABG28),IF(AAD28=4,SUMPRODUCT(--(($AAE$5:$AAE28=$AAE28)*($AAD$5:$AAD28&gt;=1)*($AAD$5:$AAD28&lt;=3)),$ABG$5:$ABG28),IF(AAD28=7,SUMPRODUCT(--(($AAE$5:$AAE28=$AAE28)*($AAD$5:$AAD28&gt;=4)*($AAD$5:$AAD28&lt;=6)),$ABG$5:$ABG28),IF(AAD28=10,SUMPRODUCT(--(($AAE$5:$AAE28=$AAE28)*($AAD$5:$AAD28&gt;=7)*($AAD$5:$AAD28&lt;=9)),$ABG$5:$ABG28),0)))))</f>
        <v/>
      </c>
      <c r="ABI28" s="12">
        <f>ABI27+ABG28-ABH28</f>
        <v/>
      </c>
      <c r="ABJ28" s="12">
        <f>IF(ProviderDelay&gt;=1,ABF27*ProviderShare,ABF28*ProviderShare)</f>
        <v/>
      </c>
      <c r="ABK28" s="12">
        <f>ABC28*PaymentFee</f>
        <v/>
      </c>
      <c r="ABL28" s="12">
        <f>AAW28*OpsAI</f>
        <v/>
      </c>
      <c r="ABM28" s="12">
        <f>MonthlyFixed</f>
        <v/>
      </c>
      <c r="ABN28" s="12">
        <f>AAK28*ReferralReward</f>
        <v/>
      </c>
      <c r="ABO28" s="12">
        <f>AAI28</f>
        <v/>
      </c>
      <c r="ABP28" s="9">
        <f>ABF28-ABJ28-ABK28-ABL28-ABM28-ABN28-ABO28</f>
        <v/>
      </c>
      <c r="ABQ28" s="9">
        <f>ABQ27+ABC28-(ABJ28+ABK28+ABL28+ABM28+ABN28+ABO28+ABH28)</f>
        <v/>
      </c>
      <c r="ABR28" s="12">
        <f>IF(AAW28&gt;0,AAX28/AAW28,0)</f>
        <v/>
      </c>
      <c r="ABS28" s="11">
        <f>IF(AAW27&gt;0,MAX(0,(AAW27+AAL28-AAW28)/AAW27),0)</f>
        <v/>
      </c>
      <c r="ABU28" s="12" t="n">
        <v>24</v>
      </c>
      <c r="ABV28" s="12">
        <f>MOD(ABU28-1+LaunchMonth-1,12)+1</f>
        <v/>
      </c>
      <c r="ABW28" s="12">
        <f>INT((ABU28-1+LaunchMonth-1)/12)+1</f>
        <v/>
      </c>
      <c r="ABX28" s="12">
        <f>VLOOKUP(ABV28,SeasonTable,2,FALSE)</f>
        <v/>
      </c>
      <c r="ABY28" s="12">
        <f>(1+InflationRate)^INT((ABU28-1)/12)</f>
        <v/>
      </c>
      <c r="ABZ28" s="11">
        <f>MonthlyChurn*VLOOKUP(ABV28,ChurnSeasonTable,4,FALSE)</f>
        <v/>
      </c>
      <c r="ACA28" s="12">
        <f>MIN(MAX(MktMin19plus,ACU27*MktPct19plus),MAX(0,ADI27-CashBuffer))</f>
        <v/>
      </c>
      <c r="ACB28" s="12">
        <f>IF(ACA28&gt;0,MAX(1,ROUND(ACA28/CAC*ABX28,0)),0)</f>
        <v/>
      </c>
      <c r="ACC28" s="12">
        <f>IF(ACB28&gt;0,ROUND(ACB28*ReferralMix/(1-ReferralMix),0),0)</f>
        <v/>
      </c>
      <c r="ACD28" s="12">
        <f>ACB28+ACC28</f>
        <v/>
      </c>
      <c r="ACE28" s="12">
        <f>ROUND(ACD28*(1-'Sens - Annual Mix'!$A$14),0)</f>
        <v/>
      </c>
      <c r="ACF28" s="12">
        <f>ACD28-ACE28</f>
        <v/>
      </c>
      <c r="ACG28" s="12">
        <f>ROUND(ACE28*EssentialMix,0)</f>
        <v/>
      </c>
      <c r="ACH28" s="12">
        <f>ACE28-ACG28</f>
        <v/>
      </c>
      <c r="ACI28" s="12">
        <f>ROUND(ACF28*EssentialMix,0)</f>
        <v/>
      </c>
      <c r="ACJ28" s="12">
        <f>ACF28-ACI28</f>
        <v/>
      </c>
      <c r="ACK28" s="12">
        <f>ACG28+ACG27+ACG26+MAX(0,ACK27-ACG27-ACG26)*(1-ABZ28)</f>
        <v/>
      </c>
      <c r="ACL28" s="12">
        <f>ACH28+ACH27+ACH26+MAX(0,ACL27-ACH27-ACH26)*(1-ABZ28)</f>
        <v/>
      </c>
      <c r="ACM28" s="12">
        <f>ACM27+ACI28-ACI16*(AnnualChurn*VLOOKUP(ABV28,ChurnSeasonTable,4,FALSE))*POWER(1-(AnnualChurn*VLOOKUP(ABV28,ChurnSeasonTable,4,FALSE)),0)</f>
        <v/>
      </c>
      <c r="ACN28" s="12">
        <f>ACN27+ACJ28-ACJ16*(AnnualChurn*VLOOKUP(ABV28,ChurnSeasonTable,4,FALSE))*POWER(1-(AnnualChurn*VLOOKUP(ABV28,ChurnSeasonTable,4,FALSE)),0)</f>
        <v/>
      </c>
      <c r="ACO28" s="12">
        <f>ACK28+ACL28+ACM28+ACN28</f>
        <v/>
      </c>
      <c r="ACP28" s="9">
        <f>ACK28*PriceEssMonthly*ABY28+ACL28*PricePremMonthly*ABY28+ACM28*PriceEssAnnual*ABY28/12+ACN28*PricePremAnnual*ABY28/12</f>
        <v/>
      </c>
      <c r="ACQ28" s="9">
        <f>ACP28*12</f>
        <v/>
      </c>
      <c r="ACR28" s="12">
        <f>ACK28*PriceEssMonthly*ABY28+ACL28*PricePremMonthly*ABY28</f>
        <v/>
      </c>
      <c r="ACS28" s="12">
        <f>ACI28*PriceEssAnnual*ABY28+ACJ28*PricePremAnnual*ABY28</f>
        <v/>
      </c>
      <c r="ACT28" s="12">
        <f>ACI16*POWER(1-(AnnualChurn*VLOOKUP(ABV28,ChurnSeasonTable,4,FALSE)),1)*PriceEssAnnual*ABY28+ACJ16*POWER(1-(AnnualChurn*VLOOKUP(ABV28,ChurnSeasonTable,4,FALSE)),1)*PricePremAnnual*ABY28</f>
        <v/>
      </c>
      <c r="ACU28" s="9">
        <f>ACR28+ACS28+ACT28</f>
        <v/>
      </c>
      <c r="ACV28" s="12">
        <f>SUM(ACU17:ACU28)</f>
        <v/>
      </c>
      <c r="ACW28" s="12">
        <f>OR(ACW27,ACV28&gt;=VATThreshold)</f>
        <v/>
      </c>
      <c r="ACX28" s="9">
        <f>IF(ACW28,ACU28/(1+VATRate),ACU28)</f>
        <v/>
      </c>
      <c r="ACY28" s="12">
        <f>ACU28-ACX28</f>
        <v/>
      </c>
      <c r="ACZ28" s="12">
        <f>IF(ACW28=0,0,IF(ABV28=1,SUMPRODUCT(--(($ABW$5:$ABW28=$ABW28-1)*($ABV$5:$ABV28&gt;=10)*($ABV$5:$ABV28&lt;=12)),$ACY$5:$ACY28),IF(ABV28=4,SUMPRODUCT(--(($ABW$5:$ABW28=$ABW28)*($ABV$5:$ABV28&gt;=1)*($ABV$5:$ABV28&lt;=3)),$ACY$5:$ACY28),IF(ABV28=7,SUMPRODUCT(--(($ABW$5:$ABW28=$ABW28)*($ABV$5:$ABV28&gt;=4)*($ABV$5:$ABV28&lt;=6)),$ACY$5:$ACY28),IF(ABV28=10,SUMPRODUCT(--(($ABW$5:$ABW28=$ABW28)*($ABV$5:$ABV28&gt;=7)*($ABV$5:$ABV28&lt;=9)),$ACY$5:$ACY28),0)))))</f>
        <v/>
      </c>
      <c r="ADA28" s="12">
        <f>ADA27+ACY28-ACZ28</f>
        <v/>
      </c>
      <c r="ADB28" s="12">
        <f>IF(ProviderDelay&gt;=1,ACX27*ProviderShare,ACX28*ProviderShare)</f>
        <v/>
      </c>
      <c r="ADC28" s="12">
        <f>ACU28*PaymentFee</f>
        <v/>
      </c>
      <c r="ADD28" s="12">
        <f>ACO28*OpsAI</f>
        <v/>
      </c>
      <c r="ADE28" s="12">
        <f>MonthlyFixed</f>
        <v/>
      </c>
      <c r="ADF28" s="12">
        <f>ACC28*ReferralReward</f>
        <v/>
      </c>
      <c r="ADG28" s="12">
        <f>ACA28</f>
        <v/>
      </c>
      <c r="ADH28" s="9">
        <f>ACX28-ADB28-ADC28-ADD28-ADE28-ADF28-ADG28</f>
        <v/>
      </c>
      <c r="ADI28" s="9">
        <f>ADI27+ACU28-(ADB28+ADC28+ADD28+ADE28+ADF28+ADG28+ACZ28)</f>
        <v/>
      </c>
      <c r="ADJ28" s="12">
        <f>IF(ACO28&gt;0,ACP28/ACO28,0)</f>
        <v/>
      </c>
      <c r="ADK28" s="11">
        <f>IF(ACO27&gt;0,MAX(0,(ACO27+ACD28-ACO28)/ACO27),0)</f>
        <v/>
      </c>
      <c r="ADM28" s="12" t="n">
        <v>24</v>
      </c>
      <c r="ADN28" s="12">
        <f>MOD(ADM28-1+LaunchMonth-1,12)+1</f>
        <v/>
      </c>
      <c r="ADO28" s="12">
        <f>INT((ADM28-1+LaunchMonth-1)/12)+1</f>
        <v/>
      </c>
      <c r="ADP28" s="12">
        <f>VLOOKUP(ADN28,SeasonTable,2,FALSE)</f>
        <v/>
      </c>
      <c r="ADQ28" s="12">
        <f>(1+InflationRate)^INT((ADM28-1)/12)</f>
        <v/>
      </c>
      <c r="ADR28" s="11">
        <f>MonthlyChurn*VLOOKUP(ADN28,ChurnSeasonTable,4,FALSE)</f>
        <v/>
      </c>
      <c r="ADS28" s="12">
        <f>MIN(MAX(MktMin19plus,AEM27*MktPct19plus),MAX(0,AFA27-CashBuffer))</f>
        <v/>
      </c>
      <c r="ADT28" s="12">
        <f>IF(ADS28&gt;0,MAX(1,ROUND(ADS28/CAC*ADP28,0)),0)</f>
        <v/>
      </c>
      <c r="ADU28" s="12">
        <f>IF(ADT28&gt;0,ROUND(ADT28*ReferralMix/(1-ReferralMix),0),0)</f>
        <v/>
      </c>
      <c r="ADV28" s="12">
        <f>ADT28+ADU28</f>
        <v/>
      </c>
      <c r="ADW28" s="12">
        <f>ROUND(ADV28*(1-'Sens - Annual Mix'!$A$15),0)</f>
        <v/>
      </c>
      <c r="ADX28" s="12">
        <f>ADV28-ADW28</f>
        <v/>
      </c>
      <c r="ADY28" s="12">
        <f>ROUND(ADW28*EssentialMix,0)</f>
        <v/>
      </c>
      <c r="ADZ28" s="12">
        <f>ADW28-ADY28</f>
        <v/>
      </c>
      <c r="AEA28" s="12">
        <f>ROUND(ADX28*EssentialMix,0)</f>
        <v/>
      </c>
      <c r="AEB28" s="12">
        <f>ADX28-AEA28</f>
        <v/>
      </c>
      <c r="AEC28" s="12">
        <f>ADY28+ADY27+ADY26+MAX(0,AEC27-ADY27-ADY26)*(1-ADR28)</f>
        <v/>
      </c>
      <c r="AED28" s="12">
        <f>ADZ28+ADZ27+ADZ26+MAX(0,AED27-ADZ27-ADZ26)*(1-ADR28)</f>
        <v/>
      </c>
      <c r="AEE28" s="12">
        <f>AEE27+AEA28-AEA16*(AnnualChurn*VLOOKUP(ADN28,ChurnSeasonTable,4,FALSE))*POWER(1-(AnnualChurn*VLOOKUP(ADN28,ChurnSeasonTable,4,FALSE)),0)</f>
        <v/>
      </c>
      <c r="AEF28" s="12">
        <f>AEF27+AEB28-AEB16*(AnnualChurn*VLOOKUP(ADN28,ChurnSeasonTable,4,FALSE))*POWER(1-(AnnualChurn*VLOOKUP(ADN28,ChurnSeasonTable,4,FALSE)),0)</f>
        <v/>
      </c>
      <c r="AEG28" s="12">
        <f>AEC28+AED28+AEE28+AEF28</f>
        <v/>
      </c>
      <c r="AEH28" s="9">
        <f>AEC28*PriceEssMonthly*ADQ28+AED28*PricePremMonthly*ADQ28+AEE28*PriceEssAnnual*ADQ28/12+AEF28*PricePremAnnual*ADQ28/12</f>
        <v/>
      </c>
      <c r="AEI28" s="9">
        <f>AEH28*12</f>
        <v/>
      </c>
      <c r="AEJ28" s="12">
        <f>AEC28*PriceEssMonthly*ADQ28+AED28*PricePremMonthly*ADQ28</f>
        <v/>
      </c>
      <c r="AEK28" s="12">
        <f>AEA28*PriceEssAnnual*ADQ28+AEB28*PricePremAnnual*ADQ28</f>
        <v/>
      </c>
      <c r="AEL28" s="12">
        <f>AEA16*POWER(1-(AnnualChurn*VLOOKUP(ADN28,ChurnSeasonTable,4,FALSE)),1)*PriceEssAnnual*ADQ28+AEB16*POWER(1-(AnnualChurn*VLOOKUP(ADN28,ChurnSeasonTable,4,FALSE)),1)*PricePremAnnual*ADQ28</f>
        <v/>
      </c>
      <c r="AEM28" s="9">
        <f>AEJ28+AEK28+AEL28</f>
        <v/>
      </c>
      <c r="AEN28" s="12">
        <f>SUM(AEM17:AEM28)</f>
        <v/>
      </c>
      <c r="AEO28" s="12">
        <f>OR(AEO27,AEN28&gt;=VATThreshold)</f>
        <v/>
      </c>
      <c r="AEP28" s="9">
        <f>IF(AEO28,AEM28/(1+VATRate),AEM28)</f>
        <v/>
      </c>
      <c r="AEQ28" s="12">
        <f>AEM28-AEP28</f>
        <v/>
      </c>
      <c r="AER28" s="12">
        <f>IF(AEO28=0,0,IF(ADN28=1,SUMPRODUCT(--(($ADO$5:$ADO28=$ADO28-1)*($ADN$5:$ADN28&gt;=10)*($ADN$5:$ADN28&lt;=12)),$AEQ$5:$AEQ28),IF(ADN28=4,SUMPRODUCT(--(($ADO$5:$ADO28=$ADO28)*($ADN$5:$ADN28&gt;=1)*($ADN$5:$ADN28&lt;=3)),$AEQ$5:$AEQ28),IF(ADN28=7,SUMPRODUCT(--(($ADO$5:$ADO28=$ADO28)*($ADN$5:$ADN28&gt;=4)*($ADN$5:$ADN28&lt;=6)),$AEQ$5:$AEQ28),IF(ADN28=10,SUMPRODUCT(--(($ADO$5:$ADO28=$ADO28)*($ADN$5:$ADN28&gt;=7)*($ADN$5:$ADN28&lt;=9)),$AEQ$5:$AEQ28),0)))))</f>
        <v/>
      </c>
      <c r="AES28" s="12">
        <f>AES27+AEQ28-AER28</f>
        <v/>
      </c>
      <c r="AET28" s="12">
        <f>IF(ProviderDelay&gt;=1,AEP27*ProviderShare,AEP28*ProviderShare)</f>
        <v/>
      </c>
      <c r="AEU28" s="12">
        <f>AEM28*PaymentFee</f>
        <v/>
      </c>
      <c r="AEV28" s="12">
        <f>AEG28*OpsAI</f>
        <v/>
      </c>
      <c r="AEW28" s="12">
        <f>MonthlyFixed</f>
        <v/>
      </c>
      <c r="AEX28" s="12">
        <f>ADU28*ReferralReward</f>
        <v/>
      </c>
      <c r="AEY28" s="12">
        <f>ADS28</f>
        <v/>
      </c>
      <c r="AEZ28" s="9">
        <f>AEP28-AET28-AEU28-AEV28-AEW28-AEX28-AEY28</f>
        <v/>
      </c>
      <c r="AFA28" s="9">
        <f>AFA27+AEM28-(AET28+AEU28+AEV28+AEW28+AEX28+AEY28+AER28)</f>
        <v/>
      </c>
      <c r="AFB28" s="12">
        <f>IF(AEG28&gt;0,AEH28/AEG28,0)</f>
        <v/>
      </c>
      <c r="AFC28" s="11">
        <f>IF(AEG27&gt;0,MAX(0,(AEG27+ADV28-AEG28)/AEG27),0)</f>
        <v/>
      </c>
      <c r="AFE28" s="12" t="n">
        <v>24</v>
      </c>
      <c r="AFF28" s="12">
        <f>MOD(AFE28-1+LaunchMonth-1,12)+1</f>
        <v/>
      </c>
      <c r="AFG28" s="12">
        <f>INT((AFE28-1+LaunchMonth-1)/12)+1</f>
        <v/>
      </c>
      <c r="AFH28" s="12">
        <f>VLOOKUP(AFF28,SeasonTable,2,FALSE)</f>
        <v/>
      </c>
      <c r="AFI28" s="12">
        <f>(1+InflationRate)^INT((AFE28-1)/12)</f>
        <v/>
      </c>
      <c r="AFJ28" s="11">
        <f>MonthlyChurn*VLOOKUP(AFF28,ChurnSeasonTable,4,FALSE)</f>
        <v/>
      </c>
      <c r="AFK28" s="12">
        <f>MIN(MAX(MktMin19plus,AGE27*MktPct19plus),MAX(0,AGS27-CashBuffer))</f>
        <v/>
      </c>
      <c r="AFL28" s="12">
        <f>IF(AFK28&gt;0,MAX(1,ROUND(AFK28/'Sens - CAC &amp; Marketing'!$A$9*AFH28,0)),0)</f>
        <v/>
      </c>
      <c r="AFM28" s="12">
        <f>IF(AFL28&gt;0,ROUND(AFL28*ReferralMix/(1-ReferralMix),0),0)</f>
        <v/>
      </c>
      <c r="AFN28" s="12">
        <f>AFL28+AFM28</f>
        <v/>
      </c>
      <c r="AFO28" s="12">
        <f>ROUND(AFN28*(1-AnnualMix),0)</f>
        <v/>
      </c>
      <c r="AFP28" s="12">
        <f>AFN28-AFO28</f>
        <v/>
      </c>
      <c r="AFQ28" s="12">
        <f>ROUND(AFO28*EssentialMix,0)</f>
        <v/>
      </c>
      <c r="AFR28" s="12">
        <f>AFO28-AFQ28</f>
        <v/>
      </c>
      <c r="AFS28" s="12">
        <f>ROUND(AFP28*EssentialMix,0)</f>
        <v/>
      </c>
      <c r="AFT28" s="12">
        <f>AFP28-AFS28</f>
        <v/>
      </c>
      <c r="AFU28" s="12">
        <f>AFQ28+AFQ27+AFQ26+MAX(0,AFU27-AFQ27-AFQ26)*(1-AFJ28)</f>
        <v/>
      </c>
      <c r="AFV28" s="12">
        <f>AFR28+AFR27+AFR26+MAX(0,AFV27-AFR27-AFR26)*(1-AFJ28)</f>
        <v/>
      </c>
      <c r="AFW28" s="12">
        <f>AFW27+AFS28-AFS16*(AnnualChurn*VLOOKUP(AFF28,ChurnSeasonTable,4,FALSE))*POWER(1-(AnnualChurn*VLOOKUP(AFF28,ChurnSeasonTable,4,FALSE)),0)</f>
        <v/>
      </c>
      <c r="AFX28" s="12">
        <f>AFX27+AFT28-AFT16*(AnnualChurn*VLOOKUP(AFF28,ChurnSeasonTable,4,FALSE))*POWER(1-(AnnualChurn*VLOOKUP(AFF28,ChurnSeasonTable,4,FALSE)),0)</f>
        <v/>
      </c>
      <c r="AFY28" s="12">
        <f>AFU28+AFV28+AFW28+AFX28</f>
        <v/>
      </c>
      <c r="AFZ28" s="9">
        <f>AFU28*PriceEssMonthly*AFI28+AFV28*PricePremMonthly*AFI28+AFW28*PriceEssAnnual*AFI28/12+AFX28*PricePremAnnual*AFI28/12</f>
        <v/>
      </c>
      <c r="AGA28" s="9">
        <f>AFZ28*12</f>
        <v/>
      </c>
      <c r="AGB28" s="12">
        <f>AFU28*PriceEssMonthly*AFI28+AFV28*PricePremMonthly*AFI28</f>
        <v/>
      </c>
      <c r="AGC28" s="12">
        <f>AFS28*PriceEssAnnual*AFI28+AFT28*PricePremAnnual*AFI28</f>
        <v/>
      </c>
      <c r="AGD28" s="12">
        <f>AFS16*POWER(1-(AnnualChurn*VLOOKUP(AFF28,ChurnSeasonTable,4,FALSE)),1)*PriceEssAnnual*AFI28+AFT16*POWER(1-(AnnualChurn*VLOOKUP(AFF28,ChurnSeasonTable,4,FALSE)),1)*PricePremAnnual*AFI28</f>
        <v/>
      </c>
      <c r="AGE28" s="9">
        <f>AGB28+AGC28+AGD28</f>
        <v/>
      </c>
      <c r="AGF28" s="12">
        <f>SUM(AGE17:AGE28)</f>
        <v/>
      </c>
      <c r="AGG28" s="12">
        <f>OR(AGG27,AGF28&gt;=VATThreshold)</f>
        <v/>
      </c>
      <c r="AGH28" s="9">
        <f>IF(AGG28,AGE28/(1+VATRate),AGE28)</f>
        <v/>
      </c>
      <c r="AGI28" s="12">
        <f>AGE28-AGH28</f>
        <v/>
      </c>
      <c r="AGJ28" s="12">
        <f>IF(AGG28=0,0,IF(AFF28=1,SUMPRODUCT(--(($AFG$5:$AFG28=$AFG28-1)*($AFF$5:$AFF28&gt;=10)*($AFF$5:$AFF28&lt;=12)),$AGI$5:$AGI28),IF(AFF28=4,SUMPRODUCT(--(($AFG$5:$AFG28=$AFG28)*($AFF$5:$AFF28&gt;=1)*($AFF$5:$AFF28&lt;=3)),$AGI$5:$AGI28),IF(AFF28=7,SUMPRODUCT(--(($AFG$5:$AFG28=$AFG28)*($AFF$5:$AFF28&gt;=4)*($AFF$5:$AFF28&lt;=6)),$AGI$5:$AGI28),IF(AFF28=10,SUMPRODUCT(--(($AFG$5:$AFG28=$AFG28)*($AFF$5:$AFF28&gt;=7)*($AFF$5:$AFF28&lt;=9)),$AGI$5:$AGI28),0)))))</f>
        <v/>
      </c>
      <c r="AGK28" s="12">
        <f>AGK27+AGI28-AGJ28</f>
        <v/>
      </c>
      <c r="AGL28" s="12">
        <f>IF(ProviderDelay&gt;=1,AGH27*ProviderShare,AGH28*ProviderShare)</f>
        <v/>
      </c>
      <c r="AGM28" s="12">
        <f>AGE28*PaymentFee</f>
        <v/>
      </c>
      <c r="AGN28" s="12">
        <f>AFY28*OpsAI</f>
        <v/>
      </c>
      <c r="AGO28" s="12">
        <f>MonthlyFixed</f>
        <v/>
      </c>
      <c r="AGP28" s="12">
        <f>AFM28*ReferralReward</f>
        <v/>
      </c>
      <c r="AGQ28" s="12">
        <f>AFK28</f>
        <v/>
      </c>
      <c r="AGR28" s="9">
        <f>AGH28-AGL28-AGM28-AGN28-AGO28-AGP28-AGQ28</f>
        <v/>
      </c>
      <c r="AGS28" s="9">
        <f>AGS27+AGE28-(AGL28+AGM28+AGN28+AGO28+AGP28+AGQ28+AGJ28)</f>
        <v/>
      </c>
      <c r="AGT28" s="12">
        <f>IF(AFY28&gt;0,AFZ28/AFY28,0)</f>
        <v/>
      </c>
      <c r="AGU28" s="11">
        <f>IF(AFY27&gt;0,MAX(0,(AFY27+AFN28-AFY28)/AFY27),0)</f>
        <v/>
      </c>
      <c r="AGW28" s="12" t="n">
        <v>24</v>
      </c>
      <c r="AGX28" s="12">
        <f>MOD(AGW28-1+LaunchMonth-1,12)+1</f>
        <v/>
      </c>
      <c r="AGY28" s="12">
        <f>INT((AGW28-1+LaunchMonth-1)/12)+1</f>
        <v/>
      </c>
      <c r="AGZ28" s="12">
        <f>VLOOKUP(AGX28,SeasonTable,2,FALSE)</f>
        <v/>
      </c>
      <c r="AHA28" s="12">
        <f>(1+InflationRate)^INT((AGW28-1)/12)</f>
        <v/>
      </c>
      <c r="AHB28" s="11">
        <f>MonthlyChurn*VLOOKUP(AGX28,ChurnSeasonTable,4,FALSE)</f>
        <v/>
      </c>
      <c r="AHC28" s="12">
        <f>MIN(MAX(MktMin19plus,AHW27*MktPct19plus),MAX(0,AIK27-CashBuffer))</f>
        <v/>
      </c>
      <c r="AHD28" s="12">
        <f>IF(AHC28&gt;0,MAX(1,ROUND(AHC28/'Sens - CAC &amp; Marketing'!$A$10*AGZ28,0)),0)</f>
        <v/>
      </c>
      <c r="AHE28" s="12">
        <f>IF(AHD28&gt;0,ROUND(AHD28*ReferralMix/(1-ReferralMix),0),0)</f>
        <v/>
      </c>
      <c r="AHF28" s="12">
        <f>AHD28+AHE28</f>
        <v/>
      </c>
      <c r="AHG28" s="12">
        <f>ROUND(AHF28*(1-AnnualMix),0)</f>
        <v/>
      </c>
      <c r="AHH28" s="12">
        <f>AHF28-AHG28</f>
        <v/>
      </c>
      <c r="AHI28" s="12">
        <f>ROUND(AHG28*EssentialMix,0)</f>
        <v/>
      </c>
      <c r="AHJ28" s="12">
        <f>AHG28-AHI28</f>
        <v/>
      </c>
      <c r="AHK28" s="12">
        <f>ROUND(AHH28*EssentialMix,0)</f>
        <v/>
      </c>
      <c r="AHL28" s="12">
        <f>AHH28-AHK28</f>
        <v/>
      </c>
      <c r="AHM28" s="12">
        <f>AHI28+AHI27+AHI26+MAX(0,AHM27-AHI27-AHI26)*(1-AHB28)</f>
        <v/>
      </c>
      <c r="AHN28" s="12">
        <f>AHJ28+AHJ27+AHJ26+MAX(0,AHN27-AHJ27-AHJ26)*(1-AHB28)</f>
        <v/>
      </c>
      <c r="AHO28" s="12">
        <f>AHO27+AHK28-AHK16*(AnnualChurn*VLOOKUP(AGX28,ChurnSeasonTable,4,FALSE))*POWER(1-(AnnualChurn*VLOOKUP(AGX28,ChurnSeasonTable,4,FALSE)),0)</f>
        <v/>
      </c>
      <c r="AHP28" s="12">
        <f>AHP27+AHL28-AHL16*(AnnualChurn*VLOOKUP(AGX28,ChurnSeasonTable,4,FALSE))*POWER(1-(AnnualChurn*VLOOKUP(AGX28,ChurnSeasonTable,4,FALSE)),0)</f>
        <v/>
      </c>
      <c r="AHQ28" s="12">
        <f>AHM28+AHN28+AHO28+AHP28</f>
        <v/>
      </c>
      <c r="AHR28" s="9">
        <f>AHM28*PriceEssMonthly*AHA28+AHN28*PricePremMonthly*AHA28+AHO28*PriceEssAnnual*AHA28/12+AHP28*PricePremAnnual*AHA28/12</f>
        <v/>
      </c>
      <c r="AHS28" s="9">
        <f>AHR28*12</f>
        <v/>
      </c>
      <c r="AHT28" s="12">
        <f>AHM28*PriceEssMonthly*AHA28+AHN28*PricePremMonthly*AHA28</f>
        <v/>
      </c>
      <c r="AHU28" s="12">
        <f>AHK28*PriceEssAnnual*AHA28+AHL28*PricePremAnnual*AHA28</f>
        <v/>
      </c>
      <c r="AHV28" s="12">
        <f>AHK16*POWER(1-(AnnualChurn*VLOOKUP(AGX28,ChurnSeasonTable,4,FALSE)),1)*PriceEssAnnual*AHA28+AHL16*POWER(1-(AnnualChurn*VLOOKUP(AGX28,ChurnSeasonTable,4,FALSE)),1)*PricePremAnnual*AHA28</f>
        <v/>
      </c>
      <c r="AHW28" s="9">
        <f>AHT28+AHU28+AHV28</f>
        <v/>
      </c>
      <c r="AHX28" s="12">
        <f>SUM(AHW17:AHW28)</f>
        <v/>
      </c>
      <c r="AHY28" s="12">
        <f>OR(AHY27,AHX28&gt;=VATThreshold)</f>
        <v/>
      </c>
      <c r="AHZ28" s="9">
        <f>IF(AHY28,AHW28/(1+VATRate),AHW28)</f>
        <v/>
      </c>
      <c r="AIA28" s="12">
        <f>AHW28-AHZ28</f>
        <v/>
      </c>
      <c r="AIB28" s="12">
        <f>IF(AHY28=0,0,IF(AGX28=1,SUMPRODUCT(--(($AGY$5:$AGY28=$AGY28-1)*($AGX$5:$AGX28&gt;=10)*($AGX$5:$AGX28&lt;=12)),$AIA$5:$AIA28),IF(AGX28=4,SUMPRODUCT(--(($AGY$5:$AGY28=$AGY28)*($AGX$5:$AGX28&gt;=1)*($AGX$5:$AGX28&lt;=3)),$AIA$5:$AIA28),IF(AGX28=7,SUMPRODUCT(--(($AGY$5:$AGY28=$AGY28)*($AGX$5:$AGX28&gt;=4)*($AGX$5:$AGX28&lt;=6)),$AIA$5:$AIA28),IF(AGX28=10,SUMPRODUCT(--(($AGY$5:$AGY28=$AGY28)*($AGX$5:$AGX28&gt;=7)*($AGX$5:$AGX28&lt;=9)),$AIA$5:$AIA28),0)))))</f>
        <v/>
      </c>
      <c r="AIC28" s="12">
        <f>AIC27+AIA28-AIB28</f>
        <v/>
      </c>
      <c r="AID28" s="12">
        <f>IF(ProviderDelay&gt;=1,AHZ27*ProviderShare,AHZ28*ProviderShare)</f>
        <v/>
      </c>
      <c r="AIE28" s="12">
        <f>AHW28*PaymentFee</f>
        <v/>
      </c>
      <c r="AIF28" s="12">
        <f>AHQ28*OpsAI</f>
        <v/>
      </c>
      <c r="AIG28" s="12">
        <f>MonthlyFixed</f>
        <v/>
      </c>
      <c r="AIH28" s="12">
        <f>AHE28*ReferralReward</f>
        <v/>
      </c>
      <c r="AII28" s="12">
        <f>AHC28</f>
        <v/>
      </c>
      <c r="AIJ28" s="9">
        <f>AHZ28-AID28-AIE28-AIF28-AIG28-AIH28-AII28</f>
        <v/>
      </c>
      <c r="AIK28" s="9">
        <f>AIK27+AHW28-(AID28+AIE28+AIF28+AIG28+AIH28+AII28+AIB28)</f>
        <v/>
      </c>
      <c r="AIL28" s="12">
        <f>IF(AHQ28&gt;0,AHR28/AHQ28,0)</f>
        <v/>
      </c>
      <c r="AIM28" s="11">
        <f>IF(AHQ27&gt;0,MAX(0,(AHQ27+AHF28-AHQ28)/AHQ27),0)</f>
        <v/>
      </c>
      <c r="AIO28" s="12" t="n">
        <v>24</v>
      </c>
      <c r="AIP28" s="12">
        <f>MOD(AIO28-1+LaunchMonth-1,12)+1</f>
        <v/>
      </c>
      <c r="AIQ28" s="12">
        <f>INT((AIO28-1+LaunchMonth-1)/12)+1</f>
        <v/>
      </c>
      <c r="AIR28" s="12">
        <f>VLOOKUP(AIP28,SeasonTable,2,FALSE)</f>
        <v/>
      </c>
      <c r="AIS28" s="12">
        <f>(1+InflationRate)^INT((AIO28-1)/12)</f>
        <v/>
      </c>
      <c r="AIT28" s="11">
        <f>MonthlyChurn*VLOOKUP(AIP28,ChurnSeasonTable,4,FALSE)</f>
        <v/>
      </c>
      <c r="AIU28" s="12">
        <f>MIN(MAX(MktMin19plus,AJO27*MktPct19plus),MAX(0,AKC27-CashBuffer))</f>
        <v/>
      </c>
      <c r="AIV28" s="12">
        <f>IF(AIU28&gt;0,MAX(1,ROUND(AIU28/'Sens - CAC &amp; Marketing'!$A$11*AIR28,0)),0)</f>
        <v/>
      </c>
      <c r="AIW28" s="12">
        <f>IF(AIV28&gt;0,ROUND(AIV28*ReferralMix/(1-ReferralMix),0),0)</f>
        <v/>
      </c>
      <c r="AIX28" s="12">
        <f>AIV28+AIW28</f>
        <v/>
      </c>
      <c r="AIY28" s="12">
        <f>ROUND(AIX28*(1-AnnualMix),0)</f>
        <v/>
      </c>
      <c r="AIZ28" s="12">
        <f>AIX28-AIY28</f>
        <v/>
      </c>
      <c r="AJA28" s="12">
        <f>ROUND(AIY28*EssentialMix,0)</f>
        <v/>
      </c>
      <c r="AJB28" s="12">
        <f>AIY28-AJA28</f>
        <v/>
      </c>
      <c r="AJC28" s="12">
        <f>ROUND(AIZ28*EssentialMix,0)</f>
        <v/>
      </c>
      <c r="AJD28" s="12">
        <f>AIZ28-AJC28</f>
        <v/>
      </c>
      <c r="AJE28" s="12">
        <f>AJA28+AJA27+AJA26+MAX(0,AJE27-AJA27-AJA26)*(1-AIT28)</f>
        <v/>
      </c>
      <c r="AJF28" s="12">
        <f>AJB28+AJB27+AJB26+MAX(0,AJF27-AJB27-AJB26)*(1-AIT28)</f>
        <v/>
      </c>
      <c r="AJG28" s="12">
        <f>AJG27+AJC28-AJC16*(AnnualChurn*VLOOKUP(AIP28,ChurnSeasonTable,4,FALSE))*POWER(1-(AnnualChurn*VLOOKUP(AIP28,ChurnSeasonTable,4,FALSE)),0)</f>
        <v/>
      </c>
      <c r="AJH28" s="12">
        <f>AJH27+AJD28-AJD16*(AnnualChurn*VLOOKUP(AIP28,ChurnSeasonTable,4,FALSE))*POWER(1-(AnnualChurn*VLOOKUP(AIP28,ChurnSeasonTable,4,FALSE)),0)</f>
        <v/>
      </c>
      <c r="AJI28" s="12">
        <f>AJE28+AJF28+AJG28+AJH28</f>
        <v/>
      </c>
      <c r="AJJ28" s="9">
        <f>AJE28*PriceEssMonthly*AIS28+AJF28*PricePremMonthly*AIS28+AJG28*PriceEssAnnual*AIS28/12+AJH28*PricePremAnnual*AIS28/12</f>
        <v/>
      </c>
      <c r="AJK28" s="9">
        <f>AJJ28*12</f>
        <v/>
      </c>
      <c r="AJL28" s="12">
        <f>AJE28*PriceEssMonthly*AIS28+AJF28*PricePremMonthly*AIS28</f>
        <v/>
      </c>
      <c r="AJM28" s="12">
        <f>AJC28*PriceEssAnnual*AIS28+AJD28*PricePremAnnual*AIS28</f>
        <v/>
      </c>
      <c r="AJN28" s="12">
        <f>AJC16*POWER(1-(AnnualChurn*VLOOKUP(AIP28,ChurnSeasonTable,4,FALSE)),1)*PriceEssAnnual*AIS28+AJD16*POWER(1-(AnnualChurn*VLOOKUP(AIP28,ChurnSeasonTable,4,FALSE)),1)*PricePremAnnual*AIS28</f>
        <v/>
      </c>
      <c r="AJO28" s="9">
        <f>AJL28+AJM28+AJN28</f>
        <v/>
      </c>
      <c r="AJP28" s="12">
        <f>SUM(AJO17:AJO28)</f>
        <v/>
      </c>
      <c r="AJQ28" s="12">
        <f>OR(AJQ27,AJP28&gt;=VATThreshold)</f>
        <v/>
      </c>
      <c r="AJR28" s="9">
        <f>IF(AJQ28,AJO28/(1+VATRate),AJO28)</f>
        <v/>
      </c>
      <c r="AJS28" s="12">
        <f>AJO28-AJR28</f>
        <v/>
      </c>
      <c r="AJT28" s="12">
        <f>IF(AJQ28=0,0,IF(AIP28=1,SUMPRODUCT(--(($AIQ$5:$AIQ28=$AIQ28-1)*($AIP$5:$AIP28&gt;=10)*($AIP$5:$AIP28&lt;=12)),$AJS$5:$AJS28),IF(AIP28=4,SUMPRODUCT(--(($AIQ$5:$AIQ28=$AIQ28)*($AIP$5:$AIP28&gt;=1)*($AIP$5:$AIP28&lt;=3)),$AJS$5:$AJS28),IF(AIP28=7,SUMPRODUCT(--(($AIQ$5:$AIQ28=$AIQ28)*($AIP$5:$AIP28&gt;=4)*($AIP$5:$AIP28&lt;=6)),$AJS$5:$AJS28),IF(AIP28=10,SUMPRODUCT(--(($AIQ$5:$AIQ28=$AIQ28)*($AIP$5:$AIP28&gt;=7)*($AIP$5:$AIP28&lt;=9)),$AJS$5:$AJS28),0)))))</f>
        <v/>
      </c>
      <c r="AJU28" s="12">
        <f>AJU27+AJS28-AJT28</f>
        <v/>
      </c>
      <c r="AJV28" s="12">
        <f>IF(ProviderDelay&gt;=1,AJR27*ProviderShare,AJR28*ProviderShare)</f>
        <v/>
      </c>
      <c r="AJW28" s="12">
        <f>AJO28*PaymentFee</f>
        <v/>
      </c>
      <c r="AJX28" s="12">
        <f>AJI28*OpsAI</f>
        <v/>
      </c>
      <c r="AJY28" s="12">
        <f>MonthlyFixed</f>
        <v/>
      </c>
      <c r="AJZ28" s="12">
        <f>AIW28*ReferralReward</f>
        <v/>
      </c>
      <c r="AKA28" s="12">
        <f>AIU28</f>
        <v/>
      </c>
      <c r="AKB28" s="9">
        <f>AJR28-AJV28-AJW28-AJX28-AJY28-AJZ28-AKA28</f>
        <v/>
      </c>
      <c r="AKC28" s="9">
        <f>AKC27+AJO28-(AJV28+AJW28+AJX28+AJY28+AJZ28+AKA28+AJT28)</f>
        <v/>
      </c>
      <c r="AKD28" s="12">
        <f>IF(AJI28&gt;0,AJJ28/AJI28,0)</f>
        <v/>
      </c>
      <c r="AKE28" s="11">
        <f>IF(AJI27&gt;0,MAX(0,(AJI27+AIX28-AJI28)/AJI27),0)</f>
        <v/>
      </c>
      <c r="AKG28" s="12" t="n">
        <v>24</v>
      </c>
      <c r="AKH28" s="12">
        <f>MOD(AKG28-1+LaunchMonth-1,12)+1</f>
        <v/>
      </c>
      <c r="AKI28" s="12">
        <f>INT((AKG28-1+LaunchMonth-1)/12)+1</f>
        <v/>
      </c>
      <c r="AKJ28" s="12">
        <f>VLOOKUP(AKH28,SeasonTable,2,FALSE)</f>
        <v/>
      </c>
      <c r="AKK28" s="12">
        <f>(1+InflationRate)^INT((AKG28-1)/12)</f>
        <v/>
      </c>
      <c r="AKL28" s="11">
        <f>MonthlyChurn*VLOOKUP(AKH28,ChurnSeasonTable,4,FALSE)</f>
        <v/>
      </c>
      <c r="AKM28" s="12">
        <f>MIN(MAX(MktMin19plus,ALG27*MktPct19plus),MAX(0,ALU27-CashBuffer))</f>
        <v/>
      </c>
      <c r="AKN28" s="12">
        <f>IF(AKM28&gt;0,MAX(1,ROUND(AKM28/'Sens - CAC &amp; Marketing'!$A$12*AKJ28,0)),0)</f>
        <v/>
      </c>
      <c r="AKO28" s="12">
        <f>IF(AKN28&gt;0,ROUND(AKN28*ReferralMix/(1-ReferralMix),0),0)</f>
        <v/>
      </c>
      <c r="AKP28" s="12">
        <f>AKN28+AKO28</f>
        <v/>
      </c>
      <c r="AKQ28" s="12">
        <f>ROUND(AKP28*(1-AnnualMix),0)</f>
        <v/>
      </c>
      <c r="AKR28" s="12">
        <f>AKP28-AKQ28</f>
        <v/>
      </c>
      <c r="AKS28" s="12">
        <f>ROUND(AKQ28*EssentialMix,0)</f>
        <v/>
      </c>
      <c r="AKT28" s="12">
        <f>AKQ28-AKS28</f>
        <v/>
      </c>
      <c r="AKU28" s="12">
        <f>ROUND(AKR28*EssentialMix,0)</f>
        <v/>
      </c>
      <c r="AKV28" s="12">
        <f>AKR28-AKU28</f>
        <v/>
      </c>
      <c r="AKW28" s="12">
        <f>AKS28+AKS27+AKS26+MAX(0,AKW27-AKS27-AKS26)*(1-AKL28)</f>
        <v/>
      </c>
      <c r="AKX28" s="12">
        <f>AKT28+AKT27+AKT26+MAX(0,AKX27-AKT27-AKT26)*(1-AKL28)</f>
        <v/>
      </c>
      <c r="AKY28" s="12">
        <f>AKY27+AKU28-AKU16*(AnnualChurn*VLOOKUP(AKH28,ChurnSeasonTable,4,FALSE))*POWER(1-(AnnualChurn*VLOOKUP(AKH28,ChurnSeasonTable,4,FALSE)),0)</f>
        <v/>
      </c>
      <c r="AKZ28" s="12">
        <f>AKZ27+AKV28-AKV16*(AnnualChurn*VLOOKUP(AKH28,ChurnSeasonTable,4,FALSE))*POWER(1-(AnnualChurn*VLOOKUP(AKH28,ChurnSeasonTable,4,FALSE)),0)</f>
        <v/>
      </c>
      <c r="ALA28" s="12">
        <f>AKW28+AKX28+AKY28+AKZ28</f>
        <v/>
      </c>
      <c r="ALB28" s="9">
        <f>AKW28*PriceEssMonthly*AKK28+AKX28*PricePremMonthly*AKK28+AKY28*PriceEssAnnual*AKK28/12+AKZ28*PricePremAnnual*AKK28/12</f>
        <v/>
      </c>
      <c r="ALC28" s="9">
        <f>ALB28*12</f>
        <v/>
      </c>
      <c r="ALD28" s="12">
        <f>AKW28*PriceEssMonthly*AKK28+AKX28*PricePremMonthly*AKK28</f>
        <v/>
      </c>
      <c r="ALE28" s="12">
        <f>AKU28*PriceEssAnnual*AKK28+AKV28*PricePremAnnual*AKK28</f>
        <v/>
      </c>
      <c r="ALF28" s="12">
        <f>AKU16*POWER(1-(AnnualChurn*VLOOKUP(AKH28,ChurnSeasonTable,4,FALSE)),1)*PriceEssAnnual*AKK28+AKV16*POWER(1-(AnnualChurn*VLOOKUP(AKH28,ChurnSeasonTable,4,FALSE)),1)*PricePremAnnual*AKK28</f>
        <v/>
      </c>
      <c r="ALG28" s="9">
        <f>ALD28+ALE28+ALF28</f>
        <v/>
      </c>
      <c r="ALH28" s="12">
        <f>SUM(ALG17:ALG28)</f>
        <v/>
      </c>
      <c r="ALI28" s="12">
        <f>OR(ALI27,ALH28&gt;=VATThreshold)</f>
        <v/>
      </c>
      <c r="ALJ28" s="9">
        <f>IF(ALI28,ALG28/(1+VATRate),ALG28)</f>
        <v/>
      </c>
      <c r="ALK28" s="12">
        <f>ALG28-ALJ28</f>
        <v/>
      </c>
      <c r="ALL28" s="12">
        <f>IF(ALI28=0,0,IF(AKH28=1,SUMPRODUCT(--(($AKI$5:$AKI28=$AKI28-1)*($AKH$5:$AKH28&gt;=10)*($AKH$5:$AKH28&lt;=12)),$ALK$5:$ALK28),IF(AKH28=4,SUMPRODUCT(--(($AKI$5:$AKI28=$AKI28)*($AKH$5:$AKH28&gt;=1)*($AKH$5:$AKH28&lt;=3)),$ALK$5:$ALK28),IF(AKH28=7,SUMPRODUCT(--(($AKI$5:$AKI28=$AKI28)*($AKH$5:$AKH28&gt;=4)*($AKH$5:$AKH28&lt;=6)),$ALK$5:$ALK28),IF(AKH28=10,SUMPRODUCT(--(($AKI$5:$AKI28=$AKI28)*($AKH$5:$AKH28&gt;=7)*($AKH$5:$AKH28&lt;=9)),$ALK$5:$ALK28),0)))))</f>
        <v/>
      </c>
      <c r="ALM28" s="12">
        <f>ALM27+ALK28-ALL28</f>
        <v/>
      </c>
      <c r="ALN28" s="12">
        <f>IF(ProviderDelay&gt;=1,ALJ27*ProviderShare,ALJ28*ProviderShare)</f>
        <v/>
      </c>
      <c r="ALO28" s="12">
        <f>ALG28*PaymentFee</f>
        <v/>
      </c>
      <c r="ALP28" s="12">
        <f>ALA28*OpsAI</f>
        <v/>
      </c>
      <c r="ALQ28" s="12">
        <f>MonthlyFixed</f>
        <v/>
      </c>
      <c r="ALR28" s="12">
        <f>AKO28*ReferralReward</f>
        <v/>
      </c>
      <c r="ALS28" s="12">
        <f>AKM28</f>
        <v/>
      </c>
      <c r="ALT28" s="9">
        <f>ALJ28-ALN28-ALO28-ALP28-ALQ28-ALR28-ALS28</f>
        <v/>
      </c>
      <c r="ALU28" s="9">
        <f>ALU27+ALG28-(ALN28+ALO28+ALP28+ALQ28+ALR28+ALS28+ALL28)</f>
        <v/>
      </c>
      <c r="ALV28" s="12">
        <f>IF(ALA28&gt;0,ALB28/ALA28,0)</f>
        <v/>
      </c>
      <c r="ALW28" s="11">
        <f>IF(ALA27&gt;0,MAX(0,(ALA27+AKP28-ALA28)/ALA27),0)</f>
        <v/>
      </c>
      <c r="ALY28" s="12" t="n">
        <v>24</v>
      </c>
      <c r="ALZ28" s="12">
        <f>MOD(ALY28-1+LaunchMonth-1,12)+1</f>
        <v/>
      </c>
      <c r="AMA28" s="12">
        <f>INT((ALY28-1+LaunchMonth-1)/12)+1</f>
        <v/>
      </c>
      <c r="AMB28" s="12">
        <f>VLOOKUP(ALZ28,SeasonTable,2,FALSE)</f>
        <v/>
      </c>
      <c r="AMC28" s="12">
        <f>(1+InflationRate)^INT((ALY28-1)/12)</f>
        <v/>
      </c>
      <c r="AMD28" s="11">
        <f>MonthlyChurn*VLOOKUP(ALZ28,ChurnSeasonTable,4,FALSE)</f>
        <v/>
      </c>
      <c r="AME28" s="12">
        <f>MIN(MAX(MktMin19plus,AMY27*MktPct19plus),MAX(0,ANM27-CashBuffer))</f>
        <v/>
      </c>
      <c r="AMF28" s="12">
        <f>IF(AME28&gt;0,MAX(1,ROUND(AME28/'Sens - CAC &amp; Marketing'!$A$13*AMB28,0)),0)</f>
        <v/>
      </c>
      <c r="AMG28" s="12">
        <f>IF(AMF28&gt;0,ROUND(AMF28*ReferralMix/(1-ReferralMix),0),0)</f>
        <v/>
      </c>
      <c r="AMH28" s="12">
        <f>AMF28+AMG28</f>
        <v/>
      </c>
      <c r="AMI28" s="12">
        <f>ROUND(AMH28*(1-AnnualMix),0)</f>
        <v/>
      </c>
      <c r="AMJ28" s="12">
        <f>AMH28-AMI28</f>
        <v/>
      </c>
      <c r="AMK28" s="12">
        <f>ROUND(AMI28*EssentialMix,0)</f>
        <v/>
      </c>
      <c r="AML28" s="12">
        <f>AMI28-AMK28</f>
        <v/>
      </c>
      <c r="AMM28" s="12">
        <f>ROUND(AMJ28*EssentialMix,0)</f>
        <v/>
      </c>
      <c r="AMN28" s="12">
        <f>AMJ28-AMM28</f>
        <v/>
      </c>
      <c r="AMO28" s="12">
        <f>AMK28+AMK27+AMK26+MAX(0,AMO27-AMK27-AMK26)*(1-AMD28)</f>
        <v/>
      </c>
      <c r="AMP28" s="12">
        <f>AML28+AML27+AML26+MAX(0,AMP27-AML27-AML26)*(1-AMD28)</f>
        <v/>
      </c>
      <c r="AMQ28" s="12">
        <f>AMQ27+AMM28-AMM16*(AnnualChurn*VLOOKUP(ALZ28,ChurnSeasonTable,4,FALSE))*POWER(1-(AnnualChurn*VLOOKUP(ALZ28,ChurnSeasonTable,4,FALSE)),0)</f>
        <v/>
      </c>
      <c r="AMR28" s="12">
        <f>AMR27+AMN28-AMN16*(AnnualChurn*VLOOKUP(ALZ28,ChurnSeasonTable,4,FALSE))*POWER(1-(AnnualChurn*VLOOKUP(ALZ28,ChurnSeasonTable,4,FALSE)),0)</f>
        <v/>
      </c>
      <c r="AMS28" s="12">
        <f>AMO28+AMP28+AMQ28+AMR28</f>
        <v/>
      </c>
      <c r="AMT28" s="9">
        <f>AMO28*PriceEssMonthly*AMC28+AMP28*PricePremMonthly*AMC28+AMQ28*PriceEssAnnual*AMC28/12+AMR28*PricePremAnnual*AMC28/12</f>
        <v/>
      </c>
      <c r="AMU28" s="9">
        <f>AMT28*12</f>
        <v/>
      </c>
      <c r="AMV28" s="12">
        <f>AMO28*PriceEssMonthly*AMC28+AMP28*PricePremMonthly*AMC28</f>
        <v/>
      </c>
      <c r="AMW28" s="12">
        <f>AMM28*PriceEssAnnual*AMC28+AMN28*PricePremAnnual*AMC28</f>
        <v/>
      </c>
      <c r="AMX28" s="12">
        <f>AMM16*POWER(1-(AnnualChurn*VLOOKUP(ALZ28,ChurnSeasonTable,4,FALSE)),1)*PriceEssAnnual*AMC28+AMN16*POWER(1-(AnnualChurn*VLOOKUP(ALZ28,ChurnSeasonTable,4,FALSE)),1)*PricePremAnnual*AMC28</f>
        <v/>
      </c>
      <c r="AMY28" s="9">
        <f>AMV28+AMW28+AMX28</f>
        <v/>
      </c>
      <c r="AMZ28" s="12">
        <f>SUM(AMY17:AMY28)</f>
        <v/>
      </c>
      <c r="ANA28" s="12">
        <f>OR(ANA27,AMZ28&gt;=VATThreshold)</f>
        <v/>
      </c>
      <c r="ANB28" s="9">
        <f>IF(ANA28,AMY28/(1+VATRate),AMY28)</f>
        <v/>
      </c>
      <c r="ANC28" s="12">
        <f>AMY28-ANB28</f>
        <v/>
      </c>
      <c r="AND28" s="12">
        <f>IF(ANA28=0,0,IF(ALZ28=1,SUMPRODUCT(--(($AMA$5:$AMA28=$AMA28-1)*($ALZ$5:$ALZ28&gt;=10)*($ALZ$5:$ALZ28&lt;=12)),$ANC$5:$ANC28),IF(ALZ28=4,SUMPRODUCT(--(($AMA$5:$AMA28=$AMA28)*($ALZ$5:$ALZ28&gt;=1)*($ALZ$5:$ALZ28&lt;=3)),$ANC$5:$ANC28),IF(ALZ28=7,SUMPRODUCT(--(($AMA$5:$AMA28=$AMA28)*($ALZ$5:$ALZ28&gt;=4)*($ALZ$5:$ALZ28&lt;=6)),$ANC$5:$ANC28),IF(ALZ28=10,SUMPRODUCT(--(($AMA$5:$AMA28=$AMA28)*($ALZ$5:$ALZ28&gt;=7)*($ALZ$5:$ALZ28&lt;=9)),$ANC$5:$ANC28),0)))))</f>
        <v/>
      </c>
      <c r="ANE28" s="12">
        <f>ANE27+ANC28-AND28</f>
        <v/>
      </c>
      <c r="ANF28" s="12">
        <f>IF(ProviderDelay&gt;=1,ANB27*ProviderShare,ANB28*ProviderShare)</f>
        <v/>
      </c>
      <c r="ANG28" s="12">
        <f>AMY28*PaymentFee</f>
        <v/>
      </c>
      <c r="ANH28" s="12">
        <f>AMS28*OpsAI</f>
        <v/>
      </c>
      <c r="ANI28" s="12">
        <f>MonthlyFixed</f>
        <v/>
      </c>
      <c r="ANJ28" s="12">
        <f>AMG28*ReferralReward</f>
        <v/>
      </c>
      <c r="ANK28" s="12">
        <f>AME28</f>
        <v/>
      </c>
      <c r="ANL28" s="9">
        <f>ANB28-ANF28-ANG28-ANH28-ANI28-ANJ28-ANK28</f>
        <v/>
      </c>
      <c r="ANM28" s="9">
        <f>ANM27+AMY28-(ANF28+ANG28+ANH28+ANI28+ANJ28+ANK28+AND28)</f>
        <v/>
      </c>
      <c r="ANN28" s="12">
        <f>IF(AMS28&gt;0,AMT28/AMS28,0)</f>
        <v/>
      </c>
      <c r="ANO28" s="11">
        <f>IF(AMS27&gt;0,MAX(0,(AMS27+AMH28-AMS28)/AMS27),0)</f>
        <v/>
      </c>
      <c r="ANQ28" s="12" t="n">
        <v>24</v>
      </c>
      <c r="ANR28" s="12">
        <f>MOD(ANQ28-1+LaunchMonth-1,12)+1</f>
        <v/>
      </c>
      <c r="ANS28" s="12">
        <f>INT((ANQ28-1+LaunchMonth-1)/12)+1</f>
        <v/>
      </c>
      <c r="ANT28" s="12">
        <f>VLOOKUP(ANR28,SeasonTable,2,FALSE)</f>
        <v/>
      </c>
      <c r="ANU28" s="12">
        <f>(1+InflationRate)^INT((ANQ28-1)/12)</f>
        <v/>
      </c>
      <c r="ANV28" s="11">
        <f>MonthlyChurn*VLOOKUP(ANR28,ChurnSeasonTable,4,FALSE)</f>
        <v/>
      </c>
      <c r="ANW28" s="12">
        <f>MIN(MAX(MktMin19plus,AOQ27*MktPct19plus),MAX(0,APE27-CashBuffer))</f>
        <v/>
      </c>
      <c r="ANX28" s="12">
        <f>IF(ANW28&gt;0,MAX(1,ROUND(ANW28/'Sens - CAC &amp; Marketing'!$A$14*ANT28,0)),0)</f>
        <v/>
      </c>
      <c r="ANY28" s="12">
        <f>IF(ANX28&gt;0,ROUND(ANX28*ReferralMix/(1-ReferralMix),0),0)</f>
        <v/>
      </c>
      <c r="ANZ28" s="12">
        <f>ANX28+ANY28</f>
        <v/>
      </c>
      <c r="AOA28" s="12">
        <f>ROUND(ANZ28*(1-AnnualMix),0)</f>
        <v/>
      </c>
      <c r="AOB28" s="12">
        <f>ANZ28-AOA28</f>
        <v/>
      </c>
      <c r="AOC28" s="12">
        <f>ROUND(AOA28*EssentialMix,0)</f>
        <v/>
      </c>
      <c r="AOD28" s="12">
        <f>AOA28-AOC28</f>
        <v/>
      </c>
      <c r="AOE28" s="12">
        <f>ROUND(AOB28*EssentialMix,0)</f>
        <v/>
      </c>
      <c r="AOF28" s="12">
        <f>AOB28-AOE28</f>
        <v/>
      </c>
      <c r="AOG28" s="12">
        <f>AOC28+AOC27+AOC26+MAX(0,AOG27-AOC27-AOC26)*(1-ANV28)</f>
        <v/>
      </c>
      <c r="AOH28" s="12">
        <f>AOD28+AOD27+AOD26+MAX(0,AOH27-AOD27-AOD26)*(1-ANV28)</f>
        <v/>
      </c>
      <c r="AOI28" s="12">
        <f>AOI27+AOE28-AOE16*(AnnualChurn*VLOOKUP(ANR28,ChurnSeasonTable,4,FALSE))*POWER(1-(AnnualChurn*VLOOKUP(ANR28,ChurnSeasonTable,4,FALSE)),0)</f>
        <v/>
      </c>
      <c r="AOJ28" s="12">
        <f>AOJ27+AOF28-AOF16*(AnnualChurn*VLOOKUP(ANR28,ChurnSeasonTable,4,FALSE))*POWER(1-(AnnualChurn*VLOOKUP(ANR28,ChurnSeasonTable,4,FALSE)),0)</f>
        <v/>
      </c>
      <c r="AOK28" s="12">
        <f>AOG28+AOH28+AOI28+AOJ28</f>
        <v/>
      </c>
      <c r="AOL28" s="9">
        <f>AOG28*PriceEssMonthly*ANU28+AOH28*PricePremMonthly*ANU28+AOI28*PriceEssAnnual*ANU28/12+AOJ28*PricePremAnnual*ANU28/12</f>
        <v/>
      </c>
      <c r="AOM28" s="9">
        <f>AOL28*12</f>
        <v/>
      </c>
      <c r="AON28" s="12">
        <f>AOG28*PriceEssMonthly*ANU28+AOH28*PricePremMonthly*ANU28</f>
        <v/>
      </c>
      <c r="AOO28" s="12">
        <f>AOE28*PriceEssAnnual*ANU28+AOF28*PricePremAnnual*ANU28</f>
        <v/>
      </c>
      <c r="AOP28" s="12">
        <f>AOE16*POWER(1-(AnnualChurn*VLOOKUP(ANR28,ChurnSeasonTable,4,FALSE)),1)*PriceEssAnnual*ANU28+AOF16*POWER(1-(AnnualChurn*VLOOKUP(ANR28,ChurnSeasonTable,4,FALSE)),1)*PricePremAnnual*ANU28</f>
        <v/>
      </c>
      <c r="AOQ28" s="9">
        <f>AON28+AOO28+AOP28</f>
        <v/>
      </c>
      <c r="AOR28" s="12">
        <f>SUM(AOQ17:AOQ28)</f>
        <v/>
      </c>
      <c r="AOS28" s="12">
        <f>OR(AOS27,AOR28&gt;=VATThreshold)</f>
        <v/>
      </c>
      <c r="AOT28" s="9">
        <f>IF(AOS28,AOQ28/(1+VATRate),AOQ28)</f>
        <v/>
      </c>
      <c r="AOU28" s="12">
        <f>AOQ28-AOT28</f>
        <v/>
      </c>
      <c r="AOV28" s="12">
        <f>IF(AOS28=0,0,IF(ANR28=1,SUMPRODUCT(--(($ANS$5:$ANS28=$ANS28-1)*($ANR$5:$ANR28&gt;=10)*($ANR$5:$ANR28&lt;=12)),$AOU$5:$AOU28),IF(ANR28=4,SUMPRODUCT(--(($ANS$5:$ANS28=$ANS28)*($ANR$5:$ANR28&gt;=1)*($ANR$5:$ANR28&lt;=3)),$AOU$5:$AOU28),IF(ANR28=7,SUMPRODUCT(--(($ANS$5:$ANS28=$ANS28)*($ANR$5:$ANR28&gt;=4)*($ANR$5:$ANR28&lt;=6)),$AOU$5:$AOU28),IF(ANR28=10,SUMPRODUCT(--(($ANS$5:$ANS28=$ANS28)*($ANR$5:$ANR28&gt;=7)*($ANR$5:$ANR28&lt;=9)),$AOU$5:$AOU28),0)))))</f>
        <v/>
      </c>
      <c r="AOW28" s="12">
        <f>AOW27+AOU28-AOV28</f>
        <v/>
      </c>
      <c r="AOX28" s="12">
        <f>IF(ProviderDelay&gt;=1,AOT27*ProviderShare,AOT28*ProviderShare)</f>
        <v/>
      </c>
      <c r="AOY28" s="12">
        <f>AOQ28*PaymentFee</f>
        <v/>
      </c>
      <c r="AOZ28" s="12">
        <f>AOK28*OpsAI</f>
        <v/>
      </c>
      <c r="APA28" s="12">
        <f>MonthlyFixed</f>
        <v/>
      </c>
      <c r="APB28" s="12">
        <f>ANY28*ReferralReward</f>
        <v/>
      </c>
      <c r="APC28" s="12">
        <f>ANW28</f>
        <v/>
      </c>
      <c r="APD28" s="9">
        <f>AOT28-AOX28-AOY28-AOZ28-APA28-APB28-APC28</f>
        <v/>
      </c>
      <c r="APE28" s="9">
        <f>APE27+AOQ28-(AOX28+AOY28+AOZ28+APA28+APB28+APC28+AOV28)</f>
        <v/>
      </c>
      <c r="APF28" s="12">
        <f>IF(AOK28&gt;0,AOL28/AOK28,0)</f>
        <v/>
      </c>
      <c r="APG28" s="11">
        <f>IF(AOK27&gt;0,MAX(0,(AOK27+ANZ28-AOK28)/AOK27),0)</f>
        <v/>
      </c>
      <c r="API28" s="12" t="n">
        <v>24</v>
      </c>
      <c r="APJ28" s="12">
        <f>MOD(API28-1+LaunchMonth-1,12)+1</f>
        <v/>
      </c>
      <c r="APK28" s="12">
        <f>INT((API28-1+LaunchMonth-1)/12)+1</f>
        <v/>
      </c>
      <c r="APL28" s="12">
        <f>VLOOKUP(APJ28,SeasonTable,2,FALSE)</f>
        <v/>
      </c>
      <c r="APM28" s="12">
        <f>(1+InflationRate)^INT((API28-1)/12)</f>
        <v/>
      </c>
      <c r="APN28" s="11">
        <f>MonthlyChurn*VLOOKUP(APJ28,ChurnSeasonTable,4,FALSE)</f>
        <v/>
      </c>
      <c r="APO28" s="12">
        <f>MIN(MAX(MktMin19plus,AQI27*MktPct19plus),MAX(0,AQW27-CashBuffer))</f>
        <v/>
      </c>
      <c r="APP28" s="12">
        <f>IF(APO28&gt;0,MAX(1,ROUND(APO28/'Sens - CAC &amp; Marketing'!$A$15*APL28,0)),0)</f>
        <v/>
      </c>
      <c r="APQ28" s="12">
        <f>IF(APP28&gt;0,ROUND(APP28*ReferralMix/(1-ReferralMix),0),0)</f>
        <v/>
      </c>
      <c r="APR28" s="12">
        <f>APP28+APQ28</f>
        <v/>
      </c>
      <c r="APS28" s="12">
        <f>ROUND(APR28*(1-AnnualMix),0)</f>
        <v/>
      </c>
      <c r="APT28" s="12">
        <f>APR28-APS28</f>
        <v/>
      </c>
      <c r="APU28" s="12">
        <f>ROUND(APS28*EssentialMix,0)</f>
        <v/>
      </c>
      <c r="APV28" s="12">
        <f>APS28-APU28</f>
        <v/>
      </c>
      <c r="APW28" s="12">
        <f>ROUND(APT28*EssentialMix,0)</f>
        <v/>
      </c>
      <c r="APX28" s="12">
        <f>APT28-APW28</f>
        <v/>
      </c>
      <c r="APY28" s="12">
        <f>APU28+APU27+APU26+MAX(0,APY27-APU27-APU26)*(1-APN28)</f>
        <v/>
      </c>
      <c r="APZ28" s="12">
        <f>APV28+APV27+APV26+MAX(0,APZ27-APV27-APV26)*(1-APN28)</f>
        <v/>
      </c>
      <c r="AQA28" s="12">
        <f>AQA27+APW28-APW16*(AnnualChurn*VLOOKUP(APJ28,ChurnSeasonTable,4,FALSE))*POWER(1-(AnnualChurn*VLOOKUP(APJ28,ChurnSeasonTable,4,FALSE)),0)</f>
        <v/>
      </c>
      <c r="AQB28" s="12">
        <f>AQB27+APX28-APX16*(AnnualChurn*VLOOKUP(APJ28,ChurnSeasonTable,4,FALSE))*POWER(1-(AnnualChurn*VLOOKUP(APJ28,ChurnSeasonTable,4,FALSE)),0)</f>
        <v/>
      </c>
      <c r="AQC28" s="12">
        <f>APY28+APZ28+AQA28+AQB28</f>
        <v/>
      </c>
      <c r="AQD28" s="9">
        <f>APY28*PriceEssMonthly*APM28+APZ28*PricePremMonthly*APM28+AQA28*PriceEssAnnual*APM28/12+AQB28*PricePremAnnual*APM28/12</f>
        <v/>
      </c>
      <c r="AQE28" s="9">
        <f>AQD28*12</f>
        <v/>
      </c>
      <c r="AQF28" s="12">
        <f>APY28*PriceEssMonthly*APM28+APZ28*PricePremMonthly*APM28</f>
        <v/>
      </c>
      <c r="AQG28" s="12">
        <f>APW28*PriceEssAnnual*APM28+APX28*PricePremAnnual*APM28</f>
        <v/>
      </c>
      <c r="AQH28" s="12">
        <f>APW16*POWER(1-(AnnualChurn*VLOOKUP(APJ28,ChurnSeasonTable,4,FALSE)),1)*PriceEssAnnual*APM28+APX16*POWER(1-(AnnualChurn*VLOOKUP(APJ28,ChurnSeasonTable,4,FALSE)),1)*PricePremAnnual*APM28</f>
        <v/>
      </c>
      <c r="AQI28" s="9">
        <f>AQF28+AQG28+AQH28</f>
        <v/>
      </c>
      <c r="AQJ28" s="12">
        <f>SUM(AQI17:AQI28)</f>
        <v/>
      </c>
      <c r="AQK28" s="12">
        <f>OR(AQK27,AQJ28&gt;=VATThreshold)</f>
        <v/>
      </c>
      <c r="AQL28" s="9">
        <f>IF(AQK28,AQI28/(1+VATRate),AQI28)</f>
        <v/>
      </c>
      <c r="AQM28" s="12">
        <f>AQI28-AQL28</f>
        <v/>
      </c>
      <c r="AQN28" s="12">
        <f>IF(AQK28=0,0,IF(APJ28=1,SUMPRODUCT(--(($APK$5:$APK28=$APK28-1)*($APJ$5:$APJ28&gt;=10)*($APJ$5:$APJ28&lt;=12)),$AQM$5:$AQM28),IF(APJ28=4,SUMPRODUCT(--(($APK$5:$APK28=$APK28)*($APJ$5:$APJ28&gt;=1)*($APJ$5:$APJ28&lt;=3)),$AQM$5:$AQM28),IF(APJ28=7,SUMPRODUCT(--(($APK$5:$APK28=$APK28)*($APJ$5:$APJ28&gt;=4)*($APJ$5:$APJ28&lt;=6)),$AQM$5:$AQM28),IF(APJ28=10,SUMPRODUCT(--(($APK$5:$APK28=$APK28)*($APJ$5:$APJ28&gt;=7)*($APJ$5:$APJ28&lt;=9)),$AQM$5:$AQM28),0)))))</f>
        <v/>
      </c>
      <c r="AQO28" s="12">
        <f>AQO27+AQM28-AQN28</f>
        <v/>
      </c>
      <c r="AQP28" s="12">
        <f>IF(ProviderDelay&gt;=1,AQL27*ProviderShare,AQL28*ProviderShare)</f>
        <v/>
      </c>
      <c r="AQQ28" s="12">
        <f>AQI28*PaymentFee</f>
        <v/>
      </c>
      <c r="AQR28" s="12">
        <f>AQC28*OpsAI</f>
        <v/>
      </c>
      <c r="AQS28" s="12">
        <f>MonthlyFixed</f>
        <v/>
      </c>
      <c r="AQT28" s="12">
        <f>APQ28*ReferralReward</f>
        <v/>
      </c>
      <c r="AQU28" s="12">
        <f>APO28</f>
        <v/>
      </c>
      <c r="AQV28" s="9">
        <f>AQL28-AQP28-AQQ28-AQR28-AQS28-AQT28-AQU28</f>
        <v/>
      </c>
      <c r="AQW28" s="9">
        <f>AQW27+AQI28-(AQP28+AQQ28+AQR28+AQS28+AQT28+AQU28+AQN28)</f>
        <v/>
      </c>
      <c r="AQX28" s="12">
        <f>IF(AQC28&gt;0,AQD28/AQC28,0)</f>
        <v/>
      </c>
      <c r="AQY28" s="11">
        <f>IF(AQC27&gt;0,MAX(0,(AQC27+APR28-AQC28)/AQC27),0)</f>
        <v/>
      </c>
      <c r="ARA28" s="12" t="n">
        <v>24</v>
      </c>
      <c r="ARB28" s="12">
        <f>MOD(ARA28-1+LaunchMonth-1,12)+1</f>
        <v/>
      </c>
      <c r="ARC28" s="12">
        <f>INT((ARA28-1+LaunchMonth-1)/12)+1</f>
        <v/>
      </c>
      <c r="ARD28" s="12">
        <f>VLOOKUP(ARB28,WinterPivotSeasonTable,5,FALSE)</f>
        <v/>
      </c>
      <c r="ARE28" s="12">
        <f>(1+InflationRate)^INT((ARA28-1)/12)</f>
        <v/>
      </c>
      <c r="ARF28" s="11">
        <f>MonthlyChurn*VLOOKUP(ARB28,WinterPivotChurnTable,6,FALSE)</f>
        <v/>
      </c>
      <c r="ARG28" s="12">
        <f>MIN(MAX(MktMin19plus,ASA27*MktPct19plus),MAX(0,ASO27-CashBuffer))</f>
        <v/>
      </c>
      <c r="ARH28" s="12">
        <f>IF(ARG28&gt;0,MAX(1,ROUND(ARG28/CAC*ARD28,0)),0)</f>
        <v/>
      </c>
      <c r="ARI28" s="12">
        <f>IF(ARH28&gt;0,ROUND(ARH28*ReferralMix/(1-ReferralMix),0),0)</f>
        <v/>
      </c>
      <c r="ARJ28" s="12">
        <f>ARH28+ARI28</f>
        <v/>
      </c>
      <c r="ARK28" s="12">
        <f>ROUND(ARJ28*(1-AnnualMix),0)</f>
        <v/>
      </c>
      <c r="ARL28" s="12">
        <f>ARJ28-ARK28</f>
        <v/>
      </c>
      <c r="ARM28" s="12">
        <f>ROUND(ARK28*'Sens - Winter Pivot'!$B$6,0)</f>
        <v/>
      </c>
      <c r="ARN28" s="12">
        <f>ARK28-ARM28</f>
        <v/>
      </c>
      <c r="ARO28" s="12">
        <f>ROUND(ARL28*'Sens - Winter Pivot'!$B$6,0)</f>
        <v/>
      </c>
      <c r="ARP28" s="12">
        <f>ARL28-ARO28</f>
        <v/>
      </c>
      <c r="ARQ28" s="12">
        <f>ARM28+ARM27+ARM26+MAX(0,ARQ27-ARM27-ARM26)*(1-ARF28)</f>
        <v/>
      </c>
      <c r="ARR28" s="12">
        <f>ARN28+ARN27+ARN26+MAX(0,ARR27-ARN27-ARN26)*(1-ARF28)</f>
        <v/>
      </c>
      <c r="ARS28" s="12">
        <f>ARS27+ARO28-ARO16*(AnnualChurn*VLOOKUP(ARB28,WinterPivotChurnTable,6,FALSE))*POWER(1-(AnnualChurn*VLOOKUP(ARB28,WinterPivotChurnTable,6,FALSE)),0)</f>
        <v/>
      </c>
      <c r="ART28" s="12">
        <f>ART27+ARP28-ARP16*(AnnualChurn*VLOOKUP(ARB28,WinterPivotChurnTable,6,FALSE))*POWER(1-(AnnualChurn*VLOOKUP(ARB28,WinterPivotChurnTable,6,FALSE)),0)</f>
        <v/>
      </c>
      <c r="ARU28" s="12">
        <f>ARQ28+ARR28+ARS28+ART28</f>
        <v/>
      </c>
      <c r="ARV28" s="9">
        <f>ARQ28*PriceEssMonthly*ARE28+ARR28*(PricePremMonthly+'Sens - Winter Pivot'!$B$7)*ARE28+ARS28*PriceEssAnnual*ARE28/12+ART28*(PricePremAnnual+'Sens - Winter Pivot'!$B$7*12)*ARE28/12</f>
        <v/>
      </c>
      <c r="ARW28" s="9">
        <f>ARV28*12</f>
        <v/>
      </c>
      <c r="ARX28" s="12">
        <f>ARQ28*PriceEssMonthly*ARE28+ARR28*(PricePremMonthly+'Sens - Winter Pivot'!$B$7)*ARE28</f>
        <v/>
      </c>
      <c r="ARY28" s="12">
        <f>ARO28*PriceEssAnnual*ARE28+ARP28*(PricePremAnnual+'Sens - Winter Pivot'!$B$7*12)*ARE28</f>
        <v/>
      </c>
      <c r="ARZ28" s="12">
        <f>ARO16*POWER(1-(AnnualChurn*VLOOKUP(ARB28,WinterPivotChurnTable,6,FALSE)),1)*PriceEssAnnual*ARE28+ARP16*POWER(1-(AnnualChurn*VLOOKUP(ARB28,WinterPivotChurnTable,6,FALSE)),1)*PricePremAnnual*ARE28</f>
        <v/>
      </c>
      <c r="ASA28" s="9">
        <f>ARX28+ARY28+ARZ28</f>
        <v/>
      </c>
      <c r="ASB28" s="12">
        <f>SUM(ASA17:ASA28)</f>
        <v/>
      </c>
      <c r="ASC28" s="12">
        <f>OR(ASC27,ASB28&gt;=VATThreshold)</f>
        <v/>
      </c>
      <c r="ASD28" s="9">
        <f>IF(ASC28,ASA28/(1+VATRate),ASA28)</f>
        <v/>
      </c>
      <c r="ASE28" s="12">
        <f>ASA28-ASD28</f>
        <v/>
      </c>
      <c r="ASF28" s="12">
        <f>IF(ASC28=0,0,IF(ARB28=1,SUMPRODUCT(--(($ARC$5:$ARC28=$ARC28-1)*($ARB$5:$ARB28&gt;=10)*($ARB$5:$ARB28&lt;=12)),$ASE$5:$ASE28),IF(ARB28=4,SUMPRODUCT(--(($ARC$5:$ARC28=$ARC28)*($ARB$5:$ARB28&gt;=1)*($ARB$5:$ARB28&lt;=3)),$ASE$5:$ASE28),IF(ARB28=7,SUMPRODUCT(--(($ARC$5:$ARC28=$ARC28)*($ARB$5:$ARB28&gt;=4)*($ARB$5:$ARB28&lt;=6)),$ASE$5:$ASE28),IF(ARB28=10,SUMPRODUCT(--(($ARC$5:$ARC28=$ARC28)*($ARB$5:$ARB28&gt;=7)*($ARB$5:$ARB28&lt;=9)),$ASE$5:$ASE28),0)))))</f>
        <v/>
      </c>
      <c r="ASG28" s="12">
        <f>ASG27+ASE28-ASF28</f>
        <v/>
      </c>
      <c r="ASH28" s="12">
        <f>IF(ProviderDelay&gt;=1,ASD27*ProviderShare,ASD28*ProviderShare)</f>
        <v/>
      </c>
      <c r="ASI28" s="12">
        <f>ASA28*PaymentFee</f>
        <v/>
      </c>
      <c r="ASJ28" s="12">
        <f>ARU28*OpsAI</f>
        <v/>
      </c>
      <c r="ASK28" s="12">
        <f>MonthlyFixed</f>
        <v/>
      </c>
      <c r="ASL28" s="12">
        <f>ARI28*ReferralReward</f>
        <v/>
      </c>
      <c r="ASM28" s="12">
        <f>ARG28</f>
        <v/>
      </c>
      <c r="ASN28" s="9">
        <f>ASD28-ASH28-ASI28-ASJ28-ASK28-ASL28-ASM28</f>
        <v/>
      </c>
      <c r="ASO28" s="9">
        <f>ASO27+ASA28-(ASH28+ASI28+ASJ28+ASK28+ASL28+ASM28+ASF28)</f>
        <v/>
      </c>
      <c r="ASP28" s="12">
        <f>IF(ARU28&gt;0,ARV28/ARU28,0)</f>
        <v/>
      </c>
      <c r="ASQ28" s="11">
        <f>IF(ARU27&gt;0,MAX(0,(ARU27+ARJ28-ARU28)/ARU27),0)</f>
        <v/>
      </c>
    </row>
    <row r="29">
      <c r="A29" s="12" t="n">
        <v>25</v>
      </c>
      <c r="B29" s="12">
        <f>MOD(A29-1+LaunchMonth-1,12)+1</f>
        <v/>
      </c>
      <c r="C29" s="12">
        <f>INT((A29-1+LaunchMonth-1)/12)+1</f>
        <v/>
      </c>
      <c r="D29" s="12">
        <f>VLOOKUP(B29,SeasonTable,2,FALSE)</f>
        <v/>
      </c>
      <c r="E29" s="12">
        <f>(1+InflationRate)^INT((A29-1)/12)</f>
        <v/>
      </c>
      <c r="F29" s="11">
        <f>'Sens - Scenarios'!$B$5*VLOOKUP(B29,ChurnSeasonTable,4,FALSE)</f>
        <v/>
      </c>
      <c r="G29" s="12">
        <f>MIN(MAX(MktMin19plus,AA28*MktPct19plus),MAX(0,AO28-CashBuffer))</f>
        <v/>
      </c>
      <c r="H29" s="12">
        <f>IF(G29&gt;0,MAX(1,ROUND(G29/'Sens - Scenarios'!$B$8*D29,0)),0)</f>
        <v/>
      </c>
      <c r="I29" s="12">
        <f>IF(H29&gt;0,ROUND(H29*ReferralMix/(1-ReferralMix),0),0)</f>
        <v/>
      </c>
      <c r="J29" s="12">
        <f>H29+I29</f>
        <v/>
      </c>
      <c r="K29" s="12">
        <f>ROUND(J29*(1-'Sens - Scenarios'!$B$7),0)</f>
        <v/>
      </c>
      <c r="L29" s="12">
        <f>J29-K29</f>
        <v/>
      </c>
      <c r="M29" s="12">
        <f>ROUND(K29*EssentialMix,0)</f>
        <v/>
      </c>
      <c r="N29" s="12">
        <f>K29-M29</f>
        <v/>
      </c>
      <c r="O29" s="12">
        <f>ROUND(L29*EssentialMix,0)</f>
        <v/>
      </c>
      <c r="P29" s="12">
        <f>L29-O29</f>
        <v/>
      </c>
      <c r="Q29" s="12">
        <f>M29+M28+M27+MAX(0,Q28-M28-M27)*(1-F29)</f>
        <v/>
      </c>
      <c r="R29" s="12">
        <f>N29+N28+N27+MAX(0,R28-N28-N27)*(1-F29)</f>
        <v/>
      </c>
      <c r="S29" s="12">
        <f>S28+O29-O17*('Sens - Scenarios'!$B$6*VLOOKUP(B29,ChurnSeasonTable,4,FALSE))*POWER(1-('Sens - Scenarios'!$B$6*VLOOKUP(B29,ChurnSeasonTable,4,FALSE)),0)+O5*('Sens - Scenarios'!$B$6*VLOOKUP(B29,ChurnSeasonTable,4,FALSE))*POWER(1-('Sens - Scenarios'!$B$6*VLOOKUP(B29,ChurnSeasonTable,4,FALSE)),1)</f>
        <v/>
      </c>
      <c r="T29" s="12">
        <f>T28+P29-P17*('Sens - Scenarios'!$B$6*VLOOKUP(B29,ChurnSeasonTable,4,FALSE))*POWER(1-('Sens - Scenarios'!$B$6*VLOOKUP(B29,ChurnSeasonTable,4,FALSE)),0)+P5*('Sens - Scenarios'!$B$6*VLOOKUP(B29,ChurnSeasonTable,4,FALSE))*POWER(1-('Sens - Scenarios'!$B$6*VLOOKUP(B29,ChurnSeasonTable,4,FALSE)),1)</f>
        <v/>
      </c>
      <c r="U29" s="12">
        <f>Q29+R29+S29+T29</f>
        <v/>
      </c>
      <c r="V29" s="9">
        <f>Q29*PriceEssMonthly*E29+R29*PricePremMonthly*E29+S29*PriceEssAnnual*E29/12+T29*PricePremAnnual*E29/12</f>
        <v/>
      </c>
      <c r="W29" s="9">
        <f>V29*12</f>
        <v/>
      </c>
      <c r="X29" s="12">
        <f>Q29*PriceEssMonthly*E29+R29*PricePremMonthly*E29</f>
        <v/>
      </c>
      <c r="Y29" s="12">
        <f>O29*PriceEssAnnual*E29+P29*PricePremAnnual*E29</f>
        <v/>
      </c>
      <c r="Z29" s="12">
        <f>O17*POWER(1-('Sens - Scenarios'!$B$6*VLOOKUP(B29,ChurnSeasonTable,4,FALSE)),1)*PriceEssAnnual*E29+O5*POWER(1-('Sens - Scenarios'!$B$6*VLOOKUP(B29,ChurnSeasonTable,4,FALSE)),2)*PriceEssAnnual*E29+P17*POWER(1-('Sens - Scenarios'!$B$6*VLOOKUP(B29,ChurnSeasonTable,4,FALSE)),1)*PricePremAnnual*E29+P5*POWER(1-('Sens - Scenarios'!$B$6*VLOOKUP(B29,ChurnSeasonTable,4,FALSE)),2)*PricePremAnnual*E29</f>
        <v/>
      </c>
      <c r="AA29" s="9">
        <f>X29+Y29+Z29</f>
        <v/>
      </c>
      <c r="AB29" s="12">
        <f>SUM(AA18:AA29)</f>
        <v/>
      </c>
      <c r="AC29" s="12">
        <f>OR(AC28,AB29&gt;=VATThreshold)</f>
        <v/>
      </c>
      <c r="AD29" s="9">
        <f>IF(AC29,AA29/(1+VATRate),AA29)</f>
        <v/>
      </c>
      <c r="AE29" s="12">
        <f>AA29-AD29</f>
        <v/>
      </c>
      <c r="AF29" s="12">
        <f>IF(AC29=0,0,IF(B29=1,SUMPRODUCT(--(($C$5:$C29=$C29-1)*($B$5:$B29&gt;=10)*($B$5:$B29&lt;=12)),$AE$5:$AE29),IF(B29=4,SUMPRODUCT(--(($C$5:$C29=$C29)*($B$5:$B29&gt;=1)*($B$5:$B29&lt;=3)),$AE$5:$AE29),IF(B29=7,SUMPRODUCT(--(($C$5:$C29=$C29)*($B$5:$B29&gt;=4)*($B$5:$B29&lt;=6)),$AE$5:$AE29),IF(B29=10,SUMPRODUCT(--(($C$5:$C29=$C29)*($B$5:$B29&gt;=7)*($B$5:$B29&lt;=9)),$AE$5:$AE29),0)))))</f>
        <v/>
      </c>
      <c r="AG29" s="12">
        <f>AG28+AE29-AF29</f>
        <v/>
      </c>
      <c r="AH29" s="12">
        <f>IF(ProviderDelay&gt;=1,AD28*ProviderShare,AD29*ProviderShare)</f>
        <v/>
      </c>
      <c r="AI29" s="12">
        <f>AA29*PaymentFee</f>
        <v/>
      </c>
      <c r="AJ29" s="12">
        <f>U29*OpsAI</f>
        <v/>
      </c>
      <c r="AK29" s="12">
        <f>MonthlyFixed</f>
        <v/>
      </c>
      <c r="AL29" s="12">
        <f>I29*ReferralReward</f>
        <v/>
      </c>
      <c r="AM29" s="12">
        <f>G29</f>
        <v/>
      </c>
      <c r="AN29" s="9">
        <f>AD29-AH29-AI29-AJ29-AK29-AL29-AM29</f>
        <v/>
      </c>
      <c r="AO29" s="9">
        <f>AO28+AA29-(AH29+AI29+AJ29+AK29+AL29+AM29+AF29)</f>
        <v/>
      </c>
      <c r="AP29" s="12">
        <f>IF(U29&gt;0,V29/U29,0)</f>
        <v/>
      </c>
      <c r="AQ29" s="11">
        <f>IF(U28&gt;0,MAX(0,(U28+J29-U29)/U28),0)</f>
        <v/>
      </c>
      <c r="AS29" s="12" t="n">
        <v>25</v>
      </c>
      <c r="AT29" s="12">
        <f>MOD(AS29-1+LaunchMonth-1,12)+1</f>
        <v/>
      </c>
      <c r="AU29" s="12">
        <f>INT((AS29-1+LaunchMonth-1)/12)+1</f>
        <v/>
      </c>
      <c r="AV29" s="12">
        <f>VLOOKUP(AT29,SeasonTable,2,FALSE)</f>
        <v/>
      </c>
      <c r="AW29" s="12">
        <f>(1+InflationRate)^INT((AS29-1)/12)</f>
        <v/>
      </c>
      <c r="AX29" s="11">
        <f>MonthlyChurn*VLOOKUP(AT29,ChurnSeasonTable,4,FALSE)</f>
        <v/>
      </c>
      <c r="AY29" s="12">
        <f>MIN(MAX(MktMin19plus,BS28*MktPct19plus),MAX(0,CG28-CashBuffer))</f>
        <v/>
      </c>
      <c r="AZ29" s="12">
        <f>IF(AY29&gt;0,MAX(1,ROUND(AY29/CAC*AV29,0)),0)</f>
        <v/>
      </c>
      <c r="BA29" s="12">
        <f>IF(AZ29&gt;0,ROUND(AZ29*ReferralMix/(1-ReferralMix),0),0)</f>
        <v/>
      </c>
      <c r="BB29" s="12">
        <f>AZ29+BA29</f>
        <v/>
      </c>
      <c r="BC29" s="12">
        <f>ROUND(BB29*(1-AnnualMix),0)</f>
        <v/>
      </c>
      <c r="BD29" s="12">
        <f>BB29-BC29</f>
        <v/>
      </c>
      <c r="BE29" s="12">
        <f>ROUND(BC29*EssentialMix,0)</f>
        <v/>
      </c>
      <c r="BF29" s="12">
        <f>BC29-BE29</f>
        <v/>
      </c>
      <c r="BG29" s="12">
        <f>ROUND(BD29*EssentialMix,0)</f>
        <v/>
      </c>
      <c r="BH29" s="12">
        <f>BD29-BG29</f>
        <v/>
      </c>
      <c r="BI29" s="12">
        <f>BE29+BE28+BE27+MAX(0,BI28-BE28-BE27)*(1-AX29)</f>
        <v/>
      </c>
      <c r="BJ29" s="12">
        <f>BF29+BF28+BF27+MAX(0,BJ28-BF28-BF27)*(1-AX29)</f>
        <v/>
      </c>
      <c r="BK29" s="12">
        <f>BK28+BG29-BG17*(AnnualChurn*VLOOKUP(AT29,ChurnSeasonTable,4,FALSE))*POWER(1-(AnnualChurn*VLOOKUP(AT29,ChurnSeasonTable,4,FALSE)),0)+BG5*(AnnualChurn*VLOOKUP(AT29,ChurnSeasonTable,4,FALSE))*POWER(1-(AnnualChurn*VLOOKUP(AT29,ChurnSeasonTable,4,FALSE)),1)</f>
        <v/>
      </c>
      <c r="BL29" s="12">
        <f>BL28+BH29-BH17*(AnnualChurn*VLOOKUP(AT29,ChurnSeasonTable,4,FALSE))*POWER(1-(AnnualChurn*VLOOKUP(AT29,ChurnSeasonTable,4,FALSE)),0)+BH5*(AnnualChurn*VLOOKUP(AT29,ChurnSeasonTable,4,FALSE))*POWER(1-(AnnualChurn*VLOOKUP(AT29,ChurnSeasonTable,4,FALSE)),1)</f>
        <v/>
      </c>
      <c r="BM29" s="12">
        <f>BI29+BJ29+BK29+BL29</f>
        <v/>
      </c>
      <c r="BN29" s="9">
        <f>BI29*PriceEssMonthly*AW29+BJ29*PricePremMonthly*AW29+BK29*PriceEssAnnual*AW29/12+BL29*PricePremAnnual*AW29/12</f>
        <v/>
      </c>
      <c r="BO29" s="9">
        <f>BN29*12</f>
        <v/>
      </c>
      <c r="BP29" s="12">
        <f>BI29*PriceEssMonthly*AW29+BJ29*PricePremMonthly*AW29</f>
        <v/>
      </c>
      <c r="BQ29" s="12">
        <f>BG29*PriceEssAnnual*AW29+BH29*PricePremAnnual*AW29</f>
        <v/>
      </c>
      <c r="BR29" s="12">
        <f>BG17*POWER(1-(AnnualChurn*VLOOKUP(AT29,ChurnSeasonTable,4,FALSE)),1)*PriceEssAnnual*AW29+BG5*POWER(1-(AnnualChurn*VLOOKUP(AT29,ChurnSeasonTable,4,FALSE)),2)*PriceEssAnnual*AW29+BH17*POWER(1-(AnnualChurn*VLOOKUP(AT29,ChurnSeasonTable,4,FALSE)),1)*PricePremAnnual*AW29+BH5*POWER(1-(AnnualChurn*VLOOKUP(AT29,ChurnSeasonTable,4,FALSE)),2)*PricePremAnnual*AW29</f>
        <v/>
      </c>
      <c r="BS29" s="9">
        <f>BP29+BQ29+BR29</f>
        <v/>
      </c>
      <c r="BT29" s="12">
        <f>SUM(BS18:BS29)</f>
        <v/>
      </c>
      <c r="BU29" s="12">
        <f>OR(BU28,BT29&gt;=VATThreshold)</f>
        <v/>
      </c>
      <c r="BV29" s="9">
        <f>IF(BU29,BS29/(1+VATRate),BS29)</f>
        <v/>
      </c>
      <c r="BW29" s="12">
        <f>BS29-BV29</f>
        <v/>
      </c>
      <c r="BX29" s="12">
        <f>IF(BU29=0,0,IF(AT29=1,SUMPRODUCT(--(($AU$5:$AU29=$AU29-1)*($AT$5:$AT29&gt;=10)*($AT$5:$AT29&lt;=12)),$BW$5:$BW29),IF(AT29=4,SUMPRODUCT(--(($AU$5:$AU29=$AU29)*($AT$5:$AT29&gt;=1)*($AT$5:$AT29&lt;=3)),$BW$5:$BW29),IF(AT29=7,SUMPRODUCT(--(($AU$5:$AU29=$AU29)*($AT$5:$AT29&gt;=4)*($AT$5:$AT29&lt;=6)),$BW$5:$BW29),IF(AT29=10,SUMPRODUCT(--(($AU$5:$AU29=$AU29)*($AT$5:$AT29&gt;=7)*($AT$5:$AT29&lt;=9)),$BW$5:$BW29),0)))))</f>
        <v/>
      </c>
      <c r="BY29" s="12">
        <f>BY28+BW29-BX29</f>
        <v/>
      </c>
      <c r="BZ29" s="12">
        <f>IF(ProviderDelay&gt;=1,BV28*ProviderShare,BV29*ProviderShare)</f>
        <v/>
      </c>
      <c r="CA29" s="12">
        <f>BS29*PaymentFee</f>
        <v/>
      </c>
      <c r="CB29" s="12">
        <f>BM29*OpsAI</f>
        <v/>
      </c>
      <c r="CC29" s="12">
        <f>MonthlyFixed</f>
        <v/>
      </c>
      <c r="CD29" s="12">
        <f>BA29*ReferralReward</f>
        <v/>
      </c>
      <c r="CE29" s="12">
        <f>AY29</f>
        <v/>
      </c>
      <c r="CF29" s="9">
        <f>BV29-BZ29-CA29-CB29-CC29-CD29-CE29</f>
        <v/>
      </c>
      <c r="CG29" s="9">
        <f>CG28+BS29-(BZ29+CA29+CB29+CC29+CD29+CE29+BX29)</f>
        <v/>
      </c>
      <c r="CH29" s="12">
        <f>IF(BM29&gt;0,BN29/BM29,0)</f>
        <v/>
      </c>
      <c r="CI29" s="11">
        <f>IF(BM28&gt;0,MAX(0,(BM28+BB29-BM29)/BM28),0)</f>
        <v/>
      </c>
      <c r="CK29" s="12" t="n">
        <v>25</v>
      </c>
      <c r="CL29" s="12">
        <f>MOD(CK29-1+LaunchMonth-1,12)+1</f>
        <v/>
      </c>
      <c r="CM29" s="12">
        <f>INT((CK29-1+LaunchMonth-1)/12)+1</f>
        <v/>
      </c>
      <c r="CN29" s="12">
        <f>VLOOKUP(CL29,SeasonTable,2,FALSE)</f>
        <v/>
      </c>
      <c r="CO29" s="12">
        <f>(1+InflationRate)^INT((CK29-1)/12)</f>
        <v/>
      </c>
      <c r="CP29" s="11">
        <f>'Sens - Scenarios'!$D$5*VLOOKUP(CL29,ChurnSeasonTable,4,FALSE)</f>
        <v/>
      </c>
      <c r="CQ29" s="12">
        <f>MIN(MAX(MktMin19plus,DK28*MktPct19plus),MAX(0,DY28-CashBuffer))</f>
        <v/>
      </c>
      <c r="CR29" s="12">
        <f>IF(CQ29&gt;0,MAX(1,ROUND(CQ29/'Sens - Scenarios'!$D$8*CN29,0)),0)</f>
        <v/>
      </c>
      <c r="CS29" s="12">
        <f>IF(CR29&gt;0,ROUND(CR29*ReferralMix/(1-ReferralMix),0),0)</f>
        <v/>
      </c>
      <c r="CT29" s="12">
        <f>CR29+CS29</f>
        <v/>
      </c>
      <c r="CU29" s="12">
        <f>ROUND(CT29*(1-'Sens - Scenarios'!$D$7),0)</f>
        <v/>
      </c>
      <c r="CV29" s="12">
        <f>CT29-CU29</f>
        <v/>
      </c>
      <c r="CW29" s="12">
        <f>ROUND(CU29*EssentialMix,0)</f>
        <v/>
      </c>
      <c r="CX29" s="12">
        <f>CU29-CW29</f>
        <v/>
      </c>
      <c r="CY29" s="12">
        <f>ROUND(CV29*EssentialMix,0)</f>
        <v/>
      </c>
      <c r="CZ29" s="12">
        <f>CV29-CY29</f>
        <v/>
      </c>
      <c r="DA29" s="12">
        <f>CW29+CW28+CW27+MAX(0,DA28-CW28-CW27)*(1-CP29)</f>
        <v/>
      </c>
      <c r="DB29" s="12">
        <f>CX29+CX28+CX27+MAX(0,DB28-CX28-CX27)*(1-CP29)</f>
        <v/>
      </c>
      <c r="DC29" s="12">
        <f>DC28+CY29-CY17*('Sens - Scenarios'!$D$6*VLOOKUP(CL29,ChurnSeasonTable,4,FALSE))*POWER(1-('Sens - Scenarios'!$D$6*VLOOKUP(CL29,ChurnSeasonTable,4,FALSE)),0)+CY5*('Sens - Scenarios'!$D$6*VLOOKUP(CL29,ChurnSeasonTable,4,FALSE))*POWER(1-('Sens - Scenarios'!$D$6*VLOOKUP(CL29,ChurnSeasonTable,4,FALSE)),1)</f>
        <v/>
      </c>
      <c r="DD29" s="12">
        <f>DD28+CZ29-CZ17*('Sens - Scenarios'!$D$6*VLOOKUP(CL29,ChurnSeasonTable,4,FALSE))*POWER(1-('Sens - Scenarios'!$D$6*VLOOKUP(CL29,ChurnSeasonTable,4,FALSE)),0)+CZ5*('Sens - Scenarios'!$D$6*VLOOKUP(CL29,ChurnSeasonTable,4,FALSE))*POWER(1-('Sens - Scenarios'!$D$6*VLOOKUP(CL29,ChurnSeasonTable,4,FALSE)),1)</f>
        <v/>
      </c>
      <c r="DE29" s="12">
        <f>DA29+DB29+DC29+DD29</f>
        <v/>
      </c>
      <c r="DF29" s="9">
        <f>DA29*PriceEssMonthly*CO29+DB29*PricePremMonthly*CO29+DC29*PriceEssAnnual*CO29/12+DD29*PricePremAnnual*CO29/12</f>
        <v/>
      </c>
      <c r="DG29" s="9">
        <f>DF29*12</f>
        <v/>
      </c>
      <c r="DH29" s="12">
        <f>DA29*PriceEssMonthly*CO29+DB29*PricePremMonthly*CO29</f>
        <v/>
      </c>
      <c r="DI29" s="12">
        <f>CY29*PriceEssAnnual*CO29+CZ29*PricePremAnnual*CO29</f>
        <v/>
      </c>
      <c r="DJ29" s="12">
        <f>CY17*POWER(1-('Sens - Scenarios'!$D$6*VLOOKUP(CL29,ChurnSeasonTable,4,FALSE)),1)*PriceEssAnnual*CO29+CY5*POWER(1-('Sens - Scenarios'!$D$6*VLOOKUP(CL29,ChurnSeasonTable,4,FALSE)),2)*PriceEssAnnual*CO29+CZ17*POWER(1-('Sens - Scenarios'!$D$6*VLOOKUP(CL29,ChurnSeasonTable,4,FALSE)),1)*PricePremAnnual*CO29+CZ5*POWER(1-('Sens - Scenarios'!$D$6*VLOOKUP(CL29,ChurnSeasonTable,4,FALSE)),2)*PricePremAnnual*CO29</f>
        <v/>
      </c>
      <c r="DK29" s="9">
        <f>DH29+DI29+DJ29</f>
        <v/>
      </c>
      <c r="DL29" s="12">
        <f>SUM(DK18:DK29)</f>
        <v/>
      </c>
      <c r="DM29" s="12">
        <f>OR(DM28,DL29&gt;=VATThreshold)</f>
        <v/>
      </c>
      <c r="DN29" s="9">
        <f>IF(DM29,DK29/(1+VATRate),DK29)</f>
        <v/>
      </c>
      <c r="DO29" s="12">
        <f>DK29-DN29</f>
        <v/>
      </c>
      <c r="DP29" s="12">
        <f>IF(DM29=0,0,IF(CL29=1,SUMPRODUCT(--(($CM$5:$CM29=$CM29-1)*($CL$5:$CL29&gt;=10)*($CL$5:$CL29&lt;=12)),$DO$5:$DO29),IF(CL29=4,SUMPRODUCT(--(($CM$5:$CM29=$CM29)*($CL$5:$CL29&gt;=1)*($CL$5:$CL29&lt;=3)),$DO$5:$DO29),IF(CL29=7,SUMPRODUCT(--(($CM$5:$CM29=$CM29)*($CL$5:$CL29&gt;=4)*($CL$5:$CL29&lt;=6)),$DO$5:$DO29),IF(CL29=10,SUMPRODUCT(--(($CM$5:$CM29=$CM29)*($CL$5:$CL29&gt;=7)*($CL$5:$CL29&lt;=9)),$DO$5:$DO29),0)))))</f>
        <v/>
      </c>
      <c r="DQ29" s="12">
        <f>DQ28+DO29-DP29</f>
        <v/>
      </c>
      <c r="DR29" s="12">
        <f>IF(ProviderDelay&gt;=1,DN28*ProviderShare,DN29*ProviderShare)</f>
        <v/>
      </c>
      <c r="DS29" s="12">
        <f>DK29*PaymentFee</f>
        <v/>
      </c>
      <c r="DT29" s="12">
        <f>DE29*OpsAI</f>
        <v/>
      </c>
      <c r="DU29" s="12">
        <f>MonthlyFixed</f>
        <v/>
      </c>
      <c r="DV29" s="12">
        <f>CS29*ReferralReward</f>
        <v/>
      </c>
      <c r="DW29" s="12">
        <f>CQ29</f>
        <v/>
      </c>
      <c r="DX29" s="9">
        <f>DN29-DR29-DS29-DT29-DU29-DV29-DW29</f>
        <v/>
      </c>
      <c r="DY29" s="9">
        <f>DY28+DK29-(DR29+DS29+DT29+DU29+DV29+DW29+DP29)</f>
        <v/>
      </c>
      <c r="DZ29" s="12">
        <f>IF(DE29&gt;0,DF29/DE29,0)</f>
        <v/>
      </c>
      <c r="EA29" s="11">
        <f>IF(DE28&gt;0,MAX(0,(DE28+CT29-DE29)/DE28),0)</f>
        <v/>
      </c>
      <c r="EC29" s="12" t="n">
        <v>25</v>
      </c>
      <c r="ED29" s="12">
        <f>MOD(EC29-1+LaunchMonth-1,12)+1</f>
        <v/>
      </c>
      <c r="EE29" s="12">
        <f>INT((EC29-1+LaunchMonth-1)/12)+1</f>
        <v/>
      </c>
      <c r="EF29" s="12">
        <f>VLOOKUP(ED29,SeasonTable,2,FALSE)</f>
        <v/>
      </c>
      <c r="EG29" s="12">
        <f>(1+InflationRate)^INT((EC29-1)/12)</f>
        <v/>
      </c>
      <c r="EH29" s="11">
        <f>'Sens - Churn'!$A$13*VLOOKUP(ED29,ChurnSeasonTable,4,FALSE)</f>
        <v/>
      </c>
      <c r="EI29" s="12">
        <f>MIN(MAX(MktMin19plus,FC28*MktPct19plus),MAX(0,FQ28-CashBuffer))</f>
        <v/>
      </c>
      <c r="EJ29" s="12">
        <f>IF(EI29&gt;0,MAX(1,ROUND(EI29/CAC*EF29,0)),0)</f>
        <v/>
      </c>
      <c r="EK29" s="12">
        <f>IF(EJ29&gt;0,ROUND(EJ29*ReferralMix/(1-ReferralMix),0),0)</f>
        <v/>
      </c>
      <c r="EL29" s="12">
        <f>EJ29+EK29</f>
        <v/>
      </c>
      <c r="EM29" s="12">
        <f>ROUND(EL29*(1-AnnualMix),0)</f>
        <v/>
      </c>
      <c r="EN29" s="12">
        <f>EL29-EM29</f>
        <v/>
      </c>
      <c r="EO29" s="12">
        <f>ROUND(EM29*EssentialMix,0)</f>
        <v/>
      </c>
      <c r="EP29" s="12">
        <f>EM29-EO29</f>
        <v/>
      </c>
      <c r="EQ29" s="12">
        <f>ROUND(EN29*EssentialMix,0)</f>
        <v/>
      </c>
      <c r="ER29" s="12">
        <f>EN29-EQ29</f>
        <v/>
      </c>
      <c r="ES29" s="12">
        <f>EO29+EO28+EO27+MAX(0,ES28-EO28-EO27)*(1-EH29)</f>
        <v/>
      </c>
      <c r="ET29" s="12">
        <f>EP29+EP28+EP27+MAX(0,ET28-EP28-EP27)*(1-EH29)</f>
        <v/>
      </c>
      <c r="EU29" s="12">
        <f>EU28+EQ29-EQ17*(AnnualChurn*VLOOKUP(ED29,ChurnSeasonTable,4,FALSE))*POWER(1-(AnnualChurn*VLOOKUP(ED29,ChurnSeasonTable,4,FALSE)),0)+EQ5*(AnnualChurn*VLOOKUP(ED29,ChurnSeasonTable,4,FALSE))*POWER(1-(AnnualChurn*VLOOKUP(ED29,ChurnSeasonTable,4,FALSE)),1)</f>
        <v/>
      </c>
      <c r="EV29" s="12">
        <f>EV28+ER29-ER17*(AnnualChurn*VLOOKUP(ED29,ChurnSeasonTable,4,FALSE))*POWER(1-(AnnualChurn*VLOOKUP(ED29,ChurnSeasonTable,4,FALSE)),0)+ER5*(AnnualChurn*VLOOKUP(ED29,ChurnSeasonTable,4,FALSE))*POWER(1-(AnnualChurn*VLOOKUP(ED29,ChurnSeasonTable,4,FALSE)),1)</f>
        <v/>
      </c>
      <c r="EW29" s="12">
        <f>ES29+ET29+EU29+EV29</f>
        <v/>
      </c>
      <c r="EX29" s="9">
        <f>ES29*PriceEssMonthly*EG29+ET29*PricePremMonthly*EG29+EU29*PriceEssAnnual*EG29/12+EV29*PricePremAnnual*EG29/12</f>
        <v/>
      </c>
      <c r="EY29" s="9">
        <f>EX29*12</f>
        <v/>
      </c>
      <c r="EZ29" s="12">
        <f>ES29*PriceEssMonthly*EG29+ET29*PricePremMonthly*EG29</f>
        <v/>
      </c>
      <c r="FA29" s="12">
        <f>EQ29*PriceEssAnnual*EG29+ER29*PricePremAnnual*EG29</f>
        <v/>
      </c>
      <c r="FB29" s="12">
        <f>EQ17*POWER(1-(AnnualChurn*VLOOKUP(ED29,ChurnSeasonTable,4,FALSE)),1)*PriceEssAnnual*EG29+EQ5*POWER(1-(AnnualChurn*VLOOKUP(ED29,ChurnSeasonTable,4,FALSE)),2)*PriceEssAnnual*EG29+ER17*POWER(1-(AnnualChurn*VLOOKUP(ED29,ChurnSeasonTable,4,FALSE)),1)*PricePremAnnual*EG29+ER5*POWER(1-(AnnualChurn*VLOOKUP(ED29,ChurnSeasonTable,4,FALSE)),2)*PricePremAnnual*EG29</f>
        <v/>
      </c>
      <c r="FC29" s="9">
        <f>EZ29+FA29+FB29</f>
        <v/>
      </c>
      <c r="FD29" s="12">
        <f>SUM(FC18:FC29)</f>
        <v/>
      </c>
      <c r="FE29" s="12">
        <f>OR(FE28,FD29&gt;=VATThreshold)</f>
        <v/>
      </c>
      <c r="FF29" s="9">
        <f>IF(FE29,FC29/(1+VATRate),FC29)</f>
        <v/>
      </c>
      <c r="FG29" s="12">
        <f>FC29-FF29</f>
        <v/>
      </c>
      <c r="FH29" s="12">
        <f>IF(FE29=0,0,IF(ED29=1,SUMPRODUCT(--(($EE$5:$EE29=$EE29-1)*($ED$5:$ED29&gt;=10)*($ED$5:$ED29&lt;=12)),$FG$5:$FG29),IF(ED29=4,SUMPRODUCT(--(($EE$5:$EE29=$EE29)*($ED$5:$ED29&gt;=1)*($ED$5:$ED29&lt;=3)),$FG$5:$FG29),IF(ED29=7,SUMPRODUCT(--(($EE$5:$EE29=$EE29)*($ED$5:$ED29&gt;=4)*($ED$5:$ED29&lt;=6)),$FG$5:$FG29),IF(ED29=10,SUMPRODUCT(--(($EE$5:$EE29=$EE29)*($ED$5:$ED29&gt;=7)*($ED$5:$ED29&lt;=9)),$FG$5:$FG29),0)))))</f>
        <v/>
      </c>
      <c r="FI29" s="12">
        <f>FI28+FG29-FH29</f>
        <v/>
      </c>
      <c r="FJ29" s="12">
        <f>IF(ProviderDelay&gt;=1,FF28*ProviderShare,FF29*ProviderShare)</f>
        <v/>
      </c>
      <c r="FK29" s="12">
        <f>FC29*PaymentFee</f>
        <v/>
      </c>
      <c r="FL29" s="12">
        <f>EW29*OpsAI</f>
        <v/>
      </c>
      <c r="FM29" s="12">
        <f>MonthlyFixed</f>
        <v/>
      </c>
      <c r="FN29" s="12">
        <f>EK29*ReferralReward</f>
        <v/>
      </c>
      <c r="FO29" s="12">
        <f>EI29</f>
        <v/>
      </c>
      <c r="FP29" s="9">
        <f>FF29-FJ29-FK29-FL29-FM29-FN29-FO29</f>
        <v/>
      </c>
      <c r="FQ29" s="9">
        <f>FQ28+FC29-(FJ29+FK29+FL29+FM29+FN29+FO29+FH29)</f>
        <v/>
      </c>
      <c r="FR29" s="12">
        <f>IF(EW29&gt;0,EX29/EW29,0)</f>
        <v/>
      </c>
      <c r="FS29" s="11">
        <f>IF(EW28&gt;0,MAX(0,(EW28+EL29-EW29)/EW28),0)</f>
        <v/>
      </c>
      <c r="FU29" s="12" t="n">
        <v>25</v>
      </c>
      <c r="FV29" s="12">
        <f>MOD(FU29-1+LaunchMonth-1,12)+1</f>
        <v/>
      </c>
      <c r="FW29" s="12">
        <f>INT((FU29-1+LaunchMonth-1)/12)+1</f>
        <v/>
      </c>
      <c r="FX29" s="12">
        <f>VLOOKUP(FV29,SeasonTable,2,FALSE)</f>
        <v/>
      </c>
      <c r="FY29" s="12">
        <f>(1+InflationRate)^INT((FU29-1)/12)</f>
        <v/>
      </c>
      <c r="FZ29" s="11">
        <f>'Sens - Churn'!$A$14*VLOOKUP(FV29,ChurnSeasonTable,4,FALSE)</f>
        <v/>
      </c>
      <c r="GA29" s="12">
        <f>MIN(MAX(MktMin19plus,GU28*MktPct19plus),MAX(0,HI28-CashBuffer))</f>
        <v/>
      </c>
      <c r="GB29" s="12">
        <f>IF(GA29&gt;0,MAX(1,ROUND(GA29/CAC*FX29,0)),0)</f>
        <v/>
      </c>
      <c r="GC29" s="12">
        <f>IF(GB29&gt;0,ROUND(GB29*ReferralMix/(1-ReferralMix),0),0)</f>
        <v/>
      </c>
      <c r="GD29" s="12">
        <f>GB29+GC29</f>
        <v/>
      </c>
      <c r="GE29" s="12">
        <f>ROUND(GD29*(1-AnnualMix),0)</f>
        <v/>
      </c>
      <c r="GF29" s="12">
        <f>GD29-GE29</f>
        <v/>
      </c>
      <c r="GG29" s="12">
        <f>ROUND(GE29*EssentialMix,0)</f>
        <v/>
      </c>
      <c r="GH29" s="12">
        <f>GE29-GG29</f>
        <v/>
      </c>
      <c r="GI29" s="12">
        <f>ROUND(GF29*EssentialMix,0)</f>
        <v/>
      </c>
      <c r="GJ29" s="12">
        <f>GF29-GI29</f>
        <v/>
      </c>
      <c r="GK29" s="12">
        <f>GG29+GG28+GG27+MAX(0,GK28-GG28-GG27)*(1-FZ29)</f>
        <v/>
      </c>
      <c r="GL29" s="12">
        <f>GH29+GH28+GH27+MAX(0,GL28-GH28-GH27)*(1-FZ29)</f>
        <v/>
      </c>
      <c r="GM29" s="12">
        <f>GM28+GI29-GI17*(AnnualChurn*VLOOKUP(FV29,ChurnSeasonTable,4,FALSE))*POWER(1-(AnnualChurn*VLOOKUP(FV29,ChurnSeasonTable,4,FALSE)),0)+GI5*(AnnualChurn*VLOOKUP(FV29,ChurnSeasonTable,4,FALSE))*POWER(1-(AnnualChurn*VLOOKUP(FV29,ChurnSeasonTable,4,FALSE)),1)</f>
        <v/>
      </c>
      <c r="GN29" s="12">
        <f>GN28+GJ29-GJ17*(AnnualChurn*VLOOKUP(FV29,ChurnSeasonTable,4,FALSE))*POWER(1-(AnnualChurn*VLOOKUP(FV29,ChurnSeasonTable,4,FALSE)),0)+GJ5*(AnnualChurn*VLOOKUP(FV29,ChurnSeasonTable,4,FALSE))*POWER(1-(AnnualChurn*VLOOKUP(FV29,ChurnSeasonTable,4,FALSE)),1)</f>
        <v/>
      </c>
      <c r="GO29" s="12">
        <f>GK29+GL29+GM29+GN29</f>
        <v/>
      </c>
      <c r="GP29" s="9">
        <f>GK29*PriceEssMonthly*FY29+GL29*PricePremMonthly*FY29+GM29*PriceEssAnnual*FY29/12+GN29*PricePremAnnual*FY29/12</f>
        <v/>
      </c>
      <c r="GQ29" s="9">
        <f>GP29*12</f>
        <v/>
      </c>
      <c r="GR29" s="12">
        <f>GK29*PriceEssMonthly*FY29+GL29*PricePremMonthly*FY29</f>
        <v/>
      </c>
      <c r="GS29" s="12">
        <f>GI29*PriceEssAnnual*FY29+GJ29*PricePremAnnual*FY29</f>
        <v/>
      </c>
      <c r="GT29" s="12">
        <f>GI17*POWER(1-(AnnualChurn*VLOOKUP(FV29,ChurnSeasonTable,4,FALSE)),1)*PriceEssAnnual*FY29+GI5*POWER(1-(AnnualChurn*VLOOKUP(FV29,ChurnSeasonTable,4,FALSE)),2)*PriceEssAnnual*FY29+GJ17*POWER(1-(AnnualChurn*VLOOKUP(FV29,ChurnSeasonTable,4,FALSE)),1)*PricePremAnnual*FY29+GJ5*POWER(1-(AnnualChurn*VLOOKUP(FV29,ChurnSeasonTable,4,FALSE)),2)*PricePremAnnual*FY29</f>
        <v/>
      </c>
      <c r="GU29" s="9">
        <f>GR29+GS29+GT29</f>
        <v/>
      </c>
      <c r="GV29" s="12">
        <f>SUM(GU18:GU29)</f>
        <v/>
      </c>
      <c r="GW29" s="12">
        <f>OR(GW28,GV29&gt;=VATThreshold)</f>
        <v/>
      </c>
      <c r="GX29" s="9">
        <f>IF(GW29,GU29/(1+VATRate),GU29)</f>
        <v/>
      </c>
      <c r="GY29" s="12">
        <f>GU29-GX29</f>
        <v/>
      </c>
      <c r="GZ29" s="12">
        <f>IF(GW29=0,0,IF(FV29=1,SUMPRODUCT(--(($FW$5:$FW29=$FW29-1)*($FV$5:$FV29&gt;=10)*($FV$5:$FV29&lt;=12)),$GY$5:$GY29),IF(FV29=4,SUMPRODUCT(--(($FW$5:$FW29=$FW29)*($FV$5:$FV29&gt;=1)*($FV$5:$FV29&lt;=3)),$GY$5:$GY29),IF(FV29=7,SUMPRODUCT(--(($FW$5:$FW29=$FW29)*($FV$5:$FV29&gt;=4)*($FV$5:$FV29&lt;=6)),$GY$5:$GY29),IF(FV29=10,SUMPRODUCT(--(($FW$5:$FW29=$FW29)*($FV$5:$FV29&gt;=7)*($FV$5:$FV29&lt;=9)),$GY$5:$GY29),0)))))</f>
        <v/>
      </c>
      <c r="HA29" s="12">
        <f>HA28+GY29-GZ29</f>
        <v/>
      </c>
      <c r="HB29" s="12">
        <f>IF(ProviderDelay&gt;=1,GX28*ProviderShare,GX29*ProviderShare)</f>
        <v/>
      </c>
      <c r="HC29" s="12">
        <f>GU29*PaymentFee</f>
        <v/>
      </c>
      <c r="HD29" s="12">
        <f>GO29*OpsAI</f>
        <v/>
      </c>
      <c r="HE29" s="12">
        <f>MonthlyFixed</f>
        <v/>
      </c>
      <c r="HF29" s="12">
        <f>GC29*ReferralReward</f>
        <v/>
      </c>
      <c r="HG29" s="12">
        <f>GA29</f>
        <v/>
      </c>
      <c r="HH29" s="9">
        <f>GX29-HB29-HC29-HD29-HE29-HF29-HG29</f>
        <v/>
      </c>
      <c r="HI29" s="9">
        <f>HI28+GU29-(HB29+HC29+HD29+HE29+HF29+HG29+GZ29)</f>
        <v/>
      </c>
      <c r="HJ29" s="12">
        <f>IF(GO29&gt;0,GP29/GO29,0)</f>
        <v/>
      </c>
      <c r="HK29" s="11">
        <f>IF(GO28&gt;0,MAX(0,(GO28+GD29-GO29)/GO28),0)</f>
        <v/>
      </c>
      <c r="HM29" s="12" t="n">
        <v>25</v>
      </c>
      <c r="HN29" s="12">
        <f>MOD(HM29-1+LaunchMonth-1,12)+1</f>
        <v/>
      </c>
      <c r="HO29" s="12">
        <f>INT((HM29-1+LaunchMonth-1)/12)+1</f>
        <v/>
      </c>
      <c r="HP29" s="12">
        <f>VLOOKUP(HN29,SeasonTable,2,FALSE)</f>
        <v/>
      </c>
      <c r="HQ29" s="12">
        <f>(1+InflationRate)^INT((HM29-1)/12)</f>
        <v/>
      </c>
      <c r="HR29" s="11">
        <f>'Sens - Churn'!$A$15*VLOOKUP(HN29,ChurnSeasonTable,4,FALSE)</f>
        <v/>
      </c>
      <c r="HS29" s="12">
        <f>MIN(MAX(MktMin19plus,IM28*MktPct19plus),MAX(0,JA28-CashBuffer))</f>
        <v/>
      </c>
      <c r="HT29" s="12">
        <f>IF(HS29&gt;0,MAX(1,ROUND(HS29/CAC*HP29,0)),0)</f>
        <v/>
      </c>
      <c r="HU29" s="12">
        <f>IF(HT29&gt;0,ROUND(HT29*ReferralMix/(1-ReferralMix),0),0)</f>
        <v/>
      </c>
      <c r="HV29" s="12">
        <f>HT29+HU29</f>
        <v/>
      </c>
      <c r="HW29" s="12">
        <f>ROUND(HV29*(1-AnnualMix),0)</f>
        <v/>
      </c>
      <c r="HX29" s="12">
        <f>HV29-HW29</f>
        <v/>
      </c>
      <c r="HY29" s="12">
        <f>ROUND(HW29*EssentialMix,0)</f>
        <v/>
      </c>
      <c r="HZ29" s="12">
        <f>HW29-HY29</f>
        <v/>
      </c>
      <c r="IA29" s="12">
        <f>ROUND(HX29*EssentialMix,0)</f>
        <v/>
      </c>
      <c r="IB29" s="12">
        <f>HX29-IA29</f>
        <v/>
      </c>
      <c r="IC29" s="12">
        <f>HY29+HY28+HY27+MAX(0,IC28-HY28-HY27)*(1-HR29)</f>
        <v/>
      </c>
      <c r="ID29" s="12">
        <f>HZ29+HZ28+HZ27+MAX(0,ID28-HZ28-HZ27)*(1-HR29)</f>
        <v/>
      </c>
      <c r="IE29" s="12">
        <f>IE28+IA29-IA17*(AnnualChurn*VLOOKUP(HN29,ChurnSeasonTable,4,FALSE))*POWER(1-(AnnualChurn*VLOOKUP(HN29,ChurnSeasonTable,4,FALSE)),0)+IA5*(AnnualChurn*VLOOKUP(HN29,ChurnSeasonTable,4,FALSE))*POWER(1-(AnnualChurn*VLOOKUP(HN29,ChurnSeasonTable,4,FALSE)),1)</f>
        <v/>
      </c>
      <c r="IF29" s="12">
        <f>IF28+IB29-IB17*(AnnualChurn*VLOOKUP(HN29,ChurnSeasonTable,4,FALSE))*POWER(1-(AnnualChurn*VLOOKUP(HN29,ChurnSeasonTable,4,FALSE)),0)+IB5*(AnnualChurn*VLOOKUP(HN29,ChurnSeasonTable,4,FALSE))*POWER(1-(AnnualChurn*VLOOKUP(HN29,ChurnSeasonTable,4,FALSE)),1)</f>
        <v/>
      </c>
      <c r="IG29" s="12">
        <f>IC29+ID29+IE29+IF29</f>
        <v/>
      </c>
      <c r="IH29" s="9">
        <f>IC29*PriceEssMonthly*HQ29+ID29*PricePremMonthly*HQ29+IE29*PriceEssAnnual*HQ29/12+IF29*PricePremAnnual*HQ29/12</f>
        <v/>
      </c>
      <c r="II29" s="9">
        <f>IH29*12</f>
        <v/>
      </c>
      <c r="IJ29" s="12">
        <f>IC29*PriceEssMonthly*HQ29+ID29*PricePremMonthly*HQ29</f>
        <v/>
      </c>
      <c r="IK29" s="12">
        <f>IA29*PriceEssAnnual*HQ29+IB29*PricePremAnnual*HQ29</f>
        <v/>
      </c>
      <c r="IL29" s="12">
        <f>IA17*POWER(1-(AnnualChurn*VLOOKUP(HN29,ChurnSeasonTable,4,FALSE)),1)*PriceEssAnnual*HQ29+IA5*POWER(1-(AnnualChurn*VLOOKUP(HN29,ChurnSeasonTable,4,FALSE)),2)*PriceEssAnnual*HQ29+IB17*POWER(1-(AnnualChurn*VLOOKUP(HN29,ChurnSeasonTable,4,FALSE)),1)*PricePremAnnual*HQ29+IB5*POWER(1-(AnnualChurn*VLOOKUP(HN29,ChurnSeasonTable,4,FALSE)),2)*PricePremAnnual*HQ29</f>
        <v/>
      </c>
      <c r="IM29" s="9">
        <f>IJ29+IK29+IL29</f>
        <v/>
      </c>
      <c r="IN29" s="12">
        <f>SUM(IM18:IM29)</f>
        <v/>
      </c>
      <c r="IO29" s="12">
        <f>OR(IO28,IN29&gt;=VATThreshold)</f>
        <v/>
      </c>
      <c r="IP29" s="9">
        <f>IF(IO29,IM29/(1+VATRate),IM29)</f>
        <v/>
      </c>
      <c r="IQ29" s="12">
        <f>IM29-IP29</f>
        <v/>
      </c>
      <c r="IR29" s="12">
        <f>IF(IO29=0,0,IF(HN29=1,SUMPRODUCT(--(($HO$5:$HO29=$HO29-1)*($HN$5:$HN29&gt;=10)*($HN$5:$HN29&lt;=12)),$IQ$5:$IQ29),IF(HN29=4,SUMPRODUCT(--(($HO$5:$HO29=$HO29)*($HN$5:$HN29&gt;=1)*($HN$5:$HN29&lt;=3)),$IQ$5:$IQ29),IF(HN29=7,SUMPRODUCT(--(($HO$5:$HO29=$HO29)*($HN$5:$HN29&gt;=4)*($HN$5:$HN29&lt;=6)),$IQ$5:$IQ29),IF(HN29=10,SUMPRODUCT(--(($HO$5:$HO29=$HO29)*($HN$5:$HN29&gt;=7)*($HN$5:$HN29&lt;=9)),$IQ$5:$IQ29),0)))))</f>
        <v/>
      </c>
      <c r="IS29" s="12">
        <f>IS28+IQ29-IR29</f>
        <v/>
      </c>
      <c r="IT29" s="12">
        <f>IF(ProviderDelay&gt;=1,IP28*ProviderShare,IP29*ProviderShare)</f>
        <v/>
      </c>
      <c r="IU29" s="12">
        <f>IM29*PaymentFee</f>
        <v/>
      </c>
      <c r="IV29" s="12">
        <f>IG29*OpsAI</f>
        <v/>
      </c>
      <c r="IW29" s="12">
        <f>MonthlyFixed</f>
        <v/>
      </c>
      <c r="IX29" s="12">
        <f>HU29*ReferralReward</f>
        <v/>
      </c>
      <c r="IY29" s="12">
        <f>HS29</f>
        <v/>
      </c>
      <c r="IZ29" s="9">
        <f>IP29-IT29-IU29-IV29-IW29-IX29-IY29</f>
        <v/>
      </c>
      <c r="JA29" s="9">
        <f>JA28+IM29-(IT29+IU29+IV29+IW29+IX29+IY29+IR29)</f>
        <v/>
      </c>
      <c r="JB29" s="12">
        <f>IF(IG29&gt;0,IH29/IG29,0)</f>
        <v/>
      </c>
      <c r="JC29" s="11">
        <f>IF(IG28&gt;0,MAX(0,(IG28+HV29-IG29)/IG28),0)</f>
        <v/>
      </c>
      <c r="JE29" s="12" t="n">
        <v>25</v>
      </c>
      <c r="JF29" s="12">
        <f>MOD(JE29-1+LaunchMonth-1,12)+1</f>
        <v/>
      </c>
      <c r="JG29" s="12">
        <f>INT((JE29-1+LaunchMonth-1)/12)+1</f>
        <v/>
      </c>
      <c r="JH29" s="12">
        <f>VLOOKUP(JF29,SeasonTable,2,FALSE)</f>
        <v/>
      </c>
      <c r="JI29" s="12">
        <f>(1+InflationRate)^INT((JE29-1)/12)</f>
        <v/>
      </c>
      <c r="JJ29" s="11">
        <f>'Sens - Churn'!$A$16*VLOOKUP(JF29,ChurnSeasonTable,4,FALSE)</f>
        <v/>
      </c>
      <c r="JK29" s="12">
        <f>MIN(MAX(MktMin19plus,KE28*MktPct19plus),MAX(0,KS28-CashBuffer))</f>
        <v/>
      </c>
      <c r="JL29" s="12">
        <f>IF(JK29&gt;0,MAX(1,ROUND(JK29/CAC*JH29,0)),0)</f>
        <v/>
      </c>
      <c r="JM29" s="12">
        <f>IF(JL29&gt;0,ROUND(JL29*ReferralMix/(1-ReferralMix),0),0)</f>
        <v/>
      </c>
      <c r="JN29" s="12">
        <f>JL29+JM29</f>
        <v/>
      </c>
      <c r="JO29" s="12">
        <f>ROUND(JN29*(1-AnnualMix),0)</f>
        <v/>
      </c>
      <c r="JP29" s="12">
        <f>JN29-JO29</f>
        <v/>
      </c>
      <c r="JQ29" s="12">
        <f>ROUND(JO29*EssentialMix,0)</f>
        <v/>
      </c>
      <c r="JR29" s="12">
        <f>JO29-JQ29</f>
        <v/>
      </c>
      <c r="JS29" s="12">
        <f>ROUND(JP29*EssentialMix,0)</f>
        <v/>
      </c>
      <c r="JT29" s="12">
        <f>JP29-JS29</f>
        <v/>
      </c>
      <c r="JU29" s="12">
        <f>JQ29+JQ28+JQ27+MAX(0,JU28-JQ28-JQ27)*(1-JJ29)</f>
        <v/>
      </c>
      <c r="JV29" s="12">
        <f>JR29+JR28+JR27+MAX(0,JV28-JR28-JR27)*(1-JJ29)</f>
        <v/>
      </c>
      <c r="JW29" s="12">
        <f>JW28+JS29-JS17*(AnnualChurn*VLOOKUP(JF29,ChurnSeasonTable,4,FALSE))*POWER(1-(AnnualChurn*VLOOKUP(JF29,ChurnSeasonTable,4,FALSE)),0)+JS5*(AnnualChurn*VLOOKUP(JF29,ChurnSeasonTable,4,FALSE))*POWER(1-(AnnualChurn*VLOOKUP(JF29,ChurnSeasonTable,4,FALSE)),1)</f>
        <v/>
      </c>
      <c r="JX29" s="12">
        <f>JX28+JT29-JT17*(AnnualChurn*VLOOKUP(JF29,ChurnSeasonTable,4,FALSE))*POWER(1-(AnnualChurn*VLOOKUP(JF29,ChurnSeasonTable,4,FALSE)),0)+JT5*(AnnualChurn*VLOOKUP(JF29,ChurnSeasonTable,4,FALSE))*POWER(1-(AnnualChurn*VLOOKUP(JF29,ChurnSeasonTable,4,FALSE)),1)</f>
        <v/>
      </c>
      <c r="JY29" s="12">
        <f>JU29+JV29+JW29+JX29</f>
        <v/>
      </c>
      <c r="JZ29" s="9">
        <f>JU29*PriceEssMonthly*JI29+JV29*PricePremMonthly*JI29+JW29*PriceEssAnnual*JI29/12+JX29*PricePremAnnual*JI29/12</f>
        <v/>
      </c>
      <c r="KA29" s="9">
        <f>JZ29*12</f>
        <v/>
      </c>
      <c r="KB29" s="12">
        <f>JU29*PriceEssMonthly*JI29+JV29*PricePremMonthly*JI29</f>
        <v/>
      </c>
      <c r="KC29" s="12">
        <f>JS29*PriceEssAnnual*JI29+JT29*PricePremAnnual*JI29</f>
        <v/>
      </c>
      <c r="KD29" s="12">
        <f>JS17*POWER(1-(AnnualChurn*VLOOKUP(JF29,ChurnSeasonTable,4,FALSE)),1)*PriceEssAnnual*JI29+JS5*POWER(1-(AnnualChurn*VLOOKUP(JF29,ChurnSeasonTable,4,FALSE)),2)*PriceEssAnnual*JI29+JT17*POWER(1-(AnnualChurn*VLOOKUP(JF29,ChurnSeasonTable,4,FALSE)),1)*PricePremAnnual*JI29+JT5*POWER(1-(AnnualChurn*VLOOKUP(JF29,ChurnSeasonTable,4,FALSE)),2)*PricePremAnnual*JI29</f>
        <v/>
      </c>
      <c r="KE29" s="9">
        <f>KB29+KC29+KD29</f>
        <v/>
      </c>
      <c r="KF29" s="12">
        <f>SUM(KE18:KE29)</f>
        <v/>
      </c>
      <c r="KG29" s="12">
        <f>OR(KG28,KF29&gt;=VATThreshold)</f>
        <v/>
      </c>
      <c r="KH29" s="9">
        <f>IF(KG29,KE29/(1+VATRate),KE29)</f>
        <v/>
      </c>
      <c r="KI29" s="12">
        <f>KE29-KH29</f>
        <v/>
      </c>
      <c r="KJ29" s="12">
        <f>IF(KG29=0,0,IF(JF29=1,SUMPRODUCT(--(($JG$5:$JG29=$JG29-1)*($JF$5:$JF29&gt;=10)*($JF$5:$JF29&lt;=12)),$KI$5:$KI29),IF(JF29=4,SUMPRODUCT(--(($JG$5:$JG29=$JG29)*($JF$5:$JF29&gt;=1)*($JF$5:$JF29&lt;=3)),$KI$5:$KI29),IF(JF29=7,SUMPRODUCT(--(($JG$5:$JG29=$JG29)*($JF$5:$JF29&gt;=4)*($JF$5:$JF29&lt;=6)),$KI$5:$KI29),IF(JF29=10,SUMPRODUCT(--(($JG$5:$JG29=$JG29)*($JF$5:$JF29&gt;=7)*($JF$5:$JF29&lt;=9)),$KI$5:$KI29),0)))))</f>
        <v/>
      </c>
      <c r="KK29" s="12">
        <f>KK28+KI29-KJ29</f>
        <v/>
      </c>
      <c r="KL29" s="12">
        <f>IF(ProviderDelay&gt;=1,KH28*ProviderShare,KH29*ProviderShare)</f>
        <v/>
      </c>
      <c r="KM29" s="12">
        <f>KE29*PaymentFee</f>
        <v/>
      </c>
      <c r="KN29" s="12">
        <f>JY29*OpsAI</f>
        <v/>
      </c>
      <c r="KO29" s="12">
        <f>MonthlyFixed</f>
        <v/>
      </c>
      <c r="KP29" s="12">
        <f>JM29*ReferralReward</f>
        <v/>
      </c>
      <c r="KQ29" s="12">
        <f>JK29</f>
        <v/>
      </c>
      <c r="KR29" s="9">
        <f>KH29-KL29-KM29-KN29-KO29-KP29-KQ29</f>
        <v/>
      </c>
      <c r="KS29" s="9">
        <f>KS28+KE29-(KL29+KM29+KN29+KO29+KP29+KQ29+KJ29)</f>
        <v/>
      </c>
      <c r="KT29" s="12">
        <f>IF(JY29&gt;0,JZ29/JY29,0)</f>
        <v/>
      </c>
      <c r="KU29" s="11">
        <f>IF(JY28&gt;0,MAX(0,(JY28+JN29-JY29)/JY28),0)</f>
        <v/>
      </c>
      <c r="KW29" s="12" t="n">
        <v>25</v>
      </c>
      <c r="KX29" s="12">
        <f>MOD(KW29-1+LaunchMonth-1,12)+1</f>
        <v/>
      </c>
      <c r="KY29" s="12">
        <f>INT((KW29-1+LaunchMonth-1)/12)+1</f>
        <v/>
      </c>
      <c r="KZ29" s="12">
        <f>VLOOKUP(KX29,SeasonTable,2,FALSE)</f>
        <v/>
      </c>
      <c r="LA29" s="12">
        <f>(1+InflationRate)^INT((KW29-1)/12)</f>
        <v/>
      </c>
      <c r="LB29" s="11">
        <f>'Sens - Churn'!$A$17*VLOOKUP(KX29,ChurnSeasonTable,4,FALSE)</f>
        <v/>
      </c>
      <c r="LC29" s="12">
        <f>MIN(MAX(MktMin19plus,LW28*MktPct19plus),MAX(0,MK28-CashBuffer))</f>
        <v/>
      </c>
      <c r="LD29" s="12">
        <f>IF(LC29&gt;0,MAX(1,ROUND(LC29/CAC*KZ29,0)),0)</f>
        <v/>
      </c>
      <c r="LE29" s="12">
        <f>IF(LD29&gt;0,ROUND(LD29*ReferralMix/(1-ReferralMix),0),0)</f>
        <v/>
      </c>
      <c r="LF29" s="12">
        <f>LD29+LE29</f>
        <v/>
      </c>
      <c r="LG29" s="12">
        <f>ROUND(LF29*(1-AnnualMix),0)</f>
        <v/>
      </c>
      <c r="LH29" s="12">
        <f>LF29-LG29</f>
        <v/>
      </c>
      <c r="LI29" s="12">
        <f>ROUND(LG29*EssentialMix,0)</f>
        <v/>
      </c>
      <c r="LJ29" s="12">
        <f>LG29-LI29</f>
        <v/>
      </c>
      <c r="LK29" s="12">
        <f>ROUND(LH29*EssentialMix,0)</f>
        <v/>
      </c>
      <c r="LL29" s="12">
        <f>LH29-LK29</f>
        <v/>
      </c>
      <c r="LM29" s="12">
        <f>LI29+LI28+LI27+MAX(0,LM28-LI28-LI27)*(1-LB29)</f>
        <v/>
      </c>
      <c r="LN29" s="12">
        <f>LJ29+LJ28+LJ27+MAX(0,LN28-LJ28-LJ27)*(1-LB29)</f>
        <v/>
      </c>
      <c r="LO29" s="12">
        <f>LO28+LK29-LK17*(AnnualChurn*VLOOKUP(KX29,ChurnSeasonTable,4,FALSE))*POWER(1-(AnnualChurn*VLOOKUP(KX29,ChurnSeasonTable,4,FALSE)),0)+LK5*(AnnualChurn*VLOOKUP(KX29,ChurnSeasonTable,4,FALSE))*POWER(1-(AnnualChurn*VLOOKUP(KX29,ChurnSeasonTable,4,FALSE)),1)</f>
        <v/>
      </c>
      <c r="LP29" s="12">
        <f>LP28+LL29-LL17*(AnnualChurn*VLOOKUP(KX29,ChurnSeasonTable,4,FALSE))*POWER(1-(AnnualChurn*VLOOKUP(KX29,ChurnSeasonTable,4,FALSE)),0)+LL5*(AnnualChurn*VLOOKUP(KX29,ChurnSeasonTable,4,FALSE))*POWER(1-(AnnualChurn*VLOOKUP(KX29,ChurnSeasonTable,4,FALSE)),1)</f>
        <v/>
      </c>
      <c r="LQ29" s="12">
        <f>LM29+LN29+LO29+LP29</f>
        <v/>
      </c>
      <c r="LR29" s="9">
        <f>LM29*PriceEssMonthly*LA29+LN29*PricePremMonthly*LA29+LO29*PriceEssAnnual*LA29/12+LP29*PricePremAnnual*LA29/12</f>
        <v/>
      </c>
      <c r="LS29" s="9">
        <f>LR29*12</f>
        <v/>
      </c>
      <c r="LT29" s="12">
        <f>LM29*PriceEssMonthly*LA29+LN29*PricePremMonthly*LA29</f>
        <v/>
      </c>
      <c r="LU29" s="12">
        <f>LK29*PriceEssAnnual*LA29+LL29*PricePremAnnual*LA29</f>
        <v/>
      </c>
      <c r="LV29" s="12">
        <f>LK17*POWER(1-(AnnualChurn*VLOOKUP(KX29,ChurnSeasonTable,4,FALSE)),1)*PriceEssAnnual*LA29+LK5*POWER(1-(AnnualChurn*VLOOKUP(KX29,ChurnSeasonTable,4,FALSE)),2)*PriceEssAnnual*LA29+LL17*POWER(1-(AnnualChurn*VLOOKUP(KX29,ChurnSeasonTable,4,FALSE)),1)*PricePremAnnual*LA29+LL5*POWER(1-(AnnualChurn*VLOOKUP(KX29,ChurnSeasonTable,4,FALSE)),2)*PricePremAnnual*LA29</f>
        <v/>
      </c>
      <c r="LW29" s="9">
        <f>LT29+LU29+LV29</f>
        <v/>
      </c>
      <c r="LX29" s="12">
        <f>SUM(LW18:LW29)</f>
        <v/>
      </c>
      <c r="LY29" s="12">
        <f>OR(LY28,LX29&gt;=VATThreshold)</f>
        <v/>
      </c>
      <c r="LZ29" s="9">
        <f>IF(LY29,LW29/(1+VATRate),LW29)</f>
        <v/>
      </c>
      <c r="MA29" s="12">
        <f>LW29-LZ29</f>
        <v/>
      </c>
      <c r="MB29" s="12">
        <f>IF(LY29=0,0,IF(KX29=1,SUMPRODUCT(--(($KY$5:$KY29=$KY29-1)*($KX$5:$KX29&gt;=10)*($KX$5:$KX29&lt;=12)),$MA$5:$MA29),IF(KX29=4,SUMPRODUCT(--(($KY$5:$KY29=$KY29)*($KX$5:$KX29&gt;=1)*($KX$5:$KX29&lt;=3)),$MA$5:$MA29),IF(KX29=7,SUMPRODUCT(--(($KY$5:$KY29=$KY29)*($KX$5:$KX29&gt;=4)*($KX$5:$KX29&lt;=6)),$MA$5:$MA29),IF(KX29=10,SUMPRODUCT(--(($KY$5:$KY29=$KY29)*($KX$5:$KX29&gt;=7)*($KX$5:$KX29&lt;=9)),$MA$5:$MA29),0)))))</f>
        <v/>
      </c>
      <c r="MC29" s="12">
        <f>MC28+MA29-MB29</f>
        <v/>
      </c>
      <c r="MD29" s="12">
        <f>IF(ProviderDelay&gt;=1,LZ28*ProviderShare,LZ29*ProviderShare)</f>
        <v/>
      </c>
      <c r="ME29" s="12">
        <f>LW29*PaymentFee</f>
        <v/>
      </c>
      <c r="MF29" s="12">
        <f>LQ29*OpsAI</f>
        <v/>
      </c>
      <c r="MG29" s="12">
        <f>MonthlyFixed</f>
        <v/>
      </c>
      <c r="MH29" s="12">
        <f>LE29*ReferralReward</f>
        <v/>
      </c>
      <c r="MI29" s="12">
        <f>LC29</f>
        <v/>
      </c>
      <c r="MJ29" s="9">
        <f>LZ29-MD29-ME29-MF29-MG29-MH29-MI29</f>
        <v/>
      </c>
      <c r="MK29" s="9">
        <f>MK28+LW29-(MD29+ME29+MF29+MG29+MH29+MI29+MB29)</f>
        <v/>
      </c>
      <c r="ML29" s="12">
        <f>IF(LQ29&gt;0,LR29/LQ29,0)</f>
        <v/>
      </c>
      <c r="MM29" s="11">
        <f>IF(LQ28&gt;0,MAX(0,(LQ28+LF29-LQ29)/LQ28),0)</f>
        <v/>
      </c>
      <c r="MO29" s="12" t="n">
        <v>25</v>
      </c>
      <c r="MP29" s="12">
        <f>MOD(MO29-1+LaunchMonth-1,12)+1</f>
        <v/>
      </c>
      <c r="MQ29" s="12">
        <f>INT((MO29-1+LaunchMonth-1)/12)+1</f>
        <v/>
      </c>
      <c r="MR29" s="12">
        <f>VLOOKUP(MP29,SeasonTable,2,FALSE)</f>
        <v/>
      </c>
      <c r="MS29" s="12">
        <f>(1+InflationRate)^INT((MO29-1)/12)</f>
        <v/>
      </c>
      <c r="MT29" s="11">
        <f>'Sens - Churn'!$A$18*VLOOKUP(MP29,ChurnSeasonTable,4,FALSE)</f>
        <v/>
      </c>
      <c r="MU29" s="12">
        <f>MIN(MAX(MktMin19plus,NO28*MktPct19plus),MAX(0,OC28-CashBuffer))</f>
        <v/>
      </c>
      <c r="MV29" s="12">
        <f>IF(MU29&gt;0,MAX(1,ROUND(MU29/CAC*MR29,0)),0)</f>
        <v/>
      </c>
      <c r="MW29" s="12">
        <f>IF(MV29&gt;0,ROUND(MV29*ReferralMix/(1-ReferralMix),0),0)</f>
        <v/>
      </c>
      <c r="MX29" s="12">
        <f>MV29+MW29</f>
        <v/>
      </c>
      <c r="MY29" s="12">
        <f>ROUND(MX29*(1-AnnualMix),0)</f>
        <v/>
      </c>
      <c r="MZ29" s="12">
        <f>MX29-MY29</f>
        <v/>
      </c>
      <c r="NA29" s="12">
        <f>ROUND(MY29*EssentialMix,0)</f>
        <v/>
      </c>
      <c r="NB29" s="12">
        <f>MY29-NA29</f>
        <v/>
      </c>
      <c r="NC29" s="12">
        <f>ROUND(MZ29*EssentialMix,0)</f>
        <v/>
      </c>
      <c r="ND29" s="12">
        <f>MZ29-NC29</f>
        <v/>
      </c>
      <c r="NE29" s="12">
        <f>NA29+NA28+NA27+MAX(0,NE28-NA28-NA27)*(1-MT29)</f>
        <v/>
      </c>
      <c r="NF29" s="12">
        <f>NB29+NB28+NB27+MAX(0,NF28-NB28-NB27)*(1-MT29)</f>
        <v/>
      </c>
      <c r="NG29" s="12">
        <f>NG28+NC29-NC17*(AnnualChurn*VLOOKUP(MP29,ChurnSeasonTable,4,FALSE))*POWER(1-(AnnualChurn*VLOOKUP(MP29,ChurnSeasonTable,4,FALSE)),0)+NC5*(AnnualChurn*VLOOKUP(MP29,ChurnSeasonTable,4,FALSE))*POWER(1-(AnnualChurn*VLOOKUP(MP29,ChurnSeasonTable,4,FALSE)),1)</f>
        <v/>
      </c>
      <c r="NH29" s="12">
        <f>NH28+ND29-ND17*(AnnualChurn*VLOOKUP(MP29,ChurnSeasonTable,4,FALSE))*POWER(1-(AnnualChurn*VLOOKUP(MP29,ChurnSeasonTable,4,FALSE)),0)+ND5*(AnnualChurn*VLOOKUP(MP29,ChurnSeasonTable,4,FALSE))*POWER(1-(AnnualChurn*VLOOKUP(MP29,ChurnSeasonTable,4,FALSE)),1)</f>
        <v/>
      </c>
      <c r="NI29" s="12">
        <f>NE29+NF29+NG29+NH29</f>
        <v/>
      </c>
      <c r="NJ29" s="9">
        <f>NE29*PriceEssMonthly*MS29+NF29*PricePremMonthly*MS29+NG29*PriceEssAnnual*MS29/12+NH29*PricePremAnnual*MS29/12</f>
        <v/>
      </c>
      <c r="NK29" s="9">
        <f>NJ29*12</f>
        <v/>
      </c>
      <c r="NL29" s="12">
        <f>NE29*PriceEssMonthly*MS29+NF29*PricePremMonthly*MS29</f>
        <v/>
      </c>
      <c r="NM29" s="12">
        <f>NC29*PriceEssAnnual*MS29+ND29*PricePremAnnual*MS29</f>
        <v/>
      </c>
      <c r="NN29" s="12">
        <f>NC17*POWER(1-(AnnualChurn*VLOOKUP(MP29,ChurnSeasonTable,4,FALSE)),1)*PriceEssAnnual*MS29+NC5*POWER(1-(AnnualChurn*VLOOKUP(MP29,ChurnSeasonTable,4,FALSE)),2)*PriceEssAnnual*MS29+ND17*POWER(1-(AnnualChurn*VLOOKUP(MP29,ChurnSeasonTable,4,FALSE)),1)*PricePremAnnual*MS29+ND5*POWER(1-(AnnualChurn*VLOOKUP(MP29,ChurnSeasonTable,4,FALSE)),2)*PricePremAnnual*MS29</f>
        <v/>
      </c>
      <c r="NO29" s="9">
        <f>NL29+NM29+NN29</f>
        <v/>
      </c>
      <c r="NP29" s="12">
        <f>SUM(NO18:NO29)</f>
        <v/>
      </c>
      <c r="NQ29" s="12">
        <f>OR(NQ28,NP29&gt;=VATThreshold)</f>
        <v/>
      </c>
      <c r="NR29" s="9">
        <f>IF(NQ29,NO29/(1+VATRate),NO29)</f>
        <v/>
      </c>
      <c r="NS29" s="12">
        <f>NO29-NR29</f>
        <v/>
      </c>
      <c r="NT29" s="12">
        <f>IF(NQ29=0,0,IF(MP29=1,SUMPRODUCT(--(($MQ$5:$MQ29=$MQ29-1)*($MP$5:$MP29&gt;=10)*($MP$5:$MP29&lt;=12)),$NS$5:$NS29),IF(MP29=4,SUMPRODUCT(--(($MQ$5:$MQ29=$MQ29)*($MP$5:$MP29&gt;=1)*($MP$5:$MP29&lt;=3)),$NS$5:$NS29),IF(MP29=7,SUMPRODUCT(--(($MQ$5:$MQ29=$MQ29)*($MP$5:$MP29&gt;=4)*($MP$5:$MP29&lt;=6)),$NS$5:$NS29),IF(MP29=10,SUMPRODUCT(--(($MQ$5:$MQ29=$MQ29)*($MP$5:$MP29&gt;=7)*($MP$5:$MP29&lt;=9)),$NS$5:$NS29),0)))))</f>
        <v/>
      </c>
      <c r="NU29" s="12">
        <f>NU28+NS29-NT29</f>
        <v/>
      </c>
      <c r="NV29" s="12">
        <f>IF(ProviderDelay&gt;=1,NR28*ProviderShare,NR29*ProviderShare)</f>
        <v/>
      </c>
      <c r="NW29" s="12">
        <f>NO29*PaymentFee</f>
        <v/>
      </c>
      <c r="NX29" s="12">
        <f>NI29*OpsAI</f>
        <v/>
      </c>
      <c r="NY29" s="12">
        <f>MonthlyFixed</f>
        <v/>
      </c>
      <c r="NZ29" s="12">
        <f>MW29*ReferralReward</f>
        <v/>
      </c>
      <c r="OA29" s="12">
        <f>MU29</f>
        <v/>
      </c>
      <c r="OB29" s="9">
        <f>NR29-NV29-NW29-NX29-NY29-NZ29-OA29</f>
        <v/>
      </c>
      <c r="OC29" s="9">
        <f>OC28+NO29-(NV29+NW29+NX29+NY29+NZ29+OA29+NT29)</f>
        <v/>
      </c>
      <c r="OD29" s="12">
        <f>IF(NI29&gt;0,NJ29/NI29,0)</f>
        <v/>
      </c>
      <c r="OE29" s="11">
        <f>IF(NI28&gt;0,MAX(0,(NI28+MX29-NI29)/NI28),0)</f>
        <v/>
      </c>
      <c r="OG29" s="12" t="n">
        <v>25</v>
      </c>
      <c r="OH29" s="12">
        <f>MOD(OG29-1+LaunchMonth-1,12)+1</f>
        <v/>
      </c>
      <c r="OI29" s="12">
        <f>INT((OG29-1+LaunchMonth-1)/12)+1</f>
        <v/>
      </c>
      <c r="OJ29" s="12">
        <f>VLOOKUP(OH29,SeasonTable,2,FALSE)</f>
        <v/>
      </c>
      <c r="OK29" s="12">
        <f>(1+InflationRate)^INT((OG29-1)/12)</f>
        <v/>
      </c>
      <c r="OL29" s="11">
        <f>'Sens - Churn'!$A$19*VLOOKUP(OH29,ChurnSeasonTable,4,FALSE)</f>
        <v/>
      </c>
      <c r="OM29" s="12">
        <f>MIN(MAX(MktMin19plus,PG28*MktPct19plus),MAX(0,PU28-CashBuffer))</f>
        <v/>
      </c>
      <c r="ON29" s="12">
        <f>IF(OM29&gt;0,MAX(1,ROUND(OM29/CAC*OJ29,0)),0)</f>
        <v/>
      </c>
      <c r="OO29" s="12">
        <f>IF(ON29&gt;0,ROUND(ON29*ReferralMix/(1-ReferralMix),0),0)</f>
        <v/>
      </c>
      <c r="OP29" s="12">
        <f>ON29+OO29</f>
        <v/>
      </c>
      <c r="OQ29" s="12">
        <f>ROUND(OP29*(1-AnnualMix),0)</f>
        <v/>
      </c>
      <c r="OR29" s="12">
        <f>OP29-OQ29</f>
        <v/>
      </c>
      <c r="OS29" s="12">
        <f>ROUND(OQ29*EssentialMix,0)</f>
        <v/>
      </c>
      <c r="OT29" s="12">
        <f>OQ29-OS29</f>
        <v/>
      </c>
      <c r="OU29" s="12">
        <f>ROUND(OR29*EssentialMix,0)</f>
        <v/>
      </c>
      <c r="OV29" s="12">
        <f>OR29-OU29</f>
        <v/>
      </c>
      <c r="OW29" s="12">
        <f>OS29+OS28+OS27+MAX(0,OW28-OS28-OS27)*(1-OL29)</f>
        <v/>
      </c>
      <c r="OX29" s="12">
        <f>OT29+OT28+OT27+MAX(0,OX28-OT28-OT27)*(1-OL29)</f>
        <v/>
      </c>
      <c r="OY29" s="12">
        <f>OY28+OU29-OU17*(AnnualChurn*VLOOKUP(OH29,ChurnSeasonTable,4,FALSE))*POWER(1-(AnnualChurn*VLOOKUP(OH29,ChurnSeasonTable,4,FALSE)),0)+OU5*(AnnualChurn*VLOOKUP(OH29,ChurnSeasonTable,4,FALSE))*POWER(1-(AnnualChurn*VLOOKUP(OH29,ChurnSeasonTable,4,FALSE)),1)</f>
        <v/>
      </c>
      <c r="OZ29" s="12">
        <f>OZ28+OV29-OV17*(AnnualChurn*VLOOKUP(OH29,ChurnSeasonTable,4,FALSE))*POWER(1-(AnnualChurn*VLOOKUP(OH29,ChurnSeasonTable,4,FALSE)),0)+OV5*(AnnualChurn*VLOOKUP(OH29,ChurnSeasonTable,4,FALSE))*POWER(1-(AnnualChurn*VLOOKUP(OH29,ChurnSeasonTable,4,FALSE)),1)</f>
        <v/>
      </c>
      <c r="PA29" s="12">
        <f>OW29+OX29+OY29+OZ29</f>
        <v/>
      </c>
      <c r="PB29" s="9">
        <f>OW29*PriceEssMonthly*OK29+OX29*PricePremMonthly*OK29+OY29*PriceEssAnnual*OK29/12+OZ29*PricePremAnnual*OK29/12</f>
        <v/>
      </c>
      <c r="PC29" s="9">
        <f>PB29*12</f>
        <v/>
      </c>
      <c r="PD29" s="12">
        <f>OW29*PriceEssMonthly*OK29+OX29*PricePremMonthly*OK29</f>
        <v/>
      </c>
      <c r="PE29" s="12">
        <f>OU29*PriceEssAnnual*OK29+OV29*PricePremAnnual*OK29</f>
        <v/>
      </c>
      <c r="PF29" s="12">
        <f>OU17*POWER(1-(AnnualChurn*VLOOKUP(OH29,ChurnSeasonTable,4,FALSE)),1)*PriceEssAnnual*OK29+OU5*POWER(1-(AnnualChurn*VLOOKUP(OH29,ChurnSeasonTable,4,FALSE)),2)*PriceEssAnnual*OK29+OV17*POWER(1-(AnnualChurn*VLOOKUP(OH29,ChurnSeasonTable,4,FALSE)),1)*PricePremAnnual*OK29+OV5*POWER(1-(AnnualChurn*VLOOKUP(OH29,ChurnSeasonTable,4,FALSE)),2)*PricePremAnnual*OK29</f>
        <v/>
      </c>
      <c r="PG29" s="9">
        <f>PD29+PE29+PF29</f>
        <v/>
      </c>
      <c r="PH29" s="12">
        <f>SUM(PG18:PG29)</f>
        <v/>
      </c>
      <c r="PI29" s="12">
        <f>OR(PI28,PH29&gt;=VATThreshold)</f>
        <v/>
      </c>
      <c r="PJ29" s="9">
        <f>IF(PI29,PG29/(1+VATRate),PG29)</f>
        <v/>
      </c>
      <c r="PK29" s="12">
        <f>PG29-PJ29</f>
        <v/>
      </c>
      <c r="PL29" s="12">
        <f>IF(PI29=0,0,IF(OH29=1,SUMPRODUCT(--(($OI$5:$OI29=$OI29-1)*($OH$5:$OH29&gt;=10)*($OH$5:$OH29&lt;=12)),$PK$5:$PK29),IF(OH29=4,SUMPRODUCT(--(($OI$5:$OI29=$OI29)*($OH$5:$OH29&gt;=1)*($OH$5:$OH29&lt;=3)),$PK$5:$PK29),IF(OH29=7,SUMPRODUCT(--(($OI$5:$OI29=$OI29)*($OH$5:$OH29&gt;=4)*($OH$5:$OH29&lt;=6)),$PK$5:$PK29),IF(OH29=10,SUMPRODUCT(--(($OI$5:$OI29=$OI29)*($OH$5:$OH29&gt;=7)*($OH$5:$OH29&lt;=9)),$PK$5:$PK29),0)))))</f>
        <v/>
      </c>
      <c r="PM29" s="12">
        <f>PM28+PK29-PL29</f>
        <v/>
      </c>
      <c r="PN29" s="12">
        <f>IF(ProviderDelay&gt;=1,PJ28*ProviderShare,PJ29*ProviderShare)</f>
        <v/>
      </c>
      <c r="PO29" s="12">
        <f>PG29*PaymentFee</f>
        <v/>
      </c>
      <c r="PP29" s="12">
        <f>PA29*OpsAI</f>
        <v/>
      </c>
      <c r="PQ29" s="12">
        <f>MonthlyFixed</f>
        <v/>
      </c>
      <c r="PR29" s="12">
        <f>OO29*ReferralReward</f>
        <v/>
      </c>
      <c r="PS29" s="12">
        <f>OM29</f>
        <v/>
      </c>
      <c r="PT29" s="9">
        <f>PJ29-PN29-PO29-PP29-PQ29-PR29-PS29</f>
        <v/>
      </c>
      <c r="PU29" s="9">
        <f>PU28+PG29-(PN29+PO29+PP29+PQ29+PR29+PS29+PL29)</f>
        <v/>
      </c>
      <c r="PV29" s="12">
        <f>IF(PA29&gt;0,PB29/PA29,0)</f>
        <v/>
      </c>
      <c r="PW29" s="11">
        <f>IF(PA28&gt;0,MAX(0,(PA28+OP29-PA29)/PA28),0)</f>
        <v/>
      </c>
      <c r="PY29" s="12" t="n">
        <v>25</v>
      </c>
      <c r="PZ29" s="12">
        <f>MOD(PY29-1+LaunchMonth-1,12)+1</f>
        <v/>
      </c>
      <c r="QA29" s="12">
        <f>INT((PY29-1+LaunchMonth-1)/12)+1</f>
        <v/>
      </c>
      <c r="QB29" s="12">
        <f>VLOOKUP(PZ29,SeasonTable,2,FALSE)</f>
        <v/>
      </c>
      <c r="QC29" s="12">
        <f>(1+InflationRate)^INT((PY29-1)/12)</f>
        <v/>
      </c>
      <c r="QD29" s="11">
        <f>'Sens - Churn'!$A$20*VLOOKUP(PZ29,ChurnSeasonTable,4,FALSE)</f>
        <v/>
      </c>
      <c r="QE29" s="12">
        <f>MIN(MAX(MktMin19plus,QY28*MktPct19plus),MAX(0,RM28-CashBuffer))</f>
        <v/>
      </c>
      <c r="QF29" s="12">
        <f>IF(QE29&gt;0,MAX(1,ROUND(QE29/CAC*QB29,0)),0)</f>
        <v/>
      </c>
      <c r="QG29" s="12">
        <f>IF(QF29&gt;0,ROUND(QF29*ReferralMix/(1-ReferralMix),0),0)</f>
        <v/>
      </c>
      <c r="QH29" s="12">
        <f>QF29+QG29</f>
        <v/>
      </c>
      <c r="QI29" s="12">
        <f>ROUND(QH29*(1-AnnualMix),0)</f>
        <v/>
      </c>
      <c r="QJ29" s="12">
        <f>QH29-QI29</f>
        <v/>
      </c>
      <c r="QK29" s="12">
        <f>ROUND(QI29*EssentialMix,0)</f>
        <v/>
      </c>
      <c r="QL29" s="12">
        <f>QI29-QK29</f>
        <v/>
      </c>
      <c r="QM29" s="12">
        <f>ROUND(QJ29*EssentialMix,0)</f>
        <v/>
      </c>
      <c r="QN29" s="12">
        <f>QJ29-QM29</f>
        <v/>
      </c>
      <c r="QO29" s="12">
        <f>QK29+QK28+QK27+MAX(0,QO28-QK28-QK27)*(1-QD29)</f>
        <v/>
      </c>
      <c r="QP29" s="12">
        <f>QL29+QL28+QL27+MAX(0,QP28-QL28-QL27)*(1-QD29)</f>
        <v/>
      </c>
      <c r="QQ29" s="12">
        <f>QQ28+QM29-QM17*(AnnualChurn*VLOOKUP(PZ29,ChurnSeasonTable,4,FALSE))*POWER(1-(AnnualChurn*VLOOKUP(PZ29,ChurnSeasonTable,4,FALSE)),0)+QM5*(AnnualChurn*VLOOKUP(PZ29,ChurnSeasonTable,4,FALSE))*POWER(1-(AnnualChurn*VLOOKUP(PZ29,ChurnSeasonTable,4,FALSE)),1)</f>
        <v/>
      </c>
      <c r="QR29" s="12">
        <f>QR28+QN29-QN17*(AnnualChurn*VLOOKUP(PZ29,ChurnSeasonTable,4,FALSE))*POWER(1-(AnnualChurn*VLOOKUP(PZ29,ChurnSeasonTable,4,FALSE)),0)+QN5*(AnnualChurn*VLOOKUP(PZ29,ChurnSeasonTable,4,FALSE))*POWER(1-(AnnualChurn*VLOOKUP(PZ29,ChurnSeasonTable,4,FALSE)),1)</f>
        <v/>
      </c>
      <c r="QS29" s="12">
        <f>QO29+QP29+QQ29+QR29</f>
        <v/>
      </c>
      <c r="QT29" s="9">
        <f>QO29*PriceEssMonthly*QC29+QP29*PricePremMonthly*QC29+QQ29*PriceEssAnnual*QC29/12+QR29*PricePremAnnual*QC29/12</f>
        <v/>
      </c>
      <c r="QU29" s="9">
        <f>QT29*12</f>
        <v/>
      </c>
      <c r="QV29" s="12">
        <f>QO29*PriceEssMonthly*QC29+QP29*PricePremMonthly*QC29</f>
        <v/>
      </c>
      <c r="QW29" s="12">
        <f>QM29*PriceEssAnnual*QC29+QN29*PricePremAnnual*QC29</f>
        <v/>
      </c>
      <c r="QX29" s="12">
        <f>QM17*POWER(1-(AnnualChurn*VLOOKUP(PZ29,ChurnSeasonTable,4,FALSE)),1)*PriceEssAnnual*QC29+QM5*POWER(1-(AnnualChurn*VLOOKUP(PZ29,ChurnSeasonTable,4,FALSE)),2)*PriceEssAnnual*QC29+QN17*POWER(1-(AnnualChurn*VLOOKUP(PZ29,ChurnSeasonTable,4,FALSE)),1)*PricePremAnnual*QC29+QN5*POWER(1-(AnnualChurn*VLOOKUP(PZ29,ChurnSeasonTable,4,FALSE)),2)*PricePremAnnual*QC29</f>
        <v/>
      </c>
      <c r="QY29" s="9">
        <f>QV29+QW29+QX29</f>
        <v/>
      </c>
      <c r="QZ29" s="12">
        <f>SUM(QY18:QY29)</f>
        <v/>
      </c>
      <c r="RA29" s="12">
        <f>OR(RA28,QZ29&gt;=VATThreshold)</f>
        <v/>
      </c>
      <c r="RB29" s="9">
        <f>IF(RA29,QY29/(1+VATRate),QY29)</f>
        <v/>
      </c>
      <c r="RC29" s="12">
        <f>QY29-RB29</f>
        <v/>
      </c>
      <c r="RD29" s="12">
        <f>IF(RA29=0,0,IF(PZ29=1,SUMPRODUCT(--(($QA$5:$QA29=$QA29-1)*($PZ$5:$PZ29&gt;=10)*($PZ$5:$PZ29&lt;=12)),$RC$5:$RC29),IF(PZ29=4,SUMPRODUCT(--(($QA$5:$QA29=$QA29)*($PZ$5:$PZ29&gt;=1)*($PZ$5:$PZ29&lt;=3)),$RC$5:$RC29),IF(PZ29=7,SUMPRODUCT(--(($QA$5:$QA29=$QA29)*($PZ$5:$PZ29&gt;=4)*($PZ$5:$PZ29&lt;=6)),$RC$5:$RC29),IF(PZ29=10,SUMPRODUCT(--(($QA$5:$QA29=$QA29)*($PZ$5:$PZ29&gt;=7)*($PZ$5:$PZ29&lt;=9)),$RC$5:$RC29),0)))))</f>
        <v/>
      </c>
      <c r="RE29" s="12">
        <f>RE28+RC29-RD29</f>
        <v/>
      </c>
      <c r="RF29" s="12">
        <f>IF(ProviderDelay&gt;=1,RB28*ProviderShare,RB29*ProviderShare)</f>
        <v/>
      </c>
      <c r="RG29" s="12">
        <f>QY29*PaymentFee</f>
        <v/>
      </c>
      <c r="RH29" s="12">
        <f>QS29*OpsAI</f>
        <v/>
      </c>
      <c r="RI29" s="12">
        <f>MonthlyFixed</f>
        <v/>
      </c>
      <c r="RJ29" s="12">
        <f>QG29*ReferralReward</f>
        <v/>
      </c>
      <c r="RK29" s="12">
        <f>QE29</f>
        <v/>
      </c>
      <c r="RL29" s="9">
        <f>RB29-RF29-RG29-RH29-RI29-RJ29-RK29</f>
        <v/>
      </c>
      <c r="RM29" s="9">
        <f>RM28+QY29-(RF29+RG29+RH29+RI29+RJ29+RK29+RD29)</f>
        <v/>
      </c>
      <c r="RN29" s="12">
        <f>IF(QS29&gt;0,QT29/QS29,0)</f>
        <v/>
      </c>
      <c r="RO29" s="11">
        <f>IF(QS28&gt;0,MAX(0,(QS28+QH29-QS29)/QS28),0)</f>
        <v/>
      </c>
      <c r="RQ29" s="12" t="n">
        <v>25</v>
      </c>
      <c r="RR29" s="12">
        <f>MOD(RQ29-1+LaunchMonth-1,12)+1</f>
        <v/>
      </c>
      <c r="RS29" s="12">
        <f>INT((RQ29-1+LaunchMonth-1)/12)+1</f>
        <v/>
      </c>
      <c r="RT29" s="12">
        <f>VLOOKUP(RR29,SeasonTable,2,FALSE)</f>
        <v/>
      </c>
      <c r="RU29" s="12">
        <f>(1+InflationRate)^INT((RQ29-1)/12)</f>
        <v/>
      </c>
      <c r="RV29" s="11">
        <f>'Sens - Churn'!$A$21*VLOOKUP(RR29,ChurnSeasonTable,4,FALSE)</f>
        <v/>
      </c>
      <c r="RW29" s="12">
        <f>MIN(MAX(MktMin19plus,SQ28*MktPct19plus),MAX(0,TE28-CashBuffer))</f>
        <v/>
      </c>
      <c r="RX29" s="12">
        <f>IF(RW29&gt;0,MAX(1,ROUND(RW29/CAC*RT29,0)),0)</f>
        <v/>
      </c>
      <c r="RY29" s="12">
        <f>IF(RX29&gt;0,ROUND(RX29*ReferralMix/(1-ReferralMix),0),0)</f>
        <v/>
      </c>
      <c r="RZ29" s="12">
        <f>RX29+RY29</f>
        <v/>
      </c>
      <c r="SA29" s="12">
        <f>ROUND(RZ29*(1-AnnualMix),0)</f>
        <v/>
      </c>
      <c r="SB29" s="12">
        <f>RZ29-SA29</f>
        <v/>
      </c>
      <c r="SC29" s="12">
        <f>ROUND(SA29*EssentialMix,0)</f>
        <v/>
      </c>
      <c r="SD29" s="12">
        <f>SA29-SC29</f>
        <v/>
      </c>
      <c r="SE29" s="12">
        <f>ROUND(SB29*EssentialMix,0)</f>
        <v/>
      </c>
      <c r="SF29" s="12">
        <f>SB29-SE29</f>
        <v/>
      </c>
      <c r="SG29" s="12">
        <f>SC29+SC28+SC27+MAX(0,SG28-SC28-SC27)*(1-RV29)</f>
        <v/>
      </c>
      <c r="SH29" s="12">
        <f>SD29+SD28+SD27+MAX(0,SH28-SD28-SD27)*(1-RV29)</f>
        <v/>
      </c>
      <c r="SI29" s="12">
        <f>SI28+SE29-SE17*(AnnualChurn*VLOOKUP(RR29,ChurnSeasonTable,4,FALSE))*POWER(1-(AnnualChurn*VLOOKUP(RR29,ChurnSeasonTable,4,FALSE)),0)+SE5*(AnnualChurn*VLOOKUP(RR29,ChurnSeasonTable,4,FALSE))*POWER(1-(AnnualChurn*VLOOKUP(RR29,ChurnSeasonTable,4,FALSE)),1)</f>
        <v/>
      </c>
      <c r="SJ29" s="12">
        <f>SJ28+SF29-SF17*(AnnualChurn*VLOOKUP(RR29,ChurnSeasonTable,4,FALSE))*POWER(1-(AnnualChurn*VLOOKUP(RR29,ChurnSeasonTable,4,FALSE)),0)+SF5*(AnnualChurn*VLOOKUP(RR29,ChurnSeasonTable,4,FALSE))*POWER(1-(AnnualChurn*VLOOKUP(RR29,ChurnSeasonTable,4,FALSE)),1)</f>
        <v/>
      </c>
      <c r="SK29" s="12">
        <f>SG29+SH29+SI29+SJ29</f>
        <v/>
      </c>
      <c r="SL29" s="9">
        <f>SG29*PriceEssMonthly*RU29+SH29*PricePremMonthly*RU29+SI29*PriceEssAnnual*RU29/12+SJ29*PricePremAnnual*RU29/12</f>
        <v/>
      </c>
      <c r="SM29" s="9">
        <f>SL29*12</f>
        <v/>
      </c>
      <c r="SN29" s="12">
        <f>SG29*PriceEssMonthly*RU29+SH29*PricePremMonthly*RU29</f>
        <v/>
      </c>
      <c r="SO29" s="12">
        <f>SE29*PriceEssAnnual*RU29+SF29*PricePremAnnual*RU29</f>
        <v/>
      </c>
      <c r="SP29" s="12">
        <f>SE17*POWER(1-(AnnualChurn*VLOOKUP(RR29,ChurnSeasonTable,4,FALSE)),1)*PriceEssAnnual*RU29+SE5*POWER(1-(AnnualChurn*VLOOKUP(RR29,ChurnSeasonTable,4,FALSE)),2)*PriceEssAnnual*RU29+SF17*POWER(1-(AnnualChurn*VLOOKUP(RR29,ChurnSeasonTable,4,FALSE)),1)*PricePremAnnual*RU29+SF5*POWER(1-(AnnualChurn*VLOOKUP(RR29,ChurnSeasonTable,4,FALSE)),2)*PricePremAnnual*RU29</f>
        <v/>
      </c>
      <c r="SQ29" s="9">
        <f>SN29+SO29+SP29</f>
        <v/>
      </c>
      <c r="SR29" s="12">
        <f>SUM(SQ18:SQ29)</f>
        <v/>
      </c>
      <c r="SS29" s="12">
        <f>OR(SS28,SR29&gt;=VATThreshold)</f>
        <v/>
      </c>
      <c r="ST29" s="9">
        <f>IF(SS29,SQ29/(1+VATRate),SQ29)</f>
        <v/>
      </c>
      <c r="SU29" s="12">
        <f>SQ29-ST29</f>
        <v/>
      </c>
      <c r="SV29" s="12">
        <f>IF(SS29=0,0,IF(RR29=1,SUMPRODUCT(--(($RS$5:$RS29=$RS29-1)*($RR$5:$RR29&gt;=10)*($RR$5:$RR29&lt;=12)),$SU$5:$SU29),IF(RR29=4,SUMPRODUCT(--(($RS$5:$RS29=$RS29)*($RR$5:$RR29&gt;=1)*($RR$5:$RR29&lt;=3)),$SU$5:$SU29),IF(RR29=7,SUMPRODUCT(--(($RS$5:$RS29=$RS29)*($RR$5:$RR29&gt;=4)*($RR$5:$RR29&lt;=6)),$SU$5:$SU29),IF(RR29=10,SUMPRODUCT(--(($RS$5:$RS29=$RS29)*($RR$5:$RR29&gt;=7)*($RR$5:$RR29&lt;=9)),$SU$5:$SU29),0)))))</f>
        <v/>
      </c>
      <c r="SW29" s="12">
        <f>SW28+SU29-SV29</f>
        <v/>
      </c>
      <c r="SX29" s="12">
        <f>IF(ProviderDelay&gt;=1,ST28*ProviderShare,ST29*ProviderShare)</f>
        <v/>
      </c>
      <c r="SY29" s="12">
        <f>SQ29*PaymentFee</f>
        <v/>
      </c>
      <c r="SZ29" s="12">
        <f>SK29*OpsAI</f>
        <v/>
      </c>
      <c r="TA29" s="12">
        <f>MonthlyFixed</f>
        <v/>
      </c>
      <c r="TB29" s="12">
        <f>RY29*ReferralReward</f>
        <v/>
      </c>
      <c r="TC29" s="12">
        <f>RW29</f>
        <v/>
      </c>
      <c r="TD29" s="9">
        <f>ST29-SX29-SY29-SZ29-TA29-TB29-TC29</f>
        <v/>
      </c>
      <c r="TE29" s="9">
        <f>TE28+SQ29-(SX29+SY29+SZ29+TA29+TB29+TC29+SV29)</f>
        <v/>
      </c>
      <c r="TF29" s="12">
        <f>IF(SK29&gt;0,SL29/SK29,0)</f>
        <v/>
      </c>
      <c r="TG29" s="11">
        <f>IF(SK28&gt;0,MAX(0,(SK28+RZ29-SK29)/SK28),0)</f>
        <v/>
      </c>
      <c r="TI29" s="12" t="n">
        <v>25</v>
      </c>
      <c r="TJ29" s="12">
        <f>MOD(TI29-1+LaunchMonth-1,12)+1</f>
        <v/>
      </c>
      <c r="TK29" s="12">
        <f>INT((TI29-1+LaunchMonth-1)/12)+1</f>
        <v/>
      </c>
      <c r="TL29" s="12">
        <f>VLOOKUP(TJ29,SeasonTable,2,FALSE)</f>
        <v/>
      </c>
      <c r="TM29" s="12">
        <f>(1+InflationRate)^INT((TI29-1)/12)</f>
        <v/>
      </c>
      <c r="TN29" s="11">
        <f>MonthlyChurn*VLOOKUP(TJ29,ChurnSeasonTable,4,FALSE)</f>
        <v/>
      </c>
      <c r="TO29" s="12">
        <f>MIN(MAX(MktMin19plus,UI28*MktPct19plus),MAX(0,UW28-CashBuffer))</f>
        <v/>
      </c>
      <c r="TP29" s="12">
        <f>IF(TO29&gt;0,MAX(1,ROUND(TO29/CAC*TL29,0)),0)</f>
        <v/>
      </c>
      <c r="TQ29" s="12">
        <f>IF(TP29&gt;0,ROUND(TP29*ReferralMix/(1-ReferralMix),0),0)</f>
        <v/>
      </c>
      <c r="TR29" s="12">
        <f>TP29+TQ29</f>
        <v/>
      </c>
      <c r="TS29" s="12">
        <f>ROUND(TR29*(1-'Sens - Annual Mix'!$A$9),0)</f>
        <v/>
      </c>
      <c r="TT29" s="12">
        <f>TR29-TS29</f>
        <v/>
      </c>
      <c r="TU29" s="12">
        <f>ROUND(TS29*EssentialMix,0)</f>
        <v/>
      </c>
      <c r="TV29" s="12">
        <f>TS29-TU29</f>
        <v/>
      </c>
      <c r="TW29" s="12">
        <f>ROUND(TT29*EssentialMix,0)</f>
        <v/>
      </c>
      <c r="TX29" s="12">
        <f>TT29-TW29</f>
        <v/>
      </c>
      <c r="TY29" s="12">
        <f>TU29+TU28+TU27+MAX(0,TY28-TU28-TU27)*(1-TN29)</f>
        <v/>
      </c>
      <c r="TZ29" s="12">
        <f>TV29+TV28+TV27+MAX(0,TZ28-TV28-TV27)*(1-TN29)</f>
        <v/>
      </c>
      <c r="UA29" s="12">
        <f>UA28+TW29-TW17*(AnnualChurn*VLOOKUP(TJ29,ChurnSeasonTable,4,FALSE))*POWER(1-(AnnualChurn*VLOOKUP(TJ29,ChurnSeasonTable,4,FALSE)),0)+TW5*(AnnualChurn*VLOOKUP(TJ29,ChurnSeasonTable,4,FALSE))*POWER(1-(AnnualChurn*VLOOKUP(TJ29,ChurnSeasonTable,4,FALSE)),1)</f>
        <v/>
      </c>
      <c r="UB29" s="12">
        <f>UB28+TX29-TX17*(AnnualChurn*VLOOKUP(TJ29,ChurnSeasonTable,4,FALSE))*POWER(1-(AnnualChurn*VLOOKUP(TJ29,ChurnSeasonTable,4,FALSE)),0)+TX5*(AnnualChurn*VLOOKUP(TJ29,ChurnSeasonTable,4,FALSE))*POWER(1-(AnnualChurn*VLOOKUP(TJ29,ChurnSeasonTable,4,FALSE)),1)</f>
        <v/>
      </c>
      <c r="UC29" s="12">
        <f>TY29+TZ29+UA29+UB29</f>
        <v/>
      </c>
      <c r="UD29" s="9">
        <f>TY29*PriceEssMonthly*TM29+TZ29*PricePremMonthly*TM29+UA29*PriceEssAnnual*TM29/12+UB29*PricePremAnnual*TM29/12</f>
        <v/>
      </c>
      <c r="UE29" s="9">
        <f>UD29*12</f>
        <v/>
      </c>
      <c r="UF29" s="12">
        <f>TY29*PriceEssMonthly*TM29+TZ29*PricePremMonthly*TM29</f>
        <v/>
      </c>
      <c r="UG29" s="12">
        <f>TW29*PriceEssAnnual*TM29+TX29*PricePremAnnual*TM29</f>
        <v/>
      </c>
      <c r="UH29" s="12">
        <f>TW17*POWER(1-(AnnualChurn*VLOOKUP(TJ29,ChurnSeasonTable,4,FALSE)),1)*PriceEssAnnual*TM29+TW5*POWER(1-(AnnualChurn*VLOOKUP(TJ29,ChurnSeasonTable,4,FALSE)),2)*PriceEssAnnual*TM29+TX17*POWER(1-(AnnualChurn*VLOOKUP(TJ29,ChurnSeasonTable,4,FALSE)),1)*PricePremAnnual*TM29+TX5*POWER(1-(AnnualChurn*VLOOKUP(TJ29,ChurnSeasonTable,4,FALSE)),2)*PricePremAnnual*TM29</f>
        <v/>
      </c>
      <c r="UI29" s="9">
        <f>UF29+UG29+UH29</f>
        <v/>
      </c>
      <c r="UJ29" s="12">
        <f>SUM(UI18:UI29)</f>
        <v/>
      </c>
      <c r="UK29" s="12">
        <f>OR(UK28,UJ29&gt;=VATThreshold)</f>
        <v/>
      </c>
      <c r="UL29" s="9">
        <f>IF(UK29,UI29/(1+VATRate),UI29)</f>
        <v/>
      </c>
      <c r="UM29" s="12">
        <f>UI29-UL29</f>
        <v/>
      </c>
      <c r="UN29" s="12">
        <f>IF(UK29=0,0,IF(TJ29=1,SUMPRODUCT(--(($TK$5:$TK29=$TK29-1)*($TJ$5:$TJ29&gt;=10)*($TJ$5:$TJ29&lt;=12)),$UM$5:$UM29),IF(TJ29=4,SUMPRODUCT(--(($TK$5:$TK29=$TK29)*($TJ$5:$TJ29&gt;=1)*($TJ$5:$TJ29&lt;=3)),$UM$5:$UM29),IF(TJ29=7,SUMPRODUCT(--(($TK$5:$TK29=$TK29)*($TJ$5:$TJ29&gt;=4)*($TJ$5:$TJ29&lt;=6)),$UM$5:$UM29),IF(TJ29=10,SUMPRODUCT(--(($TK$5:$TK29=$TK29)*($TJ$5:$TJ29&gt;=7)*($TJ$5:$TJ29&lt;=9)),$UM$5:$UM29),0)))))</f>
        <v/>
      </c>
      <c r="UO29" s="12">
        <f>UO28+UM29-UN29</f>
        <v/>
      </c>
      <c r="UP29" s="12">
        <f>IF(ProviderDelay&gt;=1,UL28*ProviderShare,UL29*ProviderShare)</f>
        <v/>
      </c>
      <c r="UQ29" s="12">
        <f>UI29*PaymentFee</f>
        <v/>
      </c>
      <c r="UR29" s="12">
        <f>UC29*OpsAI</f>
        <v/>
      </c>
      <c r="US29" s="12">
        <f>MonthlyFixed</f>
        <v/>
      </c>
      <c r="UT29" s="12">
        <f>TQ29*ReferralReward</f>
        <v/>
      </c>
      <c r="UU29" s="12">
        <f>TO29</f>
        <v/>
      </c>
      <c r="UV29" s="9">
        <f>UL29-UP29-UQ29-UR29-US29-UT29-UU29</f>
        <v/>
      </c>
      <c r="UW29" s="9">
        <f>UW28+UI29-(UP29+UQ29+UR29+US29+UT29+UU29+UN29)</f>
        <v/>
      </c>
      <c r="UX29" s="12">
        <f>IF(UC29&gt;0,UD29/UC29,0)</f>
        <v/>
      </c>
      <c r="UY29" s="11">
        <f>IF(UC28&gt;0,MAX(0,(UC28+TR29-UC29)/UC28),0)</f>
        <v/>
      </c>
      <c r="VA29" s="12" t="n">
        <v>25</v>
      </c>
      <c r="VB29" s="12">
        <f>MOD(VA29-1+LaunchMonth-1,12)+1</f>
        <v/>
      </c>
      <c r="VC29" s="12">
        <f>INT((VA29-1+LaunchMonth-1)/12)+1</f>
        <v/>
      </c>
      <c r="VD29" s="12">
        <f>VLOOKUP(VB29,SeasonTable,2,FALSE)</f>
        <v/>
      </c>
      <c r="VE29" s="12">
        <f>(1+InflationRate)^INT((VA29-1)/12)</f>
        <v/>
      </c>
      <c r="VF29" s="11">
        <f>MonthlyChurn*VLOOKUP(VB29,ChurnSeasonTable,4,FALSE)</f>
        <v/>
      </c>
      <c r="VG29" s="12">
        <f>MIN(MAX(MktMin19plus,WA28*MktPct19plus),MAX(0,WO28-CashBuffer))</f>
        <v/>
      </c>
      <c r="VH29" s="12">
        <f>IF(VG29&gt;0,MAX(1,ROUND(VG29/CAC*VD29,0)),0)</f>
        <v/>
      </c>
      <c r="VI29" s="12">
        <f>IF(VH29&gt;0,ROUND(VH29*ReferralMix/(1-ReferralMix),0),0)</f>
        <v/>
      </c>
      <c r="VJ29" s="12">
        <f>VH29+VI29</f>
        <v/>
      </c>
      <c r="VK29" s="12">
        <f>ROUND(VJ29*(1-'Sens - Annual Mix'!$A$10),0)</f>
        <v/>
      </c>
      <c r="VL29" s="12">
        <f>VJ29-VK29</f>
        <v/>
      </c>
      <c r="VM29" s="12">
        <f>ROUND(VK29*EssentialMix,0)</f>
        <v/>
      </c>
      <c r="VN29" s="12">
        <f>VK29-VM29</f>
        <v/>
      </c>
      <c r="VO29" s="12">
        <f>ROUND(VL29*EssentialMix,0)</f>
        <v/>
      </c>
      <c r="VP29" s="12">
        <f>VL29-VO29</f>
        <v/>
      </c>
      <c r="VQ29" s="12">
        <f>VM29+VM28+VM27+MAX(0,VQ28-VM28-VM27)*(1-VF29)</f>
        <v/>
      </c>
      <c r="VR29" s="12">
        <f>VN29+VN28+VN27+MAX(0,VR28-VN28-VN27)*(1-VF29)</f>
        <v/>
      </c>
      <c r="VS29" s="12">
        <f>VS28+VO29-VO17*(AnnualChurn*VLOOKUP(VB29,ChurnSeasonTable,4,FALSE))*POWER(1-(AnnualChurn*VLOOKUP(VB29,ChurnSeasonTable,4,FALSE)),0)+VO5*(AnnualChurn*VLOOKUP(VB29,ChurnSeasonTable,4,FALSE))*POWER(1-(AnnualChurn*VLOOKUP(VB29,ChurnSeasonTable,4,FALSE)),1)</f>
        <v/>
      </c>
      <c r="VT29" s="12">
        <f>VT28+VP29-VP17*(AnnualChurn*VLOOKUP(VB29,ChurnSeasonTable,4,FALSE))*POWER(1-(AnnualChurn*VLOOKUP(VB29,ChurnSeasonTable,4,FALSE)),0)+VP5*(AnnualChurn*VLOOKUP(VB29,ChurnSeasonTable,4,FALSE))*POWER(1-(AnnualChurn*VLOOKUP(VB29,ChurnSeasonTable,4,FALSE)),1)</f>
        <v/>
      </c>
      <c r="VU29" s="12">
        <f>VQ29+VR29+VS29+VT29</f>
        <v/>
      </c>
      <c r="VV29" s="9">
        <f>VQ29*PriceEssMonthly*VE29+VR29*PricePremMonthly*VE29+VS29*PriceEssAnnual*VE29/12+VT29*PricePremAnnual*VE29/12</f>
        <v/>
      </c>
      <c r="VW29" s="9">
        <f>VV29*12</f>
        <v/>
      </c>
      <c r="VX29" s="12">
        <f>VQ29*PriceEssMonthly*VE29+VR29*PricePremMonthly*VE29</f>
        <v/>
      </c>
      <c r="VY29" s="12">
        <f>VO29*PriceEssAnnual*VE29+VP29*PricePremAnnual*VE29</f>
        <v/>
      </c>
      <c r="VZ29" s="12">
        <f>VO17*POWER(1-(AnnualChurn*VLOOKUP(VB29,ChurnSeasonTable,4,FALSE)),1)*PriceEssAnnual*VE29+VO5*POWER(1-(AnnualChurn*VLOOKUP(VB29,ChurnSeasonTable,4,FALSE)),2)*PriceEssAnnual*VE29+VP17*POWER(1-(AnnualChurn*VLOOKUP(VB29,ChurnSeasonTable,4,FALSE)),1)*PricePremAnnual*VE29+VP5*POWER(1-(AnnualChurn*VLOOKUP(VB29,ChurnSeasonTable,4,FALSE)),2)*PricePremAnnual*VE29</f>
        <v/>
      </c>
      <c r="WA29" s="9">
        <f>VX29+VY29+VZ29</f>
        <v/>
      </c>
      <c r="WB29" s="12">
        <f>SUM(WA18:WA29)</f>
        <v/>
      </c>
      <c r="WC29" s="12">
        <f>OR(WC28,WB29&gt;=VATThreshold)</f>
        <v/>
      </c>
      <c r="WD29" s="9">
        <f>IF(WC29,WA29/(1+VATRate),WA29)</f>
        <v/>
      </c>
      <c r="WE29" s="12">
        <f>WA29-WD29</f>
        <v/>
      </c>
      <c r="WF29" s="12">
        <f>IF(WC29=0,0,IF(VB29=1,SUMPRODUCT(--(($VC$5:$VC29=$VC29-1)*($VB$5:$VB29&gt;=10)*($VB$5:$VB29&lt;=12)),$WE$5:$WE29),IF(VB29=4,SUMPRODUCT(--(($VC$5:$VC29=$VC29)*($VB$5:$VB29&gt;=1)*($VB$5:$VB29&lt;=3)),$WE$5:$WE29),IF(VB29=7,SUMPRODUCT(--(($VC$5:$VC29=$VC29)*($VB$5:$VB29&gt;=4)*($VB$5:$VB29&lt;=6)),$WE$5:$WE29),IF(VB29=10,SUMPRODUCT(--(($VC$5:$VC29=$VC29)*($VB$5:$VB29&gt;=7)*($VB$5:$VB29&lt;=9)),$WE$5:$WE29),0)))))</f>
        <v/>
      </c>
      <c r="WG29" s="12">
        <f>WG28+WE29-WF29</f>
        <v/>
      </c>
      <c r="WH29" s="12">
        <f>IF(ProviderDelay&gt;=1,WD28*ProviderShare,WD29*ProviderShare)</f>
        <v/>
      </c>
      <c r="WI29" s="12">
        <f>WA29*PaymentFee</f>
        <v/>
      </c>
      <c r="WJ29" s="12">
        <f>VU29*OpsAI</f>
        <v/>
      </c>
      <c r="WK29" s="12">
        <f>MonthlyFixed</f>
        <v/>
      </c>
      <c r="WL29" s="12">
        <f>VI29*ReferralReward</f>
        <v/>
      </c>
      <c r="WM29" s="12">
        <f>VG29</f>
        <v/>
      </c>
      <c r="WN29" s="9">
        <f>WD29-WH29-WI29-WJ29-WK29-WL29-WM29</f>
        <v/>
      </c>
      <c r="WO29" s="9">
        <f>WO28+WA29-(WH29+WI29+WJ29+WK29+WL29+WM29+WF29)</f>
        <v/>
      </c>
      <c r="WP29" s="12">
        <f>IF(VU29&gt;0,VV29/VU29,0)</f>
        <v/>
      </c>
      <c r="WQ29" s="11">
        <f>IF(VU28&gt;0,MAX(0,(VU28+VJ29-VU29)/VU28),0)</f>
        <v/>
      </c>
      <c r="WS29" s="12" t="n">
        <v>25</v>
      </c>
      <c r="WT29" s="12">
        <f>MOD(WS29-1+LaunchMonth-1,12)+1</f>
        <v/>
      </c>
      <c r="WU29" s="12">
        <f>INT((WS29-1+LaunchMonth-1)/12)+1</f>
        <v/>
      </c>
      <c r="WV29" s="12">
        <f>VLOOKUP(WT29,SeasonTable,2,FALSE)</f>
        <v/>
      </c>
      <c r="WW29" s="12">
        <f>(1+InflationRate)^INT((WS29-1)/12)</f>
        <v/>
      </c>
      <c r="WX29" s="11">
        <f>MonthlyChurn*VLOOKUP(WT29,ChurnSeasonTable,4,FALSE)</f>
        <v/>
      </c>
      <c r="WY29" s="12">
        <f>MIN(MAX(MktMin19plus,XS28*MktPct19plus),MAX(0,YG28-CashBuffer))</f>
        <v/>
      </c>
      <c r="WZ29" s="12">
        <f>IF(WY29&gt;0,MAX(1,ROUND(WY29/CAC*WV29,0)),0)</f>
        <v/>
      </c>
      <c r="XA29" s="12">
        <f>IF(WZ29&gt;0,ROUND(WZ29*ReferralMix/(1-ReferralMix),0),0)</f>
        <v/>
      </c>
      <c r="XB29" s="12">
        <f>WZ29+XA29</f>
        <v/>
      </c>
      <c r="XC29" s="12">
        <f>ROUND(XB29*(1-'Sens - Annual Mix'!$A$11),0)</f>
        <v/>
      </c>
      <c r="XD29" s="12">
        <f>XB29-XC29</f>
        <v/>
      </c>
      <c r="XE29" s="12">
        <f>ROUND(XC29*EssentialMix,0)</f>
        <v/>
      </c>
      <c r="XF29" s="12">
        <f>XC29-XE29</f>
        <v/>
      </c>
      <c r="XG29" s="12">
        <f>ROUND(XD29*EssentialMix,0)</f>
        <v/>
      </c>
      <c r="XH29" s="12">
        <f>XD29-XG29</f>
        <v/>
      </c>
      <c r="XI29" s="12">
        <f>XE29+XE28+XE27+MAX(0,XI28-XE28-XE27)*(1-WX29)</f>
        <v/>
      </c>
      <c r="XJ29" s="12">
        <f>XF29+XF28+XF27+MAX(0,XJ28-XF28-XF27)*(1-WX29)</f>
        <v/>
      </c>
      <c r="XK29" s="12">
        <f>XK28+XG29-XG17*(AnnualChurn*VLOOKUP(WT29,ChurnSeasonTable,4,FALSE))*POWER(1-(AnnualChurn*VLOOKUP(WT29,ChurnSeasonTable,4,FALSE)),0)+XG5*(AnnualChurn*VLOOKUP(WT29,ChurnSeasonTable,4,FALSE))*POWER(1-(AnnualChurn*VLOOKUP(WT29,ChurnSeasonTable,4,FALSE)),1)</f>
        <v/>
      </c>
      <c r="XL29" s="12">
        <f>XL28+XH29-XH17*(AnnualChurn*VLOOKUP(WT29,ChurnSeasonTable,4,FALSE))*POWER(1-(AnnualChurn*VLOOKUP(WT29,ChurnSeasonTable,4,FALSE)),0)+XH5*(AnnualChurn*VLOOKUP(WT29,ChurnSeasonTable,4,FALSE))*POWER(1-(AnnualChurn*VLOOKUP(WT29,ChurnSeasonTable,4,FALSE)),1)</f>
        <v/>
      </c>
      <c r="XM29" s="12">
        <f>XI29+XJ29+XK29+XL29</f>
        <v/>
      </c>
      <c r="XN29" s="9">
        <f>XI29*PriceEssMonthly*WW29+XJ29*PricePremMonthly*WW29+XK29*PriceEssAnnual*WW29/12+XL29*PricePremAnnual*WW29/12</f>
        <v/>
      </c>
      <c r="XO29" s="9">
        <f>XN29*12</f>
        <v/>
      </c>
      <c r="XP29" s="12">
        <f>XI29*PriceEssMonthly*WW29+XJ29*PricePremMonthly*WW29</f>
        <v/>
      </c>
      <c r="XQ29" s="12">
        <f>XG29*PriceEssAnnual*WW29+XH29*PricePremAnnual*WW29</f>
        <v/>
      </c>
      <c r="XR29" s="12">
        <f>XG17*POWER(1-(AnnualChurn*VLOOKUP(WT29,ChurnSeasonTable,4,FALSE)),1)*PriceEssAnnual*WW29+XG5*POWER(1-(AnnualChurn*VLOOKUP(WT29,ChurnSeasonTable,4,FALSE)),2)*PriceEssAnnual*WW29+XH17*POWER(1-(AnnualChurn*VLOOKUP(WT29,ChurnSeasonTable,4,FALSE)),1)*PricePremAnnual*WW29+XH5*POWER(1-(AnnualChurn*VLOOKUP(WT29,ChurnSeasonTable,4,FALSE)),2)*PricePremAnnual*WW29</f>
        <v/>
      </c>
      <c r="XS29" s="9">
        <f>XP29+XQ29+XR29</f>
        <v/>
      </c>
      <c r="XT29" s="12">
        <f>SUM(XS18:XS29)</f>
        <v/>
      </c>
      <c r="XU29" s="12">
        <f>OR(XU28,XT29&gt;=VATThreshold)</f>
        <v/>
      </c>
      <c r="XV29" s="9">
        <f>IF(XU29,XS29/(1+VATRate),XS29)</f>
        <v/>
      </c>
      <c r="XW29" s="12">
        <f>XS29-XV29</f>
        <v/>
      </c>
      <c r="XX29" s="12">
        <f>IF(XU29=0,0,IF(WT29=1,SUMPRODUCT(--(($WU$5:$WU29=$WU29-1)*($WT$5:$WT29&gt;=10)*($WT$5:$WT29&lt;=12)),$XW$5:$XW29),IF(WT29=4,SUMPRODUCT(--(($WU$5:$WU29=$WU29)*($WT$5:$WT29&gt;=1)*($WT$5:$WT29&lt;=3)),$XW$5:$XW29),IF(WT29=7,SUMPRODUCT(--(($WU$5:$WU29=$WU29)*($WT$5:$WT29&gt;=4)*($WT$5:$WT29&lt;=6)),$XW$5:$XW29),IF(WT29=10,SUMPRODUCT(--(($WU$5:$WU29=$WU29)*($WT$5:$WT29&gt;=7)*($WT$5:$WT29&lt;=9)),$XW$5:$XW29),0)))))</f>
        <v/>
      </c>
      <c r="XY29" s="12">
        <f>XY28+XW29-XX29</f>
        <v/>
      </c>
      <c r="XZ29" s="12">
        <f>IF(ProviderDelay&gt;=1,XV28*ProviderShare,XV29*ProviderShare)</f>
        <v/>
      </c>
      <c r="YA29" s="12">
        <f>XS29*PaymentFee</f>
        <v/>
      </c>
      <c r="YB29" s="12">
        <f>XM29*OpsAI</f>
        <v/>
      </c>
      <c r="YC29" s="12">
        <f>MonthlyFixed</f>
        <v/>
      </c>
      <c r="YD29" s="12">
        <f>XA29*ReferralReward</f>
        <v/>
      </c>
      <c r="YE29" s="12">
        <f>WY29</f>
        <v/>
      </c>
      <c r="YF29" s="9">
        <f>XV29-XZ29-YA29-YB29-YC29-YD29-YE29</f>
        <v/>
      </c>
      <c r="YG29" s="9">
        <f>YG28+XS29-(XZ29+YA29+YB29+YC29+YD29+YE29+XX29)</f>
        <v/>
      </c>
      <c r="YH29" s="12">
        <f>IF(XM29&gt;0,XN29/XM29,0)</f>
        <v/>
      </c>
      <c r="YI29" s="11">
        <f>IF(XM28&gt;0,MAX(0,(XM28+XB29-XM29)/XM28),0)</f>
        <v/>
      </c>
      <c r="YK29" s="12" t="n">
        <v>25</v>
      </c>
      <c r="YL29" s="12">
        <f>MOD(YK29-1+LaunchMonth-1,12)+1</f>
        <v/>
      </c>
      <c r="YM29" s="12">
        <f>INT((YK29-1+LaunchMonth-1)/12)+1</f>
        <v/>
      </c>
      <c r="YN29" s="12">
        <f>VLOOKUP(YL29,SeasonTable,2,FALSE)</f>
        <v/>
      </c>
      <c r="YO29" s="12">
        <f>(1+InflationRate)^INT((YK29-1)/12)</f>
        <v/>
      </c>
      <c r="YP29" s="11">
        <f>MonthlyChurn*VLOOKUP(YL29,ChurnSeasonTable,4,FALSE)</f>
        <v/>
      </c>
      <c r="YQ29" s="12">
        <f>MIN(MAX(MktMin19plus,ZK28*MktPct19plus),MAX(0,ZY28-CashBuffer))</f>
        <v/>
      </c>
      <c r="YR29" s="12">
        <f>IF(YQ29&gt;0,MAX(1,ROUND(YQ29/CAC*YN29,0)),0)</f>
        <v/>
      </c>
      <c r="YS29" s="12">
        <f>IF(YR29&gt;0,ROUND(YR29*ReferralMix/(1-ReferralMix),0),0)</f>
        <v/>
      </c>
      <c r="YT29" s="12">
        <f>YR29+YS29</f>
        <v/>
      </c>
      <c r="YU29" s="12">
        <f>ROUND(YT29*(1-'Sens - Annual Mix'!$A$12),0)</f>
        <v/>
      </c>
      <c r="YV29" s="12">
        <f>YT29-YU29</f>
        <v/>
      </c>
      <c r="YW29" s="12">
        <f>ROUND(YU29*EssentialMix,0)</f>
        <v/>
      </c>
      <c r="YX29" s="12">
        <f>YU29-YW29</f>
        <v/>
      </c>
      <c r="YY29" s="12">
        <f>ROUND(YV29*EssentialMix,0)</f>
        <v/>
      </c>
      <c r="YZ29" s="12">
        <f>YV29-YY29</f>
        <v/>
      </c>
      <c r="ZA29" s="12">
        <f>YW29+YW28+YW27+MAX(0,ZA28-YW28-YW27)*(1-YP29)</f>
        <v/>
      </c>
      <c r="ZB29" s="12">
        <f>YX29+YX28+YX27+MAX(0,ZB28-YX28-YX27)*(1-YP29)</f>
        <v/>
      </c>
      <c r="ZC29" s="12">
        <f>ZC28+YY29-YY17*(AnnualChurn*VLOOKUP(YL29,ChurnSeasonTable,4,FALSE))*POWER(1-(AnnualChurn*VLOOKUP(YL29,ChurnSeasonTable,4,FALSE)),0)+YY5*(AnnualChurn*VLOOKUP(YL29,ChurnSeasonTable,4,FALSE))*POWER(1-(AnnualChurn*VLOOKUP(YL29,ChurnSeasonTable,4,FALSE)),1)</f>
        <v/>
      </c>
      <c r="ZD29" s="12">
        <f>ZD28+YZ29-YZ17*(AnnualChurn*VLOOKUP(YL29,ChurnSeasonTable,4,FALSE))*POWER(1-(AnnualChurn*VLOOKUP(YL29,ChurnSeasonTable,4,FALSE)),0)+YZ5*(AnnualChurn*VLOOKUP(YL29,ChurnSeasonTable,4,FALSE))*POWER(1-(AnnualChurn*VLOOKUP(YL29,ChurnSeasonTable,4,FALSE)),1)</f>
        <v/>
      </c>
      <c r="ZE29" s="12">
        <f>ZA29+ZB29+ZC29+ZD29</f>
        <v/>
      </c>
      <c r="ZF29" s="9">
        <f>ZA29*PriceEssMonthly*YO29+ZB29*PricePremMonthly*YO29+ZC29*PriceEssAnnual*YO29/12+ZD29*PricePremAnnual*YO29/12</f>
        <v/>
      </c>
      <c r="ZG29" s="9">
        <f>ZF29*12</f>
        <v/>
      </c>
      <c r="ZH29" s="12">
        <f>ZA29*PriceEssMonthly*YO29+ZB29*PricePremMonthly*YO29</f>
        <v/>
      </c>
      <c r="ZI29" s="12">
        <f>YY29*PriceEssAnnual*YO29+YZ29*PricePremAnnual*YO29</f>
        <v/>
      </c>
      <c r="ZJ29" s="12">
        <f>YY17*POWER(1-(AnnualChurn*VLOOKUP(YL29,ChurnSeasonTable,4,FALSE)),1)*PriceEssAnnual*YO29+YY5*POWER(1-(AnnualChurn*VLOOKUP(YL29,ChurnSeasonTable,4,FALSE)),2)*PriceEssAnnual*YO29+YZ17*POWER(1-(AnnualChurn*VLOOKUP(YL29,ChurnSeasonTable,4,FALSE)),1)*PricePremAnnual*YO29+YZ5*POWER(1-(AnnualChurn*VLOOKUP(YL29,ChurnSeasonTable,4,FALSE)),2)*PricePremAnnual*YO29</f>
        <v/>
      </c>
      <c r="ZK29" s="9">
        <f>ZH29+ZI29+ZJ29</f>
        <v/>
      </c>
      <c r="ZL29" s="12">
        <f>SUM(ZK18:ZK29)</f>
        <v/>
      </c>
      <c r="ZM29" s="12">
        <f>OR(ZM28,ZL29&gt;=VATThreshold)</f>
        <v/>
      </c>
      <c r="ZN29" s="9">
        <f>IF(ZM29,ZK29/(1+VATRate),ZK29)</f>
        <v/>
      </c>
      <c r="ZO29" s="12">
        <f>ZK29-ZN29</f>
        <v/>
      </c>
      <c r="ZP29" s="12">
        <f>IF(ZM29=0,0,IF(YL29=1,SUMPRODUCT(--(($YM$5:$YM29=$YM29-1)*($YL$5:$YL29&gt;=10)*($YL$5:$YL29&lt;=12)),$ZO$5:$ZO29),IF(YL29=4,SUMPRODUCT(--(($YM$5:$YM29=$YM29)*($YL$5:$YL29&gt;=1)*($YL$5:$YL29&lt;=3)),$ZO$5:$ZO29),IF(YL29=7,SUMPRODUCT(--(($YM$5:$YM29=$YM29)*($YL$5:$YL29&gt;=4)*($YL$5:$YL29&lt;=6)),$ZO$5:$ZO29),IF(YL29=10,SUMPRODUCT(--(($YM$5:$YM29=$YM29)*($YL$5:$YL29&gt;=7)*($YL$5:$YL29&lt;=9)),$ZO$5:$ZO29),0)))))</f>
        <v/>
      </c>
      <c r="ZQ29" s="12">
        <f>ZQ28+ZO29-ZP29</f>
        <v/>
      </c>
      <c r="ZR29" s="12">
        <f>IF(ProviderDelay&gt;=1,ZN28*ProviderShare,ZN29*ProviderShare)</f>
        <v/>
      </c>
      <c r="ZS29" s="12">
        <f>ZK29*PaymentFee</f>
        <v/>
      </c>
      <c r="ZT29" s="12">
        <f>ZE29*OpsAI</f>
        <v/>
      </c>
      <c r="ZU29" s="12">
        <f>MonthlyFixed</f>
        <v/>
      </c>
      <c r="ZV29" s="12">
        <f>YS29*ReferralReward</f>
        <v/>
      </c>
      <c r="ZW29" s="12">
        <f>YQ29</f>
        <v/>
      </c>
      <c r="ZX29" s="9">
        <f>ZN29-ZR29-ZS29-ZT29-ZU29-ZV29-ZW29</f>
        <v/>
      </c>
      <c r="ZY29" s="9">
        <f>ZY28+ZK29-(ZR29+ZS29+ZT29+ZU29+ZV29+ZW29+ZP29)</f>
        <v/>
      </c>
      <c r="ZZ29" s="12">
        <f>IF(ZE29&gt;0,ZF29/ZE29,0)</f>
        <v/>
      </c>
      <c r="AAA29" s="11">
        <f>IF(ZE28&gt;0,MAX(0,(ZE28+YT29-ZE29)/ZE28),0)</f>
        <v/>
      </c>
      <c r="AAC29" s="12" t="n">
        <v>25</v>
      </c>
      <c r="AAD29" s="12">
        <f>MOD(AAC29-1+LaunchMonth-1,12)+1</f>
        <v/>
      </c>
      <c r="AAE29" s="12">
        <f>INT((AAC29-1+LaunchMonth-1)/12)+1</f>
        <v/>
      </c>
      <c r="AAF29" s="12">
        <f>VLOOKUP(AAD29,SeasonTable,2,FALSE)</f>
        <v/>
      </c>
      <c r="AAG29" s="12">
        <f>(1+InflationRate)^INT((AAC29-1)/12)</f>
        <v/>
      </c>
      <c r="AAH29" s="11">
        <f>MonthlyChurn*VLOOKUP(AAD29,ChurnSeasonTable,4,FALSE)</f>
        <v/>
      </c>
      <c r="AAI29" s="12">
        <f>MIN(MAX(MktMin19plus,ABC28*MktPct19plus),MAX(0,ABQ28-CashBuffer))</f>
        <v/>
      </c>
      <c r="AAJ29" s="12">
        <f>IF(AAI29&gt;0,MAX(1,ROUND(AAI29/CAC*AAF29,0)),0)</f>
        <v/>
      </c>
      <c r="AAK29" s="12">
        <f>IF(AAJ29&gt;0,ROUND(AAJ29*ReferralMix/(1-ReferralMix),0),0)</f>
        <v/>
      </c>
      <c r="AAL29" s="12">
        <f>AAJ29+AAK29</f>
        <v/>
      </c>
      <c r="AAM29" s="12">
        <f>ROUND(AAL29*(1-'Sens - Annual Mix'!$A$13),0)</f>
        <v/>
      </c>
      <c r="AAN29" s="12">
        <f>AAL29-AAM29</f>
        <v/>
      </c>
      <c r="AAO29" s="12">
        <f>ROUND(AAM29*EssentialMix,0)</f>
        <v/>
      </c>
      <c r="AAP29" s="12">
        <f>AAM29-AAO29</f>
        <v/>
      </c>
      <c r="AAQ29" s="12">
        <f>ROUND(AAN29*EssentialMix,0)</f>
        <v/>
      </c>
      <c r="AAR29" s="12">
        <f>AAN29-AAQ29</f>
        <v/>
      </c>
      <c r="AAS29" s="12">
        <f>AAO29+AAO28+AAO27+MAX(0,AAS28-AAO28-AAO27)*(1-AAH29)</f>
        <v/>
      </c>
      <c r="AAT29" s="12">
        <f>AAP29+AAP28+AAP27+MAX(0,AAT28-AAP28-AAP27)*(1-AAH29)</f>
        <v/>
      </c>
      <c r="AAU29" s="12">
        <f>AAU28+AAQ29-AAQ17*(AnnualChurn*VLOOKUP(AAD29,ChurnSeasonTable,4,FALSE))*POWER(1-(AnnualChurn*VLOOKUP(AAD29,ChurnSeasonTable,4,FALSE)),0)+AAQ5*(AnnualChurn*VLOOKUP(AAD29,ChurnSeasonTable,4,FALSE))*POWER(1-(AnnualChurn*VLOOKUP(AAD29,ChurnSeasonTable,4,FALSE)),1)</f>
        <v/>
      </c>
      <c r="AAV29" s="12">
        <f>AAV28+AAR29-AAR17*(AnnualChurn*VLOOKUP(AAD29,ChurnSeasonTable,4,FALSE))*POWER(1-(AnnualChurn*VLOOKUP(AAD29,ChurnSeasonTable,4,FALSE)),0)+AAR5*(AnnualChurn*VLOOKUP(AAD29,ChurnSeasonTable,4,FALSE))*POWER(1-(AnnualChurn*VLOOKUP(AAD29,ChurnSeasonTable,4,FALSE)),1)</f>
        <v/>
      </c>
      <c r="AAW29" s="12">
        <f>AAS29+AAT29+AAU29+AAV29</f>
        <v/>
      </c>
      <c r="AAX29" s="9">
        <f>AAS29*PriceEssMonthly*AAG29+AAT29*PricePremMonthly*AAG29+AAU29*PriceEssAnnual*AAG29/12+AAV29*PricePremAnnual*AAG29/12</f>
        <v/>
      </c>
      <c r="AAY29" s="9">
        <f>AAX29*12</f>
        <v/>
      </c>
      <c r="AAZ29" s="12">
        <f>AAS29*PriceEssMonthly*AAG29+AAT29*PricePremMonthly*AAG29</f>
        <v/>
      </c>
      <c r="ABA29" s="12">
        <f>AAQ29*PriceEssAnnual*AAG29+AAR29*PricePremAnnual*AAG29</f>
        <v/>
      </c>
      <c r="ABB29" s="12">
        <f>AAQ17*POWER(1-(AnnualChurn*VLOOKUP(AAD29,ChurnSeasonTable,4,FALSE)),1)*PriceEssAnnual*AAG29+AAQ5*POWER(1-(AnnualChurn*VLOOKUP(AAD29,ChurnSeasonTable,4,FALSE)),2)*PriceEssAnnual*AAG29+AAR17*POWER(1-(AnnualChurn*VLOOKUP(AAD29,ChurnSeasonTable,4,FALSE)),1)*PricePremAnnual*AAG29+AAR5*POWER(1-(AnnualChurn*VLOOKUP(AAD29,ChurnSeasonTable,4,FALSE)),2)*PricePremAnnual*AAG29</f>
        <v/>
      </c>
      <c r="ABC29" s="9">
        <f>AAZ29+ABA29+ABB29</f>
        <v/>
      </c>
      <c r="ABD29" s="12">
        <f>SUM(ABC18:ABC29)</f>
        <v/>
      </c>
      <c r="ABE29" s="12">
        <f>OR(ABE28,ABD29&gt;=VATThreshold)</f>
        <v/>
      </c>
      <c r="ABF29" s="9">
        <f>IF(ABE29,ABC29/(1+VATRate),ABC29)</f>
        <v/>
      </c>
      <c r="ABG29" s="12">
        <f>ABC29-ABF29</f>
        <v/>
      </c>
      <c r="ABH29" s="12">
        <f>IF(ABE29=0,0,IF(AAD29=1,SUMPRODUCT(--(($AAE$5:$AAE29=$AAE29-1)*($AAD$5:$AAD29&gt;=10)*($AAD$5:$AAD29&lt;=12)),$ABG$5:$ABG29),IF(AAD29=4,SUMPRODUCT(--(($AAE$5:$AAE29=$AAE29)*($AAD$5:$AAD29&gt;=1)*($AAD$5:$AAD29&lt;=3)),$ABG$5:$ABG29),IF(AAD29=7,SUMPRODUCT(--(($AAE$5:$AAE29=$AAE29)*($AAD$5:$AAD29&gt;=4)*($AAD$5:$AAD29&lt;=6)),$ABG$5:$ABG29),IF(AAD29=10,SUMPRODUCT(--(($AAE$5:$AAE29=$AAE29)*($AAD$5:$AAD29&gt;=7)*($AAD$5:$AAD29&lt;=9)),$ABG$5:$ABG29),0)))))</f>
        <v/>
      </c>
      <c r="ABI29" s="12">
        <f>ABI28+ABG29-ABH29</f>
        <v/>
      </c>
      <c r="ABJ29" s="12">
        <f>IF(ProviderDelay&gt;=1,ABF28*ProviderShare,ABF29*ProviderShare)</f>
        <v/>
      </c>
      <c r="ABK29" s="12">
        <f>ABC29*PaymentFee</f>
        <v/>
      </c>
      <c r="ABL29" s="12">
        <f>AAW29*OpsAI</f>
        <v/>
      </c>
      <c r="ABM29" s="12">
        <f>MonthlyFixed</f>
        <v/>
      </c>
      <c r="ABN29" s="12">
        <f>AAK29*ReferralReward</f>
        <v/>
      </c>
      <c r="ABO29" s="12">
        <f>AAI29</f>
        <v/>
      </c>
      <c r="ABP29" s="9">
        <f>ABF29-ABJ29-ABK29-ABL29-ABM29-ABN29-ABO29</f>
        <v/>
      </c>
      <c r="ABQ29" s="9">
        <f>ABQ28+ABC29-(ABJ29+ABK29+ABL29+ABM29+ABN29+ABO29+ABH29)</f>
        <v/>
      </c>
      <c r="ABR29" s="12">
        <f>IF(AAW29&gt;0,AAX29/AAW29,0)</f>
        <v/>
      </c>
      <c r="ABS29" s="11">
        <f>IF(AAW28&gt;0,MAX(0,(AAW28+AAL29-AAW29)/AAW28),0)</f>
        <v/>
      </c>
      <c r="ABU29" s="12" t="n">
        <v>25</v>
      </c>
      <c r="ABV29" s="12">
        <f>MOD(ABU29-1+LaunchMonth-1,12)+1</f>
        <v/>
      </c>
      <c r="ABW29" s="12">
        <f>INT((ABU29-1+LaunchMonth-1)/12)+1</f>
        <v/>
      </c>
      <c r="ABX29" s="12">
        <f>VLOOKUP(ABV29,SeasonTable,2,FALSE)</f>
        <v/>
      </c>
      <c r="ABY29" s="12">
        <f>(1+InflationRate)^INT((ABU29-1)/12)</f>
        <v/>
      </c>
      <c r="ABZ29" s="11">
        <f>MonthlyChurn*VLOOKUP(ABV29,ChurnSeasonTable,4,FALSE)</f>
        <v/>
      </c>
      <c r="ACA29" s="12">
        <f>MIN(MAX(MktMin19plus,ACU28*MktPct19plus),MAX(0,ADI28-CashBuffer))</f>
        <v/>
      </c>
      <c r="ACB29" s="12">
        <f>IF(ACA29&gt;0,MAX(1,ROUND(ACA29/CAC*ABX29,0)),0)</f>
        <v/>
      </c>
      <c r="ACC29" s="12">
        <f>IF(ACB29&gt;0,ROUND(ACB29*ReferralMix/(1-ReferralMix),0),0)</f>
        <v/>
      </c>
      <c r="ACD29" s="12">
        <f>ACB29+ACC29</f>
        <v/>
      </c>
      <c r="ACE29" s="12">
        <f>ROUND(ACD29*(1-'Sens - Annual Mix'!$A$14),0)</f>
        <v/>
      </c>
      <c r="ACF29" s="12">
        <f>ACD29-ACE29</f>
        <v/>
      </c>
      <c r="ACG29" s="12">
        <f>ROUND(ACE29*EssentialMix,0)</f>
        <v/>
      </c>
      <c r="ACH29" s="12">
        <f>ACE29-ACG29</f>
        <v/>
      </c>
      <c r="ACI29" s="12">
        <f>ROUND(ACF29*EssentialMix,0)</f>
        <v/>
      </c>
      <c r="ACJ29" s="12">
        <f>ACF29-ACI29</f>
        <v/>
      </c>
      <c r="ACK29" s="12">
        <f>ACG29+ACG28+ACG27+MAX(0,ACK28-ACG28-ACG27)*(1-ABZ29)</f>
        <v/>
      </c>
      <c r="ACL29" s="12">
        <f>ACH29+ACH28+ACH27+MAX(0,ACL28-ACH28-ACH27)*(1-ABZ29)</f>
        <v/>
      </c>
      <c r="ACM29" s="12">
        <f>ACM28+ACI29-ACI17*(AnnualChurn*VLOOKUP(ABV29,ChurnSeasonTable,4,FALSE))*POWER(1-(AnnualChurn*VLOOKUP(ABV29,ChurnSeasonTable,4,FALSE)),0)+ACI5*(AnnualChurn*VLOOKUP(ABV29,ChurnSeasonTable,4,FALSE))*POWER(1-(AnnualChurn*VLOOKUP(ABV29,ChurnSeasonTable,4,FALSE)),1)</f>
        <v/>
      </c>
      <c r="ACN29" s="12">
        <f>ACN28+ACJ29-ACJ17*(AnnualChurn*VLOOKUP(ABV29,ChurnSeasonTable,4,FALSE))*POWER(1-(AnnualChurn*VLOOKUP(ABV29,ChurnSeasonTable,4,FALSE)),0)+ACJ5*(AnnualChurn*VLOOKUP(ABV29,ChurnSeasonTable,4,FALSE))*POWER(1-(AnnualChurn*VLOOKUP(ABV29,ChurnSeasonTable,4,FALSE)),1)</f>
        <v/>
      </c>
      <c r="ACO29" s="12">
        <f>ACK29+ACL29+ACM29+ACN29</f>
        <v/>
      </c>
      <c r="ACP29" s="9">
        <f>ACK29*PriceEssMonthly*ABY29+ACL29*PricePremMonthly*ABY29+ACM29*PriceEssAnnual*ABY29/12+ACN29*PricePremAnnual*ABY29/12</f>
        <v/>
      </c>
      <c r="ACQ29" s="9">
        <f>ACP29*12</f>
        <v/>
      </c>
      <c r="ACR29" s="12">
        <f>ACK29*PriceEssMonthly*ABY29+ACL29*PricePremMonthly*ABY29</f>
        <v/>
      </c>
      <c r="ACS29" s="12">
        <f>ACI29*PriceEssAnnual*ABY29+ACJ29*PricePremAnnual*ABY29</f>
        <v/>
      </c>
      <c r="ACT29" s="12">
        <f>ACI17*POWER(1-(AnnualChurn*VLOOKUP(ABV29,ChurnSeasonTable,4,FALSE)),1)*PriceEssAnnual*ABY29+ACI5*POWER(1-(AnnualChurn*VLOOKUP(ABV29,ChurnSeasonTable,4,FALSE)),2)*PriceEssAnnual*ABY29+ACJ17*POWER(1-(AnnualChurn*VLOOKUP(ABV29,ChurnSeasonTable,4,FALSE)),1)*PricePremAnnual*ABY29+ACJ5*POWER(1-(AnnualChurn*VLOOKUP(ABV29,ChurnSeasonTable,4,FALSE)),2)*PricePremAnnual*ABY29</f>
        <v/>
      </c>
      <c r="ACU29" s="9">
        <f>ACR29+ACS29+ACT29</f>
        <v/>
      </c>
      <c r="ACV29" s="12">
        <f>SUM(ACU18:ACU29)</f>
        <v/>
      </c>
      <c r="ACW29" s="12">
        <f>OR(ACW28,ACV29&gt;=VATThreshold)</f>
        <v/>
      </c>
      <c r="ACX29" s="9">
        <f>IF(ACW29,ACU29/(1+VATRate),ACU29)</f>
        <v/>
      </c>
      <c r="ACY29" s="12">
        <f>ACU29-ACX29</f>
        <v/>
      </c>
      <c r="ACZ29" s="12">
        <f>IF(ACW29=0,0,IF(ABV29=1,SUMPRODUCT(--(($ABW$5:$ABW29=$ABW29-1)*($ABV$5:$ABV29&gt;=10)*($ABV$5:$ABV29&lt;=12)),$ACY$5:$ACY29),IF(ABV29=4,SUMPRODUCT(--(($ABW$5:$ABW29=$ABW29)*($ABV$5:$ABV29&gt;=1)*($ABV$5:$ABV29&lt;=3)),$ACY$5:$ACY29),IF(ABV29=7,SUMPRODUCT(--(($ABW$5:$ABW29=$ABW29)*($ABV$5:$ABV29&gt;=4)*($ABV$5:$ABV29&lt;=6)),$ACY$5:$ACY29),IF(ABV29=10,SUMPRODUCT(--(($ABW$5:$ABW29=$ABW29)*($ABV$5:$ABV29&gt;=7)*($ABV$5:$ABV29&lt;=9)),$ACY$5:$ACY29),0)))))</f>
        <v/>
      </c>
      <c r="ADA29" s="12">
        <f>ADA28+ACY29-ACZ29</f>
        <v/>
      </c>
      <c r="ADB29" s="12">
        <f>IF(ProviderDelay&gt;=1,ACX28*ProviderShare,ACX29*ProviderShare)</f>
        <v/>
      </c>
      <c r="ADC29" s="12">
        <f>ACU29*PaymentFee</f>
        <v/>
      </c>
      <c r="ADD29" s="12">
        <f>ACO29*OpsAI</f>
        <v/>
      </c>
      <c r="ADE29" s="12">
        <f>MonthlyFixed</f>
        <v/>
      </c>
      <c r="ADF29" s="12">
        <f>ACC29*ReferralReward</f>
        <v/>
      </c>
      <c r="ADG29" s="12">
        <f>ACA29</f>
        <v/>
      </c>
      <c r="ADH29" s="9">
        <f>ACX29-ADB29-ADC29-ADD29-ADE29-ADF29-ADG29</f>
        <v/>
      </c>
      <c r="ADI29" s="9">
        <f>ADI28+ACU29-(ADB29+ADC29+ADD29+ADE29+ADF29+ADG29+ACZ29)</f>
        <v/>
      </c>
      <c r="ADJ29" s="12">
        <f>IF(ACO29&gt;0,ACP29/ACO29,0)</f>
        <v/>
      </c>
      <c r="ADK29" s="11">
        <f>IF(ACO28&gt;0,MAX(0,(ACO28+ACD29-ACO29)/ACO28),0)</f>
        <v/>
      </c>
      <c r="ADM29" s="12" t="n">
        <v>25</v>
      </c>
      <c r="ADN29" s="12">
        <f>MOD(ADM29-1+LaunchMonth-1,12)+1</f>
        <v/>
      </c>
      <c r="ADO29" s="12">
        <f>INT((ADM29-1+LaunchMonth-1)/12)+1</f>
        <v/>
      </c>
      <c r="ADP29" s="12">
        <f>VLOOKUP(ADN29,SeasonTable,2,FALSE)</f>
        <v/>
      </c>
      <c r="ADQ29" s="12">
        <f>(1+InflationRate)^INT((ADM29-1)/12)</f>
        <v/>
      </c>
      <c r="ADR29" s="11">
        <f>MonthlyChurn*VLOOKUP(ADN29,ChurnSeasonTable,4,FALSE)</f>
        <v/>
      </c>
      <c r="ADS29" s="12">
        <f>MIN(MAX(MktMin19plus,AEM28*MktPct19plus),MAX(0,AFA28-CashBuffer))</f>
        <v/>
      </c>
      <c r="ADT29" s="12">
        <f>IF(ADS29&gt;0,MAX(1,ROUND(ADS29/CAC*ADP29,0)),0)</f>
        <v/>
      </c>
      <c r="ADU29" s="12">
        <f>IF(ADT29&gt;0,ROUND(ADT29*ReferralMix/(1-ReferralMix),0),0)</f>
        <v/>
      </c>
      <c r="ADV29" s="12">
        <f>ADT29+ADU29</f>
        <v/>
      </c>
      <c r="ADW29" s="12">
        <f>ROUND(ADV29*(1-'Sens - Annual Mix'!$A$15),0)</f>
        <v/>
      </c>
      <c r="ADX29" s="12">
        <f>ADV29-ADW29</f>
        <v/>
      </c>
      <c r="ADY29" s="12">
        <f>ROUND(ADW29*EssentialMix,0)</f>
        <v/>
      </c>
      <c r="ADZ29" s="12">
        <f>ADW29-ADY29</f>
        <v/>
      </c>
      <c r="AEA29" s="12">
        <f>ROUND(ADX29*EssentialMix,0)</f>
        <v/>
      </c>
      <c r="AEB29" s="12">
        <f>ADX29-AEA29</f>
        <v/>
      </c>
      <c r="AEC29" s="12">
        <f>ADY29+ADY28+ADY27+MAX(0,AEC28-ADY28-ADY27)*(1-ADR29)</f>
        <v/>
      </c>
      <c r="AED29" s="12">
        <f>ADZ29+ADZ28+ADZ27+MAX(0,AED28-ADZ28-ADZ27)*(1-ADR29)</f>
        <v/>
      </c>
      <c r="AEE29" s="12">
        <f>AEE28+AEA29-AEA17*(AnnualChurn*VLOOKUP(ADN29,ChurnSeasonTable,4,FALSE))*POWER(1-(AnnualChurn*VLOOKUP(ADN29,ChurnSeasonTable,4,FALSE)),0)+AEA5*(AnnualChurn*VLOOKUP(ADN29,ChurnSeasonTable,4,FALSE))*POWER(1-(AnnualChurn*VLOOKUP(ADN29,ChurnSeasonTable,4,FALSE)),1)</f>
        <v/>
      </c>
      <c r="AEF29" s="12">
        <f>AEF28+AEB29-AEB17*(AnnualChurn*VLOOKUP(ADN29,ChurnSeasonTable,4,FALSE))*POWER(1-(AnnualChurn*VLOOKUP(ADN29,ChurnSeasonTable,4,FALSE)),0)+AEB5*(AnnualChurn*VLOOKUP(ADN29,ChurnSeasonTable,4,FALSE))*POWER(1-(AnnualChurn*VLOOKUP(ADN29,ChurnSeasonTable,4,FALSE)),1)</f>
        <v/>
      </c>
      <c r="AEG29" s="12">
        <f>AEC29+AED29+AEE29+AEF29</f>
        <v/>
      </c>
      <c r="AEH29" s="9">
        <f>AEC29*PriceEssMonthly*ADQ29+AED29*PricePremMonthly*ADQ29+AEE29*PriceEssAnnual*ADQ29/12+AEF29*PricePremAnnual*ADQ29/12</f>
        <v/>
      </c>
      <c r="AEI29" s="9">
        <f>AEH29*12</f>
        <v/>
      </c>
      <c r="AEJ29" s="12">
        <f>AEC29*PriceEssMonthly*ADQ29+AED29*PricePremMonthly*ADQ29</f>
        <v/>
      </c>
      <c r="AEK29" s="12">
        <f>AEA29*PriceEssAnnual*ADQ29+AEB29*PricePremAnnual*ADQ29</f>
        <v/>
      </c>
      <c r="AEL29" s="12">
        <f>AEA17*POWER(1-(AnnualChurn*VLOOKUP(ADN29,ChurnSeasonTable,4,FALSE)),1)*PriceEssAnnual*ADQ29+AEA5*POWER(1-(AnnualChurn*VLOOKUP(ADN29,ChurnSeasonTable,4,FALSE)),2)*PriceEssAnnual*ADQ29+AEB17*POWER(1-(AnnualChurn*VLOOKUP(ADN29,ChurnSeasonTable,4,FALSE)),1)*PricePremAnnual*ADQ29+AEB5*POWER(1-(AnnualChurn*VLOOKUP(ADN29,ChurnSeasonTable,4,FALSE)),2)*PricePremAnnual*ADQ29</f>
        <v/>
      </c>
      <c r="AEM29" s="9">
        <f>AEJ29+AEK29+AEL29</f>
        <v/>
      </c>
      <c r="AEN29" s="12">
        <f>SUM(AEM18:AEM29)</f>
        <v/>
      </c>
      <c r="AEO29" s="12">
        <f>OR(AEO28,AEN29&gt;=VATThreshold)</f>
        <v/>
      </c>
      <c r="AEP29" s="9">
        <f>IF(AEO29,AEM29/(1+VATRate),AEM29)</f>
        <v/>
      </c>
      <c r="AEQ29" s="12">
        <f>AEM29-AEP29</f>
        <v/>
      </c>
      <c r="AER29" s="12">
        <f>IF(AEO29=0,0,IF(ADN29=1,SUMPRODUCT(--(($ADO$5:$ADO29=$ADO29-1)*($ADN$5:$ADN29&gt;=10)*($ADN$5:$ADN29&lt;=12)),$AEQ$5:$AEQ29),IF(ADN29=4,SUMPRODUCT(--(($ADO$5:$ADO29=$ADO29)*($ADN$5:$ADN29&gt;=1)*($ADN$5:$ADN29&lt;=3)),$AEQ$5:$AEQ29),IF(ADN29=7,SUMPRODUCT(--(($ADO$5:$ADO29=$ADO29)*($ADN$5:$ADN29&gt;=4)*($ADN$5:$ADN29&lt;=6)),$AEQ$5:$AEQ29),IF(ADN29=10,SUMPRODUCT(--(($ADO$5:$ADO29=$ADO29)*($ADN$5:$ADN29&gt;=7)*($ADN$5:$ADN29&lt;=9)),$AEQ$5:$AEQ29),0)))))</f>
        <v/>
      </c>
      <c r="AES29" s="12">
        <f>AES28+AEQ29-AER29</f>
        <v/>
      </c>
      <c r="AET29" s="12">
        <f>IF(ProviderDelay&gt;=1,AEP28*ProviderShare,AEP29*ProviderShare)</f>
        <v/>
      </c>
      <c r="AEU29" s="12">
        <f>AEM29*PaymentFee</f>
        <v/>
      </c>
      <c r="AEV29" s="12">
        <f>AEG29*OpsAI</f>
        <v/>
      </c>
      <c r="AEW29" s="12">
        <f>MonthlyFixed</f>
        <v/>
      </c>
      <c r="AEX29" s="12">
        <f>ADU29*ReferralReward</f>
        <v/>
      </c>
      <c r="AEY29" s="12">
        <f>ADS29</f>
        <v/>
      </c>
      <c r="AEZ29" s="9">
        <f>AEP29-AET29-AEU29-AEV29-AEW29-AEX29-AEY29</f>
        <v/>
      </c>
      <c r="AFA29" s="9">
        <f>AFA28+AEM29-(AET29+AEU29+AEV29+AEW29+AEX29+AEY29+AER29)</f>
        <v/>
      </c>
      <c r="AFB29" s="12">
        <f>IF(AEG29&gt;0,AEH29/AEG29,0)</f>
        <v/>
      </c>
      <c r="AFC29" s="11">
        <f>IF(AEG28&gt;0,MAX(0,(AEG28+ADV29-AEG29)/AEG28),0)</f>
        <v/>
      </c>
      <c r="AFE29" s="12" t="n">
        <v>25</v>
      </c>
      <c r="AFF29" s="12">
        <f>MOD(AFE29-1+LaunchMonth-1,12)+1</f>
        <v/>
      </c>
      <c r="AFG29" s="12">
        <f>INT((AFE29-1+LaunchMonth-1)/12)+1</f>
        <v/>
      </c>
      <c r="AFH29" s="12">
        <f>VLOOKUP(AFF29,SeasonTable,2,FALSE)</f>
        <v/>
      </c>
      <c r="AFI29" s="12">
        <f>(1+InflationRate)^INT((AFE29-1)/12)</f>
        <v/>
      </c>
      <c r="AFJ29" s="11">
        <f>MonthlyChurn*VLOOKUP(AFF29,ChurnSeasonTable,4,FALSE)</f>
        <v/>
      </c>
      <c r="AFK29" s="12">
        <f>MIN(MAX(MktMin19plus,AGE28*MktPct19plus),MAX(0,AGS28-CashBuffer))</f>
        <v/>
      </c>
      <c r="AFL29" s="12">
        <f>IF(AFK29&gt;0,MAX(1,ROUND(AFK29/'Sens - CAC &amp; Marketing'!$A$9*AFH29,0)),0)</f>
        <v/>
      </c>
      <c r="AFM29" s="12">
        <f>IF(AFL29&gt;0,ROUND(AFL29*ReferralMix/(1-ReferralMix),0),0)</f>
        <v/>
      </c>
      <c r="AFN29" s="12">
        <f>AFL29+AFM29</f>
        <v/>
      </c>
      <c r="AFO29" s="12">
        <f>ROUND(AFN29*(1-AnnualMix),0)</f>
        <v/>
      </c>
      <c r="AFP29" s="12">
        <f>AFN29-AFO29</f>
        <v/>
      </c>
      <c r="AFQ29" s="12">
        <f>ROUND(AFO29*EssentialMix,0)</f>
        <v/>
      </c>
      <c r="AFR29" s="12">
        <f>AFO29-AFQ29</f>
        <v/>
      </c>
      <c r="AFS29" s="12">
        <f>ROUND(AFP29*EssentialMix,0)</f>
        <v/>
      </c>
      <c r="AFT29" s="12">
        <f>AFP29-AFS29</f>
        <v/>
      </c>
      <c r="AFU29" s="12">
        <f>AFQ29+AFQ28+AFQ27+MAX(0,AFU28-AFQ28-AFQ27)*(1-AFJ29)</f>
        <v/>
      </c>
      <c r="AFV29" s="12">
        <f>AFR29+AFR28+AFR27+MAX(0,AFV28-AFR28-AFR27)*(1-AFJ29)</f>
        <v/>
      </c>
      <c r="AFW29" s="12">
        <f>AFW28+AFS29-AFS17*(AnnualChurn*VLOOKUP(AFF29,ChurnSeasonTable,4,FALSE))*POWER(1-(AnnualChurn*VLOOKUP(AFF29,ChurnSeasonTable,4,FALSE)),0)+AFS5*(AnnualChurn*VLOOKUP(AFF29,ChurnSeasonTable,4,FALSE))*POWER(1-(AnnualChurn*VLOOKUP(AFF29,ChurnSeasonTable,4,FALSE)),1)</f>
        <v/>
      </c>
      <c r="AFX29" s="12">
        <f>AFX28+AFT29-AFT17*(AnnualChurn*VLOOKUP(AFF29,ChurnSeasonTable,4,FALSE))*POWER(1-(AnnualChurn*VLOOKUP(AFF29,ChurnSeasonTable,4,FALSE)),0)+AFT5*(AnnualChurn*VLOOKUP(AFF29,ChurnSeasonTable,4,FALSE))*POWER(1-(AnnualChurn*VLOOKUP(AFF29,ChurnSeasonTable,4,FALSE)),1)</f>
        <v/>
      </c>
      <c r="AFY29" s="12">
        <f>AFU29+AFV29+AFW29+AFX29</f>
        <v/>
      </c>
      <c r="AFZ29" s="9">
        <f>AFU29*PriceEssMonthly*AFI29+AFV29*PricePremMonthly*AFI29+AFW29*PriceEssAnnual*AFI29/12+AFX29*PricePremAnnual*AFI29/12</f>
        <v/>
      </c>
      <c r="AGA29" s="9">
        <f>AFZ29*12</f>
        <v/>
      </c>
      <c r="AGB29" s="12">
        <f>AFU29*PriceEssMonthly*AFI29+AFV29*PricePremMonthly*AFI29</f>
        <v/>
      </c>
      <c r="AGC29" s="12">
        <f>AFS29*PriceEssAnnual*AFI29+AFT29*PricePremAnnual*AFI29</f>
        <v/>
      </c>
      <c r="AGD29" s="12">
        <f>AFS17*POWER(1-(AnnualChurn*VLOOKUP(AFF29,ChurnSeasonTable,4,FALSE)),1)*PriceEssAnnual*AFI29+AFS5*POWER(1-(AnnualChurn*VLOOKUP(AFF29,ChurnSeasonTable,4,FALSE)),2)*PriceEssAnnual*AFI29+AFT17*POWER(1-(AnnualChurn*VLOOKUP(AFF29,ChurnSeasonTable,4,FALSE)),1)*PricePremAnnual*AFI29+AFT5*POWER(1-(AnnualChurn*VLOOKUP(AFF29,ChurnSeasonTable,4,FALSE)),2)*PricePremAnnual*AFI29</f>
        <v/>
      </c>
      <c r="AGE29" s="9">
        <f>AGB29+AGC29+AGD29</f>
        <v/>
      </c>
      <c r="AGF29" s="12">
        <f>SUM(AGE18:AGE29)</f>
        <v/>
      </c>
      <c r="AGG29" s="12">
        <f>OR(AGG28,AGF29&gt;=VATThreshold)</f>
        <v/>
      </c>
      <c r="AGH29" s="9">
        <f>IF(AGG29,AGE29/(1+VATRate),AGE29)</f>
        <v/>
      </c>
      <c r="AGI29" s="12">
        <f>AGE29-AGH29</f>
        <v/>
      </c>
      <c r="AGJ29" s="12">
        <f>IF(AGG29=0,0,IF(AFF29=1,SUMPRODUCT(--(($AFG$5:$AFG29=$AFG29-1)*($AFF$5:$AFF29&gt;=10)*($AFF$5:$AFF29&lt;=12)),$AGI$5:$AGI29),IF(AFF29=4,SUMPRODUCT(--(($AFG$5:$AFG29=$AFG29)*($AFF$5:$AFF29&gt;=1)*($AFF$5:$AFF29&lt;=3)),$AGI$5:$AGI29),IF(AFF29=7,SUMPRODUCT(--(($AFG$5:$AFG29=$AFG29)*($AFF$5:$AFF29&gt;=4)*($AFF$5:$AFF29&lt;=6)),$AGI$5:$AGI29),IF(AFF29=10,SUMPRODUCT(--(($AFG$5:$AFG29=$AFG29)*($AFF$5:$AFF29&gt;=7)*($AFF$5:$AFF29&lt;=9)),$AGI$5:$AGI29),0)))))</f>
        <v/>
      </c>
      <c r="AGK29" s="12">
        <f>AGK28+AGI29-AGJ29</f>
        <v/>
      </c>
      <c r="AGL29" s="12">
        <f>IF(ProviderDelay&gt;=1,AGH28*ProviderShare,AGH29*ProviderShare)</f>
        <v/>
      </c>
      <c r="AGM29" s="12">
        <f>AGE29*PaymentFee</f>
        <v/>
      </c>
      <c r="AGN29" s="12">
        <f>AFY29*OpsAI</f>
        <v/>
      </c>
      <c r="AGO29" s="12">
        <f>MonthlyFixed</f>
        <v/>
      </c>
      <c r="AGP29" s="12">
        <f>AFM29*ReferralReward</f>
        <v/>
      </c>
      <c r="AGQ29" s="12">
        <f>AFK29</f>
        <v/>
      </c>
      <c r="AGR29" s="9">
        <f>AGH29-AGL29-AGM29-AGN29-AGO29-AGP29-AGQ29</f>
        <v/>
      </c>
      <c r="AGS29" s="9">
        <f>AGS28+AGE29-(AGL29+AGM29+AGN29+AGO29+AGP29+AGQ29+AGJ29)</f>
        <v/>
      </c>
      <c r="AGT29" s="12">
        <f>IF(AFY29&gt;0,AFZ29/AFY29,0)</f>
        <v/>
      </c>
      <c r="AGU29" s="11">
        <f>IF(AFY28&gt;0,MAX(0,(AFY28+AFN29-AFY29)/AFY28),0)</f>
        <v/>
      </c>
      <c r="AGW29" s="12" t="n">
        <v>25</v>
      </c>
      <c r="AGX29" s="12">
        <f>MOD(AGW29-1+LaunchMonth-1,12)+1</f>
        <v/>
      </c>
      <c r="AGY29" s="12">
        <f>INT((AGW29-1+LaunchMonth-1)/12)+1</f>
        <v/>
      </c>
      <c r="AGZ29" s="12">
        <f>VLOOKUP(AGX29,SeasonTable,2,FALSE)</f>
        <v/>
      </c>
      <c r="AHA29" s="12">
        <f>(1+InflationRate)^INT((AGW29-1)/12)</f>
        <v/>
      </c>
      <c r="AHB29" s="11">
        <f>MonthlyChurn*VLOOKUP(AGX29,ChurnSeasonTable,4,FALSE)</f>
        <v/>
      </c>
      <c r="AHC29" s="12">
        <f>MIN(MAX(MktMin19plus,AHW28*MktPct19plus),MAX(0,AIK28-CashBuffer))</f>
        <v/>
      </c>
      <c r="AHD29" s="12">
        <f>IF(AHC29&gt;0,MAX(1,ROUND(AHC29/'Sens - CAC &amp; Marketing'!$A$10*AGZ29,0)),0)</f>
        <v/>
      </c>
      <c r="AHE29" s="12">
        <f>IF(AHD29&gt;0,ROUND(AHD29*ReferralMix/(1-ReferralMix),0),0)</f>
        <v/>
      </c>
      <c r="AHF29" s="12">
        <f>AHD29+AHE29</f>
        <v/>
      </c>
      <c r="AHG29" s="12">
        <f>ROUND(AHF29*(1-AnnualMix),0)</f>
        <v/>
      </c>
      <c r="AHH29" s="12">
        <f>AHF29-AHG29</f>
        <v/>
      </c>
      <c r="AHI29" s="12">
        <f>ROUND(AHG29*EssentialMix,0)</f>
        <v/>
      </c>
      <c r="AHJ29" s="12">
        <f>AHG29-AHI29</f>
        <v/>
      </c>
      <c r="AHK29" s="12">
        <f>ROUND(AHH29*EssentialMix,0)</f>
        <v/>
      </c>
      <c r="AHL29" s="12">
        <f>AHH29-AHK29</f>
        <v/>
      </c>
      <c r="AHM29" s="12">
        <f>AHI29+AHI28+AHI27+MAX(0,AHM28-AHI28-AHI27)*(1-AHB29)</f>
        <v/>
      </c>
      <c r="AHN29" s="12">
        <f>AHJ29+AHJ28+AHJ27+MAX(0,AHN28-AHJ28-AHJ27)*(1-AHB29)</f>
        <v/>
      </c>
      <c r="AHO29" s="12">
        <f>AHO28+AHK29-AHK17*(AnnualChurn*VLOOKUP(AGX29,ChurnSeasonTable,4,FALSE))*POWER(1-(AnnualChurn*VLOOKUP(AGX29,ChurnSeasonTable,4,FALSE)),0)+AHK5*(AnnualChurn*VLOOKUP(AGX29,ChurnSeasonTable,4,FALSE))*POWER(1-(AnnualChurn*VLOOKUP(AGX29,ChurnSeasonTable,4,FALSE)),1)</f>
        <v/>
      </c>
      <c r="AHP29" s="12">
        <f>AHP28+AHL29-AHL17*(AnnualChurn*VLOOKUP(AGX29,ChurnSeasonTable,4,FALSE))*POWER(1-(AnnualChurn*VLOOKUP(AGX29,ChurnSeasonTable,4,FALSE)),0)+AHL5*(AnnualChurn*VLOOKUP(AGX29,ChurnSeasonTable,4,FALSE))*POWER(1-(AnnualChurn*VLOOKUP(AGX29,ChurnSeasonTable,4,FALSE)),1)</f>
        <v/>
      </c>
      <c r="AHQ29" s="12">
        <f>AHM29+AHN29+AHO29+AHP29</f>
        <v/>
      </c>
      <c r="AHR29" s="9">
        <f>AHM29*PriceEssMonthly*AHA29+AHN29*PricePremMonthly*AHA29+AHO29*PriceEssAnnual*AHA29/12+AHP29*PricePremAnnual*AHA29/12</f>
        <v/>
      </c>
      <c r="AHS29" s="9">
        <f>AHR29*12</f>
        <v/>
      </c>
      <c r="AHT29" s="12">
        <f>AHM29*PriceEssMonthly*AHA29+AHN29*PricePremMonthly*AHA29</f>
        <v/>
      </c>
      <c r="AHU29" s="12">
        <f>AHK29*PriceEssAnnual*AHA29+AHL29*PricePremAnnual*AHA29</f>
        <v/>
      </c>
      <c r="AHV29" s="12">
        <f>AHK17*POWER(1-(AnnualChurn*VLOOKUP(AGX29,ChurnSeasonTable,4,FALSE)),1)*PriceEssAnnual*AHA29+AHK5*POWER(1-(AnnualChurn*VLOOKUP(AGX29,ChurnSeasonTable,4,FALSE)),2)*PriceEssAnnual*AHA29+AHL17*POWER(1-(AnnualChurn*VLOOKUP(AGX29,ChurnSeasonTable,4,FALSE)),1)*PricePremAnnual*AHA29+AHL5*POWER(1-(AnnualChurn*VLOOKUP(AGX29,ChurnSeasonTable,4,FALSE)),2)*PricePremAnnual*AHA29</f>
        <v/>
      </c>
      <c r="AHW29" s="9">
        <f>AHT29+AHU29+AHV29</f>
        <v/>
      </c>
      <c r="AHX29" s="12">
        <f>SUM(AHW18:AHW29)</f>
        <v/>
      </c>
      <c r="AHY29" s="12">
        <f>OR(AHY28,AHX29&gt;=VATThreshold)</f>
        <v/>
      </c>
      <c r="AHZ29" s="9">
        <f>IF(AHY29,AHW29/(1+VATRate),AHW29)</f>
        <v/>
      </c>
      <c r="AIA29" s="12">
        <f>AHW29-AHZ29</f>
        <v/>
      </c>
      <c r="AIB29" s="12">
        <f>IF(AHY29=0,0,IF(AGX29=1,SUMPRODUCT(--(($AGY$5:$AGY29=$AGY29-1)*($AGX$5:$AGX29&gt;=10)*($AGX$5:$AGX29&lt;=12)),$AIA$5:$AIA29),IF(AGX29=4,SUMPRODUCT(--(($AGY$5:$AGY29=$AGY29)*($AGX$5:$AGX29&gt;=1)*($AGX$5:$AGX29&lt;=3)),$AIA$5:$AIA29),IF(AGX29=7,SUMPRODUCT(--(($AGY$5:$AGY29=$AGY29)*($AGX$5:$AGX29&gt;=4)*($AGX$5:$AGX29&lt;=6)),$AIA$5:$AIA29),IF(AGX29=10,SUMPRODUCT(--(($AGY$5:$AGY29=$AGY29)*($AGX$5:$AGX29&gt;=7)*($AGX$5:$AGX29&lt;=9)),$AIA$5:$AIA29),0)))))</f>
        <v/>
      </c>
      <c r="AIC29" s="12">
        <f>AIC28+AIA29-AIB29</f>
        <v/>
      </c>
      <c r="AID29" s="12">
        <f>IF(ProviderDelay&gt;=1,AHZ28*ProviderShare,AHZ29*ProviderShare)</f>
        <v/>
      </c>
      <c r="AIE29" s="12">
        <f>AHW29*PaymentFee</f>
        <v/>
      </c>
      <c r="AIF29" s="12">
        <f>AHQ29*OpsAI</f>
        <v/>
      </c>
      <c r="AIG29" s="12">
        <f>MonthlyFixed</f>
        <v/>
      </c>
      <c r="AIH29" s="12">
        <f>AHE29*ReferralReward</f>
        <v/>
      </c>
      <c r="AII29" s="12">
        <f>AHC29</f>
        <v/>
      </c>
      <c r="AIJ29" s="9">
        <f>AHZ29-AID29-AIE29-AIF29-AIG29-AIH29-AII29</f>
        <v/>
      </c>
      <c r="AIK29" s="9">
        <f>AIK28+AHW29-(AID29+AIE29+AIF29+AIG29+AIH29+AII29+AIB29)</f>
        <v/>
      </c>
      <c r="AIL29" s="12">
        <f>IF(AHQ29&gt;0,AHR29/AHQ29,0)</f>
        <v/>
      </c>
      <c r="AIM29" s="11">
        <f>IF(AHQ28&gt;0,MAX(0,(AHQ28+AHF29-AHQ29)/AHQ28),0)</f>
        <v/>
      </c>
      <c r="AIO29" s="12" t="n">
        <v>25</v>
      </c>
      <c r="AIP29" s="12">
        <f>MOD(AIO29-1+LaunchMonth-1,12)+1</f>
        <v/>
      </c>
      <c r="AIQ29" s="12">
        <f>INT((AIO29-1+LaunchMonth-1)/12)+1</f>
        <v/>
      </c>
      <c r="AIR29" s="12">
        <f>VLOOKUP(AIP29,SeasonTable,2,FALSE)</f>
        <v/>
      </c>
      <c r="AIS29" s="12">
        <f>(1+InflationRate)^INT((AIO29-1)/12)</f>
        <v/>
      </c>
      <c r="AIT29" s="11">
        <f>MonthlyChurn*VLOOKUP(AIP29,ChurnSeasonTable,4,FALSE)</f>
        <v/>
      </c>
      <c r="AIU29" s="12">
        <f>MIN(MAX(MktMin19plus,AJO28*MktPct19plus),MAX(0,AKC28-CashBuffer))</f>
        <v/>
      </c>
      <c r="AIV29" s="12">
        <f>IF(AIU29&gt;0,MAX(1,ROUND(AIU29/'Sens - CAC &amp; Marketing'!$A$11*AIR29,0)),0)</f>
        <v/>
      </c>
      <c r="AIW29" s="12">
        <f>IF(AIV29&gt;0,ROUND(AIV29*ReferralMix/(1-ReferralMix),0),0)</f>
        <v/>
      </c>
      <c r="AIX29" s="12">
        <f>AIV29+AIW29</f>
        <v/>
      </c>
      <c r="AIY29" s="12">
        <f>ROUND(AIX29*(1-AnnualMix),0)</f>
        <v/>
      </c>
      <c r="AIZ29" s="12">
        <f>AIX29-AIY29</f>
        <v/>
      </c>
      <c r="AJA29" s="12">
        <f>ROUND(AIY29*EssentialMix,0)</f>
        <v/>
      </c>
      <c r="AJB29" s="12">
        <f>AIY29-AJA29</f>
        <v/>
      </c>
      <c r="AJC29" s="12">
        <f>ROUND(AIZ29*EssentialMix,0)</f>
        <v/>
      </c>
      <c r="AJD29" s="12">
        <f>AIZ29-AJC29</f>
        <v/>
      </c>
      <c r="AJE29" s="12">
        <f>AJA29+AJA28+AJA27+MAX(0,AJE28-AJA28-AJA27)*(1-AIT29)</f>
        <v/>
      </c>
      <c r="AJF29" s="12">
        <f>AJB29+AJB28+AJB27+MAX(0,AJF28-AJB28-AJB27)*(1-AIT29)</f>
        <v/>
      </c>
      <c r="AJG29" s="12">
        <f>AJG28+AJC29-AJC17*(AnnualChurn*VLOOKUP(AIP29,ChurnSeasonTable,4,FALSE))*POWER(1-(AnnualChurn*VLOOKUP(AIP29,ChurnSeasonTable,4,FALSE)),0)+AJC5*(AnnualChurn*VLOOKUP(AIP29,ChurnSeasonTable,4,FALSE))*POWER(1-(AnnualChurn*VLOOKUP(AIP29,ChurnSeasonTable,4,FALSE)),1)</f>
        <v/>
      </c>
      <c r="AJH29" s="12">
        <f>AJH28+AJD29-AJD17*(AnnualChurn*VLOOKUP(AIP29,ChurnSeasonTable,4,FALSE))*POWER(1-(AnnualChurn*VLOOKUP(AIP29,ChurnSeasonTable,4,FALSE)),0)+AJD5*(AnnualChurn*VLOOKUP(AIP29,ChurnSeasonTable,4,FALSE))*POWER(1-(AnnualChurn*VLOOKUP(AIP29,ChurnSeasonTable,4,FALSE)),1)</f>
        <v/>
      </c>
      <c r="AJI29" s="12">
        <f>AJE29+AJF29+AJG29+AJH29</f>
        <v/>
      </c>
      <c r="AJJ29" s="9">
        <f>AJE29*PriceEssMonthly*AIS29+AJF29*PricePremMonthly*AIS29+AJG29*PriceEssAnnual*AIS29/12+AJH29*PricePremAnnual*AIS29/12</f>
        <v/>
      </c>
      <c r="AJK29" s="9">
        <f>AJJ29*12</f>
        <v/>
      </c>
      <c r="AJL29" s="12">
        <f>AJE29*PriceEssMonthly*AIS29+AJF29*PricePremMonthly*AIS29</f>
        <v/>
      </c>
      <c r="AJM29" s="12">
        <f>AJC29*PriceEssAnnual*AIS29+AJD29*PricePremAnnual*AIS29</f>
        <v/>
      </c>
      <c r="AJN29" s="12">
        <f>AJC17*POWER(1-(AnnualChurn*VLOOKUP(AIP29,ChurnSeasonTable,4,FALSE)),1)*PriceEssAnnual*AIS29+AJC5*POWER(1-(AnnualChurn*VLOOKUP(AIP29,ChurnSeasonTable,4,FALSE)),2)*PriceEssAnnual*AIS29+AJD17*POWER(1-(AnnualChurn*VLOOKUP(AIP29,ChurnSeasonTable,4,FALSE)),1)*PricePremAnnual*AIS29+AJD5*POWER(1-(AnnualChurn*VLOOKUP(AIP29,ChurnSeasonTable,4,FALSE)),2)*PricePremAnnual*AIS29</f>
        <v/>
      </c>
      <c r="AJO29" s="9">
        <f>AJL29+AJM29+AJN29</f>
        <v/>
      </c>
      <c r="AJP29" s="12">
        <f>SUM(AJO18:AJO29)</f>
        <v/>
      </c>
      <c r="AJQ29" s="12">
        <f>OR(AJQ28,AJP29&gt;=VATThreshold)</f>
        <v/>
      </c>
      <c r="AJR29" s="9">
        <f>IF(AJQ29,AJO29/(1+VATRate),AJO29)</f>
        <v/>
      </c>
      <c r="AJS29" s="12">
        <f>AJO29-AJR29</f>
        <v/>
      </c>
      <c r="AJT29" s="12">
        <f>IF(AJQ29=0,0,IF(AIP29=1,SUMPRODUCT(--(($AIQ$5:$AIQ29=$AIQ29-1)*($AIP$5:$AIP29&gt;=10)*($AIP$5:$AIP29&lt;=12)),$AJS$5:$AJS29),IF(AIP29=4,SUMPRODUCT(--(($AIQ$5:$AIQ29=$AIQ29)*($AIP$5:$AIP29&gt;=1)*($AIP$5:$AIP29&lt;=3)),$AJS$5:$AJS29),IF(AIP29=7,SUMPRODUCT(--(($AIQ$5:$AIQ29=$AIQ29)*($AIP$5:$AIP29&gt;=4)*($AIP$5:$AIP29&lt;=6)),$AJS$5:$AJS29),IF(AIP29=10,SUMPRODUCT(--(($AIQ$5:$AIQ29=$AIQ29)*($AIP$5:$AIP29&gt;=7)*($AIP$5:$AIP29&lt;=9)),$AJS$5:$AJS29),0)))))</f>
        <v/>
      </c>
      <c r="AJU29" s="12">
        <f>AJU28+AJS29-AJT29</f>
        <v/>
      </c>
      <c r="AJV29" s="12">
        <f>IF(ProviderDelay&gt;=1,AJR28*ProviderShare,AJR29*ProviderShare)</f>
        <v/>
      </c>
      <c r="AJW29" s="12">
        <f>AJO29*PaymentFee</f>
        <v/>
      </c>
      <c r="AJX29" s="12">
        <f>AJI29*OpsAI</f>
        <v/>
      </c>
      <c r="AJY29" s="12">
        <f>MonthlyFixed</f>
        <v/>
      </c>
      <c r="AJZ29" s="12">
        <f>AIW29*ReferralReward</f>
        <v/>
      </c>
      <c r="AKA29" s="12">
        <f>AIU29</f>
        <v/>
      </c>
      <c r="AKB29" s="9">
        <f>AJR29-AJV29-AJW29-AJX29-AJY29-AJZ29-AKA29</f>
        <v/>
      </c>
      <c r="AKC29" s="9">
        <f>AKC28+AJO29-(AJV29+AJW29+AJX29+AJY29+AJZ29+AKA29+AJT29)</f>
        <v/>
      </c>
      <c r="AKD29" s="12">
        <f>IF(AJI29&gt;0,AJJ29/AJI29,0)</f>
        <v/>
      </c>
      <c r="AKE29" s="11">
        <f>IF(AJI28&gt;0,MAX(0,(AJI28+AIX29-AJI29)/AJI28),0)</f>
        <v/>
      </c>
      <c r="AKG29" s="12" t="n">
        <v>25</v>
      </c>
      <c r="AKH29" s="12">
        <f>MOD(AKG29-1+LaunchMonth-1,12)+1</f>
        <v/>
      </c>
      <c r="AKI29" s="12">
        <f>INT((AKG29-1+LaunchMonth-1)/12)+1</f>
        <v/>
      </c>
      <c r="AKJ29" s="12">
        <f>VLOOKUP(AKH29,SeasonTable,2,FALSE)</f>
        <v/>
      </c>
      <c r="AKK29" s="12">
        <f>(1+InflationRate)^INT((AKG29-1)/12)</f>
        <v/>
      </c>
      <c r="AKL29" s="11">
        <f>MonthlyChurn*VLOOKUP(AKH29,ChurnSeasonTable,4,FALSE)</f>
        <v/>
      </c>
      <c r="AKM29" s="12">
        <f>MIN(MAX(MktMin19plus,ALG28*MktPct19plus),MAX(0,ALU28-CashBuffer))</f>
        <v/>
      </c>
      <c r="AKN29" s="12">
        <f>IF(AKM29&gt;0,MAX(1,ROUND(AKM29/'Sens - CAC &amp; Marketing'!$A$12*AKJ29,0)),0)</f>
        <v/>
      </c>
      <c r="AKO29" s="12">
        <f>IF(AKN29&gt;0,ROUND(AKN29*ReferralMix/(1-ReferralMix),0),0)</f>
        <v/>
      </c>
      <c r="AKP29" s="12">
        <f>AKN29+AKO29</f>
        <v/>
      </c>
      <c r="AKQ29" s="12">
        <f>ROUND(AKP29*(1-AnnualMix),0)</f>
        <v/>
      </c>
      <c r="AKR29" s="12">
        <f>AKP29-AKQ29</f>
        <v/>
      </c>
      <c r="AKS29" s="12">
        <f>ROUND(AKQ29*EssentialMix,0)</f>
        <v/>
      </c>
      <c r="AKT29" s="12">
        <f>AKQ29-AKS29</f>
        <v/>
      </c>
      <c r="AKU29" s="12">
        <f>ROUND(AKR29*EssentialMix,0)</f>
        <v/>
      </c>
      <c r="AKV29" s="12">
        <f>AKR29-AKU29</f>
        <v/>
      </c>
      <c r="AKW29" s="12">
        <f>AKS29+AKS28+AKS27+MAX(0,AKW28-AKS28-AKS27)*(1-AKL29)</f>
        <v/>
      </c>
      <c r="AKX29" s="12">
        <f>AKT29+AKT28+AKT27+MAX(0,AKX28-AKT28-AKT27)*(1-AKL29)</f>
        <v/>
      </c>
      <c r="AKY29" s="12">
        <f>AKY28+AKU29-AKU17*(AnnualChurn*VLOOKUP(AKH29,ChurnSeasonTable,4,FALSE))*POWER(1-(AnnualChurn*VLOOKUP(AKH29,ChurnSeasonTable,4,FALSE)),0)+AKU5*(AnnualChurn*VLOOKUP(AKH29,ChurnSeasonTable,4,FALSE))*POWER(1-(AnnualChurn*VLOOKUP(AKH29,ChurnSeasonTable,4,FALSE)),1)</f>
        <v/>
      </c>
      <c r="AKZ29" s="12">
        <f>AKZ28+AKV29-AKV17*(AnnualChurn*VLOOKUP(AKH29,ChurnSeasonTable,4,FALSE))*POWER(1-(AnnualChurn*VLOOKUP(AKH29,ChurnSeasonTable,4,FALSE)),0)+AKV5*(AnnualChurn*VLOOKUP(AKH29,ChurnSeasonTable,4,FALSE))*POWER(1-(AnnualChurn*VLOOKUP(AKH29,ChurnSeasonTable,4,FALSE)),1)</f>
        <v/>
      </c>
      <c r="ALA29" s="12">
        <f>AKW29+AKX29+AKY29+AKZ29</f>
        <v/>
      </c>
      <c r="ALB29" s="9">
        <f>AKW29*PriceEssMonthly*AKK29+AKX29*PricePremMonthly*AKK29+AKY29*PriceEssAnnual*AKK29/12+AKZ29*PricePremAnnual*AKK29/12</f>
        <v/>
      </c>
      <c r="ALC29" s="9">
        <f>ALB29*12</f>
        <v/>
      </c>
      <c r="ALD29" s="12">
        <f>AKW29*PriceEssMonthly*AKK29+AKX29*PricePremMonthly*AKK29</f>
        <v/>
      </c>
      <c r="ALE29" s="12">
        <f>AKU29*PriceEssAnnual*AKK29+AKV29*PricePremAnnual*AKK29</f>
        <v/>
      </c>
      <c r="ALF29" s="12">
        <f>AKU17*POWER(1-(AnnualChurn*VLOOKUP(AKH29,ChurnSeasonTable,4,FALSE)),1)*PriceEssAnnual*AKK29+AKU5*POWER(1-(AnnualChurn*VLOOKUP(AKH29,ChurnSeasonTable,4,FALSE)),2)*PriceEssAnnual*AKK29+AKV17*POWER(1-(AnnualChurn*VLOOKUP(AKH29,ChurnSeasonTable,4,FALSE)),1)*PricePremAnnual*AKK29+AKV5*POWER(1-(AnnualChurn*VLOOKUP(AKH29,ChurnSeasonTable,4,FALSE)),2)*PricePremAnnual*AKK29</f>
        <v/>
      </c>
      <c r="ALG29" s="9">
        <f>ALD29+ALE29+ALF29</f>
        <v/>
      </c>
      <c r="ALH29" s="12">
        <f>SUM(ALG18:ALG29)</f>
        <v/>
      </c>
      <c r="ALI29" s="12">
        <f>OR(ALI28,ALH29&gt;=VATThreshold)</f>
        <v/>
      </c>
      <c r="ALJ29" s="9">
        <f>IF(ALI29,ALG29/(1+VATRate),ALG29)</f>
        <v/>
      </c>
      <c r="ALK29" s="12">
        <f>ALG29-ALJ29</f>
        <v/>
      </c>
      <c r="ALL29" s="12">
        <f>IF(ALI29=0,0,IF(AKH29=1,SUMPRODUCT(--(($AKI$5:$AKI29=$AKI29-1)*($AKH$5:$AKH29&gt;=10)*($AKH$5:$AKH29&lt;=12)),$ALK$5:$ALK29),IF(AKH29=4,SUMPRODUCT(--(($AKI$5:$AKI29=$AKI29)*($AKH$5:$AKH29&gt;=1)*($AKH$5:$AKH29&lt;=3)),$ALK$5:$ALK29),IF(AKH29=7,SUMPRODUCT(--(($AKI$5:$AKI29=$AKI29)*($AKH$5:$AKH29&gt;=4)*($AKH$5:$AKH29&lt;=6)),$ALK$5:$ALK29),IF(AKH29=10,SUMPRODUCT(--(($AKI$5:$AKI29=$AKI29)*($AKH$5:$AKH29&gt;=7)*($AKH$5:$AKH29&lt;=9)),$ALK$5:$ALK29),0)))))</f>
        <v/>
      </c>
      <c r="ALM29" s="12">
        <f>ALM28+ALK29-ALL29</f>
        <v/>
      </c>
      <c r="ALN29" s="12">
        <f>IF(ProviderDelay&gt;=1,ALJ28*ProviderShare,ALJ29*ProviderShare)</f>
        <v/>
      </c>
      <c r="ALO29" s="12">
        <f>ALG29*PaymentFee</f>
        <v/>
      </c>
      <c r="ALP29" s="12">
        <f>ALA29*OpsAI</f>
        <v/>
      </c>
      <c r="ALQ29" s="12">
        <f>MonthlyFixed</f>
        <v/>
      </c>
      <c r="ALR29" s="12">
        <f>AKO29*ReferralReward</f>
        <v/>
      </c>
      <c r="ALS29" s="12">
        <f>AKM29</f>
        <v/>
      </c>
      <c r="ALT29" s="9">
        <f>ALJ29-ALN29-ALO29-ALP29-ALQ29-ALR29-ALS29</f>
        <v/>
      </c>
      <c r="ALU29" s="9">
        <f>ALU28+ALG29-(ALN29+ALO29+ALP29+ALQ29+ALR29+ALS29+ALL29)</f>
        <v/>
      </c>
      <c r="ALV29" s="12">
        <f>IF(ALA29&gt;0,ALB29/ALA29,0)</f>
        <v/>
      </c>
      <c r="ALW29" s="11">
        <f>IF(ALA28&gt;0,MAX(0,(ALA28+AKP29-ALA29)/ALA28),0)</f>
        <v/>
      </c>
      <c r="ALY29" s="12" t="n">
        <v>25</v>
      </c>
      <c r="ALZ29" s="12">
        <f>MOD(ALY29-1+LaunchMonth-1,12)+1</f>
        <v/>
      </c>
      <c r="AMA29" s="12">
        <f>INT((ALY29-1+LaunchMonth-1)/12)+1</f>
        <v/>
      </c>
      <c r="AMB29" s="12">
        <f>VLOOKUP(ALZ29,SeasonTable,2,FALSE)</f>
        <v/>
      </c>
      <c r="AMC29" s="12">
        <f>(1+InflationRate)^INT((ALY29-1)/12)</f>
        <v/>
      </c>
      <c r="AMD29" s="11">
        <f>MonthlyChurn*VLOOKUP(ALZ29,ChurnSeasonTable,4,FALSE)</f>
        <v/>
      </c>
      <c r="AME29" s="12">
        <f>MIN(MAX(MktMin19plus,AMY28*MktPct19plus),MAX(0,ANM28-CashBuffer))</f>
        <v/>
      </c>
      <c r="AMF29" s="12">
        <f>IF(AME29&gt;0,MAX(1,ROUND(AME29/'Sens - CAC &amp; Marketing'!$A$13*AMB29,0)),0)</f>
        <v/>
      </c>
      <c r="AMG29" s="12">
        <f>IF(AMF29&gt;0,ROUND(AMF29*ReferralMix/(1-ReferralMix),0),0)</f>
        <v/>
      </c>
      <c r="AMH29" s="12">
        <f>AMF29+AMG29</f>
        <v/>
      </c>
      <c r="AMI29" s="12">
        <f>ROUND(AMH29*(1-AnnualMix),0)</f>
        <v/>
      </c>
      <c r="AMJ29" s="12">
        <f>AMH29-AMI29</f>
        <v/>
      </c>
      <c r="AMK29" s="12">
        <f>ROUND(AMI29*EssentialMix,0)</f>
        <v/>
      </c>
      <c r="AML29" s="12">
        <f>AMI29-AMK29</f>
        <v/>
      </c>
      <c r="AMM29" s="12">
        <f>ROUND(AMJ29*EssentialMix,0)</f>
        <v/>
      </c>
      <c r="AMN29" s="12">
        <f>AMJ29-AMM29</f>
        <v/>
      </c>
      <c r="AMO29" s="12">
        <f>AMK29+AMK28+AMK27+MAX(0,AMO28-AMK28-AMK27)*(1-AMD29)</f>
        <v/>
      </c>
      <c r="AMP29" s="12">
        <f>AML29+AML28+AML27+MAX(0,AMP28-AML28-AML27)*(1-AMD29)</f>
        <v/>
      </c>
      <c r="AMQ29" s="12">
        <f>AMQ28+AMM29-AMM17*(AnnualChurn*VLOOKUP(ALZ29,ChurnSeasonTable,4,FALSE))*POWER(1-(AnnualChurn*VLOOKUP(ALZ29,ChurnSeasonTable,4,FALSE)),0)+AMM5*(AnnualChurn*VLOOKUP(ALZ29,ChurnSeasonTable,4,FALSE))*POWER(1-(AnnualChurn*VLOOKUP(ALZ29,ChurnSeasonTable,4,FALSE)),1)</f>
        <v/>
      </c>
      <c r="AMR29" s="12">
        <f>AMR28+AMN29-AMN17*(AnnualChurn*VLOOKUP(ALZ29,ChurnSeasonTable,4,FALSE))*POWER(1-(AnnualChurn*VLOOKUP(ALZ29,ChurnSeasonTable,4,FALSE)),0)+AMN5*(AnnualChurn*VLOOKUP(ALZ29,ChurnSeasonTable,4,FALSE))*POWER(1-(AnnualChurn*VLOOKUP(ALZ29,ChurnSeasonTable,4,FALSE)),1)</f>
        <v/>
      </c>
      <c r="AMS29" s="12">
        <f>AMO29+AMP29+AMQ29+AMR29</f>
        <v/>
      </c>
      <c r="AMT29" s="9">
        <f>AMO29*PriceEssMonthly*AMC29+AMP29*PricePremMonthly*AMC29+AMQ29*PriceEssAnnual*AMC29/12+AMR29*PricePremAnnual*AMC29/12</f>
        <v/>
      </c>
      <c r="AMU29" s="9">
        <f>AMT29*12</f>
        <v/>
      </c>
      <c r="AMV29" s="12">
        <f>AMO29*PriceEssMonthly*AMC29+AMP29*PricePremMonthly*AMC29</f>
        <v/>
      </c>
      <c r="AMW29" s="12">
        <f>AMM29*PriceEssAnnual*AMC29+AMN29*PricePremAnnual*AMC29</f>
        <v/>
      </c>
      <c r="AMX29" s="12">
        <f>AMM17*POWER(1-(AnnualChurn*VLOOKUP(ALZ29,ChurnSeasonTable,4,FALSE)),1)*PriceEssAnnual*AMC29+AMM5*POWER(1-(AnnualChurn*VLOOKUP(ALZ29,ChurnSeasonTable,4,FALSE)),2)*PriceEssAnnual*AMC29+AMN17*POWER(1-(AnnualChurn*VLOOKUP(ALZ29,ChurnSeasonTable,4,FALSE)),1)*PricePremAnnual*AMC29+AMN5*POWER(1-(AnnualChurn*VLOOKUP(ALZ29,ChurnSeasonTable,4,FALSE)),2)*PricePremAnnual*AMC29</f>
        <v/>
      </c>
      <c r="AMY29" s="9">
        <f>AMV29+AMW29+AMX29</f>
        <v/>
      </c>
      <c r="AMZ29" s="12">
        <f>SUM(AMY18:AMY29)</f>
        <v/>
      </c>
      <c r="ANA29" s="12">
        <f>OR(ANA28,AMZ29&gt;=VATThreshold)</f>
        <v/>
      </c>
      <c r="ANB29" s="9">
        <f>IF(ANA29,AMY29/(1+VATRate),AMY29)</f>
        <v/>
      </c>
      <c r="ANC29" s="12">
        <f>AMY29-ANB29</f>
        <v/>
      </c>
      <c r="AND29" s="12">
        <f>IF(ANA29=0,0,IF(ALZ29=1,SUMPRODUCT(--(($AMA$5:$AMA29=$AMA29-1)*($ALZ$5:$ALZ29&gt;=10)*($ALZ$5:$ALZ29&lt;=12)),$ANC$5:$ANC29),IF(ALZ29=4,SUMPRODUCT(--(($AMA$5:$AMA29=$AMA29)*($ALZ$5:$ALZ29&gt;=1)*($ALZ$5:$ALZ29&lt;=3)),$ANC$5:$ANC29),IF(ALZ29=7,SUMPRODUCT(--(($AMA$5:$AMA29=$AMA29)*($ALZ$5:$ALZ29&gt;=4)*($ALZ$5:$ALZ29&lt;=6)),$ANC$5:$ANC29),IF(ALZ29=10,SUMPRODUCT(--(($AMA$5:$AMA29=$AMA29)*($ALZ$5:$ALZ29&gt;=7)*($ALZ$5:$ALZ29&lt;=9)),$ANC$5:$ANC29),0)))))</f>
        <v/>
      </c>
      <c r="ANE29" s="12">
        <f>ANE28+ANC29-AND29</f>
        <v/>
      </c>
      <c r="ANF29" s="12">
        <f>IF(ProviderDelay&gt;=1,ANB28*ProviderShare,ANB29*ProviderShare)</f>
        <v/>
      </c>
      <c r="ANG29" s="12">
        <f>AMY29*PaymentFee</f>
        <v/>
      </c>
      <c r="ANH29" s="12">
        <f>AMS29*OpsAI</f>
        <v/>
      </c>
      <c r="ANI29" s="12">
        <f>MonthlyFixed</f>
        <v/>
      </c>
      <c r="ANJ29" s="12">
        <f>AMG29*ReferralReward</f>
        <v/>
      </c>
      <c r="ANK29" s="12">
        <f>AME29</f>
        <v/>
      </c>
      <c r="ANL29" s="9">
        <f>ANB29-ANF29-ANG29-ANH29-ANI29-ANJ29-ANK29</f>
        <v/>
      </c>
      <c r="ANM29" s="9">
        <f>ANM28+AMY29-(ANF29+ANG29+ANH29+ANI29+ANJ29+ANK29+AND29)</f>
        <v/>
      </c>
      <c r="ANN29" s="12">
        <f>IF(AMS29&gt;0,AMT29/AMS29,0)</f>
        <v/>
      </c>
      <c r="ANO29" s="11">
        <f>IF(AMS28&gt;0,MAX(0,(AMS28+AMH29-AMS29)/AMS28),0)</f>
        <v/>
      </c>
      <c r="ANQ29" s="12" t="n">
        <v>25</v>
      </c>
      <c r="ANR29" s="12">
        <f>MOD(ANQ29-1+LaunchMonth-1,12)+1</f>
        <v/>
      </c>
      <c r="ANS29" s="12">
        <f>INT((ANQ29-1+LaunchMonth-1)/12)+1</f>
        <v/>
      </c>
      <c r="ANT29" s="12">
        <f>VLOOKUP(ANR29,SeasonTable,2,FALSE)</f>
        <v/>
      </c>
      <c r="ANU29" s="12">
        <f>(1+InflationRate)^INT((ANQ29-1)/12)</f>
        <v/>
      </c>
      <c r="ANV29" s="11">
        <f>MonthlyChurn*VLOOKUP(ANR29,ChurnSeasonTable,4,FALSE)</f>
        <v/>
      </c>
      <c r="ANW29" s="12">
        <f>MIN(MAX(MktMin19plus,AOQ28*MktPct19plus),MAX(0,APE28-CashBuffer))</f>
        <v/>
      </c>
      <c r="ANX29" s="12">
        <f>IF(ANW29&gt;0,MAX(1,ROUND(ANW29/'Sens - CAC &amp; Marketing'!$A$14*ANT29,0)),0)</f>
        <v/>
      </c>
      <c r="ANY29" s="12">
        <f>IF(ANX29&gt;0,ROUND(ANX29*ReferralMix/(1-ReferralMix),0),0)</f>
        <v/>
      </c>
      <c r="ANZ29" s="12">
        <f>ANX29+ANY29</f>
        <v/>
      </c>
      <c r="AOA29" s="12">
        <f>ROUND(ANZ29*(1-AnnualMix),0)</f>
        <v/>
      </c>
      <c r="AOB29" s="12">
        <f>ANZ29-AOA29</f>
        <v/>
      </c>
      <c r="AOC29" s="12">
        <f>ROUND(AOA29*EssentialMix,0)</f>
        <v/>
      </c>
      <c r="AOD29" s="12">
        <f>AOA29-AOC29</f>
        <v/>
      </c>
      <c r="AOE29" s="12">
        <f>ROUND(AOB29*EssentialMix,0)</f>
        <v/>
      </c>
      <c r="AOF29" s="12">
        <f>AOB29-AOE29</f>
        <v/>
      </c>
      <c r="AOG29" s="12">
        <f>AOC29+AOC28+AOC27+MAX(0,AOG28-AOC28-AOC27)*(1-ANV29)</f>
        <v/>
      </c>
      <c r="AOH29" s="12">
        <f>AOD29+AOD28+AOD27+MAX(0,AOH28-AOD28-AOD27)*(1-ANV29)</f>
        <v/>
      </c>
      <c r="AOI29" s="12">
        <f>AOI28+AOE29-AOE17*(AnnualChurn*VLOOKUP(ANR29,ChurnSeasonTable,4,FALSE))*POWER(1-(AnnualChurn*VLOOKUP(ANR29,ChurnSeasonTable,4,FALSE)),0)+AOE5*(AnnualChurn*VLOOKUP(ANR29,ChurnSeasonTable,4,FALSE))*POWER(1-(AnnualChurn*VLOOKUP(ANR29,ChurnSeasonTable,4,FALSE)),1)</f>
        <v/>
      </c>
      <c r="AOJ29" s="12">
        <f>AOJ28+AOF29-AOF17*(AnnualChurn*VLOOKUP(ANR29,ChurnSeasonTable,4,FALSE))*POWER(1-(AnnualChurn*VLOOKUP(ANR29,ChurnSeasonTable,4,FALSE)),0)+AOF5*(AnnualChurn*VLOOKUP(ANR29,ChurnSeasonTable,4,FALSE))*POWER(1-(AnnualChurn*VLOOKUP(ANR29,ChurnSeasonTable,4,FALSE)),1)</f>
        <v/>
      </c>
      <c r="AOK29" s="12">
        <f>AOG29+AOH29+AOI29+AOJ29</f>
        <v/>
      </c>
      <c r="AOL29" s="9">
        <f>AOG29*PriceEssMonthly*ANU29+AOH29*PricePremMonthly*ANU29+AOI29*PriceEssAnnual*ANU29/12+AOJ29*PricePremAnnual*ANU29/12</f>
        <v/>
      </c>
      <c r="AOM29" s="9">
        <f>AOL29*12</f>
        <v/>
      </c>
      <c r="AON29" s="12">
        <f>AOG29*PriceEssMonthly*ANU29+AOH29*PricePremMonthly*ANU29</f>
        <v/>
      </c>
      <c r="AOO29" s="12">
        <f>AOE29*PriceEssAnnual*ANU29+AOF29*PricePremAnnual*ANU29</f>
        <v/>
      </c>
      <c r="AOP29" s="12">
        <f>AOE17*POWER(1-(AnnualChurn*VLOOKUP(ANR29,ChurnSeasonTable,4,FALSE)),1)*PriceEssAnnual*ANU29+AOE5*POWER(1-(AnnualChurn*VLOOKUP(ANR29,ChurnSeasonTable,4,FALSE)),2)*PriceEssAnnual*ANU29+AOF17*POWER(1-(AnnualChurn*VLOOKUP(ANR29,ChurnSeasonTable,4,FALSE)),1)*PricePremAnnual*ANU29+AOF5*POWER(1-(AnnualChurn*VLOOKUP(ANR29,ChurnSeasonTable,4,FALSE)),2)*PricePremAnnual*ANU29</f>
        <v/>
      </c>
      <c r="AOQ29" s="9">
        <f>AON29+AOO29+AOP29</f>
        <v/>
      </c>
      <c r="AOR29" s="12">
        <f>SUM(AOQ18:AOQ29)</f>
        <v/>
      </c>
      <c r="AOS29" s="12">
        <f>OR(AOS28,AOR29&gt;=VATThreshold)</f>
        <v/>
      </c>
      <c r="AOT29" s="9">
        <f>IF(AOS29,AOQ29/(1+VATRate),AOQ29)</f>
        <v/>
      </c>
      <c r="AOU29" s="12">
        <f>AOQ29-AOT29</f>
        <v/>
      </c>
      <c r="AOV29" s="12">
        <f>IF(AOS29=0,0,IF(ANR29=1,SUMPRODUCT(--(($ANS$5:$ANS29=$ANS29-1)*($ANR$5:$ANR29&gt;=10)*($ANR$5:$ANR29&lt;=12)),$AOU$5:$AOU29),IF(ANR29=4,SUMPRODUCT(--(($ANS$5:$ANS29=$ANS29)*($ANR$5:$ANR29&gt;=1)*($ANR$5:$ANR29&lt;=3)),$AOU$5:$AOU29),IF(ANR29=7,SUMPRODUCT(--(($ANS$5:$ANS29=$ANS29)*($ANR$5:$ANR29&gt;=4)*($ANR$5:$ANR29&lt;=6)),$AOU$5:$AOU29),IF(ANR29=10,SUMPRODUCT(--(($ANS$5:$ANS29=$ANS29)*($ANR$5:$ANR29&gt;=7)*($ANR$5:$ANR29&lt;=9)),$AOU$5:$AOU29),0)))))</f>
        <v/>
      </c>
      <c r="AOW29" s="12">
        <f>AOW28+AOU29-AOV29</f>
        <v/>
      </c>
      <c r="AOX29" s="12">
        <f>IF(ProviderDelay&gt;=1,AOT28*ProviderShare,AOT29*ProviderShare)</f>
        <v/>
      </c>
      <c r="AOY29" s="12">
        <f>AOQ29*PaymentFee</f>
        <v/>
      </c>
      <c r="AOZ29" s="12">
        <f>AOK29*OpsAI</f>
        <v/>
      </c>
      <c r="APA29" s="12">
        <f>MonthlyFixed</f>
        <v/>
      </c>
      <c r="APB29" s="12">
        <f>ANY29*ReferralReward</f>
        <v/>
      </c>
      <c r="APC29" s="12">
        <f>ANW29</f>
        <v/>
      </c>
      <c r="APD29" s="9">
        <f>AOT29-AOX29-AOY29-AOZ29-APA29-APB29-APC29</f>
        <v/>
      </c>
      <c r="APE29" s="9">
        <f>APE28+AOQ29-(AOX29+AOY29+AOZ29+APA29+APB29+APC29+AOV29)</f>
        <v/>
      </c>
      <c r="APF29" s="12">
        <f>IF(AOK29&gt;0,AOL29/AOK29,0)</f>
        <v/>
      </c>
      <c r="APG29" s="11">
        <f>IF(AOK28&gt;0,MAX(0,(AOK28+ANZ29-AOK29)/AOK28),0)</f>
        <v/>
      </c>
      <c r="API29" s="12" t="n">
        <v>25</v>
      </c>
      <c r="APJ29" s="12">
        <f>MOD(API29-1+LaunchMonth-1,12)+1</f>
        <v/>
      </c>
      <c r="APK29" s="12">
        <f>INT((API29-1+LaunchMonth-1)/12)+1</f>
        <v/>
      </c>
      <c r="APL29" s="12">
        <f>VLOOKUP(APJ29,SeasonTable,2,FALSE)</f>
        <v/>
      </c>
      <c r="APM29" s="12">
        <f>(1+InflationRate)^INT((API29-1)/12)</f>
        <v/>
      </c>
      <c r="APN29" s="11">
        <f>MonthlyChurn*VLOOKUP(APJ29,ChurnSeasonTable,4,FALSE)</f>
        <v/>
      </c>
      <c r="APO29" s="12">
        <f>MIN(MAX(MktMin19plus,AQI28*MktPct19plus),MAX(0,AQW28-CashBuffer))</f>
        <v/>
      </c>
      <c r="APP29" s="12">
        <f>IF(APO29&gt;0,MAX(1,ROUND(APO29/'Sens - CAC &amp; Marketing'!$A$15*APL29,0)),0)</f>
        <v/>
      </c>
      <c r="APQ29" s="12">
        <f>IF(APP29&gt;0,ROUND(APP29*ReferralMix/(1-ReferralMix),0),0)</f>
        <v/>
      </c>
      <c r="APR29" s="12">
        <f>APP29+APQ29</f>
        <v/>
      </c>
      <c r="APS29" s="12">
        <f>ROUND(APR29*(1-AnnualMix),0)</f>
        <v/>
      </c>
      <c r="APT29" s="12">
        <f>APR29-APS29</f>
        <v/>
      </c>
      <c r="APU29" s="12">
        <f>ROUND(APS29*EssentialMix,0)</f>
        <v/>
      </c>
      <c r="APV29" s="12">
        <f>APS29-APU29</f>
        <v/>
      </c>
      <c r="APW29" s="12">
        <f>ROUND(APT29*EssentialMix,0)</f>
        <v/>
      </c>
      <c r="APX29" s="12">
        <f>APT29-APW29</f>
        <v/>
      </c>
      <c r="APY29" s="12">
        <f>APU29+APU28+APU27+MAX(0,APY28-APU28-APU27)*(1-APN29)</f>
        <v/>
      </c>
      <c r="APZ29" s="12">
        <f>APV29+APV28+APV27+MAX(0,APZ28-APV28-APV27)*(1-APN29)</f>
        <v/>
      </c>
      <c r="AQA29" s="12">
        <f>AQA28+APW29-APW17*(AnnualChurn*VLOOKUP(APJ29,ChurnSeasonTable,4,FALSE))*POWER(1-(AnnualChurn*VLOOKUP(APJ29,ChurnSeasonTable,4,FALSE)),0)+APW5*(AnnualChurn*VLOOKUP(APJ29,ChurnSeasonTable,4,FALSE))*POWER(1-(AnnualChurn*VLOOKUP(APJ29,ChurnSeasonTable,4,FALSE)),1)</f>
        <v/>
      </c>
      <c r="AQB29" s="12">
        <f>AQB28+APX29-APX17*(AnnualChurn*VLOOKUP(APJ29,ChurnSeasonTable,4,FALSE))*POWER(1-(AnnualChurn*VLOOKUP(APJ29,ChurnSeasonTable,4,FALSE)),0)+APX5*(AnnualChurn*VLOOKUP(APJ29,ChurnSeasonTable,4,FALSE))*POWER(1-(AnnualChurn*VLOOKUP(APJ29,ChurnSeasonTable,4,FALSE)),1)</f>
        <v/>
      </c>
      <c r="AQC29" s="12">
        <f>APY29+APZ29+AQA29+AQB29</f>
        <v/>
      </c>
      <c r="AQD29" s="9">
        <f>APY29*PriceEssMonthly*APM29+APZ29*PricePremMonthly*APM29+AQA29*PriceEssAnnual*APM29/12+AQB29*PricePremAnnual*APM29/12</f>
        <v/>
      </c>
      <c r="AQE29" s="9">
        <f>AQD29*12</f>
        <v/>
      </c>
      <c r="AQF29" s="12">
        <f>APY29*PriceEssMonthly*APM29+APZ29*PricePremMonthly*APM29</f>
        <v/>
      </c>
      <c r="AQG29" s="12">
        <f>APW29*PriceEssAnnual*APM29+APX29*PricePremAnnual*APM29</f>
        <v/>
      </c>
      <c r="AQH29" s="12">
        <f>APW17*POWER(1-(AnnualChurn*VLOOKUP(APJ29,ChurnSeasonTable,4,FALSE)),1)*PriceEssAnnual*APM29+APW5*POWER(1-(AnnualChurn*VLOOKUP(APJ29,ChurnSeasonTable,4,FALSE)),2)*PriceEssAnnual*APM29+APX17*POWER(1-(AnnualChurn*VLOOKUP(APJ29,ChurnSeasonTable,4,FALSE)),1)*PricePremAnnual*APM29+APX5*POWER(1-(AnnualChurn*VLOOKUP(APJ29,ChurnSeasonTable,4,FALSE)),2)*PricePremAnnual*APM29</f>
        <v/>
      </c>
      <c r="AQI29" s="9">
        <f>AQF29+AQG29+AQH29</f>
        <v/>
      </c>
      <c r="AQJ29" s="12">
        <f>SUM(AQI18:AQI29)</f>
        <v/>
      </c>
      <c r="AQK29" s="12">
        <f>OR(AQK28,AQJ29&gt;=VATThreshold)</f>
        <v/>
      </c>
      <c r="AQL29" s="9">
        <f>IF(AQK29,AQI29/(1+VATRate),AQI29)</f>
        <v/>
      </c>
      <c r="AQM29" s="12">
        <f>AQI29-AQL29</f>
        <v/>
      </c>
      <c r="AQN29" s="12">
        <f>IF(AQK29=0,0,IF(APJ29=1,SUMPRODUCT(--(($APK$5:$APK29=$APK29-1)*($APJ$5:$APJ29&gt;=10)*($APJ$5:$APJ29&lt;=12)),$AQM$5:$AQM29),IF(APJ29=4,SUMPRODUCT(--(($APK$5:$APK29=$APK29)*($APJ$5:$APJ29&gt;=1)*($APJ$5:$APJ29&lt;=3)),$AQM$5:$AQM29),IF(APJ29=7,SUMPRODUCT(--(($APK$5:$APK29=$APK29)*($APJ$5:$APJ29&gt;=4)*($APJ$5:$APJ29&lt;=6)),$AQM$5:$AQM29),IF(APJ29=10,SUMPRODUCT(--(($APK$5:$APK29=$APK29)*($APJ$5:$APJ29&gt;=7)*($APJ$5:$APJ29&lt;=9)),$AQM$5:$AQM29),0)))))</f>
        <v/>
      </c>
      <c r="AQO29" s="12">
        <f>AQO28+AQM29-AQN29</f>
        <v/>
      </c>
      <c r="AQP29" s="12">
        <f>IF(ProviderDelay&gt;=1,AQL28*ProviderShare,AQL29*ProviderShare)</f>
        <v/>
      </c>
      <c r="AQQ29" s="12">
        <f>AQI29*PaymentFee</f>
        <v/>
      </c>
      <c r="AQR29" s="12">
        <f>AQC29*OpsAI</f>
        <v/>
      </c>
      <c r="AQS29" s="12">
        <f>MonthlyFixed</f>
        <v/>
      </c>
      <c r="AQT29" s="12">
        <f>APQ29*ReferralReward</f>
        <v/>
      </c>
      <c r="AQU29" s="12">
        <f>APO29</f>
        <v/>
      </c>
      <c r="AQV29" s="9">
        <f>AQL29-AQP29-AQQ29-AQR29-AQS29-AQT29-AQU29</f>
        <v/>
      </c>
      <c r="AQW29" s="9">
        <f>AQW28+AQI29-(AQP29+AQQ29+AQR29+AQS29+AQT29+AQU29+AQN29)</f>
        <v/>
      </c>
      <c r="AQX29" s="12">
        <f>IF(AQC29&gt;0,AQD29/AQC29,0)</f>
        <v/>
      </c>
      <c r="AQY29" s="11">
        <f>IF(AQC28&gt;0,MAX(0,(AQC28+APR29-AQC29)/AQC28),0)</f>
        <v/>
      </c>
      <c r="ARA29" s="12" t="n">
        <v>25</v>
      </c>
      <c r="ARB29" s="12">
        <f>MOD(ARA29-1+LaunchMonth-1,12)+1</f>
        <v/>
      </c>
      <c r="ARC29" s="12">
        <f>INT((ARA29-1+LaunchMonth-1)/12)+1</f>
        <v/>
      </c>
      <c r="ARD29" s="12">
        <f>VLOOKUP(ARB29,WinterPivotSeasonTable,5,FALSE)</f>
        <v/>
      </c>
      <c r="ARE29" s="12">
        <f>(1+InflationRate)^INT((ARA29-1)/12)</f>
        <v/>
      </c>
      <c r="ARF29" s="11">
        <f>MonthlyChurn*VLOOKUP(ARB29,WinterPivotChurnTable,6,FALSE)</f>
        <v/>
      </c>
      <c r="ARG29" s="12">
        <f>MIN(MAX(MktMin19plus,ASA28*MktPct19plus),MAX(0,ASO28-CashBuffer))</f>
        <v/>
      </c>
      <c r="ARH29" s="12">
        <f>IF(ARG29&gt;0,MAX(1,ROUND(ARG29/CAC*ARD29,0)),0)</f>
        <v/>
      </c>
      <c r="ARI29" s="12">
        <f>IF(ARH29&gt;0,ROUND(ARH29*ReferralMix/(1-ReferralMix),0),0)</f>
        <v/>
      </c>
      <c r="ARJ29" s="12">
        <f>ARH29+ARI29</f>
        <v/>
      </c>
      <c r="ARK29" s="12">
        <f>ROUND(ARJ29*(1-AnnualMix),0)</f>
        <v/>
      </c>
      <c r="ARL29" s="12">
        <f>ARJ29-ARK29</f>
        <v/>
      </c>
      <c r="ARM29" s="12">
        <f>ROUND(ARK29*'Sens - Winter Pivot'!$B$6,0)</f>
        <v/>
      </c>
      <c r="ARN29" s="12">
        <f>ARK29-ARM29</f>
        <v/>
      </c>
      <c r="ARO29" s="12">
        <f>ROUND(ARL29*'Sens - Winter Pivot'!$B$6,0)</f>
        <v/>
      </c>
      <c r="ARP29" s="12">
        <f>ARL29-ARO29</f>
        <v/>
      </c>
      <c r="ARQ29" s="12">
        <f>ARM29+ARM28+ARM27+MAX(0,ARQ28-ARM28-ARM27)*(1-ARF29)</f>
        <v/>
      </c>
      <c r="ARR29" s="12">
        <f>ARN29+ARN28+ARN27+MAX(0,ARR28-ARN28-ARN27)*(1-ARF29)</f>
        <v/>
      </c>
      <c r="ARS29" s="12">
        <f>ARS28+ARO29-ARO17*(AnnualChurn*VLOOKUP(ARB29,WinterPivotChurnTable,6,FALSE))*POWER(1-(AnnualChurn*VLOOKUP(ARB29,WinterPivotChurnTable,6,FALSE)),0)+ARO5*(AnnualChurn*VLOOKUP(ARB29,WinterPivotChurnTable,6,FALSE))*POWER(1-(AnnualChurn*VLOOKUP(ARB29,WinterPivotChurnTable,6,FALSE)),1)</f>
        <v/>
      </c>
      <c r="ART29" s="12">
        <f>ART28+ARP29-ARP17*(AnnualChurn*VLOOKUP(ARB29,WinterPivotChurnTable,6,FALSE))*POWER(1-(AnnualChurn*VLOOKUP(ARB29,WinterPivotChurnTable,6,FALSE)),0)+ARP5*(AnnualChurn*VLOOKUP(ARB29,WinterPivotChurnTable,6,FALSE))*POWER(1-(AnnualChurn*VLOOKUP(ARB29,WinterPivotChurnTable,6,FALSE)),1)</f>
        <v/>
      </c>
      <c r="ARU29" s="12">
        <f>ARQ29+ARR29+ARS29+ART29</f>
        <v/>
      </c>
      <c r="ARV29" s="9">
        <f>ARQ29*PriceEssMonthly*ARE29+ARR29*(PricePremMonthly+'Sens - Winter Pivot'!$B$7)*ARE29+ARS29*PriceEssAnnual*ARE29/12+ART29*(PricePremAnnual+'Sens - Winter Pivot'!$B$7*12)*ARE29/12</f>
        <v/>
      </c>
      <c r="ARW29" s="9">
        <f>ARV29*12</f>
        <v/>
      </c>
      <c r="ARX29" s="12">
        <f>ARQ29*PriceEssMonthly*ARE29+ARR29*(PricePremMonthly+'Sens - Winter Pivot'!$B$7)*ARE29</f>
        <v/>
      </c>
      <c r="ARY29" s="12">
        <f>ARO29*PriceEssAnnual*ARE29+ARP29*(PricePremAnnual+'Sens - Winter Pivot'!$B$7*12)*ARE29</f>
        <v/>
      </c>
      <c r="ARZ29" s="12">
        <f>ARO17*POWER(1-(AnnualChurn*VLOOKUP(ARB29,WinterPivotChurnTable,6,FALSE)),1)*PriceEssAnnual*ARE29+ARO5*POWER(1-(AnnualChurn*VLOOKUP(ARB29,WinterPivotChurnTable,6,FALSE)),2)*PriceEssAnnual*ARE29+ARP17*POWER(1-(AnnualChurn*VLOOKUP(ARB29,WinterPivotChurnTable,6,FALSE)),1)*PricePremAnnual*ARE29+ARP5*POWER(1-(AnnualChurn*VLOOKUP(ARB29,WinterPivotChurnTable,6,FALSE)),2)*PricePremAnnual*ARE29</f>
        <v/>
      </c>
      <c r="ASA29" s="9">
        <f>ARX29+ARY29+ARZ29</f>
        <v/>
      </c>
      <c r="ASB29" s="12">
        <f>SUM(ASA18:ASA29)</f>
        <v/>
      </c>
      <c r="ASC29" s="12">
        <f>OR(ASC28,ASB29&gt;=VATThreshold)</f>
        <v/>
      </c>
      <c r="ASD29" s="9">
        <f>IF(ASC29,ASA29/(1+VATRate),ASA29)</f>
        <v/>
      </c>
      <c r="ASE29" s="12">
        <f>ASA29-ASD29</f>
        <v/>
      </c>
      <c r="ASF29" s="12">
        <f>IF(ASC29=0,0,IF(ARB29=1,SUMPRODUCT(--(($ARC$5:$ARC29=$ARC29-1)*($ARB$5:$ARB29&gt;=10)*($ARB$5:$ARB29&lt;=12)),$ASE$5:$ASE29),IF(ARB29=4,SUMPRODUCT(--(($ARC$5:$ARC29=$ARC29)*($ARB$5:$ARB29&gt;=1)*($ARB$5:$ARB29&lt;=3)),$ASE$5:$ASE29),IF(ARB29=7,SUMPRODUCT(--(($ARC$5:$ARC29=$ARC29)*($ARB$5:$ARB29&gt;=4)*($ARB$5:$ARB29&lt;=6)),$ASE$5:$ASE29),IF(ARB29=10,SUMPRODUCT(--(($ARC$5:$ARC29=$ARC29)*($ARB$5:$ARB29&gt;=7)*($ARB$5:$ARB29&lt;=9)),$ASE$5:$ASE29),0)))))</f>
        <v/>
      </c>
      <c r="ASG29" s="12">
        <f>ASG28+ASE29-ASF29</f>
        <v/>
      </c>
      <c r="ASH29" s="12">
        <f>IF(ProviderDelay&gt;=1,ASD28*ProviderShare,ASD29*ProviderShare)</f>
        <v/>
      </c>
      <c r="ASI29" s="12">
        <f>ASA29*PaymentFee</f>
        <v/>
      </c>
      <c r="ASJ29" s="12">
        <f>ARU29*OpsAI</f>
        <v/>
      </c>
      <c r="ASK29" s="12">
        <f>MonthlyFixed</f>
        <v/>
      </c>
      <c r="ASL29" s="12">
        <f>ARI29*ReferralReward</f>
        <v/>
      </c>
      <c r="ASM29" s="12">
        <f>ARG29</f>
        <v/>
      </c>
      <c r="ASN29" s="9">
        <f>ASD29-ASH29-ASI29-ASJ29-ASK29-ASL29-ASM29</f>
        <v/>
      </c>
      <c r="ASO29" s="9">
        <f>ASO28+ASA29-(ASH29+ASI29+ASJ29+ASK29+ASL29+ASM29+ASF29)</f>
        <v/>
      </c>
      <c r="ASP29" s="12">
        <f>IF(ARU29&gt;0,ARV29/ARU29,0)</f>
        <v/>
      </c>
      <c r="ASQ29" s="11">
        <f>IF(ARU28&gt;0,MAX(0,(ARU28+ARJ29-ARU29)/ARU28),0)</f>
        <v/>
      </c>
    </row>
    <row r="30">
      <c r="A30" s="12" t="n">
        <v>26</v>
      </c>
      <c r="B30" s="12">
        <f>MOD(A30-1+LaunchMonth-1,12)+1</f>
        <v/>
      </c>
      <c r="C30" s="12">
        <f>INT((A30-1+LaunchMonth-1)/12)+1</f>
        <v/>
      </c>
      <c r="D30" s="12">
        <f>VLOOKUP(B30,SeasonTable,2,FALSE)</f>
        <v/>
      </c>
      <c r="E30" s="12">
        <f>(1+InflationRate)^INT((A30-1)/12)</f>
        <v/>
      </c>
      <c r="F30" s="11">
        <f>'Sens - Scenarios'!$B$5*VLOOKUP(B30,ChurnSeasonTable,4,FALSE)</f>
        <v/>
      </c>
      <c r="G30" s="12">
        <f>MIN(MAX(MktMin19plus,AA29*MktPct19plus),MAX(0,AO29-CashBuffer))</f>
        <v/>
      </c>
      <c r="H30" s="12">
        <f>IF(G30&gt;0,MAX(1,ROUND(G30/'Sens - Scenarios'!$B$8*D30,0)),0)</f>
        <v/>
      </c>
      <c r="I30" s="12">
        <f>IF(H30&gt;0,ROUND(H30*ReferralMix/(1-ReferralMix),0),0)</f>
        <v/>
      </c>
      <c r="J30" s="12">
        <f>H30+I30</f>
        <v/>
      </c>
      <c r="K30" s="12">
        <f>ROUND(J30*(1-'Sens - Scenarios'!$B$7),0)</f>
        <v/>
      </c>
      <c r="L30" s="12">
        <f>J30-K30</f>
        <v/>
      </c>
      <c r="M30" s="12">
        <f>ROUND(K30*EssentialMix,0)</f>
        <v/>
      </c>
      <c r="N30" s="12">
        <f>K30-M30</f>
        <v/>
      </c>
      <c r="O30" s="12">
        <f>ROUND(L30*EssentialMix,0)</f>
        <v/>
      </c>
      <c r="P30" s="12">
        <f>L30-O30</f>
        <v/>
      </c>
      <c r="Q30" s="12">
        <f>M30+M29+M28+MAX(0,Q29-M29-M28)*(1-F30)</f>
        <v/>
      </c>
      <c r="R30" s="12">
        <f>N30+N29+N28+MAX(0,R29-N29-N28)*(1-F30)</f>
        <v/>
      </c>
      <c r="S30" s="12">
        <f>S29+O30-O18*('Sens - Scenarios'!$B$6*VLOOKUP(B30,ChurnSeasonTable,4,FALSE))*POWER(1-('Sens - Scenarios'!$B$6*VLOOKUP(B30,ChurnSeasonTable,4,FALSE)),0)+O6*('Sens - Scenarios'!$B$6*VLOOKUP(B30,ChurnSeasonTable,4,FALSE))*POWER(1-('Sens - Scenarios'!$B$6*VLOOKUP(B30,ChurnSeasonTable,4,FALSE)),1)</f>
        <v/>
      </c>
      <c r="T30" s="12">
        <f>T29+P30-P18*('Sens - Scenarios'!$B$6*VLOOKUP(B30,ChurnSeasonTable,4,FALSE))*POWER(1-('Sens - Scenarios'!$B$6*VLOOKUP(B30,ChurnSeasonTable,4,FALSE)),0)+P6*('Sens - Scenarios'!$B$6*VLOOKUP(B30,ChurnSeasonTable,4,FALSE))*POWER(1-('Sens - Scenarios'!$B$6*VLOOKUP(B30,ChurnSeasonTable,4,FALSE)),1)</f>
        <v/>
      </c>
      <c r="U30" s="12">
        <f>Q30+R30+S30+T30</f>
        <v/>
      </c>
      <c r="V30" s="9">
        <f>Q30*PriceEssMonthly*E30+R30*PricePremMonthly*E30+S30*PriceEssAnnual*E30/12+T30*PricePremAnnual*E30/12</f>
        <v/>
      </c>
      <c r="W30" s="9">
        <f>V30*12</f>
        <v/>
      </c>
      <c r="X30" s="12">
        <f>Q30*PriceEssMonthly*E30+R30*PricePremMonthly*E30</f>
        <v/>
      </c>
      <c r="Y30" s="12">
        <f>O30*PriceEssAnnual*E30+P30*PricePremAnnual*E30</f>
        <v/>
      </c>
      <c r="Z30" s="12">
        <f>O18*POWER(1-('Sens - Scenarios'!$B$6*VLOOKUP(B30,ChurnSeasonTable,4,FALSE)),1)*PriceEssAnnual*E30+O6*POWER(1-('Sens - Scenarios'!$B$6*VLOOKUP(B30,ChurnSeasonTable,4,FALSE)),2)*PriceEssAnnual*E30+P18*POWER(1-('Sens - Scenarios'!$B$6*VLOOKUP(B30,ChurnSeasonTable,4,FALSE)),1)*PricePremAnnual*E30+P6*POWER(1-('Sens - Scenarios'!$B$6*VLOOKUP(B30,ChurnSeasonTable,4,FALSE)),2)*PricePremAnnual*E30</f>
        <v/>
      </c>
      <c r="AA30" s="9">
        <f>X30+Y30+Z30</f>
        <v/>
      </c>
      <c r="AB30" s="12">
        <f>SUM(AA19:AA30)</f>
        <v/>
      </c>
      <c r="AC30" s="12">
        <f>OR(AC29,AB30&gt;=VATThreshold)</f>
        <v/>
      </c>
      <c r="AD30" s="9">
        <f>IF(AC30,AA30/(1+VATRate),AA30)</f>
        <v/>
      </c>
      <c r="AE30" s="12">
        <f>AA30-AD30</f>
        <v/>
      </c>
      <c r="AF30" s="12">
        <f>IF(AC30=0,0,IF(B30=1,SUMPRODUCT(--(($C$5:$C30=$C30-1)*($B$5:$B30&gt;=10)*($B$5:$B30&lt;=12)),$AE$5:$AE30),IF(B30=4,SUMPRODUCT(--(($C$5:$C30=$C30)*($B$5:$B30&gt;=1)*($B$5:$B30&lt;=3)),$AE$5:$AE30),IF(B30=7,SUMPRODUCT(--(($C$5:$C30=$C30)*($B$5:$B30&gt;=4)*($B$5:$B30&lt;=6)),$AE$5:$AE30),IF(B30=10,SUMPRODUCT(--(($C$5:$C30=$C30)*($B$5:$B30&gt;=7)*($B$5:$B30&lt;=9)),$AE$5:$AE30),0)))))</f>
        <v/>
      </c>
      <c r="AG30" s="12">
        <f>AG29+AE30-AF30</f>
        <v/>
      </c>
      <c r="AH30" s="12">
        <f>IF(ProviderDelay&gt;=1,AD29*ProviderShare,AD30*ProviderShare)</f>
        <v/>
      </c>
      <c r="AI30" s="12">
        <f>AA30*PaymentFee</f>
        <v/>
      </c>
      <c r="AJ30" s="12">
        <f>U30*OpsAI</f>
        <v/>
      </c>
      <c r="AK30" s="12">
        <f>MonthlyFixed</f>
        <v/>
      </c>
      <c r="AL30" s="12">
        <f>I30*ReferralReward</f>
        <v/>
      </c>
      <c r="AM30" s="12">
        <f>G30</f>
        <v/>
      </c>
      <c r="AN30" s="9">
        <f>AD30-AH30-AI30-AJ30-AK30-AL30-AM30</f>
        <v/>
      </c>
      <c r="AO30" s="9">
        <f>AO29+AA30-(AH30+AI30+AJ30+AK30+AL30+AM30+AF30)</f>
        <v/>
      </c>
      <c r="AP30" s="12">
        <f>IF(U30&gt;0,V30/U30,0)</f>
        <v/>
      </c>
      <c r="AQ30" s="11">
        <f>IF(U29&gt;0,MAX(0,(U29+J30-U30)/U29),0)</f>
        <v/>
      </c>
      <c r="AS30" s="12" t="n">
        <v>26</v>
      </c>
      <c r="AT30" s="12">
        <f>MOD(AS30-1+LaunchMonth-1,12)+1</f>
        <v/>
      </c>
      <c r="AU30" s="12">
        <f>INT((AS30-1+LaunchMonth-1)/12)+1</f>
        <v/>
      </c>
      <c r="AV30" s="12">
        <f>VLOOKUP(AT30,SeasonTable,2,FALSE)</f>
        <v/>
      </c>
      <c r="AW30" s="12">
        <f>(1+InflationRate)^INT((AS30-1)/12)</f>
        <v/>
      </c>
      <c r="AX30" s="11">
        <f>MonthlyChurn*VLOOKUP(AT30,ChurnSeasonTable,4,FALSE)</f>
        <v/>
      </c>
      <c r="AY30" s="12">
        <f>MIN(MAX(MktMin19plus,BS29*MktPct19plus),MAX(0,CG29-CashBuffer))</f>
        <v/>
      </c>
      <c r="AZ30" s="12">
        <f>IF(AY30&gt;0,MAX(1,ROUND(AY30/CAC*AV30,0)),0)</f>
        <v/>
      </c>
      <c r="BA30" s="12">
        <f>IF(AZ30&gt;0,ROUND(AZ30*ReferralMix/(1-ReferralMix),0),0)</f>
        <v/>
      </c>
      <c r="BB30" s="12">
        <f>AZ30+BA30</f>
        <v/>
      </c>
      <c r="BC30" s="12">
        <f>ROUND(BB30*(1-AnnualMix),0)</f>
        <v/>
      </c>
      <c r="BD30" s="12">
        <f>BB30-BC30</f>
        <v/>
      </c>
      <c r="BE30" s="12">
        <f>ROUND(BC30*EssentialMix,0)</f>
        <v/>
      </c>
      <c r="BF30" s="12">
        <f>BC30-BE30</f>
        <v/>
      </c>
      <c r="BG30" s="12">
        <f>ROUND(BD30*EssentialMix,0)</f>
        <v/>
      </c>
      <c r="BH30" s="12">
        <f>BD30-BG30</f>
        <v/>
      </c>
      <c r="BI30" s="12">
        <f>BE30+BE29+BE28+MAX(0,BI29-BE29-BE28)*(1-AX30)</f>
        <v/>
      </c>
      <c r="BJ30" s="12">
        <f>BF30+BF29+BF28+MAX(0,BJ29-BF29-BF28)*(1-AX30)</f>
        <v/>
      </c>
      <c r="BK30" s="12">
        <f>BK29+BG30-BG18*(AnnualChurn*VLOOKUP(AT30,ChurnSeasonTable,4,FALSE))*POWER(1-(AnnualChurn*VLOOKUP(AT30,ChurnSeasonTable,4,FALSE)),0)+BG6*(AnnualChurn*VLOOKUP(AT30,ChurnSeasonTable,4,FALSE))*POWER(1-(AnnualChurn*VLOOKUP(AT30,ChurnSeasonTable,4,FALSE)),1)</f>
        <v/>
      </c>
      <c r="BL30" s="12">
        <f>BL29+BH30-BH18*(AnnualChurn*VLOOKUP(AT30,ChurnSeasonTable,4,FALSE))*POWER(1-(AnnualChurn*VLOOKUP(AT30,ChurnSeasonTable,4,FALSE)),0)+BH6*(AnnualChurn*VLOOKUP(AT30,ChurnSeasonTable,4,FALSE))*POWER(1-(AnnualChurn*VLOOKUP(AT30,ChurnSeasonTable,4,FALSE)),1)</f>
        <v/>
      </c>
      <c r="BM30" s="12">
        <f>BI30+BJ30+BK30+BL30</f>
        <v/>
      </c>
      <c r="BN30" s="9">
        <f>BI30*PriceEssMonthly*AW30+BJ30*PricePremMonthly*AW30+BK30*PriceEssAnnual*AW30/12+BL30*PricePremAnnual*AW30/12</f>
        <v/>
      </c>
      <c r="BO30" s="9">
        <f>BN30*12</f>
        <v/>
      </c>
      <c r="BP30" s="12">
        <f>BI30*PriceEssMonthly*AW30+BJ30*PricePremMonthly*AW30</f>
        <v/>
      </c>
      <c r="BQ30" s="12">
        <f>BG30*PriceEssAnnual*AW30+BH30*PricePremAnnual*AW30</f>
        <v/>
      </c>
      <c r="BR30" s="12">
        <f>BG18*POWER(1-(AnnualChurn*VLOOKUP(AT30,ChurnSeasonTable,4,FALSE)),1)*PriceEssAnnual*AW30+BG6*POWER(1-(AnnualChurn*VLOOKUP(AT30,ChurnSeasonTable,4,FALSE)),2)*PriceEssAnnual*AW30+BH18*POWER(1-(AnnualChurn*VLOOKUP(AT30,ChurnSeasonTable,4,FALSE)),1)*PricePremAnnual*AW30+BH6*POWER(1-(AnnualChurn*VLOOKUP(AT30,ChurnSeasonTable,4,FALSE)),2)*PricePremAnnual*AW30</f>
        <v/>
      </c>
      <c r="BS30" s="9">
        <f>BP30+BQ30+BR30</f>
        <v/>
      </c>
      <c r="BT30" s="12">
        <f>SUM(BS19:BS30)</f>
        <v/>
      </c>
      <c r="BU30" s="12">
        <f>OR(BU29,BT30&gt;=VATThreshold)</f>
        <v/>
      </c>
      <c r="BV30" s="9">
        <f>IF(BU30,BS30/(1+VATRate),BS30)</f>
        <v/>
      </c>
      <c r="BW30" s="12">
        <f>BS30-BV30</f>
        <v/>
      </c>
      <c r="BX30" s="12">
        <f>IF(BU30=0,0,IF(AT30=1,SUMPRODUCT(--(($AU$5:$AU30=$AU30-1)*($AT$5:$AT30&gt;=10)*($AT$5:$AT30&lt;=12)),$BW$5:$BW30),IF(AT30=4,SUMPRODUCT(--(($AU$5:$AU30=$AU30)*($AT$5:$AT30&gt;=1)*($AT$5:$AT30&lt;=3)),$BW$5:$BW30),IF(AT30=7,SUMPRODUCT(--(($AU$5:$AU30=$AU30)*($AT$5:$AT30&gt;=4)*($AT$5:$AT30&lt;=6)),$BW$5:$BW30),IF(AT30=10,SUMPRODUCT(--(($AU$5:$AU30=$AU30)*($AT$5:$AT30&gt;=7)*($AT$5:$AT30&lt;=9)),$BW$5:$BW30),0)))))</f>
        <v/>
      </c>
      <c r="BY30" s="12">
        <f>BY29+BW30-BX30</f>
        <v/>
      </c>
      <c r="BZ30" s="12">
        <f>IF(ProviderDelay&gt;=1,BV29*ProviderShare,BV30*ProviderShare)</f>
        <v/>
      </c>
      <c r="CA30" s="12">
        <f>BS30*PaymentFee</f>
        <v/>
      </c>
      <c r="CB30" s="12">
        <f>BM30*OpsAI</f>
        <v/>
      </c>
      <c r="CC30" s="12">
        <f>MonthlyFixed</f>
        <v/>
      </c>
      <c r="CD30" s="12">
        <f>BA30*ReferralReward</f>
        <v/>
      </c>
      <c r="CE30" s="12">
        <f>AY30</f>
        <v/>
      </c>
      <c r="CF30" s="9">
        <f>BV30-BZ30-CA30-CB30-CC30-CD30-CE30</f>
        <v/>
      </c>
      <c r="CG30" s="9">
        <f>CG29+BS30-(BZ30+CA30+CB30+CC30+CD30+CE30+BX30)</f>
        <v/>
      </c>
      <c r="CH30" s="12">
        <f>IF(BM30&gt;0,BN30/BM30,0)</f>
        <v/>
      </c>
      <c r="CI30" s="11">
        <f>IF(BM29&gt;0,MAX(0,(BM29+BB30-BM30)/BM29),0)</f>
        <v/>
      </c>
      <c r="CK30" s="12" t="n">
        <v>26</v>
      </c>
      <c r="CL30" s="12">
        <f>MOD(CK30-1+LaunchMonth-1,12)+1</f>
        <v/>
      </c>
      <c r="CM30" s="12">
        <f>INT((CK30-1+LaunchMonth-1)/12)+1</f>
        <v/>
      </c>
      <c r="CN30" s="12">
        <f>VLOOKUP(CL30,SeasonTable,2,FALSE)</f>
        <v/>
      </c>
      <c r="CO30" s="12">
        <f>(1+InflationRate)^INT((CK30-1)/12)</f>
        <v/>
      </c>
      <c r="CP30" s="11">
        <f>'Sens - Scenarios'!$D$5*VLOOKUP(CL30,ChurnSeasonTable,4,FALSE)</f>
        <v/>
      </c>
      <c r="CQ30" s="12">
        <f>MIN(MAX(MktMin19plus,DK29*MktPct19plus),MAX(0,DY29-CashBuffer))</f>
        <v/>
      </c>
      <c r="CR30" s="12">
        <f>IF(CQ30&gt;0,MAX(1,ROUND(CQ30/'Sens - Scenarios'!$D$8*CN30,0)),0)</f>
        <v/>
      </c>
      <c r="CS30" s="12">
        <f>IF(CR30&gt;0,ROUND(CR30*ReferralMix/(1-ReferralMix),0),0)</f>
        <v/>
      </c>
      <c r="CT30" s="12">
        <f>CR30+CS30</f>
        <v/>
      </c>
      <c r="CU30" s="12">
        <f>ROUND(CT30*(1-'Sens - Scenarios'!$D$7),0)</f>
        <v/>
      </c>
      <c r="CV30" s="12">
        <f>CT30-CU30</f>
        <v/>
      </c>
      <c r="CW30" s="12">
        <f>ROUND(CU30*EssentialMix,0)</f>
        <v/>
      </c>
      <c r="CX30" s="12">
        <f>CU30-CW30</f>
        <v/>
      </c>
      <c r="CY30" s="12">
        <f>ROUND(CV30*EssentialMix,0)</f>
        <v/>
      </c>
      <c r="CZ30" s="12">
        <f>CV30-CY30</f>
        <v/>
      </c>
      <c r="DA30" s="12">
        <f>CW30+CW29+CW28+MAX(0,DA29-CW29-CW28)*(1-CP30)</f>
        <v/>
      </c>
      <c r="DB30" s="12">
        <f>CX30+CX29+CX28+MAX(0,DB29-CX29-CX28)*(1-CP30)</f>
        <v/>
      </c>
      <c r="DC30" s="12">
        <f>DC29+CY30-CY18*('Sens - Scenarios'!$D$6*VLOOKUP(CL30,ChurnSeasonTable,4,FALSE))*POWER(1-('Sens - Scenarios'!$D$6*VLOOKUP(CL30,ChurnSeasonTable,4,FALSE)),0)+CY6*('Sens - Scenarios'!$D$6*VLOOKUP(CL30,ChurnSeasonTable,4,FALSE))*POWER(1-('Sens - Scenarios'!$D$6*VLOOKUP(CL30,ChurnSeasonTable,4,FALSE)),1)</f>
        <v/>
      </c>
      <c r="DD30" s="12">
        <f>DD29+CZ30-CZ18*('Sens - Scenarios'!$D$6*VLOOKUP(CL30,ChurnSeasonTable,4,FALSE))*POWER(1-('Sens - Scenarios'!$D$6*VLOOKUP(CL30,ChurnSeasonTable,4,FALSE)),0)+CZ6*('Sens - Scenarios'!$D$6*VLOOKUP(CL30,ChurnSeasonTable,4,FALSE))*POWER(1-('Sens - Scenarios'!$D$6*VLOOKUP(CL30,ChurnSeasonTable,4,FALSE)),1)</f>
        <v/>
      </c>
      <c r="DE30" s="12">
        <f>DA30+DB30+DC30+DD30</f>
        <v/>
      </c>
      <c r="DF30" s="9">
        <f>DA30*PriceEssMonthly*CO30+DB30*PricePremMonthly*CO30+DC30*PriceEssAnnual*CO30/12+DD30*PricePremAnnual*CO30/12</f>
        <v/>
      </c>
      <c r="DG30" s="9">
        <f>DF30*12</f>
        <v/>
      </c>
      <c r="DH30" s="12">
        <f>DA30*PriceEssMonthly*CO30+DB30*PricePremMonthly*CO30</f>
        <v/>
      </c>
      <c r="DI30" s="12">
        <f>CY30*PriceEssAnnual*CO30+CZ30*PricePremAnnual*CO30</f>
        <v/>
      </c>
      <c r="DJ30" s="12">
        <f>CY18*POWER(1-('Sens - Scenarios'!$D$6*VLOOKUP(CL30,ChurnSeasonTable,4,FALSE)),1)*PriceEssAnnual*CO30+CY6*POWER(1-('Sens - Scenarios'!$D$6*VLOOKUP(CL30,ChurnSeasonTable,4,FALSE)),2)*PriceEssAnnual*CO30+CZ18*POWER(1-('Sens - Scenarios'!$D$6*VLOOKUP(CL30,ChurnSeasonTable,4,FALSE)),1)*PricePremAnnual*CO30+CZ6*POWER(1-('Sens - Scenarios'!$D$6*VLOOKUP(CL30,ChurnSeasonTable,4,FALSE)),2)*PricePremAnnual*CO30</f>
        <v/>
      </c>
      <c r="DK30" s="9">
        <f>DH30+DI30+DJ30</f>
        <v/>
      </c>
      <c r="DL30" s="12">
        <f>SUM(DK19:DK30)</f>
        <v/>
      </c>
      <c r="DM30" s="12">
        <f>OR(DM29,DL30&gt;=VATThreshold)</f>
        <v/>
      </c>
      <c r="DN30" s="9">
        <f>IF(DM30,DK30/(1+VATRate),DK30)</f>
        <v/>
      </c>
      <c r="DO30" s="12">
        <f>DK30-DN30</f>
        <v/>
      </c>
      <c r="DP30" s="12">
        <f>IF(DM30=0,0,IF(CL30=1,SUMPRODUCT(--(($CM$5:$CM30=$CM30-1)*($CL$5:$CL30&gt;=10)*($CL$5:$CL30&lt;=12)),$DO$5:$DO30),IF(CL30=4,SUMPRODUCT(--(($CM$5:$CM30=$CM30)*($CL$5:$CL30&gt;=1)*($CL$5:$CL30&lt;=3)),$DO$5:$DO30),IF(CL30=7,SUMPRODUCT(--(($CM$5:$CM30=$CM30)*($CL$5:$CL30&gt;=4)*($CL$5:$CL30&lt;=6)),$DO$5:$DO30),IF(CL30=10,SUMPRODUCT(--(($CM$5:$CM30=$CM30)*($CL$5:$CL30&gt;=7)*($CL$5:$CL30&lt;=9)),$DO$5:$DO30),0)))))</f>
        <v/>
      </c>
      <c r="DQ30" s="12">
        <f>DQ29+DO30-DP30</f>
        <v/>
      </c>
      <c r="DR30" s="12">
        <f>IF(ProviderDelay&gt;=1,DN29*ProviderShare,DN30*ProviderShare)</f>
        <v/>
      </c>
      <c r="DS30" s="12">
        <f>DK30*PaymentFee</f>
        <v/>
      </c>
      <c r="DT30" s="12">
        <f>DE30*OpsAI</f>
        <v/>
      </c>
      <c r="DU30" s="12">
        <f>MonthlyFixed</f>
        <v/>
      </c>
      <c r="DV30" s="12">
        <f>CS30*ReferralReward</f>
        <v/>
      </c>
      <c r="DW30" s="12">
        <f>CQ30</f>
        <v/>
      </c>
      <c r="DX30" s="9">
        <f>DN30-DR30-DS30-DT30-DU30-DV30-DW30</f>
        <v/>
      </c>
      <c r="DY30" s="9">
        <f>DY29+DK30-(DR30+DS30+DT30+DU30+DV30+DW30+DP30)</f>
        <v/>
      </c>
      <c r="DZ30" s="12">
        <f>IF(DE30&gt;0,DF30/DE30,0)</f>
        <v/>
      </c>
      <c r="EA30" s="11">
        <f>IF(DE29&gt;0,MAX(0,(DE29+CT30-DE30)/DE29),0)</f>
        <v/>
      </c>
      <c r="EC30" s="12" t="n">
        <v>26</v>
      </c>
      <c r="ED30" s="12">
        <f>MOD(EC30-1+LaunchMonth-1,12)+1</f>
        <v/>
      </c>
      <c r="EE30" s="12">
        <f>INT((EC30-1+LaunchMonth-1)/12)+1</f>
        <v/>
      </c>
      <c r="EF30" s="12">
        <f>VLOOKUP(ED30,SeasonTable,2,FALSE)</f>
        <v/>
      </c>
      <c r="EG30" s="12">
        <f>(1+InflationRate)^INT((EC30-1)/12)</f>
        <v/>
      </c>
      <c r="EH30" s="11">
        <f>'Sens - Churn'!$A$13*VLOOKUP(ED30,ChurnSeasonTable,4,FALSE)</f>
        <v/>
      </c>
      <c r="EI30" s="12">
        <f>MIN(MAX(MktMin19plus,FC29*MktPct19plus),MAX(0,FQ29-CashBuffer))</f>
        <v/>
      </c>
      <c r="EJ30" s="12">
        <f>IF(EI30&gt;0,MAX(1,ROUND(EI30/CAC*EF30,0)),0)</f>
        <v/>
      </c>
      <c r="EK30" s="12">
        <f>IF(EJ30&gt;0,ROUND(EJ30*ReferralMix/(1-ReferralMix),0),0)</f>
        <v/>
      </c>
      <c r="EL30" s="12">
        <f>EJ30+EK30</f>
        <v/>
      </c>
      <c r="EM30" s="12">
        <f>ROUND(EL30*(1-AnnualMix),0)</f>
        <v/>
      </c>
      <c r="EN30" s="12">
        <f>EL30-EM30</f>
        <v/>
      </c>
      <c r="EO30" s="12">
        <f>ROUND(EM30*EssentialMix,0)</f>
        <v/>
      </c>
      <c r="EP30" s="12">
        <f>EM30-EO30</f>
        <v/>
      </c>
      <c r="EQ30" s="12">
        <f>ROUND(EN30*EssentialMix,0)</f>
        <v/>
      </c>
      <c r="ER30" s="12">
        <f>EN30-EQ30</f>
        <v/>
      </c>
      <c r="ES30" s="12">
        <f>EO30+EO29+EO28+MAX(0,ES29-EO29-EO28)*(1-EH30)</f>
        <v/>
      </c>
      <c r="ET30" s="12">
        <f>EP30+EP29+EP28+MAX(0,ET29-EP29-EP28)*(1-EH30)</f>
        <v/>
      </c>
      <c r="EU30" s="12">
        <f>EU29+EQ30-EQ18*(AnnualChurn*VLOOKUP(ED30,ChurnSeasonTable,4,FALSE))*POWER(1-(AnnualChurn*VLOOKUP(ED30,ChurnSeasonTable,4,FALSE)),0)+EQ6*(AnnualChurn*VLOOKUP(ED30,ChurnSeasonTable,4,FALSE))*POWER(1-(AnnualChurn*VLOOKUP(ED30,ChurnSeasonTable,4,FALSE)),1)</f>
        <v/>
      </c>
      <c r="EV30" s="12">
        <f>EV29+ER30-ER18*(AnnualChurn*VLOOKUP(ED30,ChurnSeasonTable,4,FALSE))*POWER(1-(AnnualChurn*VLOOKUP(ED30,ChurnSeasonTable,4,FALSE)),0)+ER6*(AnnualChurn*VLOOKUP(ED30,ChurnSeasonTable,4,FALSE))*POWER(1-(AnnualChurn*VLOOKUP(ED30,ChurnSeasonTable,4,FALSE)),1)</f>
        <v/>
      </c>
      <c r="EW30" s="12">
        <f>ES30+ET30+EU30+EV30</f>
        <v/>
      </c>
      <c r="EX30" s="9">
        <f>ES30*PriceEssMonthly*EG30+ET30*PricePremMonthly*EG30+EU30*PriceEssAnnual*EG30/12+EV30*PricePremAnnual*EG30/12</f>
        <v/>
      </c>
      <c r="EY30" s="9">
        <f>EX30*12</f>
        <v/>
      </c>
      <c r="EZ30" s="12">
        <f>ES30*PriceEssMonthly*EG30+ET30*PricePremMonthly*EG30</f>
        <v/>
      </c>
      <c r="FA30" s="12">
        <f>EQ30*PriceEssAnnual*EG30+ER30*PricePremAnnual*EG30</f>
        <v/>
      </c>
      <c r="FB30" s="12">
        <f>EQ18*POWER(1-(AnnualChurn*VLOOKUP(ED30,ChurnSeasonTable,4,FALSE)),1)*PriceEssAnnual*EG30+EQ6*POWER(1-(AnnualChurn*VLOOKUP(ED30,ChurnSeasonTable,4,FALSE)),2)*PriceEssAnnual*EG30+ER18*POWER(1-(AnnualChurn*VLOOKUP(ED30,ChurnSeasonTable,4,FALSE)),1)*PricePremAnnual*EG30+ER6*POWER(1-(AnnualChurn*VLOOKUP(ED30,ChurnSeasonTable,4,FALSE)),2)*PricePremAnnual*EG30</f>
        <v/>
      </c>
      <c r="FC30" s="9">
        <f>EZ30+FA30+FB30</f>
        <v/>
      </c>
      <c r="FD30" s="12">
        <f>SUM(FC19:FC30)</f>
        <v/>
      </c>
      <c r="FE30" s="12">
        <f>OR(FE29,FD30&gt;=VATThreshold)</f>
        <v/>
      </c>
      <c r="FF30" s="9">
        <f>IF(FE30,FC30/(1+VATRate),FC30)</f>
        <v/>
      </c>
      <c r="FG30" s="12">
        <f>FC30-FF30</f>
        <v/>
      </c>
      <c r="FH30" s="12">
        <f>IF(FE30=0,0,IF(ED30=1,SUMPRODUCT(--(($EE$5:$EE30=$EE30-1)*($ED$5:$ED30&gt;=10)*($ED$5:$ED30&lt;=12)),$FG$5:$FG30),IF(ED30=4,SUMPRODUCT(--(($EE$5:$EE30=$EE30)*($ED$5:$ED30&gt;=1)*($ED$5:$ED30&lt;=3)),$FG$5:$FG30),IF(ED30=7,SUMPRODUCT(--(($EE$5:$EE30=$EE30)*($ED$5:$ED30&gt;=4)*($ED$5:$ED30&lt;=6)),$FG$5:$FG30),IF(ED30=10,SUMPRODUCT(--(($EE$5:$EE30=$EE30)*($ED$5:$ED30&gt;=7)*($ED$5:$ED30&lt;=9)),$FG$5:$FG30),0)))))</f>
        <v/>
      </c>
      <c r="FI30" s="12">
        <f>FI29+FG30-FH30</f>
        <v/>
      </c>
      <c r="FJ30" s="12">
        <f>IF(ProviderDelay&gt;=1,FF29*ProviderShare,FF30*ProviderShare)</f>
        <v/>
      </c>
      <c r="FK30" s="12">
        <f>FC30*PaymentFee</f>
        <v/>
      </c>
      <c r="FL30" s="12">
        <f>EW30*OpsAI</f>
        <v/>
      </c>
      <c r="FM30" s="12">
        <f>MonthlyFixed</f>
        <v/>
      </c>
      <c r="FN30" s="12">
        <f>EK30*ReferralReward</f>
        <v/>
      </c>
      <c r="FO30" s="12">
        <f>EI30</f>
        <v/>
      </c>
      <c r="FP30" s="9">
        <f>FF30-FJ30-FK30-FL30-FM30-FN30-FO30</f>
        <v/>
      </c>
      <c r="FQ30" s="9">
        <f>FQ29+FC30-(FJ30+FK30+FL30+FM30+FN30+FO30+FH30)</f>
        <v/>
      </c>
      <c r="FR30" s="12">
        <f>IF(EW30&gt;0,EX30/EW30,0)</f>
        <v/>
      </c>
      <c r="FS30" s="11">
        <f>IF(EW29&gt;0,MAX(0,(EW29+EL30-EW30)/EW29),0)</f>
        <v/>
      </c>
      <c r="FU30" s="12" t="n">
        <v>26</v>
      </c>
      <c r="FV30" s="12">
        <f>MOD(FU30-1+LaunchMonth-1,12)+1</f>
        <v/>
      </c>
      <c r="FW30" s="12">
        <f>INT((FU30-1+LaunchMonth-1)/12)+1</f>
        <v/>
      </c>
      <c r="FX30" s="12">
        <f>VLOOKUP(FV30,SeasonTable,2,FALSE)</f>
        <v/>
      </c>
      <c r="FY30" s="12">
        <f>(1+InflationRate)^INT((FU30-1)/12)</f>
        <v/>
      </c>
      <c r="FZ30" s="11">
        <f>'Sens - Churn'!$A$14*VLOOKUP(FV30,ChurnSeasonTable,4,FALSE)</f>
        <v/>
      </c>
      <c r="GA30" s="12">
        <f>MIN(MAX(MktMin19plus,GU29*MktPct19plus),MAX(0,HI29-CashBuffer))</f>
        <v/>
      </c>
      <c r="GB30" s="12">
        <f>IF(GA30&gt;0,MAX(1,ROUND(GA30/CAC*FX30,0)),0)</f>
        <v/>
      </c>
      <c r="GC30" s="12">
        <f>IF(GB30&gt;0,ROUND(GB30*ReferralMix/(1-ReferralMix),0),0)</f>
        <v/>
      </c>
      <c r="GD30" s="12">
        <f>GB30+GC30</f>
        <v/>
      </c>
      <c r="GE30" s="12">
        <f>ROUND(GD30*(1-AnnualMix),0)</f>
        <v/>
      </c>
      <c r="GF30" s="12">
        <f>GD30-GE30</f>
        <v/>
      </c>
      <c r="GG30" s="12">
        <f>ROUND(GE30*EssentialMix,0)</f>
        <v/>
      </c>
      <c r="GH30" s="12">
        <f>GE30-GG30</f>
        <v/>
      </c>
      <c r="GI30" s="12">
        <f>ROUND(GF30*EssentialMix,0)</f>
        <v/>
      </c>
      <c r="GJ30" s="12">
        <f>GF30-GI30</f>
        <v/>
      </c>
      <c r="GK30" s="12">
        <f>GG30+GG29+GG28+MAX(0,GK29-GG29-GG28)*(1-FZ30)</f>
        <v/>
      </c>
      <c r="GL30" s="12">
        <f>GH30+GH29+GH28+MAX(0,GL29-GH29-GH28)*(1-FZ30)</f>
        <v/>
      </c>
      <c r="GM30" s="12">
        <f>GM29+GI30-GI18*(AnnualChurn*VLOOKUP(FV30,ChurnSeasonTable,4,FALSE))*POWER(1-(AnnualChurn*VLOOKUP(FV30,ChurnSeasonTable,4,FALSE)),0)+GI6*(AnnualChurn*VLOOKUP(FV30,ChurnSeasonTable,4,FALSE))*POWER(1-(AnnualChurn*VLOOKUP(FV30,ChurnSeasonTable,4,FALSE)),1)</f>
        <v/>
      </c>
      <c r="GN30" s="12">
        <f>GN29+GJ30-GJ18*(AnnualChurn*VLOOKUP(FV30,ChurnSeasonTable,4,FALSE))*POWER(1-(AnnualChurn*VLOOKUP(FV30,ChurnSeasonTable,4,FALSE)),0)+GJ6*(AnnualChurn*VLOOKUP(FV30,ChurnSeasonTable,4,FALSE))*POWER(1-(AnnualChurn*VLOOKUP(FV30,ChurnSeasonTable,4,FALSE)),1)</f>
        <v/>
      </c>
      <c r="GO30" s="12">
        <f>GK30+GL30+GM30+GN30</f>
        <v/>
      </c>
      <c r="GP30" s="9">
        <f>GK30*PriceEssMonthly*FY30+GL30*PricePremMonthly*FY30+GM30*PriceEssAnnual*FY30/12+GN30*PricePremAnnual*FY30/12</f>
        <v/>
      </c>
      <c r="GQ30" s="9">
        <f>GP30*12</f>
        <v/>
      </c>
      <c r="GR30" s="12">
        <f>GK30*PriceEssMonthly*FY30+GL30*PricePremMonthly*FY30</f>
        <v/>
      </c>
      <c r="GS30" s="12">
        <f>GI30*PriceEssAnnual*FY30+GJ30*PricePremAnnual*FY30</f>
        <v/>
      </c>
      <c r="GT30" s="12">
        <f>GI18*POWER(1-(AnnualChurn*VLOOKUP(FV30,ChurnSeasonTable,4,FALSE)),1)*PriceEssAnnual*FY30+GI6*POWER(1-(AnnualChurn*VLOOKUP(FV30,ChurnSeasonTable,4,FALSE)),2)*PriceEssAnnual*FY30+GJ18*POWER(1-(AnnualChurn*VLOOKUP(FV30,ChurnSeasonTable,4,FALSE)),1)*PricePremAnnual*FY30+GJ6*POWER(1-(AnnualChurn*VLOOKUP(FV30,ChurnSeasonTable,4,FALSE)),2)*PricePremAnnual*FY30</f>
        <v/>
      </c>
      <c r="GU30" s="9">
        <f>GR30+GS30+GT30</f>
        <v/>
      </c>
      <c r="GV30" s="12">
        <f>SUM(GU19:GU30)</f>
        <v/>
      </c>
      <c r="GW30" s="12">
        <f>OR(GW29,GV30&gt;=VATThreshold)</f>
        <v/>
      </c>
      <c r="GX30" s="9">
        <f>IF(GW30,GU30/(1+VATRate),GU30)</f>
        <v/>
      </c>
      <c r="GY30" s="12">
        <f>GU30-GX30</f>
        <v/>
      </c>
      <c r="GZ30" s="12">
        <f>IF(GW30=0,0,IF(FV30=1,SUMPRODUCT(--(($FW$5:$FW30=$FW30-1)*($FV$5:$FV30&gt;=10)*($FV$5:$FV30&lt;=12)),$GY$5:$GY30),IF(FV30=4,SUMPRODUCT(--(($FW$5:$FW30=$FW30)*($FV$5:$FV30&gt;=1)*($FV$5:$FV30&lt;=3)),$GY$5:$GY30),IF(FV30=7,SUMPRODUCT(--(($FW$5:$FW30=$FW30)*($FV$5:$FV30&gt;=4)*($FV$5:$FV30&lt;=6)),$GY$5:$GY30),IF(FV30=10,SUMPRODUCT(--(($FW$5:$FW30=$FW30)*($FV$5:$FV30&gt;=7)*($FV$5:$FV30&lt;=9)),$GY$5:$GY30),0)))))</f>
        <v/>
      </c>
      <c r="HA30" s="12">
        <f>HA29+GY30-GZ30</f>
        <v/>
      </c>
      <c r="HB30" s="12">
        <f>IF(ProviderDelay&gt;=1,GX29*ProviderShare,GX30*ProviderShare)</f>
        <v/>
      </c>
      <c r="HC30" s="12">
        <f>GU30*PaymentFee</f>
        <v/>
      </c>
      <c r="HD30" s="12">
        <f>GO30*OpsAI</f>
        <v/>
      </c>
      <c r="HE30" s="12">
        <f>MonthlyFixed</f>
        <v/>
      </c>
      <c r="HF30" s="12">
        <f>GC30*ReferralReward</f>
        <v/>
      </c>
      <c r="HG30" s="12">
        <f>GA30</f>
        <v/>
      </c>
      <c r="HH30" s="9">
        <f>GX30-HB30-HC30-HD30-HE30-HF30-HG30</f>
        <v/>
      </c>
      <c r="HI30" s="9">
        <f>HI29+GU30-(HB30+HC30+HD30+HE30+HF30+HG30+GZ30)</f>
        <v/>
      </c>
      <c r="HJ30" s="12">
        <f>IF(GO30&gt;0,GP30/GO30,0)</f>
        <v/>
      </c>
      <c r="HK30" s="11">
        <f>IF(GO29&gt;0,MAX(0,(GO29+GD30-GO30)/GO29),0)</f>
        <v/>
      </c>
      <c r="HM30" s="12" t="n">
        <v>26</v>
      </c>
      <c r="HN30" s="12">
        <f>MOD(HM30-1+LaunchMonth-1,12)+1</f>
        <v/>
      </c>
      <c r="HO30" s="12">
        <f>INT((HM30-1+LaunchMonth-1)/12)+1</f>
        <v/>
      </c>
      <c r="HP30" s="12">
        <f>VLOOKUP(HN30,SeasonTable,2,FALSE)</f>
        <v/>
      </c>
      <c r="HQ30" s="12">
        <f>(1+InflationRate)^INT((HM30-1)/12)</f>
        <v/>
      </c>
      <c r="HR30" s="11">
        <f>'Sens - Churn'!$A$15*VLOOKUP(HN30,ChurnSeasonTable,4,FALSE)</f>
        <v/>
      </c>
      <c r="HS30" s="12">
        <f>MIN(MAX(MktMin19plus,IM29*MktPct19plus),MAX(0,JA29-CashBuffer))</f>
        <v/>
      </c>
      <c r="HT30" s="12">
        <f>IF(HS30&gt;0,MAX(1,ROUND(HS30/CAC*HP30,0)),0)</f>
        <v/>
      </c>
      <c r="HU30" s="12">
        <f>IF(HT30&gt;0,ROUND(HT30*ReferralMix/(1-ReferralMix),0),0)</f>
        <v/>
      </c>
      <c r="HV30" s="12">
        <f>HT30+HU30</f>
        <v/>
      </c>
      <c r="HW30" s="12">
        <f>ROUND(HV30*(1-AnnualMix),0)</f>
        <v/>
      </c>
      <c r="HX30" s="12">
        <f>HV30-HW30</f>
        <v/>
      </c>
      <c r="HY30" s="12">
        <f>ROUND(HW30*EssentialMix,0)</f>
        <v/>
      </c>
      <c r="HZ30" s="12">
        <f>HW30-HY30</f>
        <v/>
      </c>
      <c r="IA30" s="12">
        <f>ROUND(HX30*EssentialMix,0)</f>
        <v/>
      </c>
      <c r="IB30" s="12">
        <f>HX30-IA30</f>
        <v/>
      </c>
      <c r="IC30" s="12">
        <f>HY30+HY29+HY28+MAX(0,IC29-HY29-HY28)*(1-HR30)</f>
        <v/>
      </c>
      <c r="ID30" s="12">
        <f>HZ30+HZ29+HZ28+MAX(0,ID29-HZ29-HZ28)*(1-HR30)</f>
        <v/>
      </c>
      <c r="IE30" s="12">
        <f>IE29+IA30-IA18*(AnnualChurn*VLOOKUP(HN30,ChurnSeasonTable,4,FALSE))*POWER(1-(AnnualChurn*VLOOKUP(HN30,ChurnSeasonTable,4,FALSE)),0)+IA6*(AnnualChurn*VLOOKUP(HN30,ChurnSeasonTable,4,FALSE))*POWER(1-(AnnualChurn*VLOOKUP(HN30,ChurnSeasonTable,4,FALSE)),1)</f>
        <v/>
      </c>
      <c r="IF30" s="12">
        <f>IF29+IB30-IB18*(AnnualChurn*VLOOKUP(HN30,ChurnSeasonTable,4,FALSE))*POWER(1-(AnnualChurn*VLOOKUP(HN30,ChurnSeasonTable,4,FALSE)),0)+IB6*(AnnualChurn*VLOOKUP(HN30,ChurnSeasonTable,4,FALSE))*POWER(1-(AnnualChurn*VLOOKUP(HN30,ChurnSeasonTable,4,FALSE)),1)</f>
        <v/>
      </c>
      <c r="IG30" s="12">
        <f>IC30+ID30+IE30+IF30</f>
        <v/>
      </c>
      <c r="IH30" s="9">
        <f>IC30*PriceEssMonthly*HQ30+ID30*PricePremMonthly*HQ30+IE30*PriceEssAnnual*HQ30/12+IF30*PricePremAnnual*HQ30/12</f>
        <v/>
      </c>
      <c r="II30" s="9">
        <f>IH30*12</f>
        <v/>
      </c>
      <c r="IJ30" s="12">
        <f>IC30*PriceEssMonthly*HQ30+ID30*PricePremMonthly*HQ30</f>
        <v/>
      </c>
      <c r="IK30" s="12">
        <f>IA30*PriceEssAnnual*HQ30+IB30*PricePremAnnual*HQ30</f>
        <v/>
      </c>
      <c r="IL30" s="12">
        <f>IA18*POWER(1-(AnnualChurn*VLOOKUP(HN30,ChurnSeasonTable,4,FALSE)),1)*PriceEssAnnual*HQ30+IA6*POWER(1-(AnnualChurn*VLOOKUP(HN30,ChurnSeasonTable,4,FALSE)),2)*PriceEssAnnual*HQ30+IB18*POWER(1-(AnnualChurn*VLOOKUP(HN30,ChurnSeasonTable,4,FALSE)),1)*PricePremAnnual*HQ30+IB6*POWER(1-(AnnualChurn*VLOOKUP(HN30,ChurnSeasonTable,4,FALSE)),2)*PricePremAnnual*HQ30</f>
        <v/>
      </c>
      <c r="IM30" s="9">
        <f>IJ30+IK30+IL30</f>
        <v/>
      </c>
      <c r="IN30" s="12">
        <f>SUM(IM19:IM30)</f>
        <v/>
      </c>
      <c r="IO30" s="12">
        <f>OR(IO29,IN30&gt;=VATThreshold)</f>
        <v/>
      </c>
      <c r="IP30" s="9">
        <f>IF(IO30,IM30/(1+VATRate),IM30)</f>
        <v/>
      </c>
      <c r="IQ30" s="12">
        <f>IM30-IP30</f>
        <v/>
      </c>
      <c r="IR30" s="12">
        <f>IF(IO30=0,0,IF(HN30=1,SUMPRODUCT(--(($HO$5:$HO30=$HO30-1)*($HN$5:$HN30&gt;=10)*($HN$5:$HN30&lt;=12)),$IQ$5:$IQ30),IF(HN30=4,SUMPRODUCT(--(($HO$5:$HO30=$HO30)*($HN$5:$HN30&gt;=1)*($HN$5:$HN30&lt;=3)),$IQ$5:$IQ30),IF(HN30=7,SUMPRODUCT(--(($HO$5:$HO30=$HO30)*($HN$5:$HN30&gt;=4)*($HN$5:$HN30&lt;=6)),$IQ$5:$IQ30),IF(HN30=10,SUMPRODUCT(--(($HO$5:$HO30=$HO30)*($HN$5:$HN30&gt;=7)*($HN$5:$HN30&lt;=9)),$IQ$5:$IQ30),0)))))</f>
        <v/>
      </c>
      <c r="IS30" s="12">
        <f>IS29+IQ30-IR30</f>
        <v/>
      </c>
      <c r="IT30" s="12">
        <f>IF(ProviderDelay&gt;=1,IP29*ProviderShare,IP30*ProviderShare)</f>
        <v/>
      </c>
      <c r="IU30" s="12">
        <f>IM30*PaymentFee</f>
        <v/>
      </c>
      <c r="IV30" s="12">
        <f>IG30*OpsAI</f>
        <v/>
      </c>
      <c r="IW30" s="12">
        <f>MonthlyFixed</f>
        <v/>
      </c>
      <c r="IX30" s="12">
        <f>HU30*ReferralReward</f>
        <v/>
      </c>
      <c r="IY30" s="12">
        <f>HS30</f>
        <v/>
      </c>
      <c r="IZ30" s="9">
        <f>IP30-IT30-IU30-IV30-IW30-IX30-IY30</f>
        <v/>
      </c>
      <c r="JA30" s="9">
        <f>JA29+IM30-(IT30+IU30+IV30+IW30+IX30+IY30+IR30)</f>
        <v/>
      </c>
      <c r="JB30" s="12">
        <f>IF(IG30&gt;0,IH30/IG30,0)</f>
        <v/>
      </c>
      <c r="JC30" s="11">
        <f>IF(IG29&gt;0,MAX(0,(IG29+HV30-IG30)/IG29),0)</f>
        <v/>
      </c>
      <c r="JE30" s="12" t="n">
        <v>26</v>
      </c>
      <c r="JF30" s="12">
        <f>MOD(JE30-1+LaunchMonth-1,12)+1</f>
        <v/>
      </c>
      <c r="JG30" s="12">
        <f>INT((JE30-1+LaunchMonth-1)/12)+1</f>
        <v/>
      </c>
      <c r="JH30" s="12">
        <f>VLOOKUP(JF30,SeasonTable,2,FALSE)</f>
        <v/>
      </c>
      <c r="JI30" s="12">
        <f>(1+InflationRate)^INT((JE30-1)/12)</f>
        <v/>
      </c>
      <c r="JJ30" s="11">
        <f>'Sens - Churn'!$A$16*VLOOKUP(JF30,ChurnSeasonTable,4,FALSE)</f>
        <v/>
      </c>
      <c r="JK30" s="12">
        <f>MIN(MAX(MktMin19plus,KE29*MktPct19plus),MAX(0,KS29-CashBuffer))</f>
        <v/>
      </c>
      <c r="JL30" s="12">
        <f>IF(JK30&gt;0,MAX(1,ROUND(JK30/CAC*JH30,0)),0)</f>
        <v/>
      </c>
      <c r="JM30" s="12">
        <f>IF(JL30&gt;0,ROUND(JL30*ReferralMix/(1-ReferralMix),0),0)</f>
        <v/>
      </c>
      <c r="JN30" s="12">
        <f>JL30+JM30</f>
        <v/>
      </c>
      <c r="JO30" s="12">
        <f>ROUND(JN30*(1-AnnualMix),0)</f>
        <v/>
      </c>
      <c r="JP30" s="12">
        <f>JN30-JO30</f>
        <v/>
      </c>
      <c r="JQ30" s="12">
        <f>ROUND(JO30*EssentialMix,0)</f>
        <v/>
      </c>
      <c r="JR30" s="12">
        <f>JO30-JQ30</f>
        <v/>
      </c>
      <c r="JS30" s="12">
        <f>ROUND(JP30*EssentialMix,0)</f>
        <v/>
      </c>
      <c r="JT30" s="12">
        <f>JP30-JS30</f>
        <v/>
      </c>
      <c r="JU30" s="12">
        <f>JQ30+JQ29+JQ28+MAX(0,JU29-JQ29-JQ28)*(1-JJ30)</f>
        <v/>
      </c>
      <c r="JV30" s="12">
        <f>JR30+JR29+JR28+MAX(0,JV29-JR29-JR28)*(1-JJ30)</f>
        <v/>
      </c>
      <c r="JW30" s="12">
        <f>JW29+JS30-JS18*(AnnualChurn*VLOOKUP(JF30,ChurnSeasonTable,4,FALSE))*POWER(1-(AnnualChurn*VLOOKUP(JF30,ChurnSeasonTable,4,FALSE)),0)+JS6*(AnnualChurn*VLOOKUP(JF30,ChurnSeasonTable,4,FALSE))*POWER(1-(AnnualChurn*VLOOKUP(JF30,ChurnSeasonTable,4,FALSE)),1)</f>
        <v/>
      </c>
      <c r="JX30" s="12">
        <f>JX29+JT30-JT18*(AnnualChurn*VLOOKUP(JF30,ChurnSeasonTable,4,FALSE))*POWER(1-(AnnualChurn*VLOOKUP(JF30,ChurnSeasonTable,4,FALSE)),0)+JT6*(AnnualChurn*VLOOKUP(JF30,ChurnSeasonTable,4,FALSE))*POWER(1-(AnnualChurn*VLOOKUP(JF30,ChurnSeasonTable,4,FALSE)),1)</f>
        <v/>
      </c>
      <c r="JY30" s="12">
        <f>JU30+JV30+JW30+JX30</f>
        <v/>
      </c>
      <c r="JZ30" s="9">
        <f>JU30*PriceEssMonthly*JI30+JV30*PricePremMonthly*JI30+JW30*PriceEssAnnual*JI30/12+JX30*PricePremAnnual*JI30/12</f>
        <v/>
      </c>
      <c r="KA30" s="9">
        <f>JZ30*12</f>
        <v/>
      </c>
      <c r="KB30" s="12">
        <f>JU30*PriceEssMonthly*JI30+JV30*PricePremMonthly*JI30</f>
        <v/>
      </c>
      <c r="KC30" s="12">
        <f>JS30*PriceEssAnnual*JI30+JT30*PricePremAnnual*JI30</f>
        <v/>
      </c>
      <c r="KD30" s="12">
        <f>JS18*POWER(1-(AnnualChurn*VLOOKUP(JF30,ChurnSeasonTable,4,FALSE)),1)*PriceEssAnnual*JI30+JS6*POWER(1-(AnnualChurn*VLOOKUP(JF30,ChurnSeasonTable,4,FALSE)),2)*PriceEssAnnual*JI30+JT18*POWER(1-(AnnualChurn*VLOOKUP(JF30,ChurnSeasonTable,4,FALSE)),1)*PricePremAnnual*JI30+JT6*POWER(1-(AnnualChurn*VLOOKUP(JF30,ChurnSeasonTable,4,FALSE)),2)*PricePremAnnual*JI30</f>
        <v/>
      </c>
      <c r="KE30" s="9">
        <f>KB30+KC30+KD30</f>
        <v/>
      </c>
      <c r="KF30" s="12">
        <f>SUM(KE19:KE30)</f>
        <v/>
      </c>
      <c r="KG30" s="12">
        <f>OR(KG29,KF30&gt;=VATThreshold)</f>
        <v/>
      </c>
      <c r="KH30" s="9">
        <f>IF(KG30,KE30/(1+VATRate),KE30)</f>
        <v/>
      </c>
      <c r="KI30" s="12">
        <f>KE30-KH30</f>
        <v/>
      </c>
      <c r="KJ30" s="12">
        <f>IF(KG30=0,0,IF(JF30=1,SUMPRODUCT(--(($JG$5:$JG30=$JG30-1)*($JF$5:$JF30&gt;=10)*($JF$5:$JF30&lt;=12)),$KI$5:$KI30),IF(JF30=4,SUMPRODUCT(--(($JG$5:$JG30=$JG30)*($JF$5:$JF30&gt;=1)*($JF$5:$JF30&lt;=3)),$KI$5:$KI30),IF(JF30=7,SUMPRODUCT(--(($JG$5:$JG30=$JG30)*($JF$5:$JF30&gt;=4)*($JF$5:$JF30&lt;=6)),$KI$5:$KI30),IF(JF30=10,SUMPRODUCT(--(($JG$5:$JG30=$JG30)*($JF$5:$JF30&gt;=7)*($JF$5:$JF30&lt;=9)),$KI$5:$KI30),0)))))</f>
        <v/>
      </c>
      <c r="KK30" s="12">
        <f>KK29+KI30-KJ30</f>
        <v/>
      </c>
      <c r="KL30" s="12">
        <f>IF(ProviderDelay&gt;=1,KH29*ProviderShare,KH30*ProviderShare)</f>
        <v/>
      </c>
      <c r="KM30" s="12">
        <f>KE30*PaymentFee</f>
        <v/>
      </c>
      <c r="KN30" s="12">
        <f>JY30*OpsAI</f>
        <v/>
      </c>
      <c r="KO30" s="12">
        <f>MonthlyFixed</f>
        <v/>
      </c>
      <c r="KP30" s="12">
        <f>JM30*ReferralReward</f>
        <v/>
      </c>
      <c r="KQ30" s="12">
        <f>JK30</f>
        <v/>
      </c>
      <c r="KR30" s="9">
        <f>KH30-KL30-KM30-KN30-KO30-KP30-KQ30</f>
        <v/>
      </c>
      <c r="KS30" s="9">
        <f>KS29+KE30-(KL30+KM30+KN30+KO30+KP30+KQ30+KJ30)</f>
        <v/>
      </c>
      <c r="KT30" s="12">
        <f>IF(JY30&gt;0,JZ30/JY30,0)</f>
        <v/>
      </c>
      <c r="KU30" s="11">
        <f>IF(JY29&gt;0,MAX(0,(JY29+JN30-JY30)/JY29),0)</f>
        <v/>
      </c>
      <c r="KW30" s="12" t="n">
        <v>26</v>
      </c>
      <c r="KX30" s="12">
        <f>MOD(KW30-1+LaunchMonth-1,12)+1</f>
        <v/>
      </c>
      <c r="KY30" s="12">
        <f>INT((KW30-1+LaunchMonth-1)/12)+1</f>
        <v/>
      </c>
      <c r="KZ30" s="12">
        <f>VLOOKUP(KX30,SeasonTable,2,FALSE)</f>
        <v/>
      </c>
      <c r="LA30" s="12">
        <f>(1+InflationRate)^INT((KW30-1)/12)</f>
        <v/>
      </c>
      <c r="LB30" s="11">
        <f>'Sens - Churn'!$A$17*VLOOKUP(KX30,ChurnSeasonTable,4,FALSE)</f>
        <v/>
      </c>
      <c r="LC30" s="12">
        <f>MIN(MAX(MktMin19plus,LW29*MktPct19plus),MAX(0,MK29-CashBuffer))</f>
        <v/>
      </c>
      <c r="LD30" s="12">
        <f>IF(LC30&gt;0,MAX(1,ROUND(LC30/CAC*KZ30,0)),0)</f>
        <v/>
      </c>
      <c r="LE30" s="12">
        <f>IF(LD30&gt;0,ROUND(LD30*ReferralMix/(1-ReferralMix),0),0)</f>
        <v/>
      </c>
      <c r="LF30" s="12">
        <f>LD30+LE30</f>
        <v/>
      </c>
      <c r="LG30" s="12">
        <f>ROUND(LF30*(1-AnnualMix),0)</f>
        <v/>
      </c>
      <c r="LH30" s="12">
        <f>LF30-LG30</f>
        <v/>
      </c>
      <c r="LI30" s="12">
        <f>ROUND(LG30*EssentialMix,0)</f>
        <v/>
      </c>
      <c r="LJ30" s="12">
        <f>LG30-LI30</f>
        <v/>
      </c>
      <c r="LK30" s="12">
        <f>ROUND(LH30*EssentialMix,0)</f>
        <v/>
      </c>
      <c r="LL30" s="12">
        <f>LH30-LK30</f>
        <v/>
      </c>
      <c r="LM30" s="12">
        <f>LI30+LI29+LI28+MAX(0,LM29-LI29-LI28)*(1-LB30)</f>
        <v/>
      </c>
      <c r="LN30" s="12">
        <f>LJ30+LJ29+LJ28+MAX(0,LN29-LJ29-LJ28)*(1-LB30)</f>
        <v/>
      </c>
      <c r="LO30" s="12">
        <f>LO29+LK30-LK18*(AnnualChurn*VLOOKUP(KX30,ChurnSeasonTable,4,FALSE))*POWER(1-(AnnualChurn*VLOOKUP(KX30,ChurnSeasonTable,4,FALSE)),0)+LK6*(AnnualChurn*VLOOKUP(KX30,ChurnSeasonTable,4,FALSE))*POWER(1-(AnnualChurn*VLOOKUP(KX30,ChurnSeasonTable,4,FALSE)),1)</f>
        <v/>
      </c>
      <c r="LP30" s="12">
        <f>LP29+LL30-LL18*(AnnualChurn*VLOOKUP(KX30,ChurnSeasonTable,4,FALSE))*POWER(1-(AnnualChurn*VLOOKUP(KX30,ChurnSeasonTable,4,FALSE)),0)+LL6*(AnnualChurn*VLOOKUP(KX30,ChurnSeasonTable,4,FALSE))*POWER(1-(AnnualChurn*VLOOKUP(KX30,ChurnSeasonTable,4,FALSE)),1)</f>
        <v/>
      </c>
      <c r="LQ30" s="12">
        <f>LM30+LN30+LO30+LP30</f>
        <v/>
      </c>
      <c r="LR30" s="9">
        <f>LM30*PriceEssMonthly*LA30+LN30*PricePremMonthly*LA30+LO30*PriceEssAnnual*LA30/12+LP30*PricePremAnnual*LA30/12</f>
        <v/>
      </c>
      <c r="LS30" s="9">
        <f>LR30*12</f>
        <v/>
      </c>
      <c r="LT30" s="12">
        <f>LM30*PriceEssMonthly*LA30+LN30*PricePremMonthly*LA30</f>
        <v/>
      </c>
      <c r="LU30" s="12">
        <f>LK30*PriceEssAnnual*LA30+LL30*PricePremAnnual*LA30</f>
        <v/>
      </c>
      <c r="LV30" s="12">
        <f>LK18*POWER(1-(AnnualChurn*VLOOKUP(KX30,ChurnSeasonTable,4,FALSE)),1)*PriceEssAnnual*LA30+LK6*POWER(1-(AnnualChurn*VLOOKUP(KX30,ChurnSeasonTable,4,FALSE)),2)*PriceEssAnnual*LA30+LL18*POWER(1-(AnnualChurn*VLOOKUP(KX30,ChurnSeasonTable,4,FALSE)),1)*PricePremAnnual*LA30+LL6*POWER(1-(AnnualChurn*VLOOKUP(KX30,ChurnSeasonTable,4,FALSE)),2)*PricePremAnnual*LA30</f>
        <v/>
      </c>
      <c r="LW30" s="9">
        <f>LT30+LU30+LV30</f>
        <v/>
      </c>
      <c r="LX30" s="12">
        <f>SUM(LW19:LW30)</f>
        <v/>
      </c>
      <c r="LY30" s="12">
        <f>OR(LY29,LX30&gt;=VATThreshold)</f>
        <v/>
      </c>
      <c r="LZ30" s="9">
        <f>IF(LY30,LW30/(1+VATRate),LW30)</f>
        <v/>
      </c>
      <c r="MA30" s="12">
        <f>LW30-LZ30</f>
        <v/>
      </c>
      <c r="MB30" s="12">
        <f>IF(LY30=0,0,IF(KX30=1,SUMPRODUCT(--(($KY$5:$KY30=$KY30-1)*($KX$5:$KX30&gt;=10)*($KX$5:$KX30&lt;=12)),$MA$5:$MA30),IF(KX30=4,SUMPRODUCT(--(($KY$5:$KY30=$KY30)*($KX$5:$KX30&gt;=1)*($KX$5:$KX30&lt;=3)),$MA$5:$MA30),IF(KX30=7,SUMPRODUCT(--(($KY$5:$KY30=$KY30)*($KX$5:$KX30&gt;=4)*($KX$5:$KX30&lt;=6)),$MA$5:$MA30),IF(KX30=10,SUMPRODUCT(--(($KY$5:$KY30=$KY30)*($KX$5:$KX30&gt;=7)*($KX$5:$KX30&lt;=9)),$MA$5:$MA30),0)))))</f>
        <v/>
      </c>
      <c r="MC30" s="12">
        <f>MC29+MA30-MB30</f>
        <v/>
      </c>
      <c r="MD30" s="12">
        <f>IF(ProviderDelay&gt;=1,LZ29*ProviderShare,LZ30*ProviderShare)</f>
        <v/>
      </c>
      <c r="ME30" s="12">
        <f>LW30*PaymentFee</f>
        <v/>
      </c>
      <c r="MF30" s="12">
        <f>LQ30*OpsAI</f>
        <v/>
      </c>
      <c r="MG30" s="12">
        <f>MonthlyFixed</f>
        <v/>
      </c>
      <c r="MH30" s="12">
        <f>LE30*ReferralReward</f>
        <v/>
      </c>
      <c r="MI30" s="12">
        <f>LC30</f>
        <v/>
      </c>
      <c r="MJ30" s="9">
        <f>LZ30-MD30-ME30-MF30-MG30-MH30-MI30</f>
        <v/>
      </c>
      <c r="MK30" s="9">
        <f>MK29+LW30-(MD30+ME30+MF30+MG30+MH30+MI30+MB30)</f>
        <v/>
      </c>
      <c r="ML30" s="12">
        <f>IF(LQ30&gt;0,LR30/LQ30,0)</f>
        <v/>
      </c>
      <c r="MM30" s="11">
        <f>IF(LQ29&gt;0,MAX(0,(LQ29+LF30-LQ30)/LQ29),0)</f>
        <v/>
      </c>
      <c r="MO30" s="12" t="n">
        <v>26</v>
      </c>
      <c r="MP30" s="12">
        <f>MOD(MO30-1+LaunchMonth-1,12)+1</f>
        <v/>
      </c>
      <c r="MQ30" s="12">
        <f>INT((MO30-1+LaunchMonth-1)/12)+1</f>
        <v/>
      </c>
      <c r="MR30" s="12">
        <f>VLOOKUP(MP30,SeasonTable,2,FALSE)</f>
        <v/>
      </c>
      <c r="MS30" s="12">
        <f>(1+InflationRate)^INT((MO30-1)/12)</f>
        <v/>
      </c>
      <c r="MT30" s="11">
        <f>'Sens - Churn'!$A$18*VLOOKUP(MP30,ChurnSeasonTable,4,FALSE)</f>
        <v/>
      </c>
      <c r="MU30" s="12">
        <f>MIN(MAX(MktMin19plus,NO29*MktPct19plus),MAX(0,OC29-CashBuffer))</f>
        <v/>
      </c>
      <c r="MV30" s="12">
        <f>IF(MU30&gt;0,MAX(1,ROUND(MU30/CAC*MR30,0)),0)</f>
        <v/>
      </c>
      <c r="MW30" s="12">
        <f>IF(MV30&gt;0,ROUND(MV30*ReferralMix/(1-ReferralMix),0),0)</f>
        <v/>
      </c>
      <c r="MX30" s="12">
        <f>MV30+MW30</f>
        <v/>
      </c>
      <c r="MY30" s="12">
        <f>ROUND(MX30*(1-AnnualMix),0)</f>
        <v/>
      </c>
      <c r="MZ30" s="12">
        <f>MX30-MY30</f>
        <v/>
      </c>
      <c r="NA30" s="12">
        <f>ROUND(MY30*EssentialMix,0)</f>
        <v/>
      </c>
      <c r="NB30" s="12">
        <f>MY30-NA30</f>
        <v/>
      </c>
      <c r="NC30" s="12">
        <f>ROUND(MZ30*EssentialMix,0)</f>
        <v/>
      </c>
      <c r="ND30" s="12">
        <f>MZ30-NC30</f>
        <v/>
      </c>
      <c r="NE30" s="12">
        <f>NA30+NA29+NA28+MAX(0,NE29-NA29-NA28)*(1-MT30)</f>
        <v/>
      </c>
      <c r="NF30" s="12">
        <f>NB30+NB29+NB28+MAX(0,NF29-NB29-NB28)*(1-MT30)</f>
        <v/>
      </c>
      <c r="NG30" s="12">
        <f>NG29+NC30-NC18*(AnnualChurn*VLOOKUP(MP30,ChurnSeasonTable,4,FALSE))*POWER(1-(AnnualChurn*VLOOKUP(MP30,ChurnSeasonTable,4,FALSE)),0)+NC6*(AnnualChurn*VLOOKUP(MP30,ChurnSeasonTable,4,FALSE))*POWER(1-(AnnualChurn*VLOOKUP(MP30,ChurnSeasonTable,4,FALSE)),1)</f>
        <v/>
      </c>
      <c r="NH30" s="12">
        <f>NH29+ND30-ND18*(AnnualChurn*VLOOKUP(MP30,ChurnSeasonTable,4,FALSE))*POWER(1-(AnnualChurn*VLOOKUP(MP30,ChurnSeasonTable,4,FALSE)),0)+ND6*(AnnualChurn*VLOOKUP(MP30,ChurnSeasonTable,4,FALSE))*POWER(1-(AnnualChurn*VLOOKUP(MP30,ChurnSeasonTable,4,FALSE)),1)</f>
        <v/>
      </c>
      <c r="NI30" s="12">
        <f>NE30+NF30+NG30+NH30</f>
        <v/>
      </c>
      <c r="NJ30" s="9">
        <f>NE30*PriceEssMonthly*MS30+NF30*PricePremMonthly*MS30+NG30*PriceEssAnnual*MS30/12+NH30*PricePremAnnual*MS30/12</f>
        <v/>
      </c>
      <c r="NK30" s="9">
        <f>NJ30*12</f>
        <v/>
      </c>
      <c r="NL30" s="12">
        <f>NE30*PriceEssMonthly*MS30+NF30*PricePremMonthly*MS30</f>
        <v/>
      </c>
      <c r="NM30" s="12">
        <f>NC30*PriceEssAnnual*MS30+ND30*PricePremAnnual*MS30</f>
        <v/>
      </c>
      <c r="NN30" s="12">
        <f>NC18*POWER(1-(AnnualChurn*VLOOKUP(MP30,ChurnSeasonTable,4,FALSE)),1)*PriceEssAnnual*MS30+NC6*POWER(1-(AnnualChurn*VLOOKUP(MP30,ChurnSeasonTable,4,FALSE)),2)*PriceEssAnnual*MS30+ND18*POWER(1-(AnnualChurn*VLOOKUP(MP30,ChurnSeasonTable,4,FALSE)),1)*PricePremAnnual*MS30+ND6*POWER(1-(AnnualChurn*VLOOKUP(MP30,ChurnSeasonTable,4,FALSE)),2)*PricePremAnnual*MS30</f>
        <v/>
      </c>
      <c r="NO30" s="9">
        <f>NL30+NM30+NN30</f>
        <v/>
      </c>
      <c r="NP30" s="12">
        <f>SUM(NO19:NO30)</f>
        <v/>
      </c>
      <c r="NQ30" s="12">
        <f>OR(NQ29,NP30&gt;=VATThreshold)</f>
        <v/>
      </c>
      <c r="NR30" s="9">
        <f>IF(NQ30,NO30/(1+VATRate),NO30)</f>
        <v/>
      </c>
      <c r="NS30" s="12">
        <f>NO30-NR30</f>
        <v/>
      </c>
      <c r="NT30" s="12">
        <f>IF(NQ30=0,0,IF(MP30=1,SUMPRODUCT(--(($MQ$5:$MQ30=$MQ30-1)*($MP$5:$MP30&gt;=10)*($MP$5:$MP30&lt;=12)),$NS$5:$NS30),IF(MP30=4,SUMPRODUCT(--(($MQ$5:$MQ30=$MQ30)*($MP$5:$MP30&gt;=1)*($MP$5:$MP30&lt;=3)),$NS$5:$NS30),IF(MP30=7,SUMPRODUCT(--(($MQ$5:$MQ30=$MQ30)*($MP$5:$MP30&gt;=4)*($MP$5:$MP30&lt;=6)),$NS$5:$NS30),IF(MP30=10,SUMPRODUCT(--(($MQ$5:$MQ30=$MQ30)*($MP$5:$MP30&gt;=7)*($MP$5:$MP30&lt;=9)),$NS$5:$NS30),0)))))</f>
        <v/>
      </c>
      <c r="NU30" s="12">
        <f>NU29+NS30-NT30</f>
        <v/>
      </c>
      <c r="NV30" s="12">
        <f>IF(ProviderDelay&gt;=1,NR29*ProviderShare,NR30*ProviderShare)</f>
        <v/>
      </c>
      <c r="NW30" s="12">
        <f>NO30*PaymentFee</f>
        <v/>
      </c>
      <c r="NX30" s="12">
        <f>NI30*OpsAI</f>
        <v/>
      </c>
      <c r="NY30" s="12">
        <f>MonthlyFixed</f>
        <v/>
      </c>
      <c r="NZ30" s="12">
        <f>MW30*ReferralReward</f>
        <v/>
      </c>
      <c r="OA30" s="12">
        <f>MU30</f>
        <v/>
      </c>
      <c r="OB30" s="9">
        <f>NR30-NV30-NW30-NX30-NY30-NZ30-OA30</f>
        <v/>
      </c>
      <c r="OC30" s="9">
        <f>OC29+NO30-(NV30+NW30+NX30+NY30+NZ30+OA30+NT30)</f>
        <v/>
      </c>
      <c r="OD30" s="12">
        <f>IF(NI30&gt;0,NJ30/NI30,0)</f>
        <v/>
      </c>
      <c r="OE30" s="11">
        <f>IF(NI29&gt;0,MAX(0,(NI29+MX30-NI30)/NI29),0)</f>
        <v/>
      </c>
      <c r="OG30" s="12" t="n">
        <v>26</v>
      </c>
      <c r="OH30" s="12">
        <f>MOD(OG30-1+LaunchMonth-1,12)+1</f>
        <v/>
      </c>
      <c r="OI30" s="12">
        <f>INT((OG30-1+LaunchMonth-1)/12)+1</f>
        <v/>
      </c>
      <c r="OJ30" s="12">
        <f>VLOOKUP(OH30,SeasonTable,2,FALSE)</f>
        <v/>
      </c>
      <c r="OK30" s="12">
        <f>(1+InflationRate)^INT((OG30-1)/12)</f>
        <v/>
      </c>
      <c r="OL30" s="11">
        <f>'Sens - Churn'!$A$19*VLOOKUP(OH30,ChurnSeasonTable,4,FALSE)</f>
        <v/>
      </c>
      <c r="OM30" s="12">
        <f>MIN(MAX(MktMin19plus,PG29*MktPct19plus),MAX(0,PU29-CashBuffer))</f>
        <v/>
      </c>
      <c r="ON30" s="12">
        <f>IF(OM30&gt;0,MAX(1,ROUND(OM30/CAC*OJ30,0)),0)</f>
        <v/>
      </c>
      <c r="OO30" s="12">
        <f>IF(ON30&gt;0,ROUND(ON30*ReferralMix/(1-ReferralMix),0),0)</f>
        <v/>
      </c>
      <c r="OP30" s="12">
        <f>ON30+OO30</f>
        <v/>
      </c>
      <c r="OQ30" s="12">
        <f>ROUND(OP30*(1-AnnualMix),0)</f>
        <v/>
      </c>
      <c r="OR30" s="12">
        <f>OP30-OQ30</f>
        <v/>
      </c>
      <c r="OS30" s="12">
        <f>ROUND(OQ30*EssentialMix,0)</f>
        <v/>
      </c>
      <c r="OT30" s="12">
        <f>OQ30-OS30</f>
        <v/>
      </c>
      <c r="OU30" s="12">
        <f>ROUND(OR30*EssentialMix,0)</f>
        <v/>
      </c>
      <c r="OV30" s="12">
        <f>OR30-OU30</f>
        <v/>
      </c>
      <c r="OW30" s="12">
        <f>OS30+OS29+OS28+MAX(0,OW29-OS29-OS28)*(1-OL30)</f>
        <v/>
      </c>
      <c r="OX30" s="12">
        <f>OT30+OT29+OT28+MAX(0,OX29-OT29-OT28)*(1-OL30)</f>
        <v/>
      </c>
      <c r="OY30" s="12">
        <f>OY29+OU30-OU18*(AnnualChurn*VLOOKUP(OH30,ChurnSeasonTable,4,FALSE))*POWER(1-(AnnualChurn*VLOOKUP(OH30,ChurnSeasonTable,4,FALSE)),0)+OU6*(AnnualChurn*VLOOKUP(OH30,ChurnSeasonTable,4,FALSE))*POWER(1-(AnnualChurn*VLOOKUP(OH30,ChurnSeasonTable,4,FALSE)),1)</f>
        <v/>
      </c>
      <c r="OZ30" s="12">
        <f>OZ29+OV30-OV18*(AnnualChurn*VLOOKUP(OH30,ChurnSeasonTable,4,FALSE))*POWER(1-(AnnualChurn*VLOOKUP(OH30,ChurnSeasonTable,4,FALSE)),0)+OV6*(AnnualChurn*VLOOKUP(OH30,ChurnSeasonTable,4,FALSE))*POWER(1-(AnnualChurn*VLOOKUP(OH30,ChurnSeasonTable,4,FALSE)),1)</f>
        <v/>
      </c>
      <c r="PA30" s="12">
        <f>OW30+OX30+OY30+OZ30</f>
        <v/>
      </c>
      <c r="PB30" s="9">
        <f>OW30*PriceEssMonthly*OK30+OX30*PricePremMonthly*OK30+OY30*PriceEssAnnual*OK30/12+OZ30*PricePremAnnual*OK30/12</f>
        <v/>
      </c>
      <c r="PC30" s="9">
        <f>PB30*12</f>
        <v/>
      </c>
      <c r="PD30" s="12">
        <f>OW30*PriceEssMonthly*OK30+OX30*PricePremMonthly*OK30</f>
        <v/>
      </c>
      <c r="PE30" s="12">
        <f>OU30*PriceEssAnnual*OK30+OV30*PricePremAnnual*OK30</f>
        <v/>
      </c>
      <c r="PF30" s="12">
        <f>OU18*POWER(1-(AnnualChurn*VLOOKUP(OH30,ChurnSeasonTable,4,FALSE)),1)*PriceEssAnnual*OK30+OU6*POWER(1-(AnnualChurn*VLOOKUP(OH30,ChurnSeasonTable,4,FALSE)),2)*PriceEssAnnual*OK30+OV18*POWER(1-(AnnualChurn*VLOOKUP(OH30,ChurnSeasonTable,4,FALSE)),1)*PricePremAnnual*OK30+OV6*POWER(1-(AnnualChurn*VLOOKUP(OH30,ChurnSeasonTable,4,FALSE)),2)*PricePremAnnual*OK30</f>
        <v/>
      </c>
      <c r="PG30" s="9">
        <f>PD30+PE30+PF30</f>
        <v/>
      </c>
      <c r="PH30" s="12">
        <f>SUM(PG19:PG30)</f>
        <v/>
      </c>
      <c r="PI30" s="12">
        <f>OR(PI29,PH30&gt;=VATThreshold)</f>
        <v/>
      </c>
      <c r="PJ30" s="9">
        <f>IF(PI30,PG30/(1+VATRate),PG30)</f>
        <v/>
      </c>
      <c r="PK30" s="12">
        <f>PG30-PJ30</f>
        <v/>
      </c>
      <c r="PL30" s="12">
        <f>IF(PI30=0,0,IF(OH30=1,SUMPRODUCT(--(($OI$5:$OI30=$OI30-1)*($OH$5:$OH30&gt;=10)*($OH$5:$OH30&lt;=12)),$PK$5:$PK30),IF(OH30=4,SUMPRODUCT(--(($OI$5:$OI30=$OI30)*($OH$5:$OH30&gt;=1)*($OH$5:$OH30&lt;=3)),$PK$5:$PK30),IF(OH30=7,SUMPRODUCT(--(($OI$5:$OI30=$OI30)*($OH$5:$OH30&gt;=4)*($OH$5:$OH30&lt;=6)),$PK$5:$PK30),IF(OH30=10,SUMPRODUCT(--(($OI$5:$OI30=$OI30)*($OH$5:$OH30&gt;=7)*($OH$5:$OH30&lt;=9)),$PK$5:$PK30),0)))))</f>
        <v/>
      </c>
      <c r="PM30" s="12">
        <f>PM29+PK30-PL30</f>
        <v/>
      </c>
      <c r="PN30" s="12">
        <f>IF(ProviderDelay&gt;=1,PJ29*ProviderShare,PJ30*ProviderShare)</f>
        <v/>
      </c>
      <c r="PO30" s="12">
        <f>PG30*PaymentFee</f>
        <v/>
      </c>
      <c r="PP30" s="12">
        <f>PA30*OpsAI</f>
        <v/>
      </c>
      <c r="PQ30" s="12">
        <f>MonthlyFixed</f>
        <v/>
      </c>
      <c r="PR30" s="12">
        <f>OO30*ReferralReward</f>
        <v/>
      </c>
      <c r="PS30" s="12">
        <f>OM30</f>
        <v/>
      </c>
      <c r="PT30" s="9">
        <f>PJ30-PN30-PO30-PP30-PQ30-PR30-PS30</f>
        <v/>
      </c>
      <c r="PU30" s="9">
        <f>PU29+PG30-(PN30+PO30+PP30+PQ30+PR30+PS30+PL30)</f>
        <v/>
      </c>
      <c r="PV30" s="12">
        <f>IF(PA30&gt;0,PB30/PA30,0)</f>
        <v/>
      </c>
      <c r="PW30" s="11">
        <f>IF(PA29&gt;0,MAX(0,(PA29+OP30-PA30)/PA29),0)</f>
        <v/>
      </c>
      <c r="PY30" s="12" t="n">
        <v>26</v>
      </c>
      <c r="PZ30" s="12">
        <f>MOD(PY30-1+LaunchMonth-1,12)+1</f>
        <v/>
      </c>
      <c r="QA30" s="12">
        <f>INT((PY30-1+LaunchMonth-1)/12)+1</f>
        <v/>
      </c>
      <c r="QB30" s="12">
        <f>VLOOKUP(PZ30,SeasonTable,2,FALSE)</f>
        <v/>
      </c>
      <c r="QC30" s="12">
        <f>(1+InflationRate)^INT((PY30-1)/12)</f>
        <v/>
      </c>
      <c r="QD30" s="11">
        <f>'Sens - Churn'!$A$20*VLOOKUP(PZ30,ChurnSeasonTable,4,FALSE)</f>
        <v/>
      </c>
      <c r="QE30" s="12">
        <f>MIN(MAX(MktMin19plus,QY29*MktPct19plus),MAX(0,RM29-CashBuffer))</f>
        <v/>
      </c>
      <c r="QF30" s="12">
        <f>IF(QE30&gt;0,MAX(1,ROUND(QE30/CAC*QB30,0)),0)</f>
        <v/>
      </c>
      <c r="QG30" s="12">
        <f>IF(QF30&gt;0,ROUND(QF30*ReferralMix/(1-ReferralMix),0),0)</f>
        <v/>
      </c>
      <c r="QH30" s="12">
        <f>QF30+QG30</f>
        <v/>
      </c>
      <c r="QI30" s="12">
        <f>ROUND(QH30*(1-AnnualMix),0)</f>
        <v/>
      </c>
      <c r="QJ30" s="12">
        <f>QH30-QI30</f>
        <v/>
      </c>
      <c r="QK30" s="12">
        <f>ROUND(QI30*EssentialMix,0)</f>
        <v/>
      </c>
      <c r="QL30" s="12">
        <f>QI30-QK30</f>
        <v/>
      </c>
      <c r="QM30" s="12">
        <f>ROUND(QJ30*EssentialMix,0)</f>
        <v/>
      </c>
      <c r="QN30" s="12">
        <f>QJ30-QM30</f>
        <v/>
      </c>
      <c r="QO30" s="12">
        <f>QK30+QK29+QK28+MAX(0,QO29-QK29-QK28)*(1-QD30)</f>
        <v/>
      </c>
      <c r="QP30" s="12">
        <f>QL30+QL29+QL28+MAX(0,QP29-QL29-QL28)*(1-QD30)</f>
        <v/>
      </c>
      <c r="QQ30" s="12">
        <f>QQ29+QM30-QM18*(AnnualChurn*VLOOKUP(PZ30,ChurnSeasonTable,4,FALSE))*POWER(1-(AnnualChurn*VLOOKUP(PZ30,ChurnSeasonTable,4,FALSE)),0)+QM6*(AnnualChurn*VLOOKUP(PZ30,ChurnSeasonTable,4,FALSE))*POWER(1-(AnnualChurn*VLOOKUP(PZ30,ChurnSeasonTable,4,FALSE)),1)</f>
        <v/>
      </c>
      <c r="QR30" s="12">
        <f>QR29+QN30-QN18*(AnnualChurn*VLOOKUP(PZ30,ChurnSeasonTable,4,FALSE))*POWER(1-(AnnualChurn*VLOOKUP(PZ30,ChurnSeasonTable,4,FALSE)),0)+QN6*(AnnualChurn*VLOOKUP(PZ30,ChurnSeasonTable,4,FALSE))*POWER(1-(AnnualChurn*VLOOKUP(PZ30,ChurnSeasonTable,4,FALSE)),1)</f>
        <v/>
      </c>
      <c r="QS30" s="12">
        <f>QO30+QP30+QQ30+QR30</f>
        <v/>
      </c>
      <c r="QT30" s="9">
        <f>QO30*PriceEssMonthly*QC30+QP30*PricePremMonthly*QC30+QQ30*PriceEssAnnual*QC30/12+QR30*PricePremAnnual*QC30/12</f>
        <v/>
      </c>
      <c r="QU30" s="9">
        <f>QT30*12</f>
        <v/>
      </c>
      <c r="QV30" s="12">
        <f>QO30*PriceEssMonthly*QC30+QP30*PricePremMonthly*QC30</f>
        <v/>
      </c>
      <c r="QW30" s="12">
        <f>QM30*PriceEssAnnual*QC30+QN30*PricePremAnnual*QC30</f>
        <v/>
      </c>
      <c r="QX30" s="12">
        <f>QM18*POWER(1-(AnnualChurn*VLOOKUP(PZ30,ChurnSeasonTable,4,FALSE)),1)*PriceEssAnnual*QC30+QM6*POWER(1-(AnnualChurn*VLOOKUP(PZ30,ChurnSeasonTable,4,FALSE)),2)*PriceEssAnnual*QC30+QN18*POWER(1-(AnnualChurn*VLOOKUP(PZ30,ChurnSeasonTable,4,FALSE)),1)*PricePremAnnual*QC30+QN6*POWER(1-(AnnualChurn*VLOOKUP(PZ30,ChurnSeasonTable,4,FALSE)),2)*PricePremAnnual*QC30</f>
        <v/>
      </c>
      <c r="QY30" s="9">
        <f>QV30+QW30+QX30</f>
        <v/>
      </c>
      <c r="QZ30" s="12">
        <f>SUM(QY19:QY30)</f>
        <v/>
      </c>
      <c r="RA30" s="12">
        <f>OR(RA29,QZ30&gt;=VATThreshold)</f>
        <v/>
      </c>
      <c r="RB30" s="9">
        <f>IF(RA30,QY30/(1+VATRate),QY30)</f>
        <v/>
      </c>
      <c r="RC30" s="12">
        <f>QY30-RB30</f>
        <v/>
      </c>
      <c r="RD30" s="12">
        <f>IF(RA30=0,0,IF(PZ30=1,SUMPRODUCT(--(($QA$5:$QA30=$QA30-1)*($PZ$5:$PZ30&gt;=10)*($PZ$5:$PZ30&lt;=12)),$RC$5:$RC30),IF(PZ30=4,SUMPRODUCT(--(($QA$5:$QA30=$QA30)*($PZ$5:$PZ30&gt;=1)*($PZ$5:$PZ30&lt;=3)),$RC$5:$RC30),IF(PZ30=7,SUMPRODUCT(--(($QA$5:$QA30=$QA30)*($PZ$5:$PZ30&gt;=4)*($PZ$5:$PZ30&lt;=6)),$RC$5:$RC30),IF(PZ30=10,SUMPRODUCT(--(($QA$5:$QA30=$QA30)*($PZ$5:$PZ30&gt;=7)*($PZ$5:$PZ30&lt;=9)),$RC$5:$RC30),0)))))</f>
        <v/>
      </c>
      <c r="RE30" s="12">
        <f>RE29+RC30-RD30</f>
        <v/>
      </c>
      <c r="RF30" s="12">
        <f>IF(ProviderDelay&gt;=1,RB29*ProviderShare,RB30*ProviderShare)</f>
        <v/>
      </c>
      <c r="RG30" s="12">
        <f>QY30*PaymentFee</f>
        <v/>
      </c>
      <c r="RH30" s="12">
        <f>QS30*OpsAI</f>
        <v/>
      </c>
      <c r="RI30" s="12">
        <f>MonthlyFixed</f>
        <v/>
      </c>
      <c r="RJ30" s="12">
        <f>QG30*ReferralReward</f>
        <v/>
      </c>
      <c r="RK30" s="12">
        <f>QE30</f>
        <v/>
      </c>
      <c r="RL30" s="9">
        <f>RB30-RF30-RG30-RH30-RI30-RJ30-RK30</f>
        <v/>
      </c>
      <c r="RM30" s="9">
        <f>RM29+QY30-(RF30+RG30+RH30+RI30+RJ30+RK30+RD30)</f>
        <v/>
      </c>
      <c r="RN30" s="12">
        <f>IF(QS30&gt;0,QT30/QS30,0)</f>
        <v/>
      </c>
      <c r="RO30" s="11">
        <f>IF(QS29&gt;0,MAX(0,(QS29+QH30-QS30)/QS29),0)</f>
        <v/>
      </c>
      <c r="RQ30" s="12" t="n">
        <v>26</v>
      </c>
      <c r="RR30" s="12">
        <f>MOD(RQ30-1+LaunchMonth-1,12)+1</f>
        <v/>
      </c>
      <c r="RS30" s="12">
        <f>INT((RQ30-1+LaunchMonth-1)/12)+1</f>
        <v/>
      </c>
      <c r="RT30" s="12">
        <f>VLOOKUP(RR30,SeasonTable,2,FALSE)</f>
        <v/>
      </c>
      <c r="RU30" s="12">
        <f>(1+InflationRate)^INT((RQ30-1)/12)</f>
        <v/>
      </c>
      <c r="RV30" s="11">
        <f>'Sens - Churn'!$A$21*VLOOKUP(RR30,ChurnSeasonTable,4,FALSE)</f>
        <v/>
      </c>
      <c r="RW30" s="12">
        <f>MIN(MAX(MktMin19plus,SQ29*MktPct19plus),MAX(0,TE29-CashBuffer))</f>
        <v/>
      </c>
      <c r="RX30" s="12">
        <f>IF(RW30&gt;0,MAX(1,ROUND(RW30/CAC*RT30,0)),0)</f>
        <v/>
      </c>
      <c r="RY30" s="12">
        <f>IF(RX30&gt;0,ROUND(RX30*ReferralMix/(1-ReferralMix),0),0)</f>
        <v/>
      </c>
      <c r="RZ30" s="12">
        <f>RX30+RY30</f>
        <v/>
      </c>
      <c r="SA30" s="12">
        <f>ROUND(RZ30*(1-AnnualMix),0)</f>
        <v/>
      </c>
      <c r="SB30" s="12">
        <f>RZ30-SA30</f>
        <v/>
      </c>
      <c r="SC30" s="12">
        <f>ROUND(SA30*EssentialMix,0)</f>
        <v/>
      </c>
      <c r="SD30" s="12">
        <f>SA30-SC30</f>
        <v/>
      </c>
      <c r="SE30" s="12">
        <f>ROUND(SB30*EssentialMix,0)</f>
        <v/>
      </c>
      <c r="SF30" s="12">
        <f>SB30-SE30</f>
        <v/>
      </c>
      <c r="SG30" s="12">
        <f>SC30+SC29+SC28+MAX(0,SG29-SC29-SC28)*(1-RV30)</f>
        <v/>
      </c>
      <c r="SH30" s="12">
        <f>SD30+SD29+SD28+MAX(0,SH29-SD29-SD28)*(1-RV30)</f>
        <v/>
      </c>
      <c r="SI30" s="12">
        <f>SI29+SE30-SE18*(AnnualChurn*VLOOKUP(RR30,ChurnSeasonTable,4,FALSE))*POWER(1-(AnnualChurn*VLOOKUP(RR30,ChurnSeasonTable,4,FALSE)),0)+SE6*(AnnualChurn*VLOOKUP(RR30,ChurnSeasonTable,4,FALSE))*POWER(1-(AnnualChurn*VLOOKUP(RR30,ChurnSeasonTable,4,FALSE)),1)</f>
        <v/>
      </c>
      <c r="SJ30" s="12">
        <f>SJ29+SF30-SF18*(AnnualChurn*VLOOKUP(RR30,ChurnSeasonTable,4,FALSE))*POWER(1-(AnnualChurn*VLOOKUP(RR30,ChurnSeasonTable,4,FALSE)),0)+SF6*(AnnualChurn*VLOOKUP(RR30,ChurnSeasonTable,4,FALSE))*POWER(1-(AnnualChurn*VLOOKUP(RR30,ChurnSeasonTable,4,FALSE)),1)</f>
        <v/>
      </c>
      <c r="SK30" s="12">
        <f>SG30+SH30+SI30+SJ30</f>
        <v/>
      </c>
      <c r="SL30" s="9">
        <f>SG30*PriceEssMonthly*RU30+SH30*PricePremMonthly*RU30+SI30*PriceEssAnnual*RU30/12+SJ30*PricePremAnnual*RU30/12</f>
        <v/>
      </c>
      <c r="SM30" s="9">
        <f>SL30*12</f>
        <v/>
      </c>
      <c r="SN30" s="12">
        <f>SG30*PriceEssMonthly*RU30+SH30*PricePremMonthly*RU30</f>
        <v/>
      </c>
      <c r="SO30" s="12">
        <f>SE30*PriceEssAnnual*RU30+SF30*PricePremAnnual*RU30</f>
        <v/>
      </c>
      <c r="SP30" s="12">
        <f>SE18*POWER(1-(AnnualChurn*VLOOKUP(RR30,ChurnSeasonTable,4,FALSE)),1)*PriceEssAnnual*RU30+SE6*POWER(1-(AnnualChurn*VLOOKUP(RR30,ChurnSeasonTable,4,FALSE)),2)*PriceEssAnnual*RU30+SF18*POWER(1-(AnnualChurn*VLOOKUP(RR30,ChurnSeasonTable,4,FALSE)),1)*PricePremAnnual*RU30+SF6*POWER(1-(AnnualChurn*VLOOKUP(RR30,ChurnSeasonTable,4,FALSE)),2)*PricePremAnnual*RU30</f>
        <v/>
      </c>
      <c r="SQ30" s="9">
        <f>SN30+SO30+SP30</f>
        <v/>
      </c>
      <c r="SR30" s="12">
        <f>SUM(SQ19:SQ30)</f>
        <v/>
      </c>
      <c r="SS30" s="12">
        <f>OR(SS29,SR30&gt;=VATThreshold)</f>
        <v/>
      </c>
      <c r="ST30" s="9">
        <f>IF(SS30,SQ30/(1+VATRate),SQ30)</f>
        <v/>
      </c>
      <c r="SU30" s="12">
        <f>SQ30-ST30</f>
        <v/>
      </c>
      <c r="SV30" s="12">
        <f>IF(SS30=0,0,IF(RR30=1,SUMPRODUCT(--(($RS$5:$RS30=$RS30-1)*($RR$5:$RR30&gt;=10)*($RR$5:$RR30&lt;=12)),$SU$5:$SU30),IF(RR30=4,SUMPRODUCT(--(($RS$5:$RS30=$RS30)*($RR$5:$RR30&gt;=1)*($RR$5:$RR30&lt;=3)),$SU$5:$SU30),IF(RR30=7,SUMPRODUCT(--(($RS$5:$RS30=$RS30)*($RR$5:$RR30&gt;=4)*($RR$5:$RR30&lt;=6)),$SU$5:$SU30),IF(RR30=10,SUMPRODUCT(--(($RS$5:$RS30=$RS30)*($RR$5:$RR30&gt;=7)*($RR$5:$RR30&lt;=9)),$SU$5:$SU30),0)))))</f>
        <v/>
      </c>
      <c r="SW30" s="12">
        <f>SW29+SU30-SV30</f>
        <v/>
      </c>
      <c r="SX30" s="12">
        <f>IF(ProviderDelay&gt;=1,ST29*ProviderShare,ST30*ProviderShare)</f>
        <v/>
      </c>
      <c r="SY30" s="12">
        <f>SQ30*PaymentFee</f>
        <v/>
      </c>
      <c r="SZ30" s="12">
        <f>SK30*OpsAI</f>
        <v/>
      </c>
      <c r="TA30" s="12">
        <f>MonthlyFixed</f>
        <v/>
      </c>
      <c r="TB30" s="12">
        <f>RY30*ReferralReward</f>
        <v/>
      </c>
      <c r="TC30" s="12">
        <f>RW30</f>
        <v/>
      </c>
      <c r="TD30" s="9">
        <f>ST30-SX30-SY30-SZ30-TA30-TB30-TC30</f>
        <v/>
      </c>
      <c r="TE30" s="9">
        <f>TE29+SQ30-(SX30+SY30+SZ30+TA30+TB30+TC30+SV30)</f>
        <v/>
      </c>
      <c r="TF30" s="12">
        <f>IF(SK30&gt;0,SL30/SK30,0)</f>
        <v/>
      </c>
      <c r="TG30" s="11">
        <f>IF(SK29&gt;0,MAX(0,(SK29+RZ30-SK30)/SK29),0)</f>
        <v/>
      </c>
      <c r="TI30" s="12" t="n">
        <v>26</v>
      </c>
      <c r="TJ30" s="12">
        <f>MOD(TI30-1+LaunchMonth-1,12)+1</f>
        <v/>
      </c>
      <c r="TK30" s="12">
        <f>INT((TI30-1+LaunchMonth-1)/12)+1</f>
        <v/>
      </c>
      <c r="TL30" s="12">
        <f>VLOOKUP(TJ30,SeasonTable,2,FALSE)</f>
        <v/>
      </c>
      <c r="TM30" s="12">
        <f>(1+InflationRate)^INT((TI30-1)/12)</f>
        <v/>
      </c>
      <c r="TN30" s="11">
        <f>MonthlyChurn*VLOOKUP(TJ30,ChurnSeasonTable,4,FALSE)</f>
        <v/>
      </c>
      <c r="TO30" s="12">
        <f>MIN(MAX(MktMin19plus,UI29*MktPct19plus),MAX(0,UW29-CashBuffer))</f>
        <v/>
      </c>
      <c r="TP30" s="12">
        <f>IF(TO30&gt;0,MAX(1,ROUND(TO30/CAC*TL30,0)),0)</f>
        <v/>
      </c>
      <c r="TQ30" s="12">
        <f>IF(TP30&gt;0,ROUND(TP30*ReferralMix/(1-ReferralMix),0),0)</f>
        <v/>
      </c>
      <c r="TR30" s="12">
        <f>TP30+TQ30</f>
        <v/>
      </c>
      <c r="TS30" s="12">
        <f>ROUND(TR30*(1-'Sens - Annual Mix'!$A$9),0)</f>
        <v/>
      </c>
      <c r="TT30" s="12">
        <f>TR30-TS30</f>
        <v/>
      </c>
      <c r="TU30" s="12">
        <f>ROUND(TS30*EssentialMix,0)</f>
        <v/>
      </c>
      <c r="TV30" s="12">
        <f>TS30-TU30</f>
        <v/>
      </c>
      <c r="TW30" s="12">
        <f>ROUND(TT30*EssentialMix,0)</f>
        <v/>
      </c>
      <c r="TX30" s="12">
        <f>TT30-TW30</f>
        <v/>
      </c>
      <c r="TY30" s="12">
        <f>TU30+TU29+TU28+MAX(0,TY29-TU29-TU28)*(1-TN30)</f>
        <v/>
      </c>
      <c r="TZ30" s="12">
        <f>TV30+TV29+TV28+MAX(0,TZ29-TV29-TV28)*(1-TN30)</f>
        <v/>
      </c>
      <c r="UA30" s="12">
        <f>UA29+TW30-TW18*(AnnualChurn*VLOOKUP(TJ30,ChurnSeasonTable,4,FALSE))*POWER(1-(AnnualChurn*VLOOKUP(TJ30,ChurnSeasonTable,4,FALSE)),0)+TW6*(AnnualChurn*VLOOKUP(TJ30,ChurnSeasonTable,4,FALSE))*POWER(1-(AnnualChurn*VLOOKUP(TJ30,ChurnSeasonTable,4,FALSE)),1)</f>
        <v/>
      </c>
      <c r="UB30" s="12">
        <f>UB29+TX30-TX18*(AnnualChurn*VLOOKUP(TJ30,ChurnSeasonTable,4,FALSE))*POWER(1-(AnnualChurn*VLOOKUP(TJ30,ChurnSeasonTable,4,FALSE)),0)+TX6*(AnnualChurn*VLOOKUP(TJ30,ChurnSeasonTable,4,FALSE))*POWER(1-(AnnualChurn*VLOOKUP(TJ30,ChurnSeasonTable,4,FALSE)),1)</f>
        <v/>
      </c>
      <c r="UC30" s="12">
        <f>TY30+TZ30+UA30+UB30</f>
        <v/>
      </c>
      <c r="UD30" s="9">
        <f>TY30*PriceEssMonthly*TM30+TZ30*PricePremMonthly*TM30+UA30*PriceEssAnnual*TM30/12+UB30*PricePremAnnual*TM30/12</f>
        <v/>
      </c>
      <c r="UE30" s="9">
        <f>UD30*12</f>
        <v/>
      </c>
      <c r="UF30" s="12">
        <f>TY30*PriceEssMonthly*TM30+TZ30*PricePremMonthly*TM30</f>
        <v/>
      </c>
      <c r="UG30" s="12">
        <f>TW30*PriceEssAnnual*TM30+TX30*PricePremAnnual*TM30</f>
        <v/>
      </c>
      <c r="UH30" s="12">
        <f>TW18*POWER(1-(AnnualChurn*VLOOKUP(TJ30,ChurnSeasonTable,4,FALSE)),1)*PriceEssAnnual*TM30+TW6*POWER(1-(AnnualChurn*VLOOKUP(TJ30,ChurnSeasonTable,4,FALSE)),2)*PriceEssAnnual*TM30+TX18*POWER(1-(AnnualChurn*VLOOKUP(TJ30,ChurnSeasonTable,4,FALSE)),1)*PricePremAnnual*TM30+TX6*POWER(1-(AnnualChurn*VLOOKUP(TJ30,ChurnSeasonTable,4,FALSE)),2)*PricePremAnnual*TM30</f>
        <v/>
      </c>
      <c r="UI30" s="9">
        <f>UF30+UG30+UH30</f>
        <v/>
      </c>
      <c r="UJ30" s="12">
        <f>SUM(UI19:UI30)</f>
        <v/>
      </c>
      <c r="UK30" s="12">
        <f>OR(UK29,UJ30&gt;=VATThreshold)</f>
        <v/>
      </c>
      <c r="UL30" s="9">
        <f>IF(UK30,UI30/(1+VATRate),UI30)</f>
        <v/>
      </c>
      <c r="UM30" s="12">
        <f>UI30-UL30</f>
        <v/>
      </c>
      <c r="UN30" s="12">
        <f>IF(UK30=0,0,IF(TJ30=1,SUMPRODUCT(--(($TK$5:$TK30=$TK30-1)*($TJ$5:$TJ30&gt;=10)*($TJ$5:$TJ30&lt;=12)),$UM$5:$UM30),IF(TJ30=4,SUMPRODUCT(--(($TK$5:$TK30=$TK30)*($TJ$5:$TJ30&gt;=1)*($TJ$5:$TJ30&lt;=3)),$UM$5:$UM30),IF(TJ30=7,SUMPRODUCT(--(($TK$5:$TK30=$TK30)*($TJ$5:$TJ30&gt;=4)*($TJ$5:$TJ30&lt;=6)),$UM$5:$UM30),IF(TJ30=10,SUMPRODUCT(--(($TK$5:$TK30=$TK30)*($TJ$5:$TJ30&gt;=7)*($TJ$5:$TJ30&lt;=9)),$UM$5:$UM30),0)))))</f>
        <v/>
      </c>
      <c r="UO30" s="12">
        <f>UO29+UM30-UN30</f>
        <v/>
      </c>
      <c r="UP30" s="12">
        <f>IF(ProviderDelay&gt;=1,UL29*ProviderShare,UL30*ProviderShare)</f>
        <v/>
      </c>
      <c r="UQ30" s="12">
        <f>UI30*PaymentFee</f>
        <v/>
      </c>
      <c r="UR30" s="12">
        <f>UC30*OpsAI</f>
        <v/>
      </c>
      <c r="US30" s="12">
        <f>MonthlyFixed</f>
        <v/>
      </c>
      <c r="UT30" s="12">
        <f>TQ30*ReferralReward</f>
        <v/>
      </c>
      <c r="UU30" s="12">
        <f>TO30</f>
        <v/>
      </c>
      <c r="UV30" s="9">
        <f>UL30-UP30-UQ30-UR30-US30-UT30-UU30</f>
        <v/>
      </c>
      <c r="UW30" s="9">
        <f>UW29+UI30-(UP30+UQ30+UR30+US30+UT30+UU30+UN30)</f>
        <v/>
      </c>
      <c r="UX30" s="12">
        <f>IF(UC30&gt;0,UD30/UC30,0)</f>
        <v/>
      </c>
      <c r="UY30" s="11">
        <f>IF(UC29&gt;0,MAX(0,(UC29+TR30-UC30)/UC29),0)</f>
        <v/>
      </c>
      <c r="VA30" s="12" t="n">
        <v>26</v>
      </c>
      <c r="VB30" s="12">
        <f>MOD(VA30-1+LaunchMonth-1,12)+1</f>
        <v/>
      </c>
      <c r="VC30" s="12">
        <f>INT((VA30-1+LaunchMonth-1)/12)+1</f>
        <v/>
      </c>
      <c r="VD30" s="12">
        <f>VLOOKUP(VB30,SeasonTable,2,FALSE)</f>
        <v/>
      </c>
      <c r="VE30" s="12">
        <f>(1+InflationRate)^INT((VA30-1)/12)</f>
        <v/>
      </c>
      <c r="VF30" s="11">
        <f>MonthlyChurn*VLOOKUP(VB30,ChurnSeasonTable,4,FALSE)</f>
        <v/>
      </c>
      <c r="VG30" s="12">
        <f>MIN(MAX(MktMin19plus,WA29*MktPct19plus),MAX(0,WO29-CashBuffer))</f>
        <v/>
      </c>
      <c r="VH30" s="12">
        <f>IF(VG30&gt;0,MAX(1,ROUND(VG30/CAC*VD30,0)),0)</f>
        <v/>
      </c>
      <c r="VI30" s="12">
        <f>IF(VH30&gt;0,ROUND(VH30*ReferralMix/(1-ReferralMix),0),0)</f>
        <v/>
      </c>
      <c r="VJ30" s="12">
        <f>VH30+VI30</f>
        <v/>
      </c>
      <c r="VK30" s="12">
        <f>ROUND(VJ30*(1-'Sens - Annual Mix'!$A$10),0)</f>
        <v/>
      </c>
      <c r="VL30" s="12">
        <f>VJ30-VK30</f>
        <v/>
      </c>
      <c r="VM30" s="12">
        <f>ROUND(VK30*EssentialMix,0)</f>
        <v/>
      </c>
      <c r="VN30" s="12">
        <f>VK30-VM30</f>
        <v/>
      </c>
      <c r="VO30" s="12">
        <f>ROUND(VL30*EssentialMix,0)</f>
        <v/>
      </c>
      <c r="VP30" s="12">
        <f>VL30-VO30</f>
        <v/>
      </c>
      <c r="VQ30" s="12">
        <f>VM30+VM29+VM28+MAX(0,VQ29-VM29-VM28)*(1-VF30)</f>
        <v/>
      </c>
      <c r="VR30" s="12">
        <f>VN30+VN29+VN28+MAX(0,VR29-VN29-VN28)*(1-VF30)</f>
        <v/>
      </c>
      <c r="VS30" s="12">
        <f>VS29+VO30-VO18*(AnnualChurn*VLOOKUP(VB30,ChurnSeasonTable,4,FALSE))*POWER(1-(AnnualChurn*VLOOKUP(VB30,ChurnSeasonTable,4,FALSE)),0)+VO6*(AnnualChurn*VLOOKUP(VB30,ChurnSeasonTable,4,FALSE))*POWER(1-(AnnualChurn*VLOOKUP(VB30,ChurnSeasonTable,4,FALSE)),1)</f>
        <v/>
      </c>
      <c r="VT30" s="12">
        <f>VT29+VP30-VP18*(AnnualChurn*VLOOKUP(VB30,ChurnSeasonTable,4,FALSE))*POWER(1-(AnnualChurn*VLOOKUP(VB30,ChurnSeasonTable,4,FALSE)),0)+VP6*(AnnualChurn*VLOOKUP(VB30,ChurnSeasonTable,4,FALSE))*POWER(1-(AnnualChurn*VLOOKUP(VB30,ChurnSeasonTable,4,FALSE)),1)</f>
        <v/>
      </c>
      <c r="VU30" s="12">
        <f>VQ30+VR30+VS30+VT30</f>
        <v/>
      </c>
      <c r="VV30" s="9">
        <f>VQ30*PriceEssMonthly*VE30+VR30*PricePremMonthly*VE30+VS30*PriceEssAnnual*VE30/12+VT30*PricePremAnnual*VE30/12</f>
        <v/>
      </c>
      <c r="VW30" s="9">
        <f>VV30*12</f>
        <v/>
      </c>
      <c r="VX30" s="12">
        <f>VQ30*PriceEssMonthly*VE30+VR30*PricePremMonthly*VE30</f>
        <v/>
      </c>
      <c r="VY30" s="12">
        <f>VO30*PriceEssAnnual*VE30+VP30*PricePremAnnual*VE30</f>
        <v/>
      </c>
      <c r="VZ30" s="12">
        <f>VO18*POWER(1-(AnnualChurn*VLOOKUP(VB30,ChurnSeasonTable,4,FALSE)),1)*PriceEssAnnual*VE30+VO6*POWER(1-(AnnualChurn*VLOOKUP(VB30,ChurnSeasonTable,4,FALSE)),2)*PriceEssAnnual*VE30+VP18*POWER(1-(AnnualChurn*VLOOKUP(VB30,ChurnSeasonTable,4,FALSE)),1)*PricePremAnnual*VE30+VP6*POWER(1-(AnnualChurn*VLOOKUP(VB30,ChurnSeasonTable,4,FALSE)),2)*PricePremAnnual*VE30</f>
        <v/>
      </c>
      <c r="WA30" s="9">
        <f>VX30+VY30+VZ30</f>
        <v/>
      </c>
      <c r="WB30" s="12">
        <f>SUM(WA19:WA30)</f>
        <v/>
      </c>
      <c r="WC30" s="12">
        <f>OR(WC29,WB30&gt;=VATThreshold)</f>
        <v/>
      </c>
      <c r="WD30" s="9">
        <f>IF(WC30,WA30/(1+VATRate),WA30)</f>
        <v/>
      </c>
      <c r="WE30" s="12">
        <f>WA30-WD30</f>
        <v/>
      </c>
      <c r="WF30" s="12">
        <f>IF(WC30=0,0,IF(VB30=1,SUMPRODUCT(--(($VC$5:$VC30=$VC30-1)*($VB$5:$VB30&gt;=10)*($VB$5:$VB30&lt;=12)),$WE$5:$WE30),IF(VB30=4,SUMPRODUCT(--(($VC$5:$VC30=$VC30)*($VB$5:$VB30&gt;=1)*($VB$5:$VB30&lt;=3)),$WE$5:$WE30),IF(VB30=7,SUMPRODUCT(--(($VC$5:$VC30=$VC30)*($VB$5:$VB30&gt;=4)*($VB$5:$VB30&lt;=6)),$WE$5:$WE30),IF(VB30=10,SUMPRODUCT(--(($VC$5:$VC30=$VC30)*($VB$5:$VB30&gt;=7)*($VB$5:$VB30&lt;=9)),$WE$5:$WE30),0)))))</f>
        <v/>
      </c>
      <c r="WG30" s="12">
        <f>WG29+WE30-WF30</f>
        <v/>
      </c>
      <c r="WH30" s="12">
        <f>IF(ProviderDelay&gt;=1,WD29*ProviderShare,WD30*ProviderShare)</f>
        <v/>
      </c>
      <c r="WI30" s="12">
        <f>WA30*PaymentFee</f>
        <v/>
      </c>
      <c r="WJ30" s="12">
        <f>VU30*OpsAI</f>
        <v/>
      </c>
      <c r="WK30" s="12">
        <f>MonthlyFixed</f>
        <v/>
      </c>
      <c r="WL30" s="12">
        <f>VI30*ReferralReward</f>
        <v/>
      </c>
      <c r="WM30" s="12">
        <f>VG30</f>
        <v/>
      </c>
      <c r="WN30" s="9">
        <f>WD30-WH30-WI30-WJ30-WK30-WL30-WM30</f>
        <v/>
      </c>
      <c r="WO30" s="9">
        <f>WO29+WA30-(WH30+WI30+WJ30+WK30+WL30+WM30+WF30)</f>
        <v/>
      </c>
      <c r="WP30" s="12">
        <f>IF(VU30&gt;0,VV30/VU30,0)</f>
        <v/>
      </c>
      <c r="WQ30" s="11">
        <f>IF(VU29&gt;0,MAX(0,(VU29+VJ30-VU30)/VU29),0)</f>
        <v/>
      </c>
      <c r="WS30" s="12" t="n">
        <v>26</v>
      </c>
      <c r="WT30" s="12">
        <f>MOD(WS30-1+LaunchMonth-1,12)+1</f>
        <v/>
      </c>
      <c r="WU30" s="12">
        <f>INT((WS30-1+LaunchMonth-1)/12)+1</f>
        <v/>
      </c>
      <c r="WV30" s="12">
        <f>VLOOKUP(WT30,SeasonTable,2,FALSE)</f>
        <v/>
      </c>
      <c r="WW30" s="12">
        <f>(1+InflationRate)^INT((WS30-1)/12)</f>
        <v/>
      </c>
      <c r="WX30" s="11">
        <f>MonthlyChurn*VLOOKUP(WT30,ChurnSeasonTable,4,FALSE)</f>
        <v/>
      </c>
      <c r="WY30" s="12">
        <f>MIN(MAX(MktMin19plus,XS29*MktPct19plus),MAX(0,YG29-CashBuffer))</f>
        <v/>
      </c>
      <c r="WZ30" s="12">
        <f>IF(WY30&gt;0,MAX(1,ROUND(WY30/CAC*WV30,0)),0)</f>
        <v/>
      </c>
      <c r="XA30" s="12">
        <f>IF(WZ30&gt;0,ROUND(WZ30*ReferralMix/(1-ReferralMix),0),0)</f>
        <v/>
      </c>
      <c r="XB30" s="12">
        <f>WZ30+XA30</f>
        <v/>
      </c>
      <c r="XC30" s="12">
        <f>ROUND(XB30*(1-'Sens - Annual Mix'!$A$11),0)</f>
        <v/>
      </c>
      <c r="XD30" s="12">
        <f>XB30-XC30</f>
        <v/>
      </c>
      <c r="XE30" s="12">
        <f>ROUND(XC30*EssentialMix,0)</f>
        <v/>
      </c>
      <c r="XF30" s="12">
        <f>XC30-XE30</f>
        <v/>
      </c>
      <c r="XG30" s="12">
        <f>ROUND(XD30*EssentialMix,0)</f>
        <v/>
      </c>
      <c r="XH30" s="12">
        <f>XD30-XG30</f>
        <v/>
      </c>
      <c r="XI30" s="12">
        <f>XE30+XE29+XE28+MAX(0,XI29-XE29-XE28)*(1-WX30)</f>
        <v/>
      </c>
      <c r="XJ30" s="12">
        <f>XF30+XF29+XF28+MAX(0,XJ29-XF29-XF28)*(1-WX30)</f>
        <v/>
      </c>
      <c r="XK30" s="12">
        <f>XK29+XG30-XG18*(AnnualChurn*VLOOKUP(WT30,ChurnSeasonTable,4,FALSE))*POWER(1-(AnnualChurn*VLOOKUP(WT30,ChurnSeasonTable,4,FALSE)),0)+XG6*(AnnualChurn*VLOOKUP(WT30,ChurnSeasonTable,4,FALSE))*POWER(1-(AnnualChurn*VLOOKUP(WT30,ChurnSeasonTable,4,FALSE)),1)</f>
        <v/>
      </c>
      <c r="XL30" s="12">
        <f>XL29+XH30-XH18*(AnnualChurn*VLOOKUP(WT30,ChurnSeasonTable,4,FALSE))*POWER(1-(AnnualChurn*VLOOKUP(WT30,ChurnSeasonTable,4,FALSE)),0)+XH6*(AnnualChurn*VLOOKUP(WT30,ChurnSeasonTable,4,FALSE))*POWER(1-(AnnualChurn*VLOOKUP(WT30,ChurnSeasonTable,4,FALSE)),1)</f>
        <v/>
      </c>
      <c r="XM30" s="12">
        <f>XI30+XJ30+XK30+XL30</f>
        <v/>
      </c>
      <c r="XN30" s="9">
        <f>XI30*PriceEssMonthly*WW30+XJ30*PricePremMonthly*WW30+XK30*PriceEssAnnual*WW30/12+XL30*PricePremAnnual*WW30/12</f>
        <v/>
      </c>
      <c r="XO30" s="9">
        <f>XN30*12</f>
        <v/>
      </c>
      <c r="XP30" s="12">
        <f>XI30*PriceEssMonthly*WW30+XJ30*PricePremMonthly*WW30</f>
        <v/>
      </c>
      <c r="XQ30" s="12">
        <f>XG30*PriceEssAnnual*WW30+XH30*PricePremAnnual*WW30</f>
        <v/>
      </c>
      <c r="XR30" s="12">
        <f>XG18*POWER(1-(AnnualChurn*VLOOKUP(WT30,ChurnSeasonTable,4,FALSE)),1)*PriceEssAnnual*WW30+XG6*POWER(1-(AnnualChurn*VLOOKUP(WT30,ChurnSeasonTable,4,FALSE)),2)*PriceEssAnnual*WW30+XH18*POWER(1-(AnnualChurn*VLOOKUP(WT30,ChurnSeasonTable,4,FALSE)),1)*PricePremAnnual*WW30+XH6*POWER(1-(AnnualChurn*VLOOKUP(WT30,ChurnSeasonTable,4,FALSE)),2)*PricePremAnnual*WW30</f>
        <v/>
      </c>
      <c r="XS30" s="9">
        <f>XP30+XQ30+XR30</f>
        <v/>
      </c>
      <c r="XT30" s="12">
        <f>SUM(XS19:XS30)</f>
        <v/>
      </c>
      <c r="XU30" s="12">
        <f>OR(XU29,XT30&gt;=VATThreshold)</f>
        <v/>
      </c>
      <c r="XV30" s="9">
        <f>IF(XU30,XS30/(1+VATRate),XS30)</f>
        <v/>
      </c>
      <c r="XW30" s="12">
        <f>XS30-XV30</f>
        <v/>
      </c>
      <c r="XX30" s="12">
        <f>IF(XU30=0,0,IF(WT30=1,SUMPRODUCT(--(($WU$5:$WU30=$WU30-1)*($WT$5:$WT30&gt;=10)*($WT$5:$WT30&lt;=12)),$XW$5:$XW30),IF(WT30=4,SUMPRODUCT(--(($WU$5:$WU30=$WU30)*($WT$5:$WT30&gt;=1)*($WT$5:$WT30&lt;=3)),$XW$5:$XW30),IF(WT30=7,SUMPRODUCT(--(($WU$5:$WU30=$WU30)*($WT$5:$WT30&gt;=4)*($WT$5:$WT30&lt;=6)),$XW$5:$XW30),IF(WT30=10,SUMPRODUCT(--(($WU$5:$WU30=$WU30)*($WT$5:$WT30&gt;=7)*($WT$5:$WT30&lt;=9)),$XW$5:$XW30),0)))))</f>
        <v/>
      </c>
      <c r="XY30" s="12">
        <f>XY29+XW30-XX30</f>
        <v/>
      </c>
      <c r="XZ30" s="12">
        <f>IF(ProviderDelay&gt;=1,XV29*ProviderShare,XV30*ProviderShare)</f>
        <v/>
      </c>
      <c r="YA30" s="12">
        <f>XS30*PaymentFee</f>
        <v/>
      </c>
      <c r="YB30" s="12">
        <f>XM30*OpsAI</f>
        <v/>
      </c>
      <c r="YC30" s="12">
        <f>MonthlyFixed</f>
        <v/>
      </c>
      <c r="YD30" s="12">
        <f>XA30*ReferralReward</f>
        <v/>
      </c>
      <c r="YE30" s="12">
        <f>WY30</f>
        <v/>
      </c>
      <c r="YF30" s="9">
        <f>XV30-XZ30-YA30-YB30-YC30-YD30-YE30</f>
        <v/>
      </c>
      <c r="YG30" s="9">
        <f>YG29+XS30-(XZ30+YA30+YB30+YC30+YD30+YE30+XX30)</f>
        <v/>
      </c>
      <c r="YH30" s="12">
        <f>IF(XM30&gt;0,XN30/XM30,0)</f>
        <v/>
      </c>
      <c r="YI30" s="11">
        <f>IF(XM29&gt;0,MAX(0,(XM29+XB30-XM30)/XM29),0)</f>
        <v/>
      </c>
      <c r="YK30" s="12" t="n">
        <v>26</v>
      </c>
      <c r="YL30" s="12">
        <f>MOD(YK30-1+LaunchMonth-1,12)+1</f>
        <v/>
      </c>
      <c r="YM30" s="12">
        <f>INT((YK30-1+LaunchMonth-1)/12)+1</f>
        <v/>
      </c>
      <c r="YN30" s="12">
        <f>VLOOKUP(YL30,SeasonTable,2,FALSE)</f>
        <v/>
      </c>
      <c r="YO30" s="12">
        <f>(1+InflationRate)^INT((YK30-1)/12)</f>
        <v/>
      </c>
      <c r="YP30" s="11">
        <f>MonthlyChurn*VLOOKUP(YL30,ChurnSeasonTable,4,FALSE)</f>
        <v/>
      </c>
      <c r="YQ30" s="12">
        <f>MIN(MAX(MktMin19plus,ZK29*MktPct19plus),MAX(0,ZY29-CashBuffer))</f>
        <v/>
      </c>
      <c r="YR30" s="12">
        <f>IF(YQ30&gt;0,MAX(1,ROUND(YQ30/CAC*YN30,0)),0)</f>
        <v/>
      </c>
      <c r="YS30" s="12">
        <f>IF(YR30&gt;0,ROUND(YR30*ReferralMix/(1-ReferralMix),0),0)</f>
        <v/>
      </c>
      <c r="YT30" s="12">
        <f>YR30+YS30</f>
        <v/>
      </c>
      <c r="YU30" s="12">
        <f>ROUND(YT30*(1-'Sens - Annual Mix'!$A$12),0)</f>
        <v/>
      </c>
      <c r="YV30" s="12">
        <f>YT30-YU30</f>
        <v/>
      </c>
      <c r="YW30" s="12">
        <f>ROUND(YU30*EssentialMix,0)</f>
        <v/>
      </c>
      <c r="YX30" s="12">
        <f>YU30-YW30</f>
        <v/>
      </c>
      <c r="YY30" s="12">
        <f>ROUND(YV30*EssentialMix,0)</f>
        <v/>
      </c>
      <c r="YZ30" s="12">
        <f>YV30-YY30</f>
        <v/>
      </c>
      <c r="ZA30" s="12">
        <f>YW30+YW29+YW28+MAX(0,ZA29-YW29-YW28)*(1-YP30)</f>
        <v/>
      </c>
      <c r="ZB30" s="12">
        <f>YX30+YX29+YX28+MAX(0,ZB29-YX29-YX28)*(1-YP30)</f>
        <v/>
      </c>
      <c r="ZC30" s="12">
        <f>ZC29+YY30-YY18*(AnnualChurn*VLOOKUP(YL30,ChurnSeasonTable,4,FALSE))*POWER(1-(AnnualChurn*VLOOKUP(YL30,ChurnSeasonTable,4,FALSE)),0)+YY6*(AnnualChurn*VLOOKUP(YL30,ChurnSeasonTable,4,FALSE))*POWER(1-(AnnualChurn*VLOOKUP(YL30,ChurnSeasonTable,4,FALSE)),1)</f>
        <v/>
      </c>
      <c r="ZD30" s="12">
        <f>ZD29+YZ30-YZ18*(AnnualChurn*VLOOKUP(YL30,ChurnSeasonTable,4,FALSE))*POWER(1-(AnnualChurn*VLOOKUP(YL30,ChurnSeasonTable,4,FALSE)),0)+YZ6*(AnnualChurn*VLOOKUP(YL30,ChurnSeasonTable,4,FALSE))*POWER(1-(AnnualChurn*VLOOKUP(YL30,ChurnSeasonTable,4,FALSE)),1)</f>
        <v/>
      </c>
      <c r="ZE30" s="12">
        <f>ZA30+ZB30+ZC30+ZD30</f>
        <v/>
      </c>
      <c r="ZF30" s="9">
        <f>ZA30*PriceEssMonthly*YO30+ZB30*PricePremMonthly*YO30+ZC30*PriceEssAnnual*YO30/12+ZD30*PricePremAnnual*YO30/12</f>
        <v/>
      </c>
      <c r="ZG30" s="9">
        <f>ZF30*12</f>
        <v/>
      </c>
      <c r="ZH30" s="12">
        <f>ZA30*PriceEssMonthly*YO30+ZB30*PricePremMonthly*YO30</f>
        <v/>
      </c>
      <c r="ZI30" s="12">
        <f>YY30*PriceEssAnnual*YO30+YZ30*PricePremAnnual*YO30</f>
        <v/>
      </c>
      <c r="ZJ30" s="12">
        <f>YY18*POWER(1-(AnnualChurn*VLOOKUP(YL30,ChurnSeasonTable,4,FALSE)),1)*PriceEssAnnual*YO30+YY6*POWER(1-(AnnualChurn*VLOOKUP(YL30,ChurnSeasonTable,4,FALSE)),2)*PriceEssAnnual*YO30+YZ18*POWER(1-(AnnualChurn*VLOOKUP(YL30,ChurnSeasonTable,4,FALSE)),1)*PricePremAnnual*YO30+YZ6*POWER(1-(AnnualChurn*VLOOKUP(YL30,ChurnSeasonTable,4,FALSE)),2)*PricePremAnnual*YO30</f>
        <v/>
      </c>
      <c r="ZK30" s="9">
        <f>ZH30+ZI30+ZJ30</f>
        <v/>
      </c>
      <c r="ZL30" s="12">
        <f>SUM(ZK19:ZK30)</f>
        <v/>
      </c>
      <c r="ZM30" s="12">
        <f>OR(ZM29,ZL30&gt;=VATThreshold)</f>
        <v/>
      </c>
      <c r="ZN30" s="9">
        <f>IF(ZM30,ZK30/(1+VATRate),ZK30)</f>
        <v/>
      </c>
      <c r="ZO30" s="12">
        <f>ZK30-ZN30</f>
        <v/>
      </c>
      <c r="ZP30" s="12">
        <f>IF(ZM30=0,0,IF(YL30=1,SUMPRODUCT(--(($YM$5:$YM30=$YM30-1)*($YL$5:$YL30&gt;=10)*($YL$5:$YL30&lt;=12)),$ZO$5:$ZO30),IF(YL30=4,SUMPRODUCT(--(($YM$5:$YM30=$YM30)*($YL$5:$YL30&gt;=1)*($YL$5:$YL30&lt;=3)),$ZO$5:$ZO30),IF(YL30=7,SUMPRODUCT(--(($YM$5:$YM30=$YM30)*($YL$5:$YL30&gt;=4)*($YL$5:$YL30&lt;=6)),$ZO$5:$ZO30),IF(YL30=10,SUMPRODUCT(--(($YM$5:$YM30=$YM30)*($YL$5:$YL30&gt;=7)*($YL$5:$YL30&lt;=9)),$ZO$5:$ZO30),0)))))</f>
        <v/>
      </c>
      <c r="ZQ30" s="12">
        <f>ZQ29+ZO30-ZP30</f>
        <v/>
      </c>
      <c r="ZR30" s="12">
        <f>IF(ProviderDelay&gt;=1,ZN29*ProviderShare,ZN30*ProviderShare)</f>
        <v/>
      </c>
      <c r="ZS30" s="12">
        <f>ZK30*PaymentFee</f>
        <v/>
      </c>
      <c r="ZT30" s="12">
        <f>ZE30*OpsAI</f>
        <v/>
      </c>
      <c r="ZU30" s="12">
        <f>MonthlyFixed</f>
        <v/>
      </c>
      <c r="ZV30" s="12">
        <f>YS30*ReferralReward</f>
        <v/>
      </c>
      <c r="ZW30" s="12">
        <f>YQ30</f>
        <v/>
      </c>
      <c r="ZX30" s="9">
        <f>ZN30-ZR30-ZS30-ZT30-ZU30-ZV30-ZW30</f>
        <v/>
      </c>
      <c r="ZY30" s="9">
        <f>ZY29+ZK30-(ZR30+ZS30+ZT30+ZU30+ZV30+ZW30+ZP30)</f>
        <v/>
      </c>
      <c r="ZZ30" s="12">
        <f>IF(ZE30&gt;0,ZF30/ZE30,0)</f>
        <v/>
      </c>
      <c r="AAA30" s="11">
        <f>IF(ZE29&gt;0,MAX(0,(ZE29+YT30-ZE30)/ZE29),0)</f>
        <v/>
      </c>
      <c r="AAC30" s="12" t="n">
        <v>26</v>
      </c>
      <c r="AAD30" s="12">
        <f>MOD(AAC30-1+LaunchMonth-1,12)+1</f>
        <v/>
      </c>
      <c r="AAE30" s="12">
        <f>INT((AAC30-1+LaunchMonth-1)/12)+1</f>
        <v/>
      </c>
      <c r="AAF30" s="12">
        <f>VLOOKUP(AAD30,SeasonTable,2,FALSE)</f>
        <v/>
      </c>
      <c r="AAG30" s="12">
        <f>(1+InflationRate)^INT((AAC30-1)/12)</f>
        <v/>
      </c>
      <c r="AAH30" s="11">
        <f>MonthlyChurn*VLOOKUP(AAD30,ChurnSeasonTable,4,FALSE)</f>
        <v/>
      </c>
      <c r="AAI30" s="12">
        <f>MIN(MAX(MktMin19plus,ABC29*MktPct19plus),MAX(0,ABQ29-CashBuffer))</f>
        <v/>
      </c>
      <c r="AAJ30" s="12">
        <f>IF(AAI30&gt;0,MAX(1,ROUND(AAI30/CAC*AAF30,0)),0)</f>
        <v/>
      </c>
      <c r="AAK30" s="12">
        <f>IF(AAJ30&gt;0,ROUND(AAJ30*ReferralMix/(1-ReferralMix),0),0)</f>
        <v/>
      </c>
      <c r="AAL30" s="12">
        <f>AAJ30+AAK30</f>
        <v/>
      </c>
      <c r="AAM30" s="12">
        <f>ROUND(AAL30*(1-'Sens - Annual Mix'!$A$13),0)</f>
        <v/>
      </c>
      <c r="AAN30" s="12">
        <f>AAL30-AAM30</f>
        <v/>
      </c>
      <c r="AAO30" s="12">
        <f>ROUND(AAM30*EssentialMix,0)</f>
        <v/>
      </c>
      <c r="AAP30" s="12">
        <f>AAM30-AAO30</f>
        <v/>
      </c>
      <c r="AAQ30" s="12">
        <f>ROUND(AAN30*EssentialMix,0)</f>
        <v/>
      </c>
      <c r="AAR30" s="12">
        <f>AAN30-AAQ30</f>
        <v/>
      </c>
      <c r="AAS30" s="12">
        <f>AAO30+AAO29+AAO28+MAX(0,AAS29-AAO29-AAO28)*(1-AAH30)</f>
        <v/>
      </c>
      <c r="AAT30" s="12">
        <f>AAP30+AAP29+AAP28+MAX(0,AAT29-AAP29-AAP28)*(1-AAH30)</f>
        <v/>
      </c>
      <c r="AAU30" s="12">
        <f>AAU29+AAQ30-AAQ18*(AnnualChurn*VLOOKUP(AAD30,ChurnSeasonTable,4,FALSE))*POWER(1-(AnnualChurn*VLOOKUP(AAD30,ChurnSeasonTable,4,FALSE)),0)+AAQ6*(AnnualChurn*VLOOKUP(AAD30,ChurnSeasonTable,4,FALSE))*POWER(1-(AnnualChurn*VLOOKUP(AAD30,ChurnSeasonTable,4,FALSE)),1)</f>
        <v/>
      </c>
      <c r="AAV30" s="12">
        <f>AAV29+AAR30-AAR18*(AnnualChurn*VLOOKUP(AAD30,ChurnSeasonTable,4,FALSE))*POWER(1-(AnnualChurn*VLOOKUP(AAD30,ChurnSeasonTable,4,FALSE)),0)+AAR6*(AnnualChurn*VLOOKUP(AAD30,ChurnSeasonTable,4,FALSE))*POWER(1-(AnnualChurn*VLOOKUP(AAD30,ChurnSeasonTable,4,FALSE)),1)</f>
        <v/>
      </c>
      <c r="AAW30" s="12">
        <f>AAS30+AAT30+AAU30+AAV30</f>
        <v/>
      </c>
      <c r="AAX30" s="9">
        <f>AAS30*PriceEssMonthly*AAG30+AAT30*PricePremMonthly*AAG30+AAU30*PriceEssAnnual*AAG30/12+AAV30*PricePremAnnual*AAG30/12</f>
        <v/>
      </c>
      <c r="AAY30" s="9">
        <f>AAX30*12</f>
        <v/>
      </c>
      <c r="AAZ30" s="12">
        <f>AAS30*PriceEssMonthly*AAG30+AAT30*PricePremMonthly*AAG30</f>
        <v/>
      </c>
      <c r="ABA30" s="12">
        <f>AAQ30*PriceEssAnnual*AAG30+AAR30*PricePremAnnual*AAG30</f>
        <v/>
      </c>
      <c r="ABB30" s="12">
        <f>AAQ18*POWER(1-(AnnualChurn*VLOOKUP(AAD30,ChurnSeasonTable,4,FALSE)),1)*PriceEssAnnual*AAG30+AAQ6*POWER(1-(AnnualChurn*VLOOKUP(AAD30,ChurnSeasonTable,4,FALSE)),2)*PriceEssAnnual*AAG30+AAR18*POWER(1-(AnnualChurn*VLOOKUP(AAD30,ChurnSeasonTable,4,FALSE)),1)*PricePremAnnual*AAG30+AAR6*POWER(1-(AnnualChurn*VLOOKUP(AAD30,ChurnSeasonTable,4,FALSE)),2)*PricePremAnnual*AAG30</f>
        <v/>
      </c>
      <c r="ABC30" s="9">
        <f>AAZ30+ABA30+ABB30</f>
        <v/>
      </c>
      <c r="ABD30" s="12">
        <f>SUM(ABC19:ABC30)</f>
        <v/>
      </c>
      <c r="ABE30" s="12">
        <f>OR(ABE29,ABD30&gt;=VATThreshold)</f>
        <v/>
      </c>
      <c r="ABF30" s="9">
        <f>IF(ABE30,ABC30/(1+VATRate),ABC30)</f>
        <v/>
      </c>
      <c r="ABG30" s="12">
        <f>ABC30-ABF30</f>
        <v/>
      </c>
      <c r="ABH30" s="12">
        <f>IF(ABE30=0,0,IF(AAD30=1,SUMPRODUCT(--(($AAE$5:$AAE30=$AAE30-1)*($AAD$5:$AAD30&gt;=10)*($AAD$5:$AAD30&lt;=12)),$ABG$5:$ABG30),IF(AAD30=4,SUMPRODUCT(--(($AAE$5:$AAE30=$AAE30)*($AAD$5:$AAD30&gt;=1)*($AAD$5:$AAD30&lt;=3)),$ABG$5:$ABG30),IF(AAD30=7,SUMPRODUCT(--(($AAE$5:$AAE30=$AAE30)*($AAD$5:$AAD30&gt;=4)*($AAD$5:$AAD30&lt;=6)),$ABG$5:$ABG30),IF(AAD30=10,SUMPRODUCT(--(($AAE$5:$AAE30=$AAE30)*($AAD$5:$AAD30&gt;=7)*($AAD$5:$AAD30&lt;=9)),$ABG$5:$ABG30),0)))))</f>
        <v/>
      </c>
      <c r="ABI30" s="12">
        <f>ABI29+ABG30-ABH30</f>
        <v/>
      </c>
      <c r="ABJ30" s="12">
        <f>IF(ProviderDelay&gt;=1,ABF29*ProviderShare,ABF30*ProviderShare)</f>
        <v/>
      </c>
      <c r="ABK30" s="12">
        <f>ABC30*PaymentFee</f>
        <v/>
      </c>
      <c r="ABL30" s="12">
        <f>AAW30*OpsAI</f>
        <v/>
      </c>
      <c r="ABM30" s="12">
        <f>MonthlyFixed</f>
        <v/>
      </c>
      <c r="ABN30" s="12">
        <f>AAK30*ReferralReward</f>
        <v/>
      </c>
      <c r="ABO30" s="12">
        <f>AAI30</f>
        <v/>
      </c>
      <c r="ABP30" s="9">
        <f>ABF30-ABJ30-ABK30-ABL30-ABM30-ABN30-ABO30</f>
        <v/>
      </c>
      <c r="ABQ30" s="9">
        <f>ABQ29+ABC30-(ABJ30+ABK30+ABL30+ABM30+ABN30+ABO30+ABH30)</f>
        <v/>
      </c>
      <c r="ABR30" s="12">
        <f>IF(AAW30&gt;0,AAX30/AAW30,0)</f>
        <v/>
      </c>
      <c r="ABS30" s="11">
        <f>IF(AAW29&gt;0,MAX(0,(AAW29+AAL30-AAW30)/AAW29),0)</f>
        <v/>
      </c>
      <c r="ABU30" s="12" t="n">
        <v>26</v>
      </c>
      <c r="ABV30" s="12">
        <f>MOD(ABU30-1+LaunchMonth-1,12)+1</f>
        <v/>
      </c>
      <c r="ABW30" s="12">
        <f>INT((ABU30-1+LaunchMonth-1)/12)+1</f>
        <v/>
      </c>
      <c r="ABX30" s="12">
        <f>VLOOKUP(ABV30,SeasonTable,2,FALSE)</f>
        <v/>
      </c>
      <c r="ABY30" s="12">
        <f>(1+InflationRate)^INT((ABU30-1)/12)</f>
        <v/>
      </c>
      <c r="ABZ30" s="11">
        <f>MonthlyChurn*VLOOKUP(ABV30,ChurnSeasonTable,4,FALSE)</f>
        <v/>
      </c>
      <c r="ACA30" s="12">
        <f>MIN(MAX(MktMin19plus,ACU29*MktPct19plus),MAX(0,ADI29-CashBuffer))</f>
        <v/>
      </c>
      <c r="ACB30" s="12">
        <f>IF(ACA30&gt;0,MAX(1,ROUND(ACA30/CAC*ABX30,0)),0)</f>
        <v/>
      </c>
      <c r="ACC30" s="12">
        <f>IF(ACB30&gt;0,ROUND(ACB30*ReferralMix/(1-ReferralMix),0),0)</f>
        <v/>
      </c>
      <c r="ACD30" s="12">
        <f>ACB30+ACC30</f>
        <v/>
      </c>
      <c r="ACE30" s="12">
        <f>ROUND(ACD30*(1-'Sens - Annual Mix'!$A$14),0)</f>
        <v/>
      </c>
      <c r="ACF30" s="12">
        <f>ACD30-ACE30</f>
        <v/>
      </c>
      <c r="ACG30" s="12">
        <f>ROUND(ACE30*EssentialMix,0)</f>
        <v/>
      </c>
      <c r="ACH30" s="12">
        <f>ACE30-ACG30</f>
        <v/>
      </c>
      <c r="ACI30" s="12">
        <f>ROUND(ACF30*EssentialMix,0)</f>
        <v/>
      </c>
      <c r="ACJ30" s="12">
        <f>ACF30-ACI30</f>
        <v/>
      </c>
      <c r="ACK30" s="12">
        <f>ACG30+ACG29+ACG28+MAX(0,ACK29-ACG29-ACG28)*(1-ABZ30)</f>
        <v/>
      </c>
      <c r="ACL30" s="12">
        <f>ACH30+ACH29+ACH28+MAX(0,ACL29-ACH29-ACH28)*(1-ABZ30)</f>
        <v/>
      </c>
      <c r="ACM30" s="12">
        <f>ACM29+ACI30-ACI18*(AnnualChurn*VLOOKUP(ABV30,ChurnSeasonTable,4,FALSE))*POWER(1-(AnnualChurn*VLOOKUP(ABV30,ChurnSeasonTable,4,FALSE)),0)+ACI6*(AnnualChurn*VLOOKUP(ABV30,ChurnSeasonTable,4,FALSE))*POWER(1-(AnnualChurn*VLOOKUP(ABV30,ChurnSeasonTable,4,FALSE)),1)</f>
        <v/>
      </c>
      <c r="ACN30" s="12">
        <f>ACN29+ACJ30-ACJ18*(AnnualChurn*VLOOKUP(ABV30,ChurnSeasonTable,4,FALSE))*POWER(1-(AnnualChurn*VLOOKUP(ABV30,ChurnSeasonTable,4,FALSE)),0)+ACJ6*(AnnualChurn*VLOOKUP(ABV30,ChurnSeasonTable,4,FALSE))*POWER(1-(AnnualChurn*VLOOKUP(ABV30,ChurnSeasonTable,4,FALSE)),1)</f>
        <v/>
      </c>
      <c r="ACO30" s="12">
        <f>ACK30+ACL30+ACM30+ACN30</f>
        <v/>
      </c>
      <c r="ACP30" s="9">
        <f>ACK30*PriceEssMonthly*ABY30+ACL30*PricePremMonthly*ABY30+ACM30*PriceEssAnnual*ABY30/12+ACN30*PricePremAnnual*ABY30/12</f>
        <v/>
      </c>
      <c r="ACQ30" s="9">
        <f>ACP30*12</f>
        <v/>
      </c>
      <c r="ACR30" s="12">
        <f>ACK30*PriceEssMonthly*ABY30+ACL30*PricePremMonthly*ABY30</f>
        <v/>
      </c>
      <c r="ACS30" s="12">
        <f>ACI30*PriceEssAnnual*ABY30+ACJ30*PricePremAnnual*ABY30</f>
        <v/>
      </c>
      <c r="ACT30" s="12">
        <f>ACI18*POWER(1-(AnnualChurn*VLOOKUP(ABV30,ChurnSeasonTable,4,FALSE)),1)*PriceEssAnnual*ABY30+ACI6*POWER(1-(AnnualChurn*VLOOKUP(ABV30,ChurnSeasonTable,4,FALSE)),2)*PriceEssAnnual*ABY30+ACJ18*POWER(1-(AnnualChurn*VLOOKUP(ABV30,ChurnSeasonTable,4,FALSE)),1)*PricePremAnnual*ABY30+ACJ6*POWER(1-(AnnualChurn*VLOOKUP(ABV30,ChurnSeasonTable,4,FALSE)),2)*PricePremAnnual*ABY30</f>
        <v/>
      </c>
      <c r="ACU30" s="9">
        <f>ACR30+ACS30+ACT30</f>
        <v/>
      </c>
      <c r="ACV30" s="12">
        <f>SUM(ACU19:ACU30)</f>
        <v/>
      </c>
      <c r="ACW30" s="12">
        <f>OR(ACW29,ACV30&gt;=VATThreshold)</f>
        <v/>
      </c>
      <c r="ACX30" s="9">
        <f>IF(ACW30,ACU30/(1+VATRate),ACU30)</f>
        <v/>
      </c>
      <c r="ACY30" s="12">
        <f>ACU30-ACX30</f>
        <v/>
      </c>
      <c r="ACZ30" s="12">
        <f>IF(ACW30=0,0,IF(ABV30=1,SUMPRODUCT(--(($ABW$5:$ABW30=$ABW30-1)*($ABV$5:$ABV30&gt;=10)*($ABV$5:$ABV30&lt;=12)),$ACY$5:$ACY30),IF(ABV30=4,SUMPRODUCT(--(($ABW$5:$ABW30=$ABW30)*($ABV$5:$ABV30&gt;=1)*($ABV$5:$ABV30&lt;=3)),$ACY$5:$ACY30),IF(ABV30=7,SUMPRODUCT(--(($ABW$5:$ABW30=$ABW30)*($ABV$5:$ABV30&gt;=4)*($ABV$5:$ABV30&lt;=6)),$ACY$5:$ACY30),IF(ABV30=10,SUMPRODUCT(--(($ABW$5:$ABW30=$ABW30)*($ABV$5:$ABV30&gt;=7)*($ABV$5:$ABV30&lt;=9)),$ACY$5:$ACY30),0)))))</f>
        <v/>
      </c>
      <c r="ADA30" s="12">
        <f>ADA29+ACY30-ACZ30</f>
        <v/>
      </c>
      <c r="ADB30" s="12">
        <f>IF(ProviderDelay&gt;=1,ACX29*ProviderShare,ACX30*ProviderShare)</f>
        <v/>
      </c>
      <c r="ADC30" s="12">
        <f>ACU30*PaymentFee</f>
        <v/>
      </c>
      <c r="ADD30" s="12">
        <f>ACO30*OpsAI</f>
        <v/>
      </c>
      <c r="ADE30" s="12">
        <f>MonthlyFixed</f>
        <v/>
      </c>
      <c r="ADF30" s="12">
        <f>ACC30*ReferralReward</f>
        <v/>
      </c>
      <c r="ADG30" s="12">
        <f>ACA30</f>
        <v/>
      </c>
      <c r="ADH30" s="9">
        <f>ACX30-ADB30-ADC30-ADD30-ADE30-ADF30-ADG30</f>
        <v/>
      </c>
      <c r="ADI30" s="9">
        <f>ADI29+ACU30-(ADB30+ADC30+ADD30+ADE30+ADF30+ADG30+ACZ30)</f>
        <v/>
      </c>
      <c r="ADJ30" s="12">
        <f>IF(ACO30&gt;0,ACP30/ACO30,0)</f>
        <v/>
      </c>
      <c r="ADK30" s="11">
        <f>IF(ACO29&gt;0,MAX(0,(ACO29+ACD30-ACO30)/ACO29),0)</f>
        <v/>
      </c>
      <c r="ADM30" s="12" t="n">
        <v>26</v>
      </c>
      <c r="ADN30" s="12">
        <f>MOD(ADM30-1+LaunchMonth-1,12)+1</f>
        <v/>
      </c>
      <c r="ADO30" s="12">
        <f>INT((ADM30-1+LaunchMonth-1)/12)+1</f>
        <v/>
      </c>
      <c r="ADP30" s="12">
        <f>VLOOKUP(ADN30,SeasonTable,2,FALSE)</f>
        <v/>
      </c>
      <c r="ADQ30" s="12">
        <f>(1+InflationRate)^INT((ADM30-1)/12)</f>
        <v/>
      </c>
      <c r="ADR30" s="11">
        <f>MonthlyChurn*VLOOKUP(ADN30,ChurnSeasonTable,4,FALSE)</f>
        <v/>
      </c>
      <c r="ADS30" s="12">
        <f>MIN(MAX(MktMin19plus,AEM29*MktPct19plus),MAX(0,AFA29-CashBuffer))</f>
        <v/>
      </c>
      <c r="ADT30" s="12">
        <f>IF(ADS30&gt;0,MAX(1,ROUND(ADS30/CAC*ADP30,0)),0)</f>
        <v/>
      </c>
      <c r="ADU30" s="12">
        <f>IF(ADT30&gt;0,ROUND(ADT30*ReferralMix/(1-ReferralMix),0),0)</f>
        <v/>
      </c>
      <c r="ADV30" s="12">
        <f>ADT30+ADU30</f>
        <v/>
      </c>
      <c r="ADW30" s="12">
        <f>ROUND(ADV30*(1-'Sens - Annual Mix'!$A$15),0)</f>
        <v/>
      </c>
      <c r="ADX30" s="12">
        <f>ADV30-ADW30</f>
        <v/>
      </c>
      <c r="ADY30" s="12">
        <f>ROUND(ADW30*EssentialMix,0)</f>
        <v/>
      </c>
      <c r="ADZ30" s="12">
        <f>ADW30-ADY30</f>
        <v/>
      </c>
      <c r="AEA30" s="12">
        <f>ROUND(ADX30*EssentialMix,0)</f>
        <v/>
      </c>
      <c r="AEB30" s="12">
        <f>ADX30-AEA30</f>
        <v/>
      </c>
      <c r="AEC30" s="12">
        <f>ADY30+ADY29+ADY28+MAX(0,AEC29-ADY29-ADY28)*(1-ADR30)</f>
        <v/>
      </c>
      <c r="AED30" s="12">
        <f>ADZ30+ADZ29+ADZ28+MAX(0,AED29-ADZ29-ADZ28)*(1-ADR30)</f>
        <v/>
      </c>
      <c r="AEE30" s="12">
        <f>AEE29+AEA30-AEA18*(AnnualChurn*VLOOKUP(ADN30,ChurnSeasonTable,4,FALSE))*POWER(1-(AnnualChurn*VLOOKUP(ADN30,ChurnSeasonTable,4,FALSE)),0)+AEA6*(AnnualChurn*VLOOKUP(ADN30,ChurnSeasonTable,4,FALSE))*POWER(1-(AnnualChurn*VLOOKUP(ADN30,ChurnSeasonTable,4,FALSE)),1)</f>
        <v/>
      </c>
      <c r="AEF30" s="12">
        <f>AEF29+AEB30-AEB18*(AnnualChurn*VLOOKUP(ADN30,ChurnSeasonTable,4,FALSE))*POWER(1-(AnnualChurn*VLOOKUP(ADN30,ChurnSeasonTable,4,FALSE)),0)+AEB6*(AnnualChurn*VLOOKUP(ADN30,ChurnSeasonTable,4,FALSE))*POWER(1-(AnnualChurn*VLOOKUP(ADN30,ChurnSeasonTable,4,FALSE)),1)</f>
        <v/>
      </c>
      <c r="AEG30" s="12">
        <f>AEC30+AED30+AEE30+AEF30</f>
        <v/>
      </c>
      <c r="AEH30" s="9">
        <f>AEC30*PriceEssMonthly*ADQ30+AED30*PricePremMonthly*ADQ30+AEE30*PriceEssAnnual*ADQ30/12+AEF30*PricePremAnnual*ADQ30/12</f>
        <v/>
      </c>
      <c r="AEI30" s="9">
        <f>AEH30*12</f>
        <v/>
      </c>
      <c r="AEJ30" s="12">
        <f>AEC30*PriceEssMonthly*ADQ30+AED30*PricePremMonthly*ADQ30</f>
        <v/>
      </c>
      <c r="AEK30" s="12">
        <f>AEA30*PriceEssAnnual*ADQ30+AEB30*PricePremAnnual*ADQ30</f>
        <v/>
      </c>
      <c r="AEL30" s="12">
        <f>AEA18*POWER(1-(AnnualChurn*VLOOKUP(ADN30,ChurnSeasonTable,4,FALSE)),1)*PriceEssAnnual*ADQ30+AEA6*POWER(1-(AnnualChurn*VLOOKUP(ADN30,ChurnSeasonTable,4,FALSE)),2)*PriceEssAnnual*ADQ30+AEB18*POWER(1-(AnnualChurn*VLOOKUP(ADN30,ChurnSeasonTable,4,FALSE)),1)*PricePremAnnual*ADQ30+AEB6*POWER(1-(AnnualChurn*VLOOKUP(ADN30,ChurnSeasonTable,4,FALSE)),2)*PricePremAnnual*ADQ30</f>
        <v/>
      </c>
      <c r="AEM30" s="9">
        <f>AEJ30+AEK30+AEL30</f>
        <v/>
      </c>
      <c r="AEN30" s="12">
        <f>SUM(AEM19:AEM30)</f>
        <v/>
      </c>
      <c r="AEO30" s="12">
        <f>OR(AEO29,AEN30&gt;=VATThreshold)</f>
        <v/>
      </c>
      <c r="AEP30" s="9">
        <f>IF(AEO30,AEM30/(1+VATRate),AEM30)</f>
        <v/>
      </c>
      <c r="AEQ30" s="12">
        <f>AEM30-AEP30</f>
        <v/>
      </c>
      <c r="AER30" s="12">
        <f>IF(AEO30=0,0,IF(ADN30=1,SUMPRODUCT(--(($ADO$5:$ADO30=$ADO30-1)*($ADN$5:$ADN30&gt;=10)*($ADN$5:$ADN30&lt;=12)),$AEQ$5:$AEQ30),IF(ADN30=4,SUMPRODUCT(--(($ADO$5:$ADO30=$ADO30)*($ADN$5:$ADN30&gt;=1)*($ADN$5:$ADN30&lt;=3)),$AEQ$5:$AEQ30),IF(ADN30=7,SUMPRODUCT(--(($ADO$5:$ADO30=$ADO30)*($ADN$5:$ADN30&gt;=4)*($ADN$5:$ADN30&lt;=6)),$AEQ$5:$AEQ30),IF(ADN30=10,SUMPRODUCT(--(($ADO$5:$ADO30=$ADO30)*($ADN$5:$ADN30&gt;=7)*($ADN$5:$ADN30&lt;=9)),$AEQ$5:$AEQ30),0)))))</f>
        <v/>
      </c>
      <c r="AES30" s="12">
        <f>AES29+AEQ30-AER30</f>
        <v/>
      </c>
      <c r="AET30" s="12">
        <f>IF(ProviderDelay&gt;=1,AEP29*ProviderShare,AEP30*ProviderShare)</f>
        <v/>
      </c>
      <c r="AEU30" s="12">
        <f>AEM30*PaymentFee</f>
        <v/>
      </c>
      <c r="AEV30" s="12">
        <f>AEG30*OpsAI</f>
        <v/>
      </c>
      <c r="AEW30" s="12">
        <f>MonthlyFixed</f>
        <v/>
      </c>
      <c r="AEX30" s="12">
        <f>ADU30*ReferralReward</f>
        <v/>
      </c>
      <c r="AEY30" s="12">
        <f>ADS30</f>
        <v/>
      </c>
      <c r="AEZ30" s="9">
        <f>AEP30-AET30-AEU30-AEV30-AEW30-AEX30-AEY30</f>
        <v/>
      </c>
      <c r="AFA30" s="9">
        <f>AFA29+AEM30-(AET30+AEU30+AEV30+AEW30+AEX30+AEY30+AER30)</f>
        <v/>
      </c>
      <c r="AFB30" s="12">
        <f>IF(AEG30&gt;0,AEH30/AEG30,0)</f>
        <v/>
      </c>
      <c r="AFC30" s="11">
        <f>IF(AEG29&gt;0,MAX(0,(AEG29+ADV30-AEG30)/AEG29),0)</f>
        <v/>
      </c>
      <c r="AFE30" s="12" t="n">
        <v>26</v>
      </c>
      <c r="AFF30" s="12">
        <f>MOD(AFE30-1+LaunchMonth-1,12)+1</f>
        <v/>
      </c>
      <c r="AFG30" s="12">
        <f>INT((AFE30-1+LaunchMonth-1)/12)+1</f>
        <v/>
      </c>
      <c r="AFH30" s="12">
        <f>VLOOKUP(AFF30,SeasonTable,2,FALSE)</f>
        <v/>
      </c>
      <c r="AFI30" s="12">
        <f>(1+InflationRate)^INT((AFE30-1)/12)</f>
        <v/>
      </c>
      <c r="AFJ30" s="11">
        <f>MonthlyChurn*VLOOKUP(AFF30,ChurnSeasonTable,4,FALSE)</f>
        <v/>
      </c>
      <c r="AFK30" s="12">
        <f>MIN(MAX(MktMin19plus,AGE29*MktPct19plus),MAX(0,AGS29-CashBuffer))</f>
        <v/>
      </c>
      <c r="AFL30" s="12">
        <f>IF(AFK30&gt;0,MAX(1,ROUND(AFK30/'Sens - CAC &amp; Marketing'!$A$9*AFH30,0)),0)</f>
        <v/>
      </c>
      <c r="AFM30" s="12">
        <f>IF(AFL30&gt;0,ROUND(AFL30*ReferralMix/(1-ReferralMix),0),0)</f>
        <v/>
      </c>
      <c r="AFN30" s="12">
        <f>AFL30+AFM30</f>
        <v/>
      </c>
      <c r="AFO30" s="12">
        <f>ROUND(AFN30*(1-AnnualMix),0)</f>
        <v/>
      </c>
      <c r="AFP30" s="12">
        <f>AFN30-AFO30</f>
        <v/>
      </c>
      <c r="AFQ30" s="12">
        <f>ROUND(AFO30*EssentialMix,0)</f>
        <v/>
      </c>
      <c r="AFR30" s="12">
        <f>AFO30-AFQ30</f>
        <v/>
      </c>
      <c r="AFS30" s="12">
        <f>ROUND(AFP30*EssentialMix,0)</f>
        <v/>
      </c>
      <c r="AFT30" s="12">
        <f>AFP30-AFS30</f>
        <v/>
      </c>
      <c r="AFU30" s="12">
        <f>AFQ30+AFQ29+AFQ28+MAX(0,AFU29-AFQ29-AFQ28)*(1-AFJ30)</f>
        <v/>
      </c>
      <c r="AFV30" s="12">
        <f>AFR30+AFR29+AFR28+MAX(0,AFV29-AFR29-AFR28)*(1-AFJ30)</f>
        <v/>
      </c>
      <c r="AFW30" s="12">
        <f>AFW29+AFS30-AFS18*(AnnualChurn*VLOOKUP(AFF30,ChurnSeasonTable,4,FALSE))*POWER(1-(AnnualChurn*VLOOKUP(AFF30,ChurnSeasonTable,4,FALSE)),0)+AFS6*(AnnualChurn*VLOOKUP(AFF30,ChurnSeasonTable,4,FALSE))*POWER(1-(AnnualChurn*VLOOKUP(AFF30,ChurnSeasonTable,4,FALSE)),1)</f>
        <v/>
      </c>
      <c r="AFX30" s="12">
        <f>AFX29+AFT30-AFT18*(AnnualChurn*VLOOKUP(AFF30,ChurnSeasonTable,4,FALSE))*POWER(1-(AnnualChurn*VLOOKUP(AFF30,ChurnSeasonTable,4,FALSE)),0)+AFT6*(AnnualChurn*VLOOKUP(AFF30,ChurnSeasonTable,4,FALSE))*POWER(1-(AnnualChurn*VLOOKUP(AFF30,ChurnSeasonTable,4,FALSE)),1)</f>
        <v/>
      </c>
      <c r="AFY30" s="12">
        <f>AFU30+AFV30+AFW30+AFX30</f>
        <v/>
      </c>
      <c r="AFZ30" s="9">
        <f>AFU30*PriceEssMonthly*AFI30+AFV30*PricePremMonthly*AFI30+AFW30*PriceEssAnnual*AFI30/12+AFX30*PricePremAnnual*AFI30/12</f>
        <v/>
      </c>
      <c r="AGA30" s="9">
        <f>AFZ30*12</f>
        <v/>
      </c>
      <c r="AGB30" s="12">
        <f>AFU30*PriceEssMonthly*AFI30+AFV30*PricePremMonthly*AFI30</f>
        <v/>
      </c>
      <c r="AGC30" s="12">
        <f>AFS30*PriceEssAnnual*AFI30+AFT30*PricePremAnnual*AFI30</f>
        <v/>
      </c>
      <c r="AGD30" s="12">
        <f>AFS18*POWER(1-(AnnualChurn*VLOOKUP(AFF30,ChurnSeasonTable,4,FALSE)),1)*PriceEssAnnual*AFI30+AFS6*POWER(1-(AnnualChurn*VLOOKUP(AFF30,ChurnSeasonTable,4,FALSE)),2)*PriceEssAnnual*AFI30+AFT18*POWER(1-(AnnualChurn*VLOOKUP(AFF30,ChurnSeasonTable,4,FALSE)),1)*PricePremAnnual*AFI30+AFT6*POWER(1-(AnnualChurn*VLOOKUP(AFF30,ChurnSeasonTable,4,FALSE)),2)*PricePremAnnual*AFI30</f>
        <v/>
      </c>
      <c r="AGE30" s="9">
        <f>AGB30+AGC30+AGD30</f>
        <v/>
      </c>
      <c r="AGF30" s="12">
        <f>SUM(AGE19:AGE30)</f>
        <v/>
      </c>
      <c r="AGG30" s="12">
        <f>OR(AGG29,AGF30&gt;=VATThreshold)</f>
        <v/>
      </c>
      <c r="AGH30" s="9">
        <f>IF(AGG30,AGE30/(1+VATRate),AGE30)</f>
        <v/>
      </c>
      <c r="AGI30" s="12">
        <f>AGE30-AGH30</f>
        <v/>
      </c>
      <c r="AGJ30" s="12">
        <f>IF(AGG30=0,0,IF(AFF30=1,SUMPRODUCT(--(($AFG$5:$AFG30=$AFG30-1)*($AFF$5:$AFF30&gt;=10)*($AFF$5:$AFF30&lt;=12)),$AGI$5:$AGI30),IF(AFF30=4,SUMPRODUCT(--(($AFG$5:$AFG30=$AFG30)*($AFF$5:$AFF30&gt;=1)*($AFF$5:$AFF30&lt;=3)),$AGI$5:$AGI30),IF(AFF30=7,SUMPRODUCT(--(($AFG$5:$AFG30=$AFG30)*($AFF$5:$AFF30&gt;=4)*($AFF$5:$AFF30&lt;=6)),$AGI$5:$AGI30),IF(AFF30=10,SUMPRODUCT(--(($AFG$5:$AFG30=$AFG30)*($AFF$5:$AFF30&gt;=7)*($AFF$5:$AFF30&lt;=9)),$AGI$5:$AGI30),0)))))</f>
        <v/>
      </c>
      <c r="AGK30" s="12">
        <f>AGK29+AGI30-AGJ30</f>
        <v/>
      </c>
      <c r="AGL30" s="12">
        <f>IF(ProviderDelay&gt;=1,AGH29*ProviderShare,AGH30*ProviderShare)</f>
        <v/>
      </c>
      <c r="AGM30" s="12">
        <f>AGE30*PaymentFee</f>
        <v/>
      </c>
      <c r="AGN30" s="12">
        <f>AFY30*OpsAI</f>
        <v/>
      </c>
      <c r="AGO30" s="12">
        <f>MonthlyFixed</f>
        <v/>
      </c>
      <c r="AGP30" s="12">
        <f>AFM30*ReferralReward</f>
        <v/>
      </c>
      <c r="AGQ30" s="12">
        <f>AFK30</f>
        <v/>
      </c>
      <c r="AGR30" s="9">
        <f>AGH30-AGL30-AGM30-AGN30-AGO30-AGP30-AGQ30</f>
        <v/>
      </c>
      <c r="AGS30" s="9">
        <f>AGS29+AGE30-(AGL30+AGM30+AGN30+AGO30+AGP30+AGQ30+AGJ30)</f>
        <v/>
      </c>
      <c r="AGT30" s="12">
        <f>IF(AFY30&gt;0,AFZ30/AFY30,0)</f>
        <v/>
      </c>
      <c r="AGU30" s="11">
        <f>IF(AFY29&gt;0,MAX(0,(AFY29+AFN30-AFY30)/AFY29),0)</f>
        <v/>
      </c>
      <c r="AGW30" s="12" t="n">
        <v>26</v>
      </c>
      <c r="AGX30" s="12">
        <f>MOD(AGW30-1+LaunchMonth-1,12)+1</f>
        <v/>
      </c>
      <c r="AGY30" s="12">
        <f>INT((AGW30-1+LaunchMonth-1)/12)+1</f>
        <v/>
      </c>
      <c r="AGZ30" s="12">
        <f>VLOOKUP(AGX30,SeasonTable,2,FALSE)</f>
        <v/>
      </c>
      <c r="AHA30" s="12">
        <f>(1+InflationRate)^INT((AGW30-1)/12)</f>
        <v/>
      </c>
      <c r="AHB30" s="11">
        <f>MonthlyChurn*VLOOKUP(AGX30,ChurnSeasonTable,4,FALSE)</f>
        <v/>
      </c>
      <c r="AHC30" s="12">
        <f>MIN(MAX(MktMin19plus,AHW29*MktPct19plus),MAX(0,AIK29-CashBuffer))</f>
        <v/>
      </c>
      <c r="AHD30" s="12">
        <f>IF(AHC30&gt;0,MAX(1,ROUND(AHC30/'Sens - CAC &amp; Marketing'!$A$10*AGZ30,0)),0)</f>
        <v/>
      </c>
      <c r="AHE30" s="12">
        <f>IF(AHD30&gt;0,ROUND(AHD30*ReferralMix/(1-ReferralMix),0),0)</f>
        <v/>
      </c>
      <c r="AHF30" s="12">
        <f>AHD30+AHE30</f>
        <v/>
      </c>
      <c r="AHG30" s="12">
        <f>ROUND(AHF30*(1-AnnualMix),0)</f>
        <v/>
      </c>
      <c r="AHH30" s="12">
        <f>AHF30-AHG30</f>
        <v/>
      </c>
      <c r="AHI30" s="12">
        <f>ROUND(AHG30*EssentialMix,0)</f>
        <v/>
      </c>
      <c r="AHJ30" s="12">
        <f>AHG30-AHI30</f>
        <v/>
      </c>
      <c r="AHK30" s="12">
        <f>ROUND(AHH30*EssentialMix,0)</f>
        <v/>
      </c>
      <c r="AHL30" s="12">
        <f>AHH30-AHK30</f>
        <v/>
      </c>
      <c r="AHM30" s="12">
        <f>AHI30+AHI29+AHI28+MAX(0,AHM29-AHI29-AHI28)*(1-AHB30)</f>
        <v/>
      </c>
      <c r="AHN30" s="12">
        <f>AHJ30+AHJ29+AHJ28+MAX(0,AHN29-AHJ29-AHJ28)*(1-AHB30)</f>
        <v/>
      </c>
      <c r="AHO30" s="12">
        <f>AHO29+AHK30-AHK18*(AnnualChurn*VLOOKUP(AGX30,ChurnSeasonTable,4,FALSE))*POWER(1-(AnnualChurn*VLOOKUP(AGX30,ChurnSeasonTable,4,FALSE)),0)+AHK6*(AnnualChurn*VLOOKUP(AGX30,ChurnSeasonTable,4,FALSE))*POWER(1-(AnnualChurn*VLOOKUP(AGX30,ChurnSeasonTable,4,FALSE)),1)</f>
        <v/>
      </c>
      <c r="AHP30" s="12">
        <f>AHP29+AHL30-AHL18*(AnnualChurn*VLOOKUP(AGX30,ChurnSeasonTable,4,FALSE))*POWER(1-(AnnualChurn*VLOOKUP(AGX30,ChurnSeasonTable,4,FALSE)),0)+AHL6*(AnnualChurn*VLOOKUP(AGX30,ChurnSeasonTable,4,FALSE))*POWER(1-(AnnualChurn*VLOOKUP(AGX30,ChurnSeasonTable,4,FALSE)),1)</f>
        <v/>
      </c>
      <c r="AHQ30" s="12">
        <f>AHM30+AHN30+AHO30+AHP30</f>
        <v/>
      </c>
      <c r="AHR30" s="9">
        <f>AHM30*PriceEssMonthly*AHA30+AHN30*PricePremMonthly*AHA30+AHO30*PriceEssAnnual*AHA30/12+AHP30*PricePremAnnual*AHA30/12</f>
        <v/>
      </c>
      <c r="AHS30" s="9">
        <f>AHR30*12</f>
        <v/>
      </c>
      <c r="AHT30" s="12">
        <f>AHM30*PriceEssMonthly*AHA30+AHN30*PricePremMonthly*AHA30</f>
        <v/>
      </c>
      <c r="AHU30" s="12">
        <f>AHK30*PriceEssAnnual*AHA30+AHL30*PricePremAnnual*AHA30</f>
        <v/>
      </c>
      <c r="AHV30" s="12">
        <f>AHK18*POWER(1-(AnnualChurn*VLOOKUP(AGX30,ChurnSeasonTable,4,FALSE)),1)*PriceEssAnnual*AHA30+AHK6*POWER(1-(AnnualChurn*VLOOKUP(AGX30,ChurnSeasonTable,4,FALSE)),2)*PriceEssAnnual*AHA30+AHL18*POWER(1-(AnnualChurn*VLOOKUP(AGX30,ChurnSeasonTable,4,FALSE)),1)*PricePremAnnual*AHA30+AHL6*POWER(1-(AnnualChurn*VLOOKUP(AGX30,ChurnSeasonTable,4,FALSE)),2)*PricePremAnnual*AHA30</f>
        <v/>
      </c>
      <c r="AHW30" s="9">
        <f>AHT30+AHU30+AHV30</f>
        <v/>
      </c>
      <c r="AHX30" s="12">
        <f>SUM(AHW19:AHW30)</f>
        <v/>
      </c>
      <c r="AHY30" s="12">
        <f>OR(AHY29,AHX30&gt;=VATThreshold)</f>
        <v/>
      </c>
      <c r="AHZ30" s="9">
        <f>IF(AHY30,AHW30/(1+VATRate),AHW30)</f>
        <v/>
      </c>
      <c r="AIA30" s="12">
        <f>AHW30-AHZ30</f>
        <v/>
      </c>
      <c r="AIB30" s="12">
        <f>IF(AHY30=0,0,IF(AGX30=1,SUMPRODUCT(--(($AGY$5:$AGY30=$AGY30-1)*($AGX$5:$AGX30&gt;=10)*($AGX$5:$AGX30&lt;=12)),$AIA$5:$AIA30),IF(AGX30=4,SUMPRODUCT(--(($AGY$5:$AGY30=$AGY30)*($AGX$5:$AGX30&gt;=1)*($AGX$5:$AGX30&lt;=3)),$AIA$5:$AIA30),IF(AGX30=7,SUMPRODUCT(--(($AGY$5:$AGY30=$AGY30)*($AGX$5:$AGX30&gt;=4)*($AGX$5:$AGX30&lt;=6)),$AIA$5:$AIA30),IF(AGX30=10,SUMPRODUCT(--(($AGY$5:$AGY30=$AGY30)*($AGX$5:$AGX30&gt;=7)*($AGX$5:$AGX30&lt;=9)),$AIA$5:$AIA30),0)))))</f>
        <v/>
      </c>
      <c r="AIC30" s="12">
        <f>AIC29+AIA30-AIB30</f>
        <v/>
      </c>
      <c r="AID30" s="12">
        <f>IF(ProviderDelay&gt;=1,AHZ29*ProviderShare,AHZ30*ProviderShare)</f>
        <v/>
      </c>
      <c r="AIE30" s="12">
        <f>AHW30*PaymentFee</f>
        <v/>
      </c>
      <c r="AIF30" s="12">
        <f>AHQ30*OpsAI</f>
        <v/>
      </c>
      <c r="AIG30" s="12">
        <f>MonthlyFixed</f>
        <v/>
      </c>
      <c r="AIH30" s="12">
        <f>AHE30*ReferralReward</f>
        <v/>
      </c>
      <c r="AII30" s="12">
        <f>AHC30</f>
        <v/>
      </c>
      <c r="AIJ30" s="9">
        <f>AHZ30-AID30-AIE30-AIF30-AIG30-AIH30-AII30</f>
        <v/>
      </c>
      <c r="AIK30" s="9">
        <f>AIK29+AHW30-(AID30+AIE30+AIF30+AIG30+AIH30+AII30+AIB30)</f>
        <v/>
      </c>
      <c r="AIL30" s="12">
        <f>IF(AHQ30&gt;0,AHR30/AHQ30,0)</f>
        <v/>
      </c>
      <c r="AIM30" s="11">
        <f>IF(AHQ29&gt;0,MAX(0,(AHQ29+AHF30-AHQ30)/AHQ29),0)</f>
        <v/>
      </c>
      <c r="AIO30" s="12" t="n">
        <v>26</v>
      </c>
      <c r="AIP30" s="12">
        <f>MOD(AIO30-1+LaunchMonth-1,12)+1</f>
        <v/>
      </c>
      <c r="AIQ30" s="12">
        <f>INT((AIO30-1+LaunchMonth-1)/12)+1</f>
        <v/>
      </c>
      <c r="AIR30" s="12">
        <f>VLOOKUP(AIP30,SeasonTable,2,FALSE)</f>
        <v/>
      </c>
      <c r="AIS30" s="12">
        <f>(1+InflationRate)^INT((AIO30-1)/12)</f>
        <v/>
      </c>
      <c r="AIT30" s="11">
        <f>MonthlyChurn*VLOOKUP(AIP30,ChurnSeasonTable,4,FALSE)</f>
        <v/>
      </c>
      <c r="AIU30" s="12">
        <f>MIN(MAX(MktMin19plus,AJO29*MktPct19plus),MAX(0,AKC29-CashBuffer))</f>
        <v/>
      </c>
      <c r="AIV30" s="12">
        <f>IF(AIU30&gt;0,MAX(1,ROUND(AIU30/'Sens - CAC &amp; Marketing'!$A$11*AIR30,0)),0)</f>
        <v/>
      </c>
      <c r="AIW30" s="12">
        <f>IF(AIV30&gt;0,ROUND(AIV30*ReferralMix/(1-ReferralMix),0),0)</f>
        <v/>
      </c>
      <c r="AIX30" s="12">
        <f>AIV30+AIW30</f>
        <v/>
      </c>
      <c r="AIY30" s="12">
        <f>ROUND(AIX30*(1-AnnualMix),0)</f>
        <v/>
      </c>
      <c r="AIZ30" s="12">
        <f>AIX30-AIY30</f>
        <v/>
      </c>
      <c r="AJA30" s="12">
        <f>ROUND(AIY30*EssentialMix,0)</f>
        <v/>
      </c>
      <c r="AJB30" s="12">
        <f>AIY30-AJA30</f>
        <v/>
      </c>
      <c r="AJC30" s="12">
        <f>ROUND(AIZ30*EssentialMix,0)</f>
        <v/>
      </c>
      <c r="AJD30" s="12">
        <f>AIZ30-AJC30</f>
        <v/>
      </c>
      <c r="AJE30" s="12">
        <f>AJA30+AJA29+AJA28+MAX(0,AJE29-AJA29-AJA28)*(1-AIT30)</f>
        <v/>
      </c>
      <c r="AJF30" s="12">
        <f>AJB30+AJB29+AJB28+MAX(0,AJF29-AJB29-AJB28)*(1-AIT30)</f>
        <v/>
      </c>
      <c r="AJG30" s="12">
        <f>AJG29+AJC30-AJC18*(AnnualChurn*VLOOKUP(AIP30,ChurnSeasonTable,4,FALSE))*POWER(1-(AnnualChurn*VLOOKUP(AIP30,ChurnSeasonTable,4,FALSE)),0)+AJC6*(AnnualChurn*VLOOKUP(AIP30,ChurnSeasonTable,4,FALSE))*POWER(1-(AnnualChurn*VLOOKUP(AIP30,ChurnSeasonTable,4,FALSE)),1)</f>
        <v/>
      </c>
      <c r="AJH30" s="12">
        <f>AJH29+AJD30-AJD18*(AnnualChurn*VLOOKUP(AIP30,ChurnSeasonTable,4,FALSE))*POWER(1-(AnnualChurn*VLOOKUP(AIP30,ChurnSeasonTable,4,FALSE)),0)+AJD6*(AnnualChurn*VLOOKUP(AIP30,ChurnSeasonTable,4,FALSE))*POWER(1-(AnnualChurn*VLOOKUP(AIP30,ChurnSeasonTable,4,FALSE)),1)</f>
        <v/>
      </c>
      <c r="AJI30" s="12">
        <f>AJE30+AJF30+AJG30+AJH30</f>
        <v/>
      </c>
      <c r="AJJ30" s="9">
        <f>AJE30*PriceEssMonthly*AIS30+AJF30*PricePremMonthly*AIS30+AJG30*PriceEssAnnual*AIS30/12+AJH30*PricePremAnnual*AIS30/12</f>
        <v/>
      </c>
      <c r="AJK30" s="9">
        <f>AJJ30*12</f>
        <v/>
      </c>
      <c r="AJL30" s="12">
        <f>AJE30*PriceEssMonthly*AIS30+AJF30*PricePremMonthly*AIS30</f>
        <v/>
      </c>
      <c r="AJM30" s="12">
        <f>AJC30*PriceEssAnnual*AIS30+AJD30*PricePremAnnual*AIS30</f>
        <v/>
      </c>
      <c r="AJN30" s="12">
        <f>AJC18*POWER(1-(AnnualChurn*VLOOKUP(AIP30,ChurnSeasonTable,4,FALSE)),1)*PriceEssAnnual*AIS30+AJC6*POWER(1-(AnnualChurn*VLOOKUP(AIP30,ChurnSeasonTable,4,FALSE)),2)*PriceEssAnnual*AIS30+AJD18*POWER(1-(AnnualChurn*VLOOKUP(AIP30,ChurnSeasonTable,4,FALSE)),1)*PricePremAnnual*AIS30+AJD6*POWER(1-(AnnualChurn*VLOOKUP(AIP30,ChurnSeasonTable,4,FALSE)),2)*PricePremAnnual*AIS30</f>
        <v/>
      </c>
      <c r="AJO30" s="9">
        <f>AJL30+AJM30+AJN30</f>
        <v/>
      </c>
      <c r="AJP30" s="12">
        <f>SUM(AJO19:AJO30)</f>
        <v/>
      </c>
      <c r="AJQ30" s="12">
        <f>OR(AJQ29,AJP30&gt;=VATThreshold)</f>
        <v/>
      </c>
      <c r="AJR30" s="9">
        <f>IF(AJQ30,AJO30/(1+VATRate),AJO30)</f>
        <v/>
      </c>
      <c r="AJS30" s="12">
        <f>AJO30-AJR30</f>
        <v/>
      </c>
      <c r="AJT30" s="12">
        <f>IF(AJQ30=0,0,IF(AIP30=1,SUMPRODUCT(--(($AIQ$5:$AIQ30=$AIQ30-1)*($AIP$5:$AIP30&gt;=10)*($AIP$5:$AIP30&lt;=12)),$AJS$5:$AJS30),IF(AIP30=4,SUMPRODUCT(--(($AIQ$5:$AIQ30=$AIQ30)*($AIP$5:$AIP30&gt;=1)*($AIP$5:$AIP30&lt;=3)),$AJS$5:$AJS30),IF(AIP30=7,SUMPRODUCT(--(($AIQ$5:$AIQ30=$AIQ30)*($AIP$5:$AIP30&gt;=4)*($AIP$5:$AIP30&lt;=6)),$AJS$5:$AJS30),IF(AIP30=10,SUMPRODUCT(--(($AIQ$5:$AIQ30=$AIQ30)*($AIP$5:$AIP30&gt;=7)*($AIP$5:$AIP30&lt;=9)),$AJS$5:$AJS30),0)))))</f>
        <v/>
      </c>
      <c r="AJU30" s="12">
        <f>AJU29+AJS30-AJT30</f>
        <v/>
      </c>
      <c r="AJV30" s="12">
        <f>IF(ProviderDelay&gt;=1,AJR29*ProviderShare,AJR30*ProviderShare)</f>
        <v/>
      </c>
      <c r="AJW30" s="12">
        <f>AJO30*PaymentFee</f>
        <v/>
      </c>
      <c r="AJX30" s="12">
        <f>AJI30*OpsAI</f>
        <v/>
      </c>
      <c r="AJY30" s="12">
        <f>MonthlyFixed</f>
        <v/>
      </c>
      <c r="AJZ30" s="12">
        <f>AIW30*ReferralReward</f>
        <v/>
      </c>
      <c r="AKA30" s="12">
        <f>AIU30</f>
        <v/>
      </c>
      <c r="AKB30" s="9">
        <f>AJR30-AJV30-AJW30-AJX30-AJY30-AJZ30-AKA30</f>
        <v/>
      </c>
      <c r="AKC30" s="9">
        <f>AKC29+AJO30-(AJV30+AJW30+AJX30+AJY30+AJZ30+AKA30+AJT30)</f>
        <v/>
      </c>
      <c r="AKD30" s="12">
        <f>IF(AJI30&gt;0,AJJ30/AJI30,0)</f>
        <v/>
      </c>
      <c r="AKE30" s="11">
        <f>IF(AJI29&gt;0,MAX(0,(AJI29+AIX30-AJI30)/AJI29),0)</f>
        <v/>
      </c>
      <c r="AKG30" s="12" t="n">
        <v>26</v>
      </c>
      <c r="AKH30" s="12">
        <f>MOD(AKG30-1+LaunchMonth-1,12)+1</f>
        <v/>
      </c>
      <c r="AKI30" s="12">
        <f>INT((AKG30-1+LaunchMonth-1)/12)+1</f>
        <v/>
      </c>
      <c r="AKJ30" s="12">
        <f>VLOOKUP(AKH30,SeasonTable,2,FALSE)</f>
        <v/>
      </c>
      <c r="AKK30" s="12">
        <f>(1+InflationRate)^INT((AKG30-1)/12)</f>
        <v/>
      </c>
      <c r="AKL30" s="11">
        <f>MonthlyChurn*VLOOKUP(AKH30,ChurnSeasonTable,4,FALSE)</f>
        <v/>
      </c>
      <c r="AKM30" s="12">
        <f>MIN(MAX(MktMin19plus,ALG29*MktPct19plus),MAX(0,ALU29-CashBuffer))</f>
        <v/>
      </c>
      <c r="AKN30" s="12">
        <f>IF(AKM30&gt;0,MAX(1,ROUND(AKM30/'Sens - CAC &amp; Marketing'!$A$12*AKJ30,0)),0)</f>
        <v/>
      </c>
      <c r="AKO30" s="12">
        <f>IF(AKN30&gt;0,ROUND(AKN30*ReferralMix/(1-ReferralMix),0),0)</f>
        <v/>
      </c>
      <c r="AKP30" s="12">
        <f>AKN30+AKO30</f>
        <v/>
      </c>
      <c r="AKQ30" s="12">
        <f>ROUND(AKP30*(1-AnnualMix),0)</f>
        <v/>
      </c>
      <c r="AKR30" s="12">
        <f>AKP30-AKQ30</f>
        <v/>
      </c>
      <c r="AKS30" s="12">
        <f>ROUND(AKQ30*EssentialMix,0)</f>
        <v/>
      </c>
      <c r="AKT30" s="12">
        <f>AKQ30-AKS30</f>
        <v/>
      </c>
      <c r="AKU30" s="12">
        <f>ROUND(AKR30*EssentialMix,0)</f>
        <v/>
      </c>
      <c r="AKV30" s="12">
        <f>AKR30-AKU30</f>
        <v/>
      </c>
      <c r="AKW30" s="12">
        <f>AKS30+AKS29+AKS28+MAX(0,AKW29-AKS29-AKS28)*(1-AKL30)</f>
        <v/>
      </c>
      <c r="AKX30" s="12">
        <f>AKT30+AKT29+AKT28+MAX(0,AKX29-AKT29-AKT28)*(1-AKL30)</f>
        <v/>
      </c>
      <c r="AKY30" s="12">
        <f>AKY29+AKU30-AKU18*(AnnualChurn*VLOOKUP(AKH30,ChurnSeasonTable,4,FALSE))*POWER(1-(AnnualChurn*VLOOKUP(AKH30,ChurnSeasonTable,4,FALSE)),0)+AKU6*(AnnualChurn*VLOOKUP(AKH30,ChurnSeasonTable,4,FALSE))*POWER(1-(AnnualChurn*VLOOKUP(AKH30,ChurnSeasonTable,4,FALSE)),1)</f>
        <v/>
      </c>
      <c r="AKZ30" s="12">
        <f>AKZ29+AKV30-AKV18*(AnnualChurn*VLOOKUP(AKH30,ChurnSeasonTable,4,FALSE))*POWER(1-(AnnualChurn*VLOOKUP(AKH30,ChurnSeasonTable,4,FALSE)),0)+AKV6*(AnnualChurn*VLOOKUP(AKH30,ChurnSeasonTable,4,FALSE))*POWER(1-(AnnualChurn*VLOOKUP(AKH30,ChurnSeasonTable,4,FALSE)),1)</f>
        <v/>
      </c>
      <c r="ALA30" s="12">
        <f>AKW30+AKX30+AKY30+AKZ30</f>
        <v/>
      </c>
      <c r="ALB30" s="9">
        <f>AKW30*PriceEssMonthly*AKK30+AKX30*PricePremMonthly*AKK30+AKY30*PriceEssAnnual*AKK30/12+AKZ30*PricePremAnnual*AKK30/12</f>
        <v/>
      </c>
      <c r="ALC30" s="9">
        <f>ALB30*12</f>
        <v/>
      </c>
      <c r="ALD30" s="12">
        <f>AKW30*PriceEssMonthly*AKK30+AKX30*PricePremMonthly*AKK30</f>
        <v/>
      </c>
      <c r="ALE30" s="12">
        <f>AKU30*PriceEssAnnual*AKK30+AKV30*PricePremAnnual*AKK30</f>
        <v/>
      </c>
      <c r="ALF30" s="12">
        <f>AKU18*POWER(1-(AnnualChurn*VLOOKUP(AKH30,ChurnSeasonTable,4,FALSE)),1)*PriceEssAnnual*AKK30+AKU6*POWER(1-(AnnualChurn*VLOOKUP(AKH30,ChurnSeasonTable,4,FALSE)),2)*PriceEssAnnual*AKK30+AKV18*POWER(1-(AnnualChurn*VLOOKUP(AKH30,ChurnSeasonTable,4,FALSE)),1)*PricePremAnnual*AKK30+AKV6*POWER(1-(AnnualChurn*VLOOKUP(AKH30,ChurnSeasonTable,4,FALSE)),2)*PricePremAnnual*AKK30</f>
        <v/>
      </c>
      <c r="ALG30" s="9">
        <f>ALD30+ALE30+ALF30</f>
        <v/>
      </c>
      <c r="ALH30" s="12">
        <f>SUM(ALG19:ALG30)</f>
        <v/>
      </c>
      <c r="ALI30" s="12">
        <f>OR(ALI29,ALH30&gt;=VATThreshold)</f>
        <v/>
      </c>
      <c r="ALJ30" s="9">
        <f>IF(ALI30,ALG30/(1+VATRate),ALG30)</f>
        <v/>
      </c>
      <c r="ALK30" s="12">
        <f>ALG30-ALJ30</f>
        <v/>
      </c>
      <c r="ALL30" s="12">
        <f>IF(ALI30=0,0,IF(AKH30=1,SUMPRODUCT(--(($AKI$5:$AKI30=$AKI30-1)*($AKH$5:$AKH30&gt;=10)*($AKH$5:$AKH30&lt;=12)),$ALK$5:$ALK30),IF(AKH30=4,SUMPRODUCT(--(($AKI$5:$AKI30=$AKI30)*($AKH$5:$AKH30&gt;=1)*($AKH$5:$AKH30&lt;=3)),$ALK$5:$ALK30),IF(AKH30=7,SUMPRODUCT(--(($AKI$5:$AKI30=$AKI30)*($AKH$5:$AKH30&gt;=4)*($AKH$5:$AKH30&lt;=6)),$ALK$5:$ALK30),IF(AKH30=10,SUMPRODUCT(--(($AKI$5:$AKI30=$AKI30)*($AKH$5:$AKH30&gt;=7)*($AKH$5:$AKH30&lt;=9)),$ALK$5:$ALK30),0)))))</f>
        <v/>
      </c>
      <c r="ALM30" s="12">
        <f>ALM29+ALK30-ALL30</f>
        <v/>
      </c>
      <c r="ALN30" s="12">
        <f>IF(ProviderDelay&gt;=1,ALJ29*ProviderShare,ALJ30*ProviderShare)</f>
        <v/>
      </c>
      <c r="ALO30" s="12">
        <f>ALG30*PaymentFee</f>
        <v/>
      </c>
      <c r="ALP30" s="12">
        <f>ALA30*OpsAI</f>
        <v/>
      </c>
      <c r="ALQ30" s="12">
        <f>MonthlyFixed</f>
        <v/>
      </c>
      <c r="ALR30" s="12">
        <f>AKO30*ReferralReward</f>
        <v/>
      </c>
      <c r="ALS30" s="12">
        <f>AKM30</f>
        <v/>
      </c>
      <c r="ALT30" s="9">
        <f>ALJ30-ALN30-ALO30-ALP30-ALQ30-ALR30-ALS30</f>
        <v/>
      </c>
      <c r="ALU30" s="9">
        <f>ALU29+ALG30-(ALN30+ALO30+ALP30+ALQ30+ALR30+ALS30+ALL30)</f>
        <v/>
      </c>
      <c r="ALV30" s="12">
        <f>IF(ALA30&gt;0,ALB30/ALA30,0)</f>
        <v/>
      </c>
      <c r="ALW30" s="11">
        <f>IF(ALA29&gt;0,MAX(0,(ALA29+AKP30-ALA30)/ALA29),0)</f>
        <v/>
      </c>
      <c r="ALY30" s="12" t="n">
        <v>26</v>
      </c>
      <c r="ALZ30" s="12">
        <f>MOD(ALY30-1+LaunchMonth-1,12)+1</f>
        <v/>
      </c>
      <c r="AMA30" s="12">
        <f>INT((ALY30-1+LaunchMonth-1)/12)+1</f>
        <v/>
      </c>
      <c r="AMB30" s="12">
        <f>VLOOKUP(ALZ30,SeasonTable,2,FALSE)</f>
        <v/>
      </c>
      <c r="AMC30" s="12">
        <f>(1+InflationRate)^INT((ALY30-1)/12)</f>
        <v/>
      </c>
      <c r="AMD30" s="11">
        <f>MonthlyChurn*VLOOKUP(ALZ30,ChurnSeasonTable,4,FALSE)</f>
        <v/>
      </c>
      <c r="AME30" s="12">
        <f>MIN(MAX(MktMin19plus,AMY29*MktPct19plus),MAX(0,ANM29-CashBuffer))</f>
        <v/>
      </c>
      <c r="AMF30" s="12">
        <f>IF(AME30&gt;0,MAX(1,ROUND(AME30/'Sens - CAC &amp; Marketing'!$A$13*AMB30,0)),0)</f>
        <v/>
      </c>
      <c r="AMG30" s="12">
        <f>IF(AMF30&gt;0,ROUND(AMF30*ReferralMix/(1-ReferralMix),0),0)</f>
        <v/>
      </c>
      <c r="AMH30" s="12">
        <f>AMF30+AMG30</f>
        <v/>
      </c>
      <c r="AMI30" s="12">
        <f>ROUND(AMH30*(1-AnnualMix),0)</f>
        <v/>
      </c>
      <c r="AMJ30" s="12">
        <f>AMH30-AMI30</f>
        <v/>
      </c>
      <c r="AMK30" s="12">
        <f>ROUND(AMI30*EssentialMix,0)</f>
        <v/>
      </c>
      <c r="AML30" s="12">
        <f>AMI30-AMK30</f>
        <v/>
      </c>
      <c r="AMM30" s="12">
        <f>ROUND(AMJ30*EssentialMix,0)</f>
        <v/>
      </c>
      <c r="AMN30" s="12">
        <f>AMJ30-AMM30</f>
        <v/>
      </c>
      <c r="AMO30" s="12">
        <f>AMK30+AMK29+AMK28+MAX(0,AMO29-AMK29-AMK28)*(1-AMD30)</f>
        <v/>
      </c>
      <c r="AMP30" s="12">
        <f>AML30+AML29+AML28+MAX(0,AMP29-AML29-AML28)*(1-AMD30)</f>
        <v/>
      </c>
      <c r="AMQ30" s="12">
        <f>AMQ29+AMM30-AMM18*(AnnualChurn*VLOOKUP(ALZ30,ChurnSeasonTable,4,FALSE))*POWER(1-(AnnualChurn*VLOOKUP(ALZ30,ChurnSeasonTable,4,FALSE)),0)+AMM6*(AnnualChurn*VLOOKUP(ALZ30,ChurnSeasonTable,4,FALSE))*POWER(1-(AnnualChurn*VLOOKUP(ALZ30,ChurnSeasonTable,4,FALSE)),1)</f>
        <v/>
      </c>
      <c r="AMR30" s="12">
        <f>AMR29+AMN30-AMN18*(AnnualChurn*VLOOKUP(ALZ30,ChurnSeasonTable,4,FALSE))*POWER(1-(AnnualChurn*VLOOKUP(ALZ30,ChurnSeasonTable,4,FALSE)),0)+AMN6*(AnnualChurn*VLOOKUP(ALZ30,ChurnSeasonTable,4,FALSE))*POWER(1-(AnnualChurn*VLOOKUP(ALZ30,ChurnSeasonTable,4,FALSE)),1)</f>
        <v/>
      </c>
      <c r="AMS30" s="12">
        <f>AMO30+AMP30+AMQ30+AMR30</f>
        <v/>
      </c>
      <c r="AMT30" s="9">
        <f>AMO30*PriceEssMonthly*AMC30+AMP30*PricePremMonthly*AMC30+AMQ30*PriceEssAnnual*AMC30/12+AMR30*PricePremAnnual*AMC30/12</f>
        <v/>
      </c>
      <c r="AMU30" s="9">
        <f>AMT30*12</f>
        <v/>
      </c>
      <c r="AMV30" s="12">
        <f>AMO30*PriceEssMonthly*AMC30+AMP30*PricePremMonthly*AMC30</f>
        <v/>
      </c>
      <c r="AMW30" s="12">
        <f>AMM30*PriceEssAnnual*AMC30+AMN30*PricePremAnnual*AMC30</f>
        <v/>
      </c>
      <c r="AMX30" s="12">
        <f>AMM18*POWER(1-(AnnualChurn*VLOOKUP(ALZ30,ChurnSeasonTable,4,FALSE)),1)*PriceEssAnnual*AMC30+AMM6*POWER(1-(AnnualChurn*VLOOKUP(ALZ30,ChurnSeasonTable,4,FALSE)),2)*PriceEssAnnual*AMC30+AMN18*POWER(1-(AnnualChurn*VLOOKUP(ALZ30,ChurnSeasonTable,4,FALSE)),1)*PricePremAnnual*AMC30+AMN6*POWER(1-(AnnualChurn*VLOOKUP(ALZ30,ChurnSeasonTable,4,FALSE)),2)*PricePremAnnual*AMC30</f>
        <v/>
      </c>
      <c r="AMY30" s="9">
        <f>AMV30+AMW30+AMX30</f>
        <v/>
      </c>
      <c r="AMZ30" s="12">
        <f>SUM(AMY19:AMY30)</f>
        <v/>
      </c>
      <c r="ANA30" s="12">
        <f>OR(ANA29,AMZ30&gt;=VATThreshold)</f>
        <v/>
      </c>
      <c r="ANB30" s="9">
        <f>IF(ANA30,AMY30/(1+VATRate),AMY30)</f>
        <v/>
      </c>
      <c r="ANC30" s="12">
        <f>AMY30-ANB30</f>
        <v/>
      </c>
      <c r="AND30" s="12">
        <f>IF(ANA30=0,0,IF(ALZ30=1,SUMPRODUCT(--(($AMA$5:$AMA30=$AMA30-1)*($ALZ$5:$ALZ30&gt;=10)*($ALZ$5:$ALZ30&lt;=12)),$ANC$5:$ANC30),IF(ALZ30=4,SUMPRODUCT(--(($AMA$5:$AMA30=$AMA30)*($ALZ$5:$ALZ30&gt;=1)*($ALZ$5:$ALZ30&lt;=3)),$ANC$5:$ANC30),IF(ALZ30=7,SUMPRODUCT(--(($AMA$5:$AMA30=$AMA30)*($ALZ$5:$ALZ30&gt;=4)*($ALZ$5:$ALZ30&lt;=6)),$ANC$5:$ANC30),IF(ALZ30=10,SUMPRODUCT(--(($AMA$5:$AMA30=$AMA30)*($ALZ$5:$ALZ30&gt;=7)*($ALZ$5:$ALZ30&lt;=9)),$ANC$5:$ANC30),0)))))</f>
        <v/>
      </c>
      <c r="ANE30" s="12">
        <f>ANE29+ANC30-AND30</f>
        <v/>
      </c>
      <c r="ANF30" s="12">
        <f>IF(ProviderDelay&gt;=1,ANB29*ProviderShare,ANB30*ProviderShare)</f>
        <v/>
      </c>
      <c r="ANG30" s="12">
        <f>AMY30*PaymentFee</f>
        <v/>
      </c>
      <c r="ANH30" s="12">
        <f>AMS30*OpsAI</f>
        <v/>
      </c>
      <c r="ANI30" s="12">
        <f>MonthlyFixed</f>
        <v/>
      </c>
      <c r="ANJ30" s="12">
        <f>AMG30*ReferralReward</f>
        <v/>
      </c>
      <c r="ANK30" s="12">
        <f>AME30</f>
        <v/>
      </c>
      <c r="ANL30" s="9">
        <f>ANB30-ANF30-ANG30-ANH30-ANI30-ANJ30-ANK30</f>
        <v/>
      </c>
      <c r="ANM30" s="9">
        <f>ANM29+AMY30-(ANF30+ANG30+ANH30+ANI30+ANJ30+ANK30+AND30)</f>
        <v/>
      </c>
      <c r="ANN30" s="12">
        <f>IF(AMS30&gt;0,AMT30/AMS30,0)</f>
        <v/>
      </c>
      <c r="ANO30" s="11">
        <f>IF(AMS29&gt;0,MAX(0,(AMS29+AMH30-AMS30)/AMS29),0)</f>
        <v/>
      </c>
      <c r="ANQ30" s="12" t="n">
        <v>26</v>
      </c>
      <c r="ANR30" s="12">
        <f>MOD(ANQ30-1+LaunchMonth-1,12)+1</f>
        <v/>
      </c>
      <c r="ANS30" s="12">
        <f>INT((ANQ30-1+LaunchMonth-1)/12)+1</f>
        <v/>
      </c>
      <c r="ANT30" s="12">
        <f>VLOOKUP(ANR30,SeasonTable,2,FALSE)</f>
        <v/>
      </c>
      <c r="ANU30" s="12">
        <f>(1+InflationRate)^INT((ANQ30-1)/12)</f>
        <v/>
      </c>
      <c r="ANV30" s="11">
        <f>MonthlyChurn*VLOOKUP(ANR30,ChurnSeasonTable,4,FALSE)</f>
        <v/>
      </c>
      <c r="ANW30" s="12">
        <f>MIN(MAX(MktMin19plus,AOQ29*MktPct19plus),MAX(0,APE29-CashBuffer))</f>
        <v/>
      </c>
      <c r="ANX30" s="12">
        <f>IF(ANW30&gt;0,MAX(1,ROUND(ANW30/'Sens - CAC &amp; Marketing'!$A$14*ANT30,0)),0)</f>
        <v/>
      </c>
      <c r="ANY30" s="12">
        <f>IF(ANX30&gt;0,ROUND(ANX30*ReferralMix/(1-ReferralMix),0),0)</f>
        <v/>
      </c>
      <c r="ANZ30" s="12">
        <f>ANX30+ANY30</f>
        <v/>
      </c>
      <c r="AOA30" s="12">
        <f>ROUND(ANZ30*(1-AnnualMix),0)</f>
        <v/>
      </c>
      <c r="AOB30" s="12">
        <f>ANZ30-AOA30</f>
        <v/>
      </c>
      <c r="AOC30" s="12">
        <f>ROUND(AOA30*EssentialMix,0)</f>
        <v/>
      </c>
      <c r="AOD30" s="12">
        <f>AOA30-AOC30</f>
        <v/>
      </c>
      <c r="AOE30" s="12">
        <f>ROUND(AOB30*EssentialMix,0)</f>
        <v/>
      </c>
      <c r="AOF30" s="12">
        <f>AOB30-AOE30</f>
        <v/>
      </c>
      <c r="AOG30" s="12">
        <f>AOC30+AOC29+AOC28+MAX(0,AOG29-AOC29-AOC28)*(1-ANV30)</f>
        <v/>
      </c>
      <c r="AOH30" s="12">
        <f>AOD30+AOD29+AOD28+MAX(0,AOH29-AOD29-AOD28)*(1-ANV30)</f>
        <v/>
      </c>
      <c r="AOI30" s="12">
        <f>AOI29+AOE30-AOE18*(AnnualChurn*VLOOKUP(ANR30,ChurnSeasonTable,4,FALSE))*POWER(1-(AnnualChurn*VLOOKUP(ANR30,ChurnSeasonTable,4,FALSE)),0)+AOE6*(AnnualChurn*VLOOKUP(ANR30,ChurnSeasonTable,4,FALSE))*POWER(1-(AnnualChurn*VLOOKUP(ANR30,ChurnSeasonTable,4,FALSE)),1)</f>
        <v/>
      </c>
      <c r="AOJ30" s="12">
        <f>AOJ29+AOF30-AOF18*(AnnualChurn*VLOOKUP(ANR30,ChurnSeasonTable,4,FALSE))*POWER(1-(AnnualChurn*VLOOKUP(ANR30,ChurnSeasonTable,4,FALSE)),0)+AOF6*(AnnualChurn*VLOOKUP(ANR30,ChurnSeasonTable,4,FALSE))*POWER(1-(AnnualChurn*VLOOKUP(ANR30,ChurnSeasonTable,4,FALSE)),1)</f>
        <v/>
      </c>
      <c r="AOK30" s="12">
        <f>AOG30+AOH30+AOI30+AOJ30</f>
        <v/>
      </c>
      <c r="AOL30" s="9">
        <f>AOG30*PriceEssMonthly*ANU30+AOH30*PricePremMonthly*ANU30+AOI30*PriceEssAnnual*ANU30/12+AOJ30*PricePremAnnual*ANU30/12</f>
        <v/>
      </c>
      <c r="AOM30" s="9">
        <f>AOL30*12</f>
        <v/>
      </c>
      <c r="AON30" s="12">
        <f>AOG30*PriceEssMonthly*ANU30+AOH30*PricePremMonthly*ANU30</f>
        <v/>
      </c>
      <c r="AOO30" s="12">
        <f>AOE30*PriceEssAnnual*ANU30+AOF30*PricePremAnnual*ANU30</f>
        <v/>
      </c>
      <c r="AOP30" s="12">
        <f>AOE18*POWER(1-(AnnualChurn*VLOOKUP(ANR30,ChurnSeasonTable,4,FALSE)),1)*PriceEssAnnual*ANU30+AOE6*POWER(1-(AnnualChurn*VLOOKUP(ANR30,ChurnSeasonTable,4,FALSE)),2)*PriceEssAnnual*ANU30+AOF18*POWER(1-(AnnualChurn*VLOOKUP(ANR30,ChurnSeasonTable,4,FALSE)),1)*PricePremAnnual*ANU30+AOF6*POWER(1-(AnnualChurn*VLOOKUP(ANR30,ChurnSeasonTable,4,FALSE)),2)*PricePremAnnual*ANU30</f>
        <v/>
      </c>
      <c r="AOQ30" s="9">
        <f>AON30+AOO30+AOP30</f>
        <v/>
      </c>
      <c r="AOR30" s="12">
        <f>SUM(AOQ19:AOQ30)</f>
        <v/>
      </c>
      <c r="AOS30" s="12">
        <f>OR(AOS29,AOR30&gt;=VATThreshold)</f>
        <v/>
      </c>
      <c r="AOT30" s="9">
        <f>IF(AOS30,AOQ30/(1+VATRate),AOQ30)</f>
        <v/>
      </c>
      <c r="AOU30" s="12">
        <f>AOQ30-AOT30</f>
        <v/>
      </c>
      <c r="AOV30" s="12">
        <f>IF(AOS30=0,0,IF(ANR30=1,SUMPRODUCT(--(($ANS$5:$ANS30=$ANS30-1)*($ANR$5:$ANR30&gt;=10)*($ANR$5:$ANR30&lt;=12)),$AOU$5:$AOU30),IF(ANR30=4,SUMPRODUCT(--(($ANS$5:$ANS30=$ANS30)*($ANR$5:$ANR30&gt;=1)*($ANR$5:$ANR30&lt;=3)),$AOU$5:$AOU30),IF(ANR30=7,SUMPRODUCT(--(($ANS$5:$ANS30=$ANS30)*($ANR$5:$ANR30&gt;=4)*($ANR$5:$ANR30&lt;=6)),$AOU$5:$AOU30),IF(ANR30=10,SUMPRODUCT(--(($ANS$5:$ANS30=$ANS30)*($ANR$5:$ANR30&gt;=7)*($ANR$5:$ANR30&lt;=9)),$AOU$5:$AOU30),0)))))</f>
        <v/>
      </c>
      <c r="AOW30" s="12">
        <f>AOW29+AOU30-AOV30</f>
        <v/>
      </c>
      <c r="AOX30" s="12">
        <f>IF(ProviderDelay&gt;=1,AOT29*ProviderShare,AOT30*ProviderShare)</f>
        <v/>
      </c>
      <c r="AOY30" s="12">
        <f>AOQ30*PaymentFee</f>
        <v/>
      </c>
      <c r="AOZ30" s="12">
        <f>AOK30*OpsAI</f>
        <v/>
      </c>
      <c r="APA30" s="12">
        <f>MonthlyFixed</f>
        <v/>
      </c>
      <c r="APB30" s="12">
        <f>ANY30*ReferralReward</f>
        <v/>
      </c>
      <c r="APC30" s="12">
        <f>ANW30</f>
        <v/>
      </c>
      <c r="APD30" s="9">
        <f>AOT30-AOX30-AOY30-AOZ30-APA30-APB30-APC30</f>
        <v/>
      </c>
      <c r="APE30" s="9">
        <f>APE29+AOQ30-(AOX30+AOY30+AOZ30+APA30+APB30+APC30+AOV30)</f>
        <v/>
      </c>
      <c r="APF30" s="12">
        <f>IF(AOK30&gt;0,AOL30/AOK30,0)</f>
        <v/>
      </c>
      <c r="APG30" s="11">
        <f>IF(AOK29&gt;0,MAX(0,(AOK29+ANZ30-AOK30)/AOK29),0)</f>
        <v/>
      </c>
      <c r="API30" s="12" t="n">
        <v>26</v>
      </c>
      <c r="APJ30" s="12">
        <f>MOD(API30-1+LaunchMonth-1,12)+1</f>
        <v/>
      </c>
      <c r="APK30" s="12">
        <f>INT((API30-1+LaunchMonth-1)/12)+1</f>
        <v/>
      </c>
      <c r="APL30" s="12">
        <f>VLOOKUP(APJ30,SeasonTable,2,FALSE)</f>
        <v/>
      </c>
      <c r="APM30" s="12">
        <f>(1+InflationRate)^INT((API30-1)/12)</f>
        <v/>
      </c>
      <c r="APN30" s="11">
        <f>MonthlyChurn*VLOOKUP(APJ30,ChurnSeasonTable,4,FALSE)</f>
        <v/>
      </c>
      <c r="APO30" s="12">
        <f>MIN(MAX(MktMin19plus,AQI29*MktPct19plus),MAX(0,AQW29-CashBuffer))</f>
        <v/>
      </c>
      <c r="APP30" s="12">
        <f>IF(APO30&gt;0,MAX(1,ROUND(APO30/'Sens - CAC &amp; Marketing'!$A$15*APL30,0)),0)</f>
        <v/>
      </c>
      <c r="APQ30" s="12">
        <f>IF(APP30&gt;0,ROUND(APP30*ReferralMix/(1-ReferralMix),0),0)</f>
        <v/>
      </c>
      <c r="APR30" s="12">
        <f>APP30+APQ30</f>
        <v/>
      </c>
      <c r="APS30" s="12">
        <f>ROUND(APR30*(1-AnnualMix),0)</f>
        <v/>
      </c>
      <c r="APT30" s="12">
        <f>APR30-APS30</f>
        <v/>
      </c>
      <c r="APU30" s="12">
        <f>ROUND(APS30*EssentialMix,0)</f>
        <v/>
      </c>
      <c r="APV30" s="12">
        <f>APS30-APU30</f>
        <v/>
      </c>
      <c r="APW30" s="12">
        <f>ROUND(APT30*EssentialMix,0)</f>
        <v/>
      </c>
      <c r="APX30" s="12">
        <f>APT30-APW30</f>
        <v/>
      </c>
      <c r="APY30" s="12">
        <f>APU30+APU29+APU28+MAX(0,APY29-APU29-APU28)*(1-APN30)</f>
        <v/>
      </c>
      <c r="APZ30" s="12">
        <f>APV30+APV29+APV28+MAX(0,APZ29-APV29-APV28)*(1-APN30)</f>
        <v/>
      </c>
      <c r="AQA30" s="12">
        <f>AQA29+APW30-APW18*(AnnualChurn*VLOOKUP(APJ30,ChurnSeasonTable,4,FALSE))*POWER(1-(AnnualChurn*VLOOKUP(APJ30,ChurnSeasonTable,4,FALSE)),0)+APW6*(AnnualChurn*VLOOKUP(APJ30,ChurnSeasonTable,4,FALSE))*POWER(1-(AnnualChurn*VLOOKUP(APJ30,ChurnSeasonTable,4,FALSE)),1)</f>
        <v/>
      </c>
      <c r="AQB30" s="12">
        <f>AQB29+APX30-APX18*(AnnualChurn*VLOOKUP(APJ30,ChurnSeasonTable,4,FALSE))*POWER(1-(AnnualChurn*VLOOKUP(APJ30,ChurnSeasonTable,4,FALSE)),0)+APX6*(AnnualChurn*VLOOKUP(APJ30,ChurnSeasonTable,4,FALSE))*POWER(1-(AnnualChurn*VLOOKUP(APJ30,ChurnSeasonTable,4,FALSE)),1)</f>
        <v/>
      </c>
      <c r="AQC30" s="12">
        <f>APY30+APZ30+AQA30+AQB30</f>
        <v/>
      </c>
      <c r="AQD30" s="9">
        <f>APY30*PriceEssMonthly*APM30+APZ30*PricePremMonthly*APM30+AQA30*PriceEssAnnual*APM30/12+AQB30*PricePremAnnual*APM30/12</f>
        <v/>
      </c>
      <c r="AQE30" s="9">
        <f>AQD30*12</f>
        <v/>
      </c>
      <c r="AQF30" s="12">
        <f>APY30*PriceEssMonthly*APM30+APZ30*PricePremMonthly*APM30</f>
        <v/>
      </c>
      <c r="AQG30" s="12">
        <f>APW30*PriceEssAnnual*APM30+APX30*PricePremAnnual*APM30</f>
        <v/>
      </c>
      <c r="AQH30" s="12">
        <f>APW18*POWER(1-(AnnualChurn*VLOOKUP(APJ30,ChurnSeasonTable,4,FALSE)),1)*PriceEssAnnual*APM30+APW6*POWER(1-(AnnualChurn*VLOOKUP(APJ30,ChurnSeasonTable,4,FALSE)),2)*PriceEssAnnual*APM30+APX18*POWER(1-(AnnualChurn*VLOOKUP(APJ30,ChurnSeasonTable,4,FALSE)),1)*PricePremAnnual*APM30+APX6*POWER(1-(AnnualChurn*VLOOKUP(APJ30,ChurnSeasonTable,4,FALSE)),2)*PricePremAnnual*APM30</f>
        <v/>
      </c>
      <c r="AQI30" s="9">
        <f>AQF30+AQG30+AQH30</f>
        <v/>
      </c>
      <c r="AQJ30" s="12">
        <f>SUM(AQI19:AQI30)</f>
        <v/>
      </c>
      <c r="AQK30" s="12">
        <f>OR(AQK29,AQJ30&gt;=VATThreshold)</f>
        <v/>
      </c>
      <c r="AQL30" s="9">
        <f>IF(AQK30,AQI30/(1+VATRate),AQI30)</f>
        <v/>
      </c>
      <c r="AQM30" s="12">
        <f>AQI30-AQL30</f>
        <v/>
      </c>
      <c r="AQN30" s="12">
        <f>IF(AQK30=0,0,IF(APJ30=1,SUMPRODUCT(--(($APK$5:$APK30=$APK30-1)*($APJ$5:$APJ30&gt;=10)*($APJ$5:$APJ30&lt;=12)),$AQM$5:$AQM30),IF(APJ30=4,SUMPRODUCT(--(($APK$5:$APK30=$APK30)*($APJ$5:$APJ30&gt;=1)*($APJ$5:$APJ30&lt;=3)),$AQM$5:$AQM30),IF(APJ30=7,SUMPRODUCT(--(($APK$5:$APK30=$APK30)*($APJ$5:$APJ30&gt;=4)*($APJ$5:$APJ30&lt;=6)),$AQM$5:$AQM30),IF(APJ30=10,SUMPRODUCT(--(($APK$5:$APK30=$APK30)*($APJ$5:$APJ30&gt;=7)*($APJ$5:$APJ30&lt;=9)),$AQM$5:$AQM30),0)))))</f>
        <v/>
      </c>
      <c r="AQO30" s="12">
        <f>AQO29+AQM30-AQN30</f>
        <v/>
      </c>
      <c r="AQP30" s="12">
        <f>IF(ProviderDelay&gt;=1,AQL29*ProviderShare,AQL30*ProviderShare)</f>
        <v/>
      </c>
      <c r="AQQ30" s="12">
        <f>AQI30*PaymentFee</f>
        <v/>
      </c>
      <c r="AQR30" s="12">
        <f>AQC30*OpsAI</f>
        <v/>
      </c>
      <c r="AQS30" s="12">
        <f>MonthlyFixed</f>
        <v/>
      </c>
      <c r="AQT30" s="12">
        <f>APQ30*ReferralReward</f>
        <v/>
      </c>
      <c r="AQU30" s="12">
        <f>APO30</f>
        <v/>
      </c>
      <c r="AQV30" s="9">
        <f>AQL30-AQP30-AQQ30-AQR30-AQS30-AQT30-AQU30</f>
        <v/>
      </c>
      <c r="AQW30" s="9">
        <f>AQW29+AQI30-(AQP30+AQQ30+AQR30+AQS30+AQT30+AQU30+AQN30)</f>
        <v/>
      </c>
      <c r="AQX30" s="12">
        <f>IF(AQC30&gt;0,AQD30/AQC30,0)</f>
        <v/>
      </c>
      <c r="AQY30" s="11">
        <f>IF(AQC29&gt;0,MAX(0,(AQC29+APR30-AQC30)/AQC29),0)</f>
        <v/>
      </c>
      <c r="ARA30" s="12" t="n">
        <v>26</v>
      </c>
      <c r="ARB30" s="12">
        <f>MOD(ARA30-1+LaunchMonth-1,12)+1</f>
        <v/>
      </c>
      <c r="ARC30" s="12">
        <f>INT((ARA30-1+LaunchMonth-1)/12)+1</f>
        <v/>
      </c>
      <c r="ARD30" s="12">
        <f>VLOOKUP(ARB30,WinterPivotSeasonTable,5,FALSE)</f>
        <v/>
      </c>
      <c r="ARE30" s="12">
        <f>(1+InflationRate)^INT((ARA30-1)/12)</f>
        <v/>
      </c>
      <c r="ARF30" s="11">
        <f>MonthlyChurn*VLOOKUP(ARB30,WinterPivotChurnTable,6,FALSE)</f>
        <v/>
      </c>
      <c r="ARG30" s="12">
        <f>MIN(MAX(MktMin19plus,ASA29*MktPct19plus),MAX(0,ASO29-CashBuffer))</f>
        <v/>
      </c>
      <c r="ARH30" s="12">
        <f>IF(ARG30&gt;0,MAX(1,ROUND(ARG30/CAC*ARD30,0)),0)</f>
        <v/>
      </c>
      <c r="ARI30" s="12">
        <f>IF(ARH30&gt;0,ROUND(ARH30*ReferralMix/(1-ReferralMix),0),0)</f>
        <v/>
      </c>
      <c r="ARJ30" s="12">
        <f>ARH30+ARI30</f>
        <v/>
      </c>
      <c r="ARK30" s="12">
        <f>ROUND(ARJ30*(1-AnnualMix),0)</f>
        <v/>
      </c>
      <c r="ARL30" s="12">
        <f>ARJ30-ARK30</f>
        <v/>
      </c>
      <c r="ARM30" s="12">
        <f>ROUND(ARK30*'Sens - Winter Pivot'!$B$6,0)</f>
        <v/>
      </c>
      <c r="ARN30" s="12">
        <f>ARK30-ARM30</f>
        <v/>
      </c>
      <c r="ARO30" s="12">
        <f>ROUND(ARL30*'Sens - Winter Pivot'!$B$6,0)</f>
        <v/>
      </c>
      <c r="ARP30" s="12">
        <f>ARL30-ARO30</f>
        <v/>
      </c>
      <c r="ARQ30" s="12">
        <f>ARM30+ARM29+ARM28+MAX(0,ARQ29-ARM29-ARM28)*(1-ARF30)</f>
        <v/>
      </c>
      <c r="ARR30" s="12">
        <f>ARN30+ARN29+ARN28+MAX(0,ARR29-ARN29-ARN28)*(1-ARF30)</f>
        <v/>
      </c>
      <c r="ARS30" s="12">
        <f>ARS29+ARO30-ARO18*(AnnualChurn*VLOOKUP(ARB30,WinterPivotChurnTable,6,FALSE))*POWER(1-(AnnualChurn*VLOOKUP(ARB30,WinterPivotChurnTable,6,FALSE)),0)+ARO6*(AnnualChurn*VLOOKUP(ARB30,WinterPivotChurnTable,6,FALSE))*POWER(1-(AnnualChurn*VLOOKUP(ARB30,WinterPivotChurnTable,6,FALSE)),1)</f>
        <v/>
      </c>
      <c r="ART30" s="12">
        <f>ART29+ARP30-ARP18*(AnnualChurn*VLOOKUP(ARB30,WinterPivotChurnTable,6,FALSE))*POWER(1-(AnnualChurn*VLOOKUP(ARB30,WinterPivotChurnTable,6,FALSE)),0)+ARP6*(AnnualChurn*VLOOKUP(ARB30,WinterPivotChurnTable,6,FALSE))*POWER(1-(AnnualChurn*VLOOKUP(ARB30,WinterPivotChurnTable,6,FALSE)),1)</f>
        <v/>
      </c>
      <c r="ARU30" s="12">
        <f>ARQ30+ARR30+ARS30+ART30</f>
        <v/>
      </c>
      <c r="ARV30" s="9">
        <f>ARQ30*PriceEssMonthly*ARE30+ARR30*(PricePremMonthly+'Sens - Winter Pivot'!$B$7)*ARE30+ARS30*PriceEssAnnual*ARE30/12+ART30*(PricePremAnnual+'Sens - Winter Pivot'!$B$7*12)*ARE30/12</f>
        <v/>
      </c>
      <c r="ARW30" s="9">
        <f>ARV30*12</f>
        <v/>
      </c>
      <c r="ARX30" s="12">
        <f>ARQ30*PriceEssMonthly*ARE30+ARR30*(PricePremMonthly+'Sens - Winter Pivot'!$B$7)*ARE30</f>
        <v/>
      </c>
      <c r="ARY30" s="12">
        <f>ARO30*PriceEssAnnual*ARE30+ARP30*(PricePremAnnual+'Sens - Winter Pivot'!$B$7*12)*ARE30</f>
        <v/>
      </c>
      <c r="ARZ30" s="12">
        <f>ARO18*POWER(1-(AnnualChurn*VLOOKUP(ARB30,WinterPivotChurnTable,6,FALSE)),1)*PriceEssAnnual*ARE30+ARO6*POWER(1-(AnnualChurn*VLOOKUP(ARB30,WinterPivotChurnTable,6,FALSE)),2)*PriceEssAnnual*ARE30+ARP18*POWER(1-(AnnualChurn*VLOOKUP(ARB30,WinterPivotChurnTable,6,FALSE)),1)*PricePremAnnual*ARE30+ARP6*POWER(1-(AnnualChurn*VLOOKUP(ARB30,WinterPivotChurnTable,6,FALSE)),2)*PricePremAnnual*ARE30</f>
        <v/>
      </c>
      <c r="ASA30" s="9">
        <f>ARX30+ARY30+ARZ30</f>
        <v/>
      </c>
      <c r="ASB30" s="12">
        <f>SUM(ASA19:ASA30)</f>
        <v/>
      </c>
      <c r="ASC30" s="12">
        <f>OR(ASC29,ASB30&gt;=VATThreshold)</f>
        <v/>
      </c>
      <c r="ASD30" s="9">
        <f>IF(ASC30,ASA30/(1+VATRate),ASA30)</f>
        <v/>
      </c>
      <c r="ASE30" s="12">
        <f>ASA30-ASD30</f>
        <v/>
      </c>
      <c r="ASF30" s="12">
        <f>IF(ASC30=0,0,IF(ARB30=1,SUMPRODUCT(--(($ARC$5:$ARC30=$ARC30-1)*($ARB$5:$ARB30&gt;=10)*($ARB$5:$ARB30&lt;=12)),$ASE$5:$ASE30),IF(ARB30=4,SUMPRODUCT(--(($ARC$5:$ARC30=$ARC30)*($ARB$5:$ARB30&gt;=1)*($ARB$5:$ARB30&lt;=3)),$ASE$5:$ASE30),IF(ARB30=7,SUMPRODUCT(--(($ARC$5:$ARC30=$ARC30)*($ARB$5:$ARB30&gt;=4)*($ARB$5:$ARB30&lt;=6)),$ASE$5:$ASE30),IF(ARB30=10,SUMPRODUCT(--(($ARC$5:$ARC30=$ARC30)*($ARB$5:$ARB30&gt;=7)*($ARB$5:$ARB30&lt;=9)),$ASE$5:$ASE30),0)))))</f>
        <v/>
      </c>
      <c r="ASG30" s="12">
        <f>ASG29+ASE30-ASF30</f>
        <v/>
      </c>
      <c r="ASH30" s="12">
        <f>IF(ProviderDelay&gt;=1,ASD29*ProviderShare,ASD30*ProviderShare)</f>
        <v/>
      </c>
      <c r="ASI30" s="12">
        <f>ASA30*PaymentFee</f>
        <v/>
      </c>
      <c r="ASJ30" s="12">
        <f>ARU30*OpsAI</f>
        <v/>
      </c>
      <c r="ASK30" s="12">
        <f>MonthlyFixed</f>
        <v/>
      </c>
      <c r="ASL30" s="12">
        <f>ARI30*ReferralReward</f>
        <v/>
      </c>
      <c r="ASM30" s="12">
        <f>ARG30</f>
        <v/>
      </c>
      <c r="ASN30" s="9">
        <f>ASD30-ASH30-ASI30-ASJ30-ASK30-ASL30-ASM30</f>
        <v/>
      </c>
      <c r="ASO30" s="9">
        <f>ASO29+ASA30-(ASH30+ASI30+ASJ30+ASK30+ASL30+ASM30+ASF30)</f>
        <v/>
      </c>
      <c r="ASP30" s="12">
        <f>IF(ARU30&gt;0,ARV30/ARU30,0)</f>
        <v/>
      </c>
      <c r="ASQ30" s="11">
        <f>IF(ARU29&gt;0,MAX(0,(ARU29+ARJ30-ARU30)/ARU29),0)</f>
        <v/>
      </c>
    </row>
    <row r="31">
      <c r="A31" s="12" t="n">
        <v>27</v>
      </c>
      <c r="B31" s="12">
        <f>MOD(A31-1+LaunchMonth-1,12)+1</f>
        <v/>
      </c>
      <c r="C31" s="12">
        <f>INT((A31-1+LaunchMonth-1)/12)+1</f>
        <v/>
      </c>
      <c r="D31" s="12">
        <f>VLOOKUP(B31,SeasonTable,2,FALSE)</f>
        <v/>
      </c>
      <c r="E31" s="12">
        <f>(1+InflationRate)^INT((A31-1)/12)</f>
        <v/>
      </c>
      <c r="F31" s="11">
        <f>'Sens - Scenarios'!$B$5*VLOOKUP(B31,ChurnSeasonTable,4,FALSE)</f>
        <v/>
      </c>
      <c r="G31" s="12">
        <f>MIN(MAX(MktMin19plus,AA30*MktPct19plus),MAX(0,AO30-CashBuffer))</f>
        <v/>
      </c>
      <c r="H31" s="12">
        <f>IF(G31&gt;0,MAX(1,ROUND(G31/'Sens - Scenarios'!$B$8*D31,0)),0)</f>
        <v/>
      </c>
      <c r="I31" s="12">
        <f>IF(H31&gt;0,ROUND(H31*ReferralMix/(1-ReferralMix),0),0)</f>
        <v/>
      </c>
      <c r="J31" s="12">
        <f>H31+I31</f>
        <v/>
      </c>
      <c r="K31" s="12">
        <f>ROUND(J31*(1-'Sens - Scenarios'!$B$7),0)</f>
        <v/>
      </c>
      <c r="L31" s="12">
        <f>J31-K31</f>
        <v/>
      </c>
      <c r="M31" s="12">
        <f>ROUND(K31*EssentialMix,0)</f>
        <v/>
      </c>
      <c r="N31" s="12">
        <f>K31-M31</f>
        <v/>
      </c>
      <c r="O31" s="12">
        <f>ROUND(L31*EssentialMix,0)</f>
        <v/>
      </c>
      <c r="P31" s="12">
        <f>L31-O31</f>
        <v/>
      </c>
      <c r="Q31" s="12">
        <f>M31+M30+M29+MAX(0,Q30-M30-M29)*(1-F31)</f>
        <v/>
      </c>
      <c r="R31" s="12">
        <f>N31+N30+N29+MAX(0,R30-N30-N29)*(1-F31)</f>
        <v/>
      </c>
      <c r="S31" s="12">
        <f>S30+O31-O19*('Sens - Scenarios'!$B$6*VLOOKUP(B31,ChurnSeasonTable,4,FALSE))*POWER(1-('Sens - Scenarios'!$B$6*VLOOKUP(B31,ChurnSeasonTable,4,FALSE)),0)+O7*('Sens - Scenarios'!$B$6*VLOOKUP(B31,ChurnSeasonTable,4,FALSE))*POWER(1-('Sens - Scenarios'!$B$6*VLOOKUP(B31,ChurnSeasonTable,4,FALSE)),1)</f>
        <v/>
      </c>
      <c r="T31" s="12">
        <f>T30+P31-P19*('Sens - Scenarios'!$B$6*VLOOKUP(B31,ChurnSeasonTable,4,FALSE))*POWER(1-('Sens - Scenarios'!$B$6*VLOOKUP(B31,ChurnSeasonTable,4,FALSE)),0)+P7*('Sens - Scenarios'!$B$6*VLOOKUP(B31,ChurnSeasonTable,4,FALSE))*POWER(1-('Sens - Scenarios'!$B$6*VLOOKUP(B31,ChurnSeasonTable,4,FALSE)),1)</f>
        <v/>
      </c>
      <c r="U31" s="12">
        <f>Q31+R31+S31+T31</f>
        <v/>
      </c>
      <c r="V31" s="9">
        <f>Q31*PriceEssMonthly*E31+R31*PricePremMonthly*E31+S31*PriceEssAnnual*E31/12+T31*PricePremAnnual*E31/12</f>
        <v/>
      </c>
      <c r="W31" s="9">
        <f>V31*12</f>
        <v/>
      </c>
      <c r="X31" s="12">
        <f>Q31*PriceEssMonthly*E31+R31*PricePremMonthly*E31</f>
        <v/>
      </c>
      <c r="Y31" s="12">
        <f>O31*PriceEssAnnual*E31+P31*PricePremAnnual*E31</f>
        <v/>
      </c>
      <c r="Z31" s="12">
        <f>O19*POWER(1-('Sens - Scenarios'!$B$6*VLOOKUP(B31,ChurnSeasonTable,4,FALSE)),1)*PriceEssAnnual*E31+O7*POWER(1-('Sens - Scenarios'!$B$6*VLOOKUP(B31,ChurnSeasonTable,4,FALSE)),2)*PriceEssAnnual*E31+P19*POWER(1-('Sens - Scenarios'!$B$6*VLOOKUP(B31,ChurnSeasonTable,4,FALSE)),1)*PricePremAnnual*E31+P7*POWER(1-('Sens - Scenarios'!$B$6*VLOOKUP(B31,ChurnSeasonTable,4,FALSE)),2)*PricePremAnnual*E31</f>
        <v/>
      </c>
      <c r="AA31" s="9">
        <f>X31+Y31+Z31</f>
        <v/>
      </c>
      <c r="AB31" s="12">
        <f>SUM(AA20:AA31)</f>
        <v/>
      </c>
      <c r="AC31" s="12">
        <f>OR(AC30,AB31&gt;=VATThreshold)</f>
        <v/>
      </c>
      <c r="AD31" s="9">
        <f>IF(AC31,AA31/(1+VATRate),AA31)</f>
        <v/>
      </c>
      <c r="AE31" s="12">
        <f>AA31-AD31</f>
        <v/>
      </c>
      <c r="AF31" s="12">
        <f>IF(AC31=0,0,IF(B31=1,SUMPRODUCT(--(($C$5:$C31=$C31-1)*($B$5:$B31&gt;=10)*($B$5:$B31&lt;=12)),$AE$5:$AE31),IF(B31=4,SUMPRODUCT(--(($C$5:$C31=$C31)*($B$5:$B31&gt;=1)*($B$5:$B31&lt;=3)),$AE$5:$AE31),IF(B31=7,SUMPRODUCT(--(($C$5:$C31=$C31)*($B$5:$B31&gt;=4)*($B$5:$B31&lt;=6)),$AE$5:$AE31),IF(B31=10,SUMPRODUCT(--(($C$5:$C31=$C31)*($B$5:$B31&gt;=7)*($B$5:$B31&lt;=9)),$AE$5:$AE31),0)))))</f>
        <v/>
      </c>
      <c r="AG31" s="12">
        <f>AG30+AE31-AF31</f>
        <v/>
      </c>
      <c r="AH31" s="12">
        <f>IF(ProviderDelay&gt;=1,AD30*ProviderShare,AD31*ProviderShare)</f>
        <v/>
      </c>
      <c r="AI31" s="12">
        <f>AA31*PaymentFee</f>
        <v/>
      </c>
      <c r="AJ31" s="12">
        <f>U31*OpsAI</f>
        <v/>
      </c>
      <c r="AK31" s="12">
        <f>MonthlyFixed</f>
        <v/>
      </c>
      <c r="AL31" s="12">
        <f>I31*ReferralReward</f>
        <v/>
      </c>
      <c r="AM31" s="12">
        <f>G31</f>
        <v/>
      </c>
      <c r="AN31" s="9">
        <f>AD31-AH31-AI31-AJ31-AK31-AL31-AM31</f>
        <v/>
      </c>
      <c r="AO31" s="9">
        <f>AO30+AA31-(AH31+AI31+AJ31+AK31+AL31+AM31+AF31)</f>
        <v/>
      </c>
      <c r="AP31" s="12">
        <f>IF(U31&gt;0,V31/U31,0)</f>
        <v/>
      </c>
      <c r="AQ31" s="11">
        <f>IF(U30&gt;0,MAX(0,(U30+J31-U31)/U30),0)</f>
        <v/>
      </c>
      <c r="AS31" s="12" t="n">
        <v>27</v>
      </c>
      <c r="AT31" s="12">
        <f>MOD(AS31-1+LaunchMonth-1,12)+1</f>
        <v/>
      </c>
      <c r="AU31" s="12">
        <f>INT((AS31-1+LaunchMonth-1)/12)+1</f>
        <v/>
      </c>
      <c r="AV31" s="12">
        <f>VLOOKUP(AT31,SeasonTable,2,FALSE)</f>
        <v/>
      </c>
      <c r="AW31" s="12">
        <f>(1+InflationRate)^INT((AS31-1)/12)</f>
        <v/>
      </c>
      <c r="AX31" s="11">
        <f>MonthlyChurn*VLOOKUP(AT31,ChurnSeasonTable,4,FALSE)</f>
        <v/>
      </c>
      <c r="AY31" s="12">
        <f>MIN(MAX(MktMin19plus,BS30*MktPct19plus),MAX(0,CG30-CashBuffer))</f>
        <v/>
      </c>
      <c r="AZ31" s="12">
        <f>IF(AY31&gt;0,MAX(1,ROUND(AY31/CAC*AV31,0)),0)</f>
        <v/>
      </c>
      <c r="BA31" s="12">
        <f>IF(AZ31&gt;0,ROUND(AZ31*ReferralMix/(1-ReferralMix),0),0)</f>
        <v/>
      </c>
      <c r="BB31" s="12">
        <f>AZ31+BA31</f>
        <v/>
      </c>
      <c r="BC31" s="12">
        <f>ROUND(BB31*(1-AnnualMix),0)</f>
        <v/>
      </c>
      <c r="BD31" s="12">
        <f>BB31-BC31</f>
        <v/>
      </c>
      <c r="BE31" s="12">
        <f>ROUND(BC31*EssentialMix,0)</f>
        <v/>
      </c>
      <c r="BF31" s="12">
        <f>BC31-BE31</f>
        <v/>
      </c>
      <c r="BG31" s="12">
        <f>ROUND(BD31*EssentialMix,0)</f>
        <v/>
      </c>
      <c r="BH31" s="12">
        <f>BD31-BG31</f>
        <v/>
      </c>
      <c r="BI31" s="12">
        <f>BE31+BE30+BE29+MAX(0,BI30-BE30-BE29)*(1-AX31)</f>
        <v/>
      </c>
      <c r="BJ31" s="12">
        <f>BF31+BF30+BF29+MAX(0,BJ30-BF30-BF29)*(1-AX31)</f>
        <v/>
      </c>
      <c r="BK31" s="12">
        <f>BK30+BG31-BG19*(AnnualChurn*VLOOKUP(AT31,ChurnSeasonTable,4,FALSE))*POWER(1-(AnnualChurn*VLOOKUP(AT31,ChurnSeasonTable,4,FALSE)),0)+BG7*(AnnualChurn*VLOOKUP(AT31,ChurnSeasonTable,4,FALSE))*POWER(1-(AnnualChurn*VLOOKUP(AT31,ChurnSeasonTable,4,FALSE)),1)</f>
        <v/>
      </c>
      <c r="BL31" s="12">
        <f>BL30+BH31-BH19*(AnnualChurn*VLOOKUP(AT31,ChurnSeasonTable,4,FALSE))*POWER(1-(AnnualChurn*VLOOKUP(AT31,ChurnSeasonTable,4,FALSE)),0)+BH7*(AnnualChurn*VLOOKUP(AT31,ChurnSeasonTable,4,FALSE))*POWER(1-(AnnualChurn*VLOOKUP(AT31,ChurnSeasonTable,4,FALSE)),1)</f>
        <v/>
      </c>
      <c r="BM31" s="12">
        <f>BI31+BJ31+BK31+BL31</f>
        <v/>
      </c>
      <c r="BN31" s="9">
        <f>BI31*PriceEssMonthly*AW31+BJ31*PricePremMonthly*AW31+BK31*PriceEssAnnual*AW31/12+BL31*PricePremAnnual*AW31/12</f>
        <v/>
      </c>
      <c r="BO31" s="9">
        <f>BN31*12</f>
        <v/>
      </c>
      <c r="BP31" s="12">
        <f>BI31*PriceEssMonthly*AW31+BJ31*PricePremMonthly*AW31</f>
        <v/>
      </c>
      <c r="BQ31" s="12">
        <f>BG31*PriceEssAnnual*AW31+BH31*PricePremAnnual*AW31</f>
        <v/>
      </c>
      <c r="BR31" s="12">
        <f>BG19*POWER(1-(AnnualChurn*VLOOKUP(AT31,ChurnSeasonTable,4,FALSE)),1)*PriceEssAnnual*AW31+BG7*POWER(1-(AnnualChurn*VLOOKUP(AT31,ChurnSeasonTable,4,FALSE)),2)*PriceEssAnnual*AW31+BH19*POWER(1-(AnnualChurn*VLOOKUP(AT31,ChurnSeasonTable,4,FALSE)),1)*PricePremAnnual*AW31+BH7*POWER(1-(AnnualChurn*VLOOKUP(AT31,ChurnSeasonTable,4,FALSE)),2)*PricePremAnnual*AW31</f>
        <v/>
      </c>
      <c r="BS31" s="9">
        <f>BP31+BQ31+BR31</f>
        <v/>
      </c>
      <c r="BT31" s="12">
        <f>SUM(BS20:BS31)</f>
        <v/>
      </c>
      <c r="BU31" s="12">
        <f>OR(BU30,BT31&gt;=VATThreshold)</f>
        <v/>
      </c>
      <c r="BV31" s="9">
        <f>IF(BU31,BS31/(1+VATRate),BS31)</f>
        <v/>
      </c>
      <c r="BW31" s="12">
        <f>BS31-BV31</f>
        <v/>
      </c>
      <c r="BX31" s="12">
        <f>IF(BU31=0,0,IF(AT31=1,SUMPRODUCT(--(($AU$5:$AU31=$AU31-1)*($AT$5:$AT31&gt;=10)*($AT$5:$AT31&lt;=12)),$BW$5:$BW31),IF(AT31=4,SUMPRODUCT(--(($AU$5:$AU31=$AU31)*($AT$5:$AT31&gt;=1)*($AT$5:$AT31&lt;=3)),$BW$5:$BW31),IF(AT31=7,SUMPRODUCT(--(($AU$5:$AU31=$AU31)*($AT$5:$AT31&gt;=4)*($AT$5:$AT31&lt;=6)),$BW$5:$BW31),IF(AT31=10,SUMPRODUCT(--(($AU$5:$AU31=$AU31)*($AT$5:$AT31&gt;=7)*($AT$5:$AT31&lt;=9)),$BW$5:$BW31),0)))))</f>
        <v/>
      </c>
      <c r="BY31" s="12">
        <f>BY30+BW31-BX31</f>
        <v/>
      </c>
      <c r="BZ31" s="12">
        <f>IF(ProviderDelay&gt;=1,BV30*ProviderShare,BV31*ProviderShare)</f>
        <v/>
      </c>
      <c r="CA31" s="12">
        <f>BS31*PaymentFee</f>
        <v/>
      </c>
      <c r="CB31" s="12">
        <f>BM31*OpsAI</f>
        <v/>
      </c>
      <c r="CC31" s="12">
        <f>MonthlyFixed</f>
        <v/>
      </c>
      <c r="CD31" s="12">
        <f>BA31*ReferralReward</f>
        <v/>
      </c>
      <c r="CE31" s="12">
        <f>AY31</f>
        <v/>
      </c>
      <c r="CF31" s="9">
        <f>BV31-BZ31-CA31-CB31-CC31-CD31-CE31</f>
        <v/>
      </c>
      <c r="CG31" s="9">
        <f>CG30+BS31-(BZ31+CA31+CB31+CC31+CD31+CE31+BX31)</f>
        <v/>
      </c>
      <c r="CH31" s="12">
        <f>IF(BM31&gt;0,BN31/BM31,0)</f>
        <v/>
      </c>
      <c r="CI31" s="11">
        <f>IF(BM30&gt;0,MAX(0,(BM30+BB31-BM31)/BM30),0)</f>
        <v/>
      </c>
      <c r="CK31" s="12" t="n">
        <v>27</v>
      </c>
      <c r="CL31" s="12">
        <f>MOD(CK31-1+LaunchMonth-1,12)+1</f>
        <v/>
      </c>
      <c r="CM31" s="12">
        <f>INT((CK31-1+LaunchMonth-1)/12)+1</f>
        <v/>
      </c>
      <c r="CN31" s="12">
        <f>VLOOKUP(CL31,SeasonTable,2,FALSE)</f>
        <v/>
      </c>
      <c r="CO31" s="12">
        <f>(1+InflationRate)^INT((CK31-1)/12)</f>
        <v/>
      </c>
      <c r="CP31" s="11">
        <f>'Sens - Scenarios'!$D$5*VLOOKUP(CL31,ChurnSeasonTable,4,FALSE)</f>
        <v/>
      </c>
      <c r="CQ31" s="12">
        <f>MIN(MAX(MktMin19plus,DK30*MktPct19plus),MAX(0,DY30-CashBuffer))</f>
        <v/>
      </c>
      <c r="CR31" s="12">
        <f>IF(CQ31&gt;0,MAX(1,ROUND(CQ31/'Sens - Scenarios'!$D$8*CN31,0)),0)</f>
        <v/>
      </c>
      <c r="CS31" s="12">
        <f>IF(CR31&gt;0,ROUND(CR31*ReferralMix/(1-ReferralMix),0),0)</f>
        <v/>
      </c>
      <c r="CT31" s="12">
        <f>CR31+CS31</f>
        <v/>
      </c>
      <c r="CU31" s="12">
        <f>ROUND(CT31*(1-'Sens - Scenarios'!$D$7),0)</f>
        <v/>
      </c>
      <c r="CV31" s="12">
        <f>CT31-CU31</f>
        <v/>
      </c>
      <c r="CW31" s="12">
        <f>ROUND(CU31*EssentialMix,0)</f>
        <v/>
      </c>
      <c r="CX31" s="12">
        <f>CU31-CW31</f>
        <v/>
      </c>
      <c r="CY31" s="12">
        <f>ROUND(CV31*EssentialMix,0)</f>
        <v/>
      </c>
      <c r="CZ31" s="12">
        <f>CV31-CY31</f>
        <v/>
      </c>
      <c r="DA31" s="12">
        <f>CW31+CW30+CW29+MAX(0,DA30-CW30-CW29)*(1-CP31)</f>
        <v/>
      </c>
      <c r="DB31" s="12">
        <f>CX31+CX30+CX29+MAX(0,DB30-CX30-CX29)*(1-CP31)</f>
        <v/>
      </c>
      <c r="DC31" s="12">
        <f>DC30+CY31-CY19*('Sens - Scenarios'!$D$6*VLOOKUP(CL31,ChurnSeasonTable,4,FALSE))*POWER(1-('Sens - Scenarios'!$D$6*VLOOKUP(CL31,ChurnSeasonTable,4,FALSE)),0)+CY7*('Sens - Scenarios'!$D$6*VLOOKUP(CL31,ChurnSeasonTable,4,FALSE))*POWER(1-('Sens - Scenarios'!$D$6*VLOOKUP(CL31,ChurnSeasonTable,4,FALSE)),1)</f>
        <v/>
      </c>
      <c r="DD31" s="12">
        <f>DD30+CZ31-CZ19*('Sens - Scenarios'!$D$6*VLOOKUP(CL31,ChurnSeasonTable,4,FALSE))*POWER(1-('Sens - Scenarios'!$D$6*VLOOKUP(CL31,ChurnSeasonTable,4,FALSE)),0)+CZ7*('Sens - Scenarios'!$D$6*VLOOKUP(CL31,ChurnSeasonTable,4,FALSE))*POWER(1-('Sens - Scenarios'!$D$6*VLOOKUP(CL31,ChurnSeasonTable,4,FALSE)),1)</f>
        <v/>
      </c>
      <c r="DE31" s="12">
        <f>DA31+DB31+DC31+DD31</f>
        <v/>
      </c>
      <c r="DF31" s="9">
        <f>DA31*PriceEssMonthly*CO31+DB31*PricePremMonthly*CO31+DC31*PriceEssAnnual*CO31/12+DD31*PricePremAnnual*CO31/12</f>
        <v/>
      </c>
      <c r="DG31" s="9">
        <f>DF31*12</f>
        <v/>
      </c>
      <c r="DH31" s="12">
        <f>DA31*PriceEssMonthly*CO31+DB31*PricePremMonthly*CO31</f>
        <v/>
      </c>
      <c r="DI31" s="12">
        <f>CY31*PriceEssAnnual*CO31+CZ31*PricePremAnnual*CO31</f>
        <v/>
      </c>
      <c r="DJ31" s="12">
        <f>CY19*POWER(1-('Sens - Scenarios'!$D$6*VLOOKUP(CL31,ChurnSeasonTable,4,FALSE)),1)*PriceEssAnnual*CO31+CY7*POWER(1-('Sens - Scenarios'!$D$6*VLOOKUP(CL31,ChurnSeasonTable,4,FALSE)),2)*PriceEssAnnual*CO31+CZ19*POWER(1-('Sens - Scenarios'!$D$6*VLOOKUP(CL31,ChurnSeasonTable,4,FALSE)),1)*PricePremAnnual*CO31+CZ7*POWER(1-('Sens - Scenarios'!$D$6*VLOOKUP(CL31,ChurnSeasonTable,4,FALSE)),2)*PricePremAnnual*CO31</f>
        <v/>
      </c>
      <c r="DK31" s="9">
        <f>DH31+DI31+DJ31</f>
        <v/>
      </c>
      <c r="DL31" s="12">
        <f>SUM(DK20:DK31)</f>
        <v/>
      </c>
      <c r="DM31" s="12">
        <f>OR(DM30,DL31&gt;=VATThreshold)</f>
        <v/>
      </c>
      <c r="DN31" s="9">
        <f>IF(DM31,DK31/(1+VATRate),DK31)</f>
        <v/>
      </c>
      <c r="DO31" s="12">
        <f>DK31-DN31</f>
        <v/>
      </c>
      <c r="DP31" s="12">
        <f>IF(DM31=0,0,IF(CL31=1,SUMPRODUCT(--(($CM$5:$CM31=$CM31-1)*($CL$5:$CL31&gt;=10)*($CL$5:$CL31&lt;=12)),$DO$5:$DO31),IF(CL31=4,SUMPRODUCT(--(($CM$5:$CM31=$CM31)*($CL$5:$CL31&gt;=1)*($CL$5:$CL31&lt;=3)),$DO$5:$DO31),IF(CL31=7,SUMPRODUCT(--(($CM$5:$CM31=$CM31)*($CL$5:$CL31&gt;=4)*($CL$5:$CL31&lt;=6)),$DO$5:$DO31),IF(CL31=10,SUMPRODUCT(--(($CM$5:$CM31=$CM31)*($CL$5:$CL31&gt;=7)*($CL$5:$CL31&lt;=9)),$DO$5:$DO31),0)))))</f>
        <v/>
      </c>
      <c r="DQ31" s="12">
        <f>DQ30+DO31-DP31</f>
        <v/>
      </c>
      <c r="DR31" s="12">
        <f>IF(ProviderDelay&gt;=1,DN30*ProviderShare,DN31*ProviderShare)</f>
        <v/>
      </c>
      <c r="DS31" s="12">
        <f>DK31*PaymentFee</f>
        <v/>
      </c>
      <c r="DT31" s="12">
        <f>DE31*OpsAI</f>
        <v/>
      </c>
      <c r="DU31" s="12">
        <f>MonthlyFixed</f>
        <v/>
      </c>
      <c r="DV31" s="12">
        <f>CS31*ReferralReward</f>
        <v/>
      </c>
      <c r="DW31" s="12">
        <f>CQ31</f>
        <v/>
      </c>
      <c r="DX31" s="9">
        <f>DN31-DR31-DS31-DT31-DU31-DV31-DW31</f>
        <v/>
      </c>
      <c r="DY31" s="9">
        <f>DY30+DK31-(DR31+DS31+DT31+DU31+DV31+DW31+DP31)</f>
        <v/>
      </c>
      <c r="DZ31" s="12">
        <f>IF(DE31&gt;0,DF31/DE31,0)</f>
        <v/>
      </c>
      <c r="EA31" s="11">
        <f>IF(DE30&gt;0,MAX(0,(DE30+CT31-DE31)/DE30),0)</f>
        <v/>
      </c>
      <c r="EC31" s="12" t="n">
        <v>27</v>
      </c>
      <c r="ED31" s="12">
        <f>MOD(EC31-1+LaunchMonth-1,12)+1</f>
        <v/>
      </c>
      <c r="EE31" s="12">
        <f>INT((EC31-1+LaunchMonth-1)/12)+1</f>
        <v/>
      </c>
      <c r="EF31" s="12">
        <f>VLOOKUP(ED31,SeasonTable,2,FALSE)</f>
        <v/>
      </c>
      <c r="EG31" s="12">
        <f>(1+InflationRate)^INT((EC31-1)/12)</f>
        <v/>
      </c>
      <c r="EH31" s="11">
        <f>'Sens - Churn'!$A$13*VLOOKUP(ED31,ChurnSeasonTable,4,FALSE)</f>
        <v/>
      </c>
      <c r="EI31" s="12">
        <f>MIN(MAX(MktMin19plus,FC30*MktPct19plus),MAX(0,FQ30-CashBuffer))</f>
        <v/>
      </c>
      <c r="EJ31" s="12">
        <f>IF(EI31&gt;0,MAX(1,ROUND(EI31/CAC*EF31,0)),0)</f>
        <v/>
      </c>
      <c r="EK31" s="12">
        <f>IF(EJ31&gt;0,ROUND(EJ31*ReferralMix/(1-ReferralMix),0),0)</f>
        <v/>
      </c>
      <c r="EL31" s="12">
        <f>EJ31+EK31</f>
        <v/>
      </c>
      <c r="EM31" s="12">
        <f>ROUND(EL31*(1-AnnualMix),0)</f>
        <v/>
      </c>
      <c r="EN31" s="12">
        <f>EL31-EM31</f>
        <v/>
      </c>
      <c r="EO31" s="12">
        <f>ROUND(EM31*EssentialMix,0)</f>
        <v/>
      </c>
      <c r="EP31" s="12">
        <f>EM31-EO31</f>
        <v/>
      </c>
      <c r="EQ31" s="12">
        <f>ROUND(EN31*EssentialMix,0)</f>
        <v/>
      </c>
      <c r="ER31" s="12">
        <f>EN31-EQ31</f>
        <v/>
      </c>
      <c r="ES31" s="12">
        <f>EO31+EO30+EO29+MAX(0,ES30-EO30-EO29)*(1-EH31)</f>
        <v/>
      </c>
      <c r="ET31" s="12">
        <f>EP31+EP30+EP29+MAX(0,ET30-EP30-EP29)*(1-EH31)</f>
        <v/>
      </c>
      <c r="EU31" s="12">
        <f>EU30+EQ31-EQ19*(AnnualChurn*VLOOKUP(ED31,ChurnSeasonTable,4,FALSE))*POWER(1-(AnnualChurn*VLOOKUP(ED31,ChurnSeasonTable,4,FALSE)),0)+EQ7*(AnnualChurn*VLOOKUP(ED31,ChurnSeasonTable,4,FALSE))*POWER(1-(AnnualChurn*VLOOKUP(ED31,ChurnSeasonTable,4,FALSE)),1)</f>
        <v/>
      </c>
      <c r="EV31" s="12">
        <f>EV30+ER31-ER19*(AnnualChurn*VLOOKUP(ED31,ChurnSeasonTable,4,FALSE))*POWER(1-(AnnualChurn*VLOOKUP(ED31,ChurnSeasonTable,4,FALSE)),0)+ER7*(AnnualChurn*VLOOKUP(ED31,ChurnSeasonTable,4,FALSE))*POWER(1-(AnnualChurn*VLOOKUP(ED31,ChurnSeasonTable,4,FALSE)),1)</f>
        <v/>
      </c>
      <c r="EW31" s="12">
        <f>ES31+ET31+EU31+EV31</f>
        <v/>
      </c>
      <c r="EX31" s="9">
        <f>ES31*PriceEssMonthly*EG31+ET31*PricePremMonthly*EG31+EU31*PriceEssAnnual*EG31/12+EV31*PricePremAnnual*EG31/12</f>
        <v/>
      </c>
      <c r="EY31" s="9">
        <f>EX31*12</f>
        <v/>
      </c>
      <c r="EZ31" s="12">
        <f>ES31*PriceEssMonthly*EG31+ET31*PricePremMonthly*EG31</f>
        <v/>
      </c>
      <c r="FA31" s="12">
        <f>EQ31*PriceEssAnnual*EG31+ER31*PricePremAnnual*EG31</f>
        <v/>
      </c>
      <c r="FB31" s="12">
        <f>EQ19*POWER(1-(AnnualChurn*VLOOKUP(ED31,ChurnSeasonTable,4,FALSE)),1)*PriceEssAnnual*EG31+EQ7*POWER(1-(AnnualChurn*VLOOKUP(ED31,ChurnSeasonTable,4,FALSE)),2)*PriceEssAnnual*EG31+ER19*POWER(1-(AnnualChurn*VLOOKUP(ED31,ChurnSeasonTable,4,FALSE)),1)*PricePremAnnual*EG31+ER7*POWER(1-(AnnualChurn*VLOOKUP(ED31,ChurnSeasonTable,4,FALSE)),2)*PricePremAnnual*EG31</f>
        <v/>
      </c>
      <c r="FC31" s="9">
        <f>EZ31+FA31+FB31</f>
        <v/>
      </c>
      <c r="FD31" s="12">
        <f>SUM(FC20:FC31)</f>
        <v/>
      </c>
      <c r="FE31" s="12">
        <f>OR(FE30,FD31&gt;=VATThreshold)</f>
        <v/>
      </c>
      <c r="FF31" s="9">
        <f>IF(FE31,FC31/(1+VATRate),FC31)</f>
        <v/>
      </c>
      <c r="FG31" s="12">
        <f>FC31-FF31</f>
        <v/>
      </c>
      <c r="FH31" s="12">
        <f>IF(FE31=0,0,IF(ED31=1,SUMPRODUCT(--(($EE$5:$EE31=$EE31-1)*($ED$5:$ED31&gt;=10)*($ED$5:$ED31&lt;=12)),$FG$5:$FG31),IF(ED31=4,SUMPRODUCT(--(($EE$5:$EE31=$EE31)*($ED$5:$ED31&gt;=1)*($ED$5:$ED31&lt;=3)),$FG$5:$FG31),IF(ED31=7,SUMPRODUCT(--(($EE$5:$EE31=$EE31)*($ED$5:$ED31&gt;=4)*($ED$5:$ED31&lt;=6)),$FG$5:$FG31),IF(ED31=10,SUMPRODUCT(--(($EE$5:$EE31=$EE31)*($ED$5:$ED31&gt;=7)*($ED$5:$ED31&lt;=9)),$FG$5:$FG31),0)))))</f>
        <v/>
      </c>
      <c r="FI31" s="12">
        <f>FI30+FG31-FH31</f>
        <v/>
      </c>
      <c r="FJ31" s="12">
        <f>IF(ProviderDelay&gt;=1,FF30*ProviderShare,FF31*ProviderShare)</f>
        <v/>
      </c>
      <c r="FK31" s="12">
        <f>FC31*PaymentFee</f>
        <v/>
      </c>
      <c r="FL31" s="12">
        <f>EW31*OpsAI</f>
        <v/>
      </c>
      <c r="FM31" s="12">
        <f>MonthlyFixed</f>
        <v/>
      </c>
      <c r="FN31" s="12">
        <f>EK31*ReferralReward</f>
        <v/>
      </c>
      <c r="FO31" s="12">
        <f>EI31</f>
        <v/>
      </c>
      <c r="FP31" s="9">
        <f>FF31-FJ31-FK31-FL31-FM31-FN31-FO31</f>
        <v/>
      </c>
      <c r="FQ31" s="9">
        <f>FQ30+FC31-(FJ31+FK31+FL31+FM31+FN31+FO31+FH31)</f>
        <v/>
      </c>
      <c r="FR31" s="12">
        <f>IF(EW31&gt;0,EX31/EW31,0)</f>
        <v/>
      </c>
      <c r="FS31" s="11">
        <f>IF(EW30&gt;0,MAX(0,(EW30+EL31-EW31)/EW30),0)</f>
        <v/>
      </c>
      <c r="FU31" s="12" t="n">
        <v>27</v>
      </c>
      <c r="FV31" s="12">
        <f>MOD(FU31-1+LaunchMonth-1,12)+1</f>
        <v/>
      </c>
      <c r="FW31" s="12">
        <f>INT((FU31-1+LaunchMonth-1)/12)+1</f>
        <v/>
      </c>
      <c r="FX31" s="12">
        <f>VLOOKUP(FV31,SeasonTable,2,FALSE)</f>
        <v/>
      </c>
      <c r="FY31" s="12">
        <f>(1+InflationRate)^INT((FU31-1)/12)</f>
        <v/>
      </c>
      <c r="FZ31" s="11">
        <f>'Sens - Churn'!$A$14*VLOOKUP(FV31,ChurnSeasonTable,4,FALSE)</f>
        <v/>
      </c>
      <c r="GA31" s="12">
        <f>MIN(MAX(MktMin19plus,GU30*MktPct19plus),MAX(0,HI30-CashBuffer))</f>
        <v/>
      </c>
      <c r="GB31" s="12">
        <f>IF(GA31&gt;0,MAX(1,ROUND(GA31/CAC*FX31,0)),0)</f>
        <v/>
      </c>
      <c r="GC31" s="12">
        <f>IF(GB31&gt;0,ROUND(GB31*ReferralMix/(1-ReferralMix),0),0)</f>
        <v/>
      </c>
      <c r="GD31" s="12">
        <f>GB31+GC31</f>
        <v/>
      </c>
      <c r="GE31" s="12">
        <f>ROUND(GD31*(1-AnnualMix),0)</f>
        <v/>
      </c>
      <c r="GF31" s="12">
        <f>GD31-GE31</f>
        <v/>
      </c>
      <c r="GG31" s="12">
        <f>ROUND(GE31*EssentialMix,0)</f>
        <v/>
      </c>
      <c r="GH31" s="12">
        <f>GE31-GG31</f>
        <v/>
      </c>
      <c r="GI31" s="12">
        <f>ROUND(GF31*EssentialMix,0)</f>
        <v/>
      </c>
      <c r="GJ31" s="12">
        <f>GF31-GI31</f>
        <v/>
      </c>
      <c r="GK31" s="12">
        <f>GG31+GG30+GG29+MAX(0,GK30-GG30-GG29)*(1-FZ31)</f>
        <v/>
      </c>
      <c r="GL31" s="12">
        <f>GH31+GH30+GH29+MAX(0,GL30-GH30-GH29)*(1-FZ31)</f>
        <v/>
      </c>
      <c r="GM31" s="12">
        <f>GM30+GI31-GI19*(AnnualChurn*VLOOKUP(FV31,ChurnSeasonTable,4,FALSE))*POWER(1-(AnnualChurn*VLOOKUP(FV31,ChurnSeasonTable,4,FALSE)),0)+GI7*(AnnualChurn*VLOOKUP(FV31,ChurnSeasonTable,4,FALSE))*POWER(1-(AnnualChurn*VLOOKUP(FV31,ChurnSeasonTable,4,FALSE)),1)</f>
        <v/>
      </c>
      <c r="GN31" s="12">
        <f>GN30+GJ31-GJ19*(AnnualChurn*VLOOKUP(FV31,ChurnSeasonTable,4,FALSE))*POWER(1-(AnnualChurn*VLOOKUP(FV31,ChurnSeasonTable,4,FALSE)),0)+GJ7*(AnnualChurn*VLOOKUP(FV31,ChurnSeasonTable,4,FALSE))*POWER(1-(AnnualChurn*VLOOKUP(FV31,ChurnSeasonTable,4,FALSE)),1)</f>
        <v/>
      </c>
      <c r="GO31" s="12">
        <f>GK31+GL31+GM31+GN31</f>
        <v/>
      </c>
      <c r="GP31" s="9">
        <f>GK31*PriceEssMonthly*FY31+GL31*PricePremMonthly*FY31+GM31*PriceEssAnnual*FY31/12+GN31*PricePremAnnual*FY31/12</f>
        <v/>
      </c>
      <c r="GQ31" s="9">
        <f>GP31*12</f>
        <v/>
      </c>
      <c r="GR31" s="12">
        <f>GK31*PriceEssMonthly*FY31+GL31*PricePremMonthly*FY31</f>
        <v/>
      </c>
      <c r="GS31" s="12">
        <f>GI31*PriceEssAnnual*FY31+GJ31*PricePremAnnual*FY31</f>
        <v/>
      </c>
      <c r="GT31" s="12">
        <f>GI19*POWER(1-(AnnualChurn*VLOOKUP(FV31,ChurnSeasonTable,4,FALSE)),1)*PriceEssAnnual*FY31+GI7*POWER(1-(AnnualChurn*VLOOKUP(FV31,ChurnSeasonTable,4,FALSE)),2)*PriceEssAnnual*FY31+GJ19*POWER(1-(AnnualChurn*VLOOKUP(FV31,ChurnSeasonTable,4,FALSE)),1)*PricePremAnnual*FY31+GJ7*POWER(1-(AnnualChurn*VLOOKUP(FV31,ChurnSeasonTable,4,FALSE)),2)*PricePremAnnual*FY31</f>
        <v/>
      </c>
      <c r="GU31" s="9">
        <f>GR31+GS31+GT31</f>
        <v/>
      </c>
      <c r="GV31" s="12">
        <f>SUM(GU20:GU31)</f>
        <v/>
      </c>
      <c r="GW31" s="12">
        <f>OR(GW30,GV31&gt;=VATThreshold)</f>
        <v/>
      </c>
      <c r="GX31" s="9">
        <f>IF(GW31,GU31/(1+VATRate),GU31)</f>
        <v/>
      </c>
      <c r="GY31" s="12">
        <f>GU31-GX31</f>
        <v/>
      </c>
      <c r="GZ31" s="12">
        <f>IF(GW31=0,0,IF(FV31=1,SUMPRODUCT(--(($FW$5:$FW31=$FW31-1)*($FV$5:$FV31&gt;=10)*($FV$5:$FV31&lt;=12)),$GY$5:$GY31),IF(FV31=4,SUMPRODUCT(--(($FW$5:$FW31=$FW31)*($FV$5:$FV31&gt;=1)*($FV$5:$FV31&lt;=3)),$GY$5:$GY31),IF(FV31=7,SUMPRODUCT(--(($FW$5:$FW31=$FW31)*($FV$5:$FV31&gt;=4)*($FV$5:$FV31&lt;=6)),$GY$5:$GY31),IF(FV31=10,SUMPRODUCT(--(($FW$5:$FW31=$FW31)*($FV$5:$FV31&gt;=7)*($FV$5:$FV31&lt;=9)),$GY$5:$GY31),0)))))</f>
        <v/>
      </c>
      <c r="HA31" s="12">
        <f>HA30+GY31-GZ31</f>
        <v/>
      </c>
      <c r="HB31" s="12">
        <f>IF(ProviderDelay&gt;=1,GX30*ProviderShare,GX31*ProviderShare)</f>
        <v/>
      </c>
      <c r="HC31" s="12">
        <f>GU31*PaymentFee</f>
        <v/>
      </c>
      <c r="HD31" s="12">
        <f>GO31*OpsAI</f>
        <v/>
      </c>
      <c r="HE31" s="12">
        <f>MonthlyFixed</f>
        <v/>
      </c>
      <c r="HF31" s="12">
        <f>GC31*ReferralReward</f>
        <v/>
      </c>
      <c r="HG31" s="12">
        <f>GA31</f>
        <v/>
      </c>
      <c r="HH31" s="9">
        <f>GX31-HB31-HC31-HD31-HE31-HF31-HG31</f>
        <v/>
      </c>
      <c r="HI31" s="9">
        <f>HI30+GU31-(HB31+HC31+HD31+HE31+HF31+HG31+GZ31)</f>
        <v/>
      </c>
      <c r="HJ31" s="12">
        <f>IF(GO31&gt;0,GP31/GO31,0)</f>
        <v/>
      </c>
      <c r="HK31" s="11">
        <f>IF(GO30&gt;0,MAX(0,(GO30+GD31-GO31)/GO30),0)</f>
        <v/>
      </c>
      <c r="HM31" s="12" t="n">
        <v>27</v>
      </c>
      <c r="HN31" s="12">
        <f>MOD(HM31-1+LaunchMonth-1,12)+1</f>
        <v/>
      </c>
      <c r="HO31" s="12">
        <f>INT((HM31-1+LaunchMonth-1)/12)+1</f>
        <v/>
      </c>
      <c r="HP31" s="12">
        <f>VLOOKUP(HN31,SeasonTable,2,FALSE)</f>
        <v/>
      </c>
      <c r="HQ31" s="12">
        <f>(1+InflationRate)^INT((HM31-1)/12)</f>
        <v/>
      </c>
      <c r="HR31" s="11">
        <f>'Sens - Churn'!$A$15*VLOOKUP(HN31,ChurnSeasonTable,4,FALSE)</f>
        <v/>
      </c>
      <c r="HS31" s="12">
        <f>MIN(MAX(MktMin19plus,IM30*MktPct19plus),MAX(0,JA30-CashBuffer))</f>
        <v/>
      </c>
      <c r="HT31" s="12">
        <f>IF(HS31&gt;0,MAX(1,ROUND(HS31/CAC*HP31,0)),0)</f>
        <v/>
      </c>
      <c r="HU31" s="12">
        <f>IF(HT31&gt;0,ROUND(HT31*ReferralMix/(1-ReferralMix),0),0)</f>
        <v/>
      </c>
      <c r="HV31" s="12">
        <f>HT31+HU31</f>
        <v/>
      </c>
      <c r="HW31" s="12">
        <f>ROUND(HV31*(1-AnnualMix),0)</f>
        <v/>
      </c>
      <c r="HX31" s="12">
        <f>HV31-HW31</f>
        <v/>
      </c>
      <c r="HY31" s="12">
        <f>ROUND(HW31*EssentialMix,0)</f>
        <v/>
      </c>
      <c r="HZ31" s="12">
        <f>HW31-HY31</f>
        <v/>
      </c>
      <c r="IA31" s="12">
        <f>ROUND(HX31*EssentialMix,0)</f>
        <v/>
      </c>
      <c r="IB31" s="12">
        <f>HX31-IA31</f>
        <v/>
      </c>
      <c r="IC31" s="12">
        <f>HY31+HY30+HY29+MAX(0,IC30-HY30-HY29)*(1-HR31)</f>
        <v/>
      </c>
      <c r="ID31" s="12">
        <f>HZ31+HZ30+HZ29+MAX(0,ID30-HZ30-HZ29)*(1-HR31)</f>
        <v/>
      </c>
      <c r="IE31" s="12">
        <f>IE30+IA31-IA19*(AnnualChurn*VLOOKUP(HN31,ChurnSeasonTable,4,FALSE))*POWER(1-(AnnualChurn*VLOOKUP(HN31,ChurnSeasonTable,4,FALSE)),0)+IA7*(AnnualChurn*VLOOKUP(HN31,ChurnSeasonTable,4,FALSE))*POWER(1-(AnnualChurn*VLOOKUP(HN31,ChurnSeasonTable,4,FALSE)),1)</f>
        <v/>
      </c>
      <c r="IF31" s="12">
        <f>IF30+IB31-IB19*(AnnualChurn*VLOOKUP(HN31,ChurnSeasonTable,4,FALSE))*POWER(1-(AnnualChurn*VLOOKUP(HN31,ChurnSeasonTable,4,FALSE)),0)+IB7*(AnnualChurn*VLOOKUP(HN31,ChurnSeasonTable,4,FALSE))*POWER(1-(AnnualChurn*VLOOKUP(HN31,ChurnSeasonTable,4,FALSE)),1)</f>
        <v/>
      </c>
      <c r="IG31" s="12">
        <f>IC31+ID31+IE31+IF31</f>
        <v/>
      </c>
      <c r="IH31" s="9">
        <f>IC31*PriceEssMonthly*HQ31+ID31*PricePremMonthly*HQ31+IE31*PriceEssAnnual*HQ31/12+IF31*PricePremAnnual*HQ31/12</f>
        <v/>
      </c>
      <c r="II31" s="9">
        <f>IH31*12</f>
        <v/>
      </c>
      <c r="IJ31" s="12">
        <f>IC31*PriceEssMonthly*HQ31+ID31*PricePremMonthly*HQ31</f>
        <v/>
      </c>
      <c r="IK31" s="12">
        <f>IA31*PriceEssAnnual*HQ31+IB31*PricePremAnnual*HQ31</f>
        <v/>
      </c>
      <c r="IL31" s="12">
        <f>IA19*POWER(1-(AnnualChurn*VLOOKUP(HN31,ChurnSeasonTable,4,FALSE)),1)*PriceEssAnnual*HQ31+IA7*POWER(1-(AnnualChurn*VLOOKUP(HN31,ChurnSeasonTable,4,FALSE)),2)*PriceEssAnnual*HQ31+IB19*POWER(1-(AnnualChurn*VLOOKUP(HN31,ChurnSeasonTable,4,FALSE)),1)*PricePremAnnual*HQ31+IB7*POWER(1-(AnnualChurn*VLOOKUP(HN31,ChurnSeasonTable,4,FALSE)),2)*PricePremAnnual*HQ31</f>
        <v/>
      </c>
      <c r="IM31" s="9">
        <f>IJ31+IK31+IL31</f>
        <v/>
      </c>
      <c r="IN31" s="12">
        <f>SUM(IM20:IM31)</f>
        <v/>
      </c>
      <c r="IO31" s="12">
        <f>OR(IO30,IN31&gt;=VATThreshold)</f>
        <v/>
      </c>
      <c r="IP31" s="9">
        <f>IF(IO31,IM31/(1+VATRate),IM31)</f>
        <v/>
      </c>
      <c r="IQ31" s="12">
        <f>IM31-IP31</f>
        <v/>
      </c>
      <c r="IR31" s="12">
        <f>IF(IO31=0,0,IF(HN31=1,SUMPRODUCT(--(($HO$5:$HO31=$HO31-1)*($HN$5:$HN31&gt;=10)*($HN$5:$HN31&lt;=12)),$IQ$5:$IQ31),IF(HN31=4,SUMPRODUCT(--(($HO$5:$HO31=$HO31)*($HN$5:$HN31&gt;=1)*($HN$5:$HN31&lt;=3)),$IQ$5:$IQ31),IF(HN31=7,SUMPRODUCT(--(($HO$5:$HO31=$HO31)*($HN$5:$HN31&gt;=4)*($HN$5:$HN31&lt;=6)),$IQ$5:$IQ31),IF(HN31=10,SUMPRODUCT(--(($HO$5:$HO31=$HO31)*($HN$5:$HN31&gt;=7)*($HN$5:$HN31&lt;=9)),$IQ$5:$IQ31),0)))))</f>
        <v/>
      </c>
      <c r="IS31" s="12">
        <f>IS30+IQ31-IR31</f>
        <v/>
      </c>
      <c r="IT31" s="12">
        <f>IF(ProviderDelay&gt;=1,IP30*ProviderShare,IP31*ProviderShare)</f>
        <v/>
      </c>
      <c r="IU31" s="12">
        <f>IM31*PaymentFee</f>
        <v/>
      </c>
      <c r="IV31" s="12">
        <f>IG31*OpsAI</f>
        <v/>
      </c>
      <c r="IW31" s="12">
        <f>MonthlyFixed</f>
        <v/>
      </c>
      <c r="IX31" s="12">
        <f>HU31*ReferralReward</f>
        <v/>
      </c>
      <c r="IY31" s="12">
        <f>HS31</f>
        <v/>
      </c>
      <c r="IZ31" s="9">
        <f>IP31-IT31-IU31-IV31-IW31-IX31-IY31</f>
        <v/>
      </c>
      <c r="JA31" s="9">
        <f>JA30+IM31-(IT31+IU31+IV31+IW31+IX31+IY31+IR31)</f>
        <v/>
      </c>
      <c r="JB31" s="12">
        <f>IF(IG31&gt;0,IH31/IG31,0)</f>
        <v/>
      </c>
      <c r="JC31" s="11">
        <f>IF(IG30&gt;0,MAX(0,(IG30+HV31-IG31)/IG30),0)</f>
        <v/>
      </c>
      <c r="JE31" s="12" t="n">
        <v>27</v>
      </c>
      <c r="JF31" s="12">
        <f>MOD(JE31-1+LaunchMonth-1,12)+1</f>
        <v/>
      </c>
      <c r="JG31" s="12">
        <f>INT((JE31-1+LaunchMonth-1)/12)+1</f>
        <v/>
      </c>
      <c r="JH31" s="12">
        <f>VLOOKUP(JF31,SeasonTable,2,FALSE)</f>
        <v/>
      </c>
      <c r="JI31" s="12">
        <f>(1+InflationRate)^INT((JE31-1)/12)</f>
        <v/>
      </c>
      <c r="JJ31" s="11">
        <f>'Sens - Churn'!$A$16*VLOOKUP(JF31,ChurnSeasonTable,4,FALSE)</f>
        <v/>
      </c>
      <c r="JK31" s="12">
        <f>MIN(MAX(MktMin19plus,KE30*MktPct19plus),MAX(0,KS30-CashBuffer))</f>
        <v/>
      </c>
      <c r="JL31" s="12">
        <f>IF(JK31&gt;0,MAX(1,ROUND(JK31/CAC*JH31,0)),0)</f>
        <v/>
      </c>
      <c r="JM31" s="12">
        <f>IF(JL31&gt;0,ROUND(JL31*ReferralMix/(1-ReferralMix),0),0)</f>
        <v/>
      </c>
      <c r="JN31" s="12">
        <f>JL31+JM31</f>
        <v/>
      </c>
      <c r="JO31" s="12">
        <f>ROUND(JN31*(1-AnnualMix),0)</f>
        <v/>
      </c>
      <c r="JP31" s="12">
        <f>JN31-JO31</f>
        <v/>
      </c>
      <c r="JQ31" s="12">
        <f>ROUND(JO31*EssentialMix,0)</f>
        <v/>
      </c>
      <c r="JR31" s="12">
        <f>JO31-JQ31</f>
        <v/>
      </c>
      <c r="JS31" s="12">
        <f>ROUND(JP31*EssentialMix,0)</f>
        <v/>
      </c>
      <c r="JT31" s="12">
        <f>JP31-JS31</f>
        <v/>
      </c>
      <c r="JU31" s="12">
        <f>JQ31+JQ30+JQ29+MAX(0,JU30-JQ30-JQ29)*(1-JJ31)</f>
        <v/>
      </c>
      <c r="JV31" s="12">
        <f>JR31+JR30+JR29+MAX(0,JV30-JR30-JR29)*(1-JJ31)</f>
        <v/>
      </c>
      <c r="JW31" s="12">
        <f>JW30+JS31-JS19*(AnnualChurn*VLOOKUP(JF31,ChurnSeasonTable,4,FALSE))*POWER(1-(AnnualChurn*VLOOKUP(JF31,ChurnSeasonTable,4,FALSE)),0)+JS7*(AnnualChurn*VLOOKUP(JF31,ChurnSeasonTable,4,FALSE))*POWER(1-(AnnualChurn*VLOOKUP(JF31,ChurnSeasonTable,4,FALSE)),1)</f>
        <v/>
      </c>
      <c r="JX31" s="12">
        <f>JX30+JT31-JT19*(AnnualChurn*VLOOKUP(JF31,ChurnSeasonTable,4,FALSE))*POWER(1-(AnnualChurn*VLOOKUP(JF31,ChurnSeasonTable,4,FALSE)),0)+JT7*(AnnualChurn*VLOOKUP(JF31,ChurnSeasonTable,4,FALSE))*POWER(1-(AnnualChurn*VLOOKUP(JF31,ChurnSeasonTable,4,FALSE)),1)</f>
        <v/>
      </c>
      <c r="JY31" s="12">
        <f>JU31+JV31+JW31+JX31</f>
        <v/>
      </c>
      <c r="JZ31" s="9">
        <f>JU31*PriceEssMonthly*JI31+JV31*PricePremMonthly*JI31+JW31*PriceEssAnnual*JI31/12+JX31*PricePremAnnual*JI31/12</f>
        <v/>
      </c>
      <c r="KA31" s="9">
        <f>JZ31*12</f>
        <v/>
      </c>
      <c r="KB31" s="12">
        <f>JU31*PriceEssMonthly*JI31+JV31*PricePremMonthly*JI31</f>
        <v/>
      </c>
      <c r="KC31" s="12">
        <f>JS31*PriceEssAnnual*JI31+JT31*PricePremAnnual*JI31</f>
        <v/>
      </c>
      <c r="KD31" s="12">
        <f>JS19*POWER(1-(AnnualChurn*VLOOKUP(JF31,ChurnSeasonTable,4,FALSE)),1)*PriceEssAnnual*JI31+JS7*POWER(1-(AnnualChurn*VLOOKUP(JF31,ChurnSeasonTable,4,FALSE)),2)*PriceEssAnnual*JI31+JT19*POWER(1-(AnnualChurn*VLOOKUP(JF31,ChurnSeasonTable,4,FALSE)),1)*PricePremAnnual*JI31+JT7*POWER(1-(AnnualChurn*VLOOKUP(JF31,ChurnSeasonTable,4,FALSE)),2)*PricePremAnnual*JI31</f>
        <v/>
      </c>
      <c r="KE31" s="9">
        <f>KB31+KC31+KD31</f>
        <v/>
      </c>
      <c r="KF31" s="12">
        <f>SUM(KE20:KE31)</f>
        <v/>
      </c>
      <c r="KG31" s="12">
        <f>OR(KG30,KF31&gt;=VATThreshold)</f>
        <v/>
      </c>
      <c r="KH31" s="9">
        <f>IF(KG31,KE31/(1+VATRate),KE31)</f>
        <v/>
      </c>
      <c r="KI31" s="12">
        <f>KE31-KH31</f>
        <v/>
      </c>
      <c r="KJ31" s="12">
        <f>IF(KG31=0,0,IF(JF31=1,SUMPRODUCT(--(($JG$5:$JG31=$JG31-1)*($JF$5:$JF31&gt;=10)*($JF$5:$JF31&lt;=12)),$KI$5:$KI31),IF(JF31=4,SUMPRODUCT(--(($JG$5:$JG31=$JG31)*($JF$5:$JF31&gt;=1)*($JF$5:$JF31&lt;=3)),$KI$5:$KI31),IF(JF31=7,SUMPRODUCT(--(($JG$5:$JG31=$JG31)*($JF$5:$JF31&gt;=4)*($JF$5:$JF31&lt;=6)),$KI$5:$KI31),IF(JF31=10,SUMPRODUCT(--(($JG$5:$JG31=$JG31)*($JF$5:$JF31&gt;=7)*($JF$5:$JF31&lt;=9)),$KI$5:$KI31),0)))))</f>
        <v/>
      </c>
      <c r="KK31" s="12">
        <f>KK30+KI31-KJ31</f>
        <v/>
      </c>
      <c r="KL31" s="12">
        <f>IF(ProviderDelay&gt;=1,KH30*ProviderShare,KH31*ProviderShare)</f>
        <v/>
      </c>
      <c r="KM31" s="12">
        <f>KE31*PaymentFee</f>
        <v/>
      </c>
      <c r="KN31" s="12">
        <f>JY31*OpsAI</f>
        <v/>
      </c>
      <c r="KO31" s="12">
        <f>MonthlyFixed</f>
        <v/>
      </c>
      <c r="KP31" s="12">
        <f>JM31*ReferralReward</f>
        <v/>
      </c>
      <c r="KQ31" s="12">
        <f>JK31</f>
        <v/>
      </c>
      <c r="KR31" s="9">
        <f>KH31-KL31-KM31-KN31-KO31-KP31-KQ31</f>
        <v/>
      </c>
      <c r="KS31" s="9">
        <f>KS30+KE31-(KL31+KM31+KN31+KO31+KP31+KQ31+KJ31)</f>
        <v/>
      </c>
      <c r="KT31" s="12">
        <f>IF(JY31&gt;0,JZ31/JY31,0)</f>
        <v/>
      </c>
      <c r="KU31" s="11">
        <f>IF(JY30&gt;0,MAX(0,(JY30+JN31-JY31)/JY30),0)</f>
        <v/>
      </c>
      <c r="KW31" s="12" t="n">
        <v>27</v>
      </c>
      <c r="KX31" s="12">
        <f>MOD(KW31-1+LaunchMonth-1,12)+1</f>
        <v/>
      </c>
      <c r="KY31" s="12">
        <f>INT((KW31-1+LaunchMonth-1)/12)+1</f>
        <v/>
      </c>
      <c r="KZ31" s="12">
        <f>VLOOKUP(KX31,SeasonTable,2,FALSE)</f>
        <v/>
      </c>
      <c r="LA31" s="12">
        <f>(1+InflationRate)^INT((KW31-1)/12)</f>
        <v/>
      </c>
      <c r="LB31" s="11">
        <f>'Sens - Churn'!$A$17*VLOOKUP(KX31,ChurnSeasonTable,4,FALSE)</f>
        <v/>
      </c>
      <c r="LC31" s="12">
        <f>MIN(MAX(MktMin19plus,LW30*MktPct19plus),MAX(0,MK30-CashBuffer))</f>
        <v/>
      </c>
      <c r="LD31" s="12">
        <f>IF(LC31&gt;0,MAX(1,ROUND(LC31/CAC*KZ31,0)),0)</f>
        <v/>
      </c>
      <c r="LE31" s="12">
        <f>IF(LD31&gt;0,ROUND(LD31*ReferralMix/(1-ReferralMix),0),0)</f>
        <v/>
      </c>
      <c r="LF31" s="12">
        <f>LD31+LE31</f>
        <v/>
      </c>
      <c r="LG31" s="12">
        <f>ROUND(LF31*(1-AnnualMix),0)</f>
        <v/>
      </c>
      <c r="LH31" s="12">
        <f>LF31-LG31</f>
        <v/>
      </c>
      <c r="LI31" s="12">
        <f>ROUND(LG31*EssentialMix,0)</f>
        <v/>
      </c>
      <c r="LJ31" s="12">
        <f>LG31-LI31</f>
        <v/>
      </c>
      <c r="LK31" s="12">
        <f>ROUND(LH31*EssentialMix,0)</f>
        <v/>
      </c>
      <c r="LL31" s="12">
        <f>LH31-LK31</f>
        <v/>
      </c>
      <c r="LM31" s="12">
        <f>LI31+LI30+LI29+MAX(0,LM30-LI30-LI29)*(1-LB31)</f>
        <v/>
      </c>
      <c r="LN31" s="12">
        <f>LJ31+LJ30+LJ29+MAX(0,LN30-LJ30-LJ29)*(1-LB31)</f>
        <v/>
      </c>
      <c r="LO31" s="12">
        <f>LO30+LK31-LK19*(AnnualChurn*VLOOKUP(KX31,ChurnSeasonTable,4,FALSE))*POWER(1-(AnnualChurn*VLOOKUP(KX31,ChurnSeasonTable,4,FALSE)),0)+LK7*(AnnualChurn*VLOOKUP(KX31,ChurnSeasonTable,4,FALSE))*POWER(1-(AnnualChurn*VLOOKUP(KX31,ChurnSeasonTable,4,FALSE)),1)</f>
        <v/>
      </c>
      <c r="LP31" s="12">
        <f>LP30+LL31-LL19*(AnnualChurn*VLOOKUP(KX31,ChurnSeasonTable,4,FALSE))*POWER(1-(AnnualChurn*VLOOKUP(KX31,ChurnSeasonTable,4,FALSE)),0)+LL7*(AnnualChurn*VLOOKUP(KX31,ChurnSeasonTable,4,FALSE))*POWER(1-(AnnualChurn*VLOOKUP(KX31,ChurnSeasonTable,4,FALSE)),1)</f>
        <v/>
      </c>
      <c r="LQ31" s="12">
        <f>LM31+LN31+LO31+LP31</f>
        <v/>
      </c>
      <c r="LR31" s="9">
        <f>LM31*PriceEssMonthly*LA31+LN31*PricePremMonthly*LA31+LO31*PriceEssAnnual*LA31/12+LP31*PricePremAnnual*LA31/12</f>
        <v/>
      </c>
      <c r="LS31" s="9">
        <f>LR31*12</f>
        <v/>
      </c>
      <c r="LT31" s="12">
        <f>LM31*PriceEssMonthly*LA31+LN31*PricePremMonthly*LA31</f>
        <v/>
      </c>
      <c r="LU31" s="12">
        <f>LK31*PriceEssAnnual*LA31+LL31*PricePremAnnual*LA31</f>
        <v/>
      </c>
      <c r="LV31" s="12">
        <f>LK19*POWER(1-(AnnualChurn*VLOOKUP(KX31,ChurnSeasonTable,4,FALSE)),1)*PriceEssAnnual*LA31+LK7*POWER(1-(AnnualChurn*VLOOKUP(KX31,ChurnSeasonTable,4,FALSE)),2)*PriceEssAnnual*LA31+LL19*POWER(1-(AnnualChurn*VLOOKUP(KX31,ChurnSeasonTable,4,FALSE)),1)*PricePremAnnual*LA31+LL7*POWER(1-(AnnualChurn*VLOOKUP(KX31,ChurnSeasonTable,4,FALSE)),2)*PricePremAnnual*LA31</f>
        <v/>
      </c>
      <c r="LW31" s="9">
        <f>LT31+LU31+LV31</f>
        <v/>
      </c>
      <c r="LX31" s="12">
        <f>SUM(LW20:LW31)</f>
        <v/>
      </c>
      <c r="LY31" s="12">
        <f>OR(LY30,LX31&gt;=VATThreshold)</f>
        <v/>
      </c>
      <c r="LZ31" s="9">
        <f>IF(LY31,LW31/(1+VATRate),LW31)</f>
        <v/>
      </c>
      <c r="MA31" s="12">
        <f>LW31-LZ31</f>
        <v/>
      </c>
      <c r="MB31" s="12">
        <f>IF(LY31=0,0,IF(KX31=1,SUMPRODUCT(--(($KY$5:$KY31=$KY31-1)*($KX$5:$KX31&gt;=10)*($KX$5:$KX31&lt;=12)),$MA$5:$MA31),IF(KX31=4,SUMPRODUCT(--(($KY$5:$KY31=$KY31)*($KX$5:$KX31&gt;=1)*($KX$5:$KX31&lt;=3)),$MA$5:$MA31),IF(KX31=7,SUMPRODUCT(--(($KY$5:$KY31=$KY31)*($KX$5:$KX31&gt;=4)*($KX$5:$KX31&lt;=6)),$MA$5:$MA31),IF(KX31=10,SUMPRODUCT(--(($KY$5:$KY31=$KY31)*($KX$5:$KX31&gt;=7)*($KX$5:$KX31&lt;=9)),$MA$5:$MA31),0)))))</f>
        <v/>
      </c>
      <c r="MC31" s="12">
        <f>MC30+MA31-MB31</f>
        <v/>
      </c>
      <c r="MD31" s="12">
        <f>IF(ProviderDelay&gt;=1,LZ30*ProviderShare,LZ31*ProviderShare)</f>
        <v/>
      </c>
      <c r="ME31" s="12">
        <f>LW31*PaymentFee</f>
        <v/>
      </c>
      <c r="MF31" s="12">
        <f>LQ31*OpsAI</f>
        <v/>
      </c>
      <c r="MG31" s="12">
        <f>MonthlyFixed</f>
        <v/>
      </c>
      <c r="MH31" s="12">
        <f>LE31*ReferralReward</f>
        <v/>
      </c>
      <c r="MI31" s="12">
        <f>LC31</f>
        <v/>
      </c>
      <c r="MJ31" s="9">
        <f>LZ31-MD31-ME31-MF31-MG31-MH31-MI31</f>
        <v/>
      </c>
      <c r="MK31" s="9">
        <f>MK30+LW31-(MD31+ME31+MF31+MG31+MH31+MI31+MB31)</f>
        <v/>
      </c>
      <c r="ML31" s="12">
        <f>IF(LQ31&gt;0,LR31/LQ31,0)</f>
        <v/>
      </c>
      <c r="MM31" s="11">
        <f>IF(LQ30&gt;0,MAX(0,(LQ30+LF31-LQ31)/LQ30),0)</f>
        <v/>
      </c>
      <c r="MO31" s="12" t="n">
        <v>27</v>
      </c>
      <c r="MP31" s="12">
        <f>MOD(MO31-1+LaunchMonth-1,12)+1</f>
        <v/>
      </c>
      <c r="MQ31" s="12">
        <f>INT((MO31-1+LaunchMonth-1)/12)+1</f>
        <v/>
      </c>
      <c r="MR31" s="12">
        <f>VLOOKUP(MP31,SeasonTable,2,FALSE)</f>
        <v/>
      </c>
      <c r="MS31" s="12">
        <f>(1+InflationRate)^INT((MO31-1)/12)</f>
        <v/>
      </c>
      <c r="MT31" s="11">
        <f>'Sens - Churn'!$A$18*VLOOKUP(MP31,ChurnSeasonTable,4,FALSE)</f>
        <v/>
      </c>
      <c r="MU31" s="12">
        <f>MIN(MAX(MktMin19plus,NO30*MktPct19plus),MAX(0,OC30-CashBuffer))</f>
        <v/>
      </c>
      <c r="MV31" s="12">
        <f>IF(MU31&gt;0,MAX(1,ROUND(MU31/CAC*MR31,0)),0)</f>
        <v/>
      </c>
      <c r="MW31" s="12">
        <f>IF(MV31&gt;0,ROUND(MV31*ReferralMix/(1-ReferralMix),0),0)</f>
        <v/>
      </c>
      <c r="MX31" s="12">
        <f>MV31+MW31</f>
        <v/>
      </c>
      <c r="MY31" s="12">
        <f>ROUND(MX31*(1-AnnualMix),0)</f>
        <v/>
      </c>
      <c r="MZ31" s="12">
        <f>MX31-MY31</f>
        <v/>
      </c>
      <c r="NA31" s="12">
        <f>ROUND(MY31*EssentialMix,0)</f>
        <v/>
      </c>
      <c r="NB31" s="12">
        <f>MY31-NA31</f>
        <v/>
      </c>
      <c r="NC31" s="12">
        <f>ROUND(MZ31*EssentialMix,0)</f>
        <v/>
      </c>
      <c r="ND31" s="12">
        <f>MZ31-NC31</f>
        <v/>
      </c>
      <c r="NE31" s="12">
        <f>NA31+NA30+NA29+MAX(0,NE30-NA30-NA29)*(1-MT31)</f>
        <v/>
      </c>
      <c r="NF31" s="12">
        <f>NB31+NB30+NB29+MAX(0,NF30-NB30-NB29)*(1-MT31)</f>
        <v/>
      </c>
      <c r="NG31" s="12">
        <f>NG30+NC31-NC19*(AnnualChurn*VLOOKUP(MP31,ChurnSeasonTable,4,FALSE))*POWER(1-(AnnualChurn*VLOOKUP(MP31,ChurnSeasonTable,4,FALSE)),0)+NC7*(AnnualChurn*VLOOKUP(MP31,ChurnSeasonTable,4,FALSE))*POWER(1-(AnnualChurn*VLOOKUP(MP31,ChurnSeasonTable,4,FALSE)),1)</f>
        <v/>
      </c>
      <c r="NH31" s="12">
        <f>NH30+ND31-ND19*(AnnualChurn*VLOOKUP(MP31,ChurnSeasonTable,4,FALSE))*POWER(1-(AnnualChurn*VLOOKUP(MP31,ChurnSeasonTable,4,FALSE)),0)+ND7*(AnnualChurn*VLOOKUP(MP31,ChurnSeasonTable,4,FALSE))*POWER(1-(AnnualChurn*VLOOKUP(MP31,ChurnSeasonTable,4,FALSE)),1)</f>
        <v/>
      </c>
      <c r="NI31" s="12">
        <f>NE31+NF31+NG31+NH31</f>
        <v/>
      </c>
      <c r="NJ31" s="9">
        <f>NE31*PriceEssMonthly*MS31+NF31*PricePremMonthly*MS31+NG31*PriceEssAnnual*MS31/12+NH31*PricePremAnnual*MS31/12</f>
        <v/>
      </c>
      <c r="NK31" s="9">
        <f>NJ31*12</f>
        <v/>
      </c>
      <c r="NL31" s="12">
        <f>NE31*PriceEssMonthly*MS31+NF31*PricePremMonthly*MS31</f>
        <v/>
      </c>
      <c r="NM31" s="12">
        <f>NC31*PriceEssAnnual*MS31+ND31*PricePremAnnual*MS31</f>
        <v/>
      </c>
      <c r="NN31" s="12">
        <f>NC19*POWER(1-(AnnualChurn*VLOOKUP(MP31,ChurnSeasonTable,4,FALSE)),1)*PriceEssAnnual*MS31+NC7*POWER(1-(AnnualChurn*VLOOKUP(MP31,ChurnSeasonTable,4,FALSE)),2)*PriceEssAnnual*MS31+ND19*POWER(1-(AnnualChurn*VLOOKUP(MP31,ChurnSeasonTable,4,FALSE)),1)*PricePremAnnual*MS31+ND7*POWER(1-(AnnualChurn*VLOOKUP(MP31,ChurnSeasonTable,4,FALSE)),2)*PricePremAnnual*MS31</f>
        <v/>
      </c>
      <c r="NO31" s="9">
        <f>NL31+NM31+NN31</f>
        <v/>
      </c>
      <c r="NP31" s="12">
        <f>SUM(NO20:NO31)</f>
        <v/>
      </c>
      <c r="NQ31" s="12">
        <f>OR(NQ30,NP31&gt;=VATThreshold)</f>
        <v/>
      </c>
      <c r="NR31" s="9">
        <f>IF(NQ31,NO31/(1+VATRate),NO31)</f>
        <v/>
      </c>
      <c r="NS31" s="12">
        <f>NO31-NR31</f>
        <v/>
      </c>
      <c r="NT31" s="12">
        <f>IF(NQ31=0,0,IF(MP31=1,SUMPRODUCT(--(($MQ$5:$MQ31=$MQ31-1)*($MP$5:$MP31&gt;=10)*($MP$5:$MP31&lt;=12)),$NS$5:$NS31),IF(MP31=4,SUMPRODUCT(--(($MQ$5:$MQ31=$MQ31)*($MP$5:$MP31&gt;=1)*($MP$5:$MP31&lt;=3)),$NS$5:$NS31),IF(MP31=7,SUMPRODUCT(--(($MQ$5:$MQ31=$MQ31)*($MP$5:$MP31&gt;=4)*($MP$5:$MP31&lt;=6)),$NS$5:$NS31),IF(MP31=10,SUMPRODUCT(--(($MQ$5:$MQ31=$MQ31)*($MP$5:$MP31&gt;=7)*($MP$5:$MP31&lt;=9)),$NS$5:$NS31),0)))))</f>
        <v/>
      </c>
      <c r="NU31" s="12">
        <f>NU30+NS31-NT31</f>
        <v/>
      </c>
      <c r="NV31" s="12">
        <f>IF(ProviderDelay&gt;=1,NR30*ProviderShare,NR31*ProviderShare)</f>
        <v/>
      </c>
      <c r="NW31" s="12">
        <f>NO31*PaymentFee</f>
        <v/>
      </c>
      <c r="NX31" s="12">
        <f>NI31*OpsAI</f>
        <v/>
      </c>
      <c r="NY31" s="12">
        <f>MonthlyFixed</f>
        <v/>
      </c>
      <c r="NZ31" s="12">
        <f>MW31*ReferralReward</f>
        <v/>
      </c>
      <c r="OA31" s="12">
        <f>MU31</f>
        <v/>
      </c>
      <c r="OB31" s="9">
        <f>NR31-NV31-NW31-NX31-NY31-NZ31-OA31</f>
        <v/>
      </c>
      <c r="OC31" s="9">
        <f>OC30+NO31-(NV31+NW31+NX31+NY31+NZ31+OA31+NT31)</f>
        <v/>
      </c>
      <c r="OD31" s="12">
        <f>IF(NI31&gt;0,NJ31/NI31,0)</f>
        <v/>
      </c>
      <c r="OE31" s="11">
        <f>IF(NI30&gt;0,MAX(0,(NI30+MX31-NI31)/NI30),0)</f>
        <v/>
      </c>
      <c r="OG31" s="12" t="n">
        <v>27</v>
      </c>
      <c r="OH31" s="12">
        <f>MOD(OG31-1+LaunchMonth-1,12)+1</f>
        <v/>
      </c>
      <c r="OI31" s="12">
        <f>INT((OG31-1+LaunchMonth-1)/12)+1</f>
        <v/>
      </c>
      <c r="OJ31" s="12">
        <f>VLOOKUP(OH31,SeasonTable,2,FALSE)</f>
        <v/>
      </c>
      <c r="OK31" s="12">
        <f>(1+InflationRate)^INT((OG31-1)/12)</f>
        <v/>
      </c>
      <c r="OL31" s="11">
        <f>'Sens - Churn'!$A$19*VLOOKUP(OH31,ChurnSeasonTable,4,FALSE)</f>
        <v/>
      </c>
      <c r="OM31" s="12">
        <f>MIN(MAX(MktMin19plus,PG30*MktPct19plus),MAX(0,PU30-CashBuffer))</f>
        <v/>
      </c>
      <c r="ON31" s="12">
        <f>IF(OM31&gt;0,MAX(1,ROUND(OM31/CAC*OJ31,0)),0)</f>
        <v/>
      </c>
      <c r="OO31" s="12">
        <f>IF(ON31&gt;0,ROUND(ON31*ReferralMix/(1-ReferralMix),0),0)</f>
        <v/>
      </c>
      <c r="OP31" s="12">
        <f>ON31+OO31</f>
        <v/>
      </c>
      <c r="OQ31" s="12">
        <f>ROUND(OP31*(1-AnnualMix),0)</f>
        <v/>
      </c>
      <c r="OR31" s="12">
        <f>OP31-OQ31</f>
        <v/>
      </c>
      <c r="OS31" s="12">
        <f>ROUND(OQ31*EssentialMix,0)</f>
        <v/>
      </c>
      <c r="OT31" s="12">
        <f>OQ31-OS31</f>
        <v/>
      </c>
      <c r="OU31" s="12">
        <f>ROUND(OR31*EssentialMix,0)</f>
        <v/>
      </c>
      <c r="OV31" s="12">
        <f>OR31-OU31</f>
        <v/>
      </c>
      <c r="OW31" s="12">
        <f>OS31+OS30+OS29+MAX(0,OW30-OS30-OS29)*(1-OL31)</f>
        <v/>
      </c>
      <c r="OX31" s="12">
        <f>OT31+OT30+OT29+MAX(0,OX30-OT30-OT29)*(1-OL31)</f>
        <v/>
      </c>
      <c r="OY31" s="12">
        <f>OY30+OU31-OU19*(AnnualChurn*VLOOKUP(OH31,ChurnSeasonTable,4,FALSE))*POWER(1-(AnnualChurn*VLOOKUP(OH31,ChurnSeasonTable,4,FALSE)),0)+OU7*(AnnualChurn*VLOOKUP(OH31,ChurnSeasonTable,4,FALSE))*POWER(1-(AnnualChurn*VLOOKUP(OH31,ChurnSeasonTable,4,FALSE)),1)</f>
        <v/>
      </c>
      <c r="OZ31" s="12">
        <f>OZ30+OV31-OV19*(AnnualChurn*VLOOKUP(OH31,ChurnSeasonTable,4,FALSE))*POWER(1-(AnnualChurn*VLOOKUP(OH31,ChurnSeasonTable,4,FALSE)),0)+OV7*(AnnualChurn*VLOOKUP(OH31,ChurnSeasonTable,4,FALSE))*POWER(1-(AnnualChurn*VLOOKUP(OH31,ChurnSeasonTable,4,FALSE)),1)</f>
        <v/>
      </c>
      <c r="PA31" s="12">
        <f>OW31+OX31+OY31+OZ31</f>
        <v/>
      </c>
      <c r="PB31" s="9">
        <f>OW31*PriceEssMonthly*OK31+OX31*PricePremMonthly*OK31+OY31*PriceEssAnnual*OK31/12+OZ31*PricePremAnnual*OK31/12</f>
        <v/>
      </c>
      <c r="PC31" s="9">
        <f>PB31*12</f>
        <v/>
      </c>
      <c r="PD31" s="12">
        <f>OW31*PriceEssMonthly*OK31+OX31*PricePremMonthly*OK31</f>
        <v/>
      </c>
      <c r="PE31" s="12">
        <f>OU31*PriceEssAnnual*OK31+OV31*PricePremAnnual*OK31</f>
        <v/>
      </c>
      <c r="PF31" s="12">
        <f>OU19*POWER(1-(AnnualChurn*VLOOKUP(OH31,ChurnSeasonTable,4,FALSE)),1)*PriceEssAnnual*OK31+OU7*POWER(1-(AnnualChurn*VLOOKUP(OH31,ChurnSeasonTable,4,FALSE)),2)*PriceEssAnnual*OK31+OV19*POWER(1-(AnnualChurn*VLOOKUP(OH31,ChurnSeasonTable,4,FALSE)),1)*PricePremAnnual*OK31+OV7*POWER(1-(AnnualChurn*VLOOKUP(OH31,ChurnSeasonTable,4,FALSE)),2)*PricePremAnnual*OK31</f>
        <v/>
      </c>
      <c r="PG31" s="9">
        <f>PD31+PE31+PF31</f>
        <v/>
      </c>
      <c r="PH31" s="12">
        <f>SUM(PG20:PG31)</f>
        <v/>
      </c>
      <c r="PI31" s="12">
        <f>OR(PI30,PH31&gt;=VATThreshold)</f>
        <v/>
      </c>
      <c r="PJ31" s="9">
        <f>IF(PI31,PG31/(1+VATRate),PG31)</f>
        <v/>
      </c>
      <c r="PK31" s="12">
        <f>PG31-PJ31</f>
        <v/>
      </c>
      <c r="PL31" s="12">
        <f>IF(PI31=0,0,IF(OH31=1,SUMPRODUCT(--(($OI$5:$OI31=$OI31-1)*($OH$5:$OH31&gt;=10)*($OH$5:$OH31&lt;=12)),$PK$5:$PK31),IF(OH31=4,SUMPRODUCT(--(($OI$5:$OI31=$OI31)*($OH$5:$OH31&gt;=1)*($OH$5:$OH31&lt;=3)),$PK$5:$PK31),IF(OH31=7,SUMPRODUCT(--(($OI$5:$OI31=$OI31)*($OH$5:$OH31&gt;=4)*($OH$5:$OH31&lt;=6)),$PK$5:$PK31),IF(OH31=10,SUMPRODUCT(--(($OI$5:$OI31=$OI31)*($OH$5:$OH31&gt;=7)*($OH$5:$OH31&lt;=9)),$PK$5:$PK31),0)))))</f>
        <v/>
      </c>
      <c r="PM31" s="12">
        <f>PM30+PK31-PL31</f>
        <v/>
      </c>
      <c r="PN31" s="12">
        <f>IF(ProviderDelay&gt;=1,PJ30*ProviderShare,PJ31*ProviderShare)</f>
        <v/>
      </c>
      <c r="PO31" s="12">
        <f>PG31*PaymentFee</f>
        <v/>
      </c>
      <c r="PP31" s="12">
        <f>PA31*OpsAI</f>
        <v/>
      </c>
      <c r="PQ31" s="12">
        <f>MonthlyFixed</f>
        <v/>
      </c>
      <c r="PR31" s="12">
        <f>OO31*ReferralReward</f>
        <v/>
      </c>
      <c r="PS31" s="12">
        <f>OM31</f>
        <v/>
      </c>
      <c r="PT31" s="9">
        <f>PJ31-PN31-PO31-PP31-PQ31-PR31-PS31</f>
        <v/>
      </c>
      <c r="PU31" s="9">
        <f>PU30+PG31-(PN31+PO31+PP31+PQ31+PR31+PS31+PL31)</f>
        <v/>
      </c>
      <c r="PV31" s="12">
        <f>IF(PA31&gt;0,PB31/PA31,0)</f>
        <v/>
      </c>
      <c r="PW31" s="11">
        <f>IF(PA30&gt;0,MAX(0,(PA30+OP31-PA31)/PA30),0)</f>
        <v/>
      </c>
      <c r="PY31" s="12" t="n">
        <v>27</v>
      </c>
      <c r="PZ31" s="12">
        <f>MOD(PY31-1+LaunchMonth-1,12)+1</f>
        <v/>
      </c>
      <c r="QA31" s="12">
        <f>INT((PY31-1+LaunchMonth-1)/12)+1</f>
        <v/>
      </c>
      <c r="QB31" s="12">
        <f>VLOOKUP(PZ31,SeasonTable,2,FALSE)</f>
        <v/>
      </c>
      <c r="QC31" s="12">
        <f>(1+InflationRate)^INT((PY31-1)/12)</f>
        <v/>
      </c>
      <c r="QD31" s="11">
        <f>'Sens - Churn'!$A$20*VLOOKUP(PZ31,ChurnSeasonTable,4,FALSE)</f>
        <v/>
      </c>
      <c r="QE31" s="12">
        <f>MIN(MAX(MktMin19plus,QY30*MktPct19plus),MAX(0,RM30-CashBuffer))</f>
        <v/>
      </c>
      <c r="QF31" s="12">
        <f>IF(QE31&gt;0,MAX(1,ROUND(QE31/CAC*QB31,0)),0)</f>
        <v/>
      </c>
      <c r="QG31" s="12">
        <f>IF(QF31&gt;0,ROUND(QF31*ReferralMix/(1-ReferralMix),0),0)</f>
        <v/>
      </c>
      <c r="QH31" s="12">
        <f>QF31+QG31</f>
        <v/>
      </c>
      <c r="QI31" s="12">
        <f>ROUND(QH31*(1-AnnualMix),0)</f>
        <v/>
      </c>
      <c r="QJ31" s="12">
        <f>QH31-QI31</f>
        <v/>
      </c>
      <c r="QK31" s="12">
        <f>ROUND(QI31*EssentialMix,0)</f>
        <v/>
      </c>
      <c r="QL31" s="12">
        <f>QI31-QK31</f>
        <v/>
      </c>
      <c r="QM31" s="12">
        <f>ROUND(QJ31*EssentialMix,0)</f>
        <v/>
      </c>
      <c r="QN31" s="12">
        <f>QJ31-QM31</f>
        <v/>
      </c>
      <c r="QO31" s="12">
        <f>QK31+QK30+QK29+MAX(0,QO30-QK30-QK29)*(1-QD31)</f>
        <v/>
      </c>
      <c r="QP31" s="12">
        <f>QL31+QL30+QL29+MAX(0,QP30-QL30-QL29)*(1-QD31)</f>
        <v/>
      </c>
      <c r="QQ31" s="12">
        <f>QQ30+QM31-QM19*(AnnualChurn*VLOOKUP(PZ31,ChurnSeasonTable,4,FALSE))*POWER(1-(AnnualChurn*VLOOKUP(PZ31,ChurnSeasonTable,4,FALSE)),0)+QM7*(AnnualChurn*VLOOKUP(PZ31,ChurnSeasonTable,4,FALSE))*POWER(1-(AnnualChurn*VLOOKUP(PZ31,ChurnSeasonTable,4,FALSE)),1)</f>
        <v/>
      </c>
      <c r="QR31" s="12">
        <f>QR30+QN31-QN19*(AnnualChurn*VLOOKUP(PZ31,ChurnSeasonTable,4,FALSE))*POWER(1-(AnnualChurn*VLOOKUP(PZ31,ChurnSeasonTable,4,FALSE)),0)+QN7*(AnnualChurn*VLOOKUP(PZ31,ChurnSeasonTable,4,FALSE))*POWER(1-(AnnualChurn*VLOOKUP(PZ31,ChurnSeasonTable,4,FALSE)),1)</f>
        <v/>
      </c>
      <c r="QS31" s="12">
        <f>QO31+QP31+QQ31+QR31</f>
        <v/>
      </c>
      <c r="QT31" s="9">
        <f>QO31*PriceEssMonthly*QC31+QP31*PricePremMonthly*QC31+QQ31*PriceEssAnnual*QC31/12+QR31*PricePremAnnual*QC31/12</f>
        <v/>
      </c>
      <c r="QU31" s="9">
        <f>QT31*12</f>
        <v/>
      </c>
      <c r="QV31" s="12">
        <f>QO31*PriceEssMonthly*QC31+QP31*PricePremMonthly*QC31</f>
        <v/>
      </c>
      <c r="QW31" s="12">
        <f>QM31*PriceEssAnnual*QC31+QN31*PricePremAnnual*QC31</f>
        <v/>
      </c>
      <c r="QX31" s="12">
        <f>QM19*POWER(1-(AnnualChurn*VLOOKUP(PZ31,ChurnSeasonTable,4,FALSE)),1)*PriceEssAnnual*QC31+QM7*POWER(1-(AnnualChurn*VLOOKUP(PZ31,ChurnSeasonTable,4,FALSE)),2)*PriceEssAnnual*QC31+QN19*POWER(1-(AnnualChurn*VLOOKUP(PZ31,ChurnSeasonTable,4,FALSE)),1)*PricePremAnnual*QC31+QN7*POWER(1-(AnnualChurn*VLOOKUP(PZ31,ChurnSeasonTable,4,FALSE)),2)*PricePremAnnual*QC31</f>
        <v/>
      </c>
      <c r="QY31" s="9">
        <f>QV31+QW31+QX31</f>
        <v/>
      </c>
      <c r="QZ31" s="12">
        <f>SUM(QY20:QY31)</f>
        <v/>
      </c>
      <c r="RA31" s="12">
        <f>OR(RA30,QZ31&gt;=VATThreshold)</f>
        <v/>
      </c>
      <c r="RB31" s="9">
        <f>IF(RA31,QY31/(1+VATRate),QY31)</f>
        <v/>
      </c>
      <c r="RC31" s="12">
        <f>QY31-RB31</f>
        <v/>
      </c>
      <c r="RD31" s="12">
        <f>IF(RA31=0,0,IF(PZ31=1,SUMPRODUCT(--(($QA$5:$QA31=$QA31-1)*($PZ$5:$PZ31&gt;=10)*($PZ$5:$PZ31&lt;=12)),$RC$5:$RC31),IF(PZ31=4,SUMPRODUCT(--(($QA$5:$QA31=$QA31)*($PZ$5:$PZ31&gt;=1)*($PZ$5:$PZ31&lt;=3)),$RC$5:$RC31),IF(PZ31=7,SUMPRODUCT(--(($QA$5:$QA31=$QA31)*($PZ$5:$PZ31&gt;=4)*($PZ$5:$PZ31&lt;=6)),$RC$5:$RC31),IF(PZ31=10,SUMPRODUCT(--(($QA$5:$QA31=$QA31)*($PZ$5:$PZ31&gt;=7)*($PZ$5:$PZ31&lt;=9)),$RC$5:$RC31),0)))))</f>
        <v/>
      </c>
      <c r="RE31" s="12">
        <f>RE30+RC31-RD31</f>
        <v/>
      </c>
      <c r="RF31" s="12">
        <f>IF(ProviderDelay&gt;=1,RB30*ProviderShare,RB31*ProviderShare)</f>
        <v/>
      </c>
      <c r="RG31" s="12">
        <f>QY31*PaymentFee</f>
        <v/>
      </c>
      <c r="RH31" s="12">
        <f>QS31*OpsAI</f>
        <v/>
      </c>
      <c r="RI31" s="12">
        <f>MonthlyFixed</f>
        <v/>
      </c>
      <c r="RJ31" s="12">
        <f>QG31*ReferralReward</f>
        <v/>
      </c>
      <c r="RK31" s="12">
        <f>QE31</f>
        <v/>
      </c>
      <c r="RL31" s="9">
        <f>RB31-RF31-RG31-RH31-RI31-RJ31-RK31</f>
        <v/>
      </c>
      <c r="RM31" s="9">
        <f>RM30+QY31-(RF31+RG31+RH31+RI31+RJ31+RK31+RD31)</f>
        <v/>
      </c>
      <c r="RN31" s="12">
        <f>IF(QS31&gt;0,QT31/QS31,0)</f>
        <v/>
      </c>
      <c r="RO31" s="11">
        <f>IF(QS30&gt;0,MAX(0,(QS30+QH31-QS31)/QS30),0)</f>
        <v/>
      </c>
      <c r="RQ31" s="12" t="n">
        <v>27</v>
      </c>
      <c r="RR31" s="12">
        <f>MOD(RQ31-1+LaunchMonth-1,12)+1</f>
        <v/>
      </c>
      <c r="RS31" s="12">
        <f>INT((RQ31-1+LaunchMonth-1)/12)+1</f>
        <v/>
      </c>
      <c r="RT31" s="12">
        <f>VLOOKUP(RR31,SeasonTable,2,FALSE)</f>
        <v/>
      </c>
      <c r="RU31" s="12">
        <f>(1+InflationRate)^INT((RQ31-1)/12)</f>
        <v/>
      </c>
      <c r="RV31" s="11">
        <f>'Sens - Churn'!$A$21*VLOOKUP(RR31,ChurnSeasonTable,4,FALSE)</f>
        <v/>
      </c>
      <c r="RW31" s="12">
        <f>MIN(MAX(MktMin19plus,SQ30*MktPct19plus),MAX(0,TE30-CashBuffer))</f>
        <v/>
      </c>
      <c r="RX31" s="12">
        <f>IF(RW31&gt;0,MAX(1,ROUND(RW31/CAC*RT31,0)),0)</f>
        <v/>
      </c>
      <c r="RY31" s="12">
        <f>IF(RX31&gt;0,ROUND(RX31*ReferralMix/(1-ReferralMix),0),0)</f>
        <v/>
      </c>
      <c r="RZ31" s="12">
        <f>RX31+RY31</f>
        <v/>
      </c>
      <c r="SA31" s="12">
        <f>ROUND(RZ31*(1-AnnualMix),0)</f>
        <v/>
      </c>
      <c r="SB31" s="12">
        <f>RZ31-SA31</f>
        <v/>
      </c>
      <c r="SC31" s="12">
        <f>ROUND(SA31*EssentialMix,0)</f>
        <v/>
      </c>
      <c r="SD31" s="12">
        <f>SA31-SC31</f>
        <v/>
      </c>
      <c r="SE31" s="12">
        <f>ROUND(SB31*EssentialMix,0)</f>
        <v/>
      </c>
      <c r="SF31" s="12">
        <f>SB31-SE31</f>
        <v/>
      </c>
      <c r="SG31" s="12">
        <f>SC31+SC30+SC29+MAX(0,SG30-SC30-SC29)*(1-RV31)</f>
        <v/>
      </c>
      <c r="SH31" s="12">
        <f>SD31+SD30+SD29+MAX(0,SH30-SD30-SD29)*(1-RV31)</f>
        <v/>
      </c>
      <c r="SI31" s="12">
        <f>SI30+SE31-SE19*(AnnualChurn*VLOOKUP(RR31,ChurnSeasonTable,4,FALSE))*POWER(1-(AnnualChurn*VLOOKUP(RR31,ChurnSeasonTable,4,FALSE)),0)+SE7*(AnnualChurn*VLOOKUP(RR31,ChurnSeasonTable,4,FALSE))*POWER(1-(AnnualChurn*VLOOKUP(RR31,ChurnSeasonTable,4,FALSE)),1)</f>
        <v/>
      </c>
      <c r="SJ31" s="12">
        <f>SJ30+SF31-SF19*(AnnualChurn*VLOOKUP(RR31,ChurnSeasonTable,4,FALSE))*POWER(1-(AnnualChurn*VLOOKUP(RR31,ChurnSeasonTable,4,FALSE)),0)+SF7*(AnnualChurn*VLOOKUP(RR31,ChurnSeasonTable,4,FALSE))*POWER(1-(AnnualChurn*VLOOKUP(RR31,ChurnSeasonTable,4,FALSE)),1)</f>
        <v/>
      </c>
      <c r="SK31" s="12">
        <f>SG31+SH31+SI31+SJ31</f>
        <v/>
      </c>
      <c r="SL31" s="9">
        <f>SG31*PriceEssMonthly*RU31+SH31*PricePremMonthly*RU31+SI31*PriceEssAnnual*RU31/12+SJ31*PricePremAnnual*RU31/12</f>
        <v/>
      </c>
      <c r="SM31" s="9">
        <f>SL31*12</f>
        <v/>
      </c>
      <c r="SN31" s="12">
        <f>SG31*PriceEssMonthly*RU31+SH31*PricePremMonthly*RU31</f>
        <v/>
      </c>
      <c r="SO31" s="12">
        <f>SE31*PriceEssAnnual*RU31+SF31*PricePremAnnual*RU31</f>
        <v/>
      </c>
      <c r="SP31" s="12">
        <f>SE19*POWER(1-(AnnualChurn*VLOOKUP(RR31,ChurnSeasonTable,4,FALSE)),1)*PriceEssAnnual*RU31+SE7*POWER(1-(AnnualChurn*VLOOKUP(RR31,ChurnSeasonTable,4,FALSE)),2)*PriceEssAnnual*RU31+SF19*POWER(1-(AnnualChurn*VLOOKUP(RR31,ChurnSeasonTable,4,FALSE)),1)*PricePremAnnual*RU31+SF7*POWER(1-(AnnualChurn*VLOOKUP(RR31,ChurnSeasonTable,4,FALSE)),2)*PricePremAnnual*RU31</f>
        <v/>
      </c>
      <c r="SQ31" s="9">
        <f>SN31+SO31+SP31</f>
        <v/>
      </c>
      <c r="SR31" s="12">
        <f>SUM(SQ20:SQ31)</f>
        <v/>
      </c>
      <c r="SS31" s="12">
        <f>OR(SS30,SR31&gt;=VATThreshold)</f>
        <v/>
      </c>
      <c r="ST31" s="9">
        <f>IF(SS31,SQ31/(1+VATRate),SQ31)</f>
        <v/>
      </c>
      <c r="SU31" s="12">
        <f>SQ31-ST31</f>
        <v/>
      </c>
      <c r="SV31" s="12">
        <f>IF(SS31=0,0,IF(RR31=1,SUMPRODUCT(--(($RS$5:$RS31=$RS31-1)*($RR$5:$RR31&gt;=10)*($RR$5:$RR31&lt;=12)),$SU$5:$SU31),IF(RR31=4,SUMPRODUCT(--(($RS$5:$RS31=$RS31)*($RR$5:$RR31&gt;=1)*($RR$5:$RR31&lt;=3)),$SU$5:$SU31),IF(RR31=7,SUMPRODUCT(--(($RS$5:$RS31=$RS31)*($RR$5:$RR31&gt;=4)*($RR$5:$RR31&lt;=6)),$SU$5:$SU31),IF(RR31=10,SUMPRODUCT(--(($RS$5:$RS31=$RS31)*($RR$5:$RR31&gt;=7)*($RR$5:$RR31&lt;=9)),$SU$5:$SU31),0)))))</f>
        <v/>
      </c>
      <c r="SW31" s="12">
        <f>SW30+SU31-SV31</f>
        <v/>
      </c>
      <c r="SX31" s="12">
        <f>IF(ProviderDelay&gt;=1,ST30*ProviderShare,ST31*ProviderShare)</f>
        <v/>
      </c>
      <c r="SY31" s="12">
        <f>SQ31*PaymentFee</f>
        <v/>
      </c>
      <c r="SZ31" s="12">
        <f>SK31*OpsAI</f>
        <v/>
      </c>
      <c r="TA31" s="12">
        <f>MonthlyFixed</f>
        <v/>
      </c>
      <c r="TB31" s="12">
        <f>RY31*ReferralReward</f>
        <v/>
      </c>
      <c r="TC31" s="12">
        <f>RW31</f>
        <v/>
      </c>
      <c r="TD31" s="9">
        <f>ST31-SX31-SY31-SZ31-TA31-TB31-TC31</f>
        <v/>
      </c>
      <c r="TE31" s="9">
        <f>TE30+SQ31-(SX31+SY31+SZ31+TA31+TB31+TC31+SV31)</f>
        <v/>
      </c>
      <c r="TF31" s="12">
        <f>IF(SK31&gt;0,SL31/SK31,0)</f>
        <v/>
      </c>
      <c r="TG31" s="11">
        <f>IF(SK30&gt;0,MAX(0,(SK30+RZ31-SK31)/SK30),0)</f>
        <v/>
      </c>
      <c r="TI31" s="12" t="n">
        <v>27</v>
      </c>
      <c r="TJ31" s="12">
        <f>MOD(TI31-1+LaunchMonth-1,12)+1</f>
        <v/>
      </c>
      <c r="TK31" s="12">
        <f>INT((TI31-1+LaunchMonth-1)/12)+1</f>
        <v/>
      </c>
      <c r="TL31" s="12">
        <f>VLOOKUP(TJ31,SeasonTable,2,FALSE)</f>
        <v/>
      </c>
      <c r="TM31" s="12">
        <f>(1+InflationRate)^INT((TI31-1)/12)</f>
        <v/>
      </c>
      <c r="TN31" s="11">
        <f>MonthlyChurn*VLOOKUP(TJ31,ChurnSeasonTable,4,FALSE)</f>
        <v/>
      </c>
      <c r="TO31" s="12">
        <f>MIN(MAX(MktMin19plus,UI30*MktPct19plus),MAX(0,UW30-CashBuffer))</f>
        <v/>
      </c>
      <c r="TP31" s="12">
        <f>IF(TO31&gt;0,MAX(1,ROUND(TO31/CAC*TL31,0)),0)</f>
        <v/>
      </c>
      <c r="TQ31" s="12">
        <f>IF(TP31&gt;0,ROUND(TP31*ReferralMix/(1-ReferralMix),0),0)</f>
        <v/>
      </c>
      <c r="TR31" s="12">
        <f>TP31+TQ31</f>
        <v/>
      </c>
      <c r="TS31" s="12">
        <f>ROUND(TR31*(1-'Sens - Annual Mix'!$A$9),0)</f>
        <v/>
      </c>
      <c r="TT31" s="12">
        <f>TR31-TS31</f>
        <v/>
      </c>
      <c r="TU31" s="12">
        <f>ROUND(TS31*EssentialMix,0)</f>
        <v/>
      </c>
      <c r="TV31" s="12">
        <f>TS31-TU31</f>
        <v/>
      </c>
      <c r="TW31" s="12">
        <f>ROUND(TT31*EssentialMix,0)</f>
        <v/>
      </c>
      <c r="TX31" s="12">
        <f>TT31-TW31</f>
        <v/>
      </c>
      <c r="TY31" s="12">
        <f>TU31+TU30+TU29+MAX(0,TY30-TU30-TU29)*(1-TN31)</f>
        <v/>
      </c>
      <c r="TZ31" s="12">
        <f>TV31+TV30+TV29+MAX(0,TZ30-TV30-TV29)*(1-TN31)</f>
        <v/>
      </c>
      <c r="UA31" s="12">
        <f>UA30+TW31-TW19*(AnnualChurn*VLOOKUP(TJ31,ChurnSeasonTable,4,FALSE))*POWER(1-(AnnualChurn*VLOOKUP(TJ31,ChurnSeasonTable,4,FALSE)),0)+TW7*(AnnualChurn*VLOOKUP(TJ31,ChurnSeasonTable,4,FALSE))*POWER(1-(AnnualChurn*VLOOKUP(TJ31,ChurnSeasonTable,4,FALSE)),1)</f>
        <v/>
      </c>
      <c r="UB31" s="12">
        <f>UB30+TX31-TX19*(AnnualChurn*VLOOKUP(TJ31,ChurnSeasonTable,4,FALSE))*POWER(1-(AnnualChurn*VLOOKUP(TJ31,ChurnSeasonTable,4,FALSE)),0)+TX7*(AnnualChurn*VLOOKUP(TJ31,ChurnSeasonTable,4,FALSE))*POWER(1-(AnnualChurn*VLOOKUP(TJ31,ChurnSeasonTable,4,FALSE)),1)</f>
        <v/>
      </c>
      <c r="UC31" s="12">
        <f>TY31+TZ31+UA31+UB31</f>
        <v/>
      </c>
      <c r="UD31" s="9">
        <f>TY31*PriceEssMonthly*TM31+TZ31*PricePremMonthly*TM31+UA31*PriceEssAnnual*TM31/12+UB31*PricePremAnnual*TM31/12</f>
        <v/>
      </c>
      <c r="UE31" s="9">
        <f>UD31*12</f>
        <v/>
      </c>
      <c r="UF31" s="12">
        <f>TY31*PriceEssMonthly*TM31+TZ31*PricePremMonthly*TM31</f>
        <v/>
      </c>
      <c r="UG31" s="12">
        <f>TW31*PriceEssAnnual*TM31+TX31*PricePremAnnual*TM31</f>
        <v/>
      </c>
      <c r="UH31" s="12">
        <f>TW19*POWER(1-(AnnualChurn*VLOOKUP(TJ31,ChurnSeasonTable,4,FALSE)),1)*PriceEssAnnual*TM31+TW7*POWER(1-(AnnualChurn*VLOOKUP(TJ31,ChurnSeasonTable,4,FALSE)),2)*PriceEssAnnual*TM31+TX19*POWER(1-(AnnualChurn*VLOOKUP(TJ31,ChurnSeasonTable,4,FALSE)),1)*PricePremAnnual*TM31+TX7*POWER(1-(AnnualChurn*VLOOKUP(TJ31,ChurnSeasonTable,4,FALSE)),2)*PricePremAnnual*TM31</f>
        <v/>
      </c>
      <c r="UI31" s="9">
        <f>UF31+UG31+UH31</f>
        <v/>
      </c>
      <c r="UJ31" s="12">
        <f>SUM(UI20:UI31)</f>
        <v/>
      </c>
      <c r="UK31" s="12">
        <f>OR(UK30,UJ31&gt;=VATThreshold)</f>
        <v/>
      </c>
      <c r="UL31" s="9">
        <f>IF(UK31,UI31/(1+VATRate),UI31)</f>
        <v/>
      </c>
      <c r="UM31" s="12">
        <f>UI31-UL31</f>
        <v/>
      </c>
      <c r="UN31" s="12">
        <f>IF(UK31=0,0,IF(TJ31=1,SUMPRODUCT(--(($TK$5:$TK31=$TK31-1)*($TJ$5:$TJ31&gt;=10)*($TJ$5:$TJ31&lt;=12)),$UM$5:$UM31),IF(TJ31=4,SUMPRODUCT(--(($TK$5:$TK31=$TK31)*($TJ$5:$TJ31&gt;=1)*($TJ$5:$TJ31&lt;=3)),$UM$5:$UM31),IF(TJ31=7,SUMPRODUCT(--(($TK$5:$TK31=$TK31)*($TJ$5:$TJ31&gt;=4)*($TJ$5:$TJ31&lt;=6)),$UM$5:$UM31),IF(TJ31=10,SUMPRODUCT(--(($TK$5:$TK31=$TK31)*($TJ$5:$TJ31&gt;=7)*($TJ$5:$TJ31&lt;=9)),$UM$5:$UM31),0)))))</f>
        <v/>
      </c>
      <c r="UO31" s="12">
        <f>UO30+UM31-UN31</f>
        <v/>
      </c>
      <c r="UP31" s="12">
        <f>IF(ProviderDelay&gt;=1,UL30*ProviderShare,UL31*ProviderShare)</f>
        <v/>
      </c>
      <c r="UQ31" s="12">
        <f>UI31*PaymentFee</f>
        <v/>
      </c>
      <c r="UR31" s="12">
        <f>UC31*OpsAI</f>
        <v/>
      </c>
      <c r="US31" s="12">
        <f>MonthlyFixed</f>
        <v/>
      </c>
      <c r="UT31" s="12">
        <f>TQ31*ReferralReward</f>
        <v/>
      </c>
      <c r="UU31" s="12">
        <f>TO31</f>
        <v/>
      </c>
      <c r="UV31" s="9">
        <f>UL31-UP31-UQ31-UR31-US31-UT31-UU31</f>
        <v/>
      </c>
      <c r="UW31" s="9">
        <f>UW30+UI31-(UP31+UQ31+UR31+US31+UT31+UU31+UN31)</f>
        <v/>
      </c>
      <c r="UX31" s="12">
        <f>IF(UC31&gt;0,UD31/UC31,0)</f>
        <v/>
      </c>
      <c r="UY31" s="11">
        <f>IF(UC30&gt;0,MAX(0,(UC30+TR31-UC31)/UC30),0)</f>
        <v/>
      </c>
      <c r="VA31" s="12" t="n">
        <v>27</v>
      </c>
      <c r="VB31" s="12">
        <f>MOD(VA31-1+LaunchMonth-1,12)+1</f>
        <v/>
      </c>
      <c r="VC31" s="12">
        <f>INT((VA31-1+LaunchMonth-1)/12)+1</f>
        <v/>
      </c>
      <c r="VD31" s="12">
        <f>VLOOKUP(VB31,SeasonTable,2,FALSE)</f>
        <v/>
      </c>
      <c r="VE31" s="12">
        <f>(1+InflationRate)^INT((VA31-1)/12)</f>
        <v/>
      </c>
      <c r="VF31" s="11">
        <f>MonthlyChurn*VLOOKUP(VB31,ChurnSeasonTable,4,FALSE)</f>
        <v/>
      </c>
      <c r="VG31" s="12">
        <f>MIN(MAX(MktMin19plus,WA30*MktPct19plus),MAX(0,WO30-CashBuffer))</f>
        <v/>
      </c>
      <c r="VH31" s="12">
        <f>IF(VG31&gt;0,MAX(1,ROUND(VG31/CAC*VD31,0)),0)</f>
        <v/>
      </c>
      <c r="VI31" s="12">
        <f>IF(VH31&gt;0,ROUND(VH31*ReferralMix/(1-ReferralMix),0),0)</f>
        <v/>
      </c>
      <c r="VJ31" s="12">
        <f>VH31+VI31</f>
        <v/>
      </c>
      <c r="VK31" s="12">
        <f>ROUND(VJ31*(1-'Sens - Annual Mix'!$A$10),0)</f>
        <v/>
      </c>
      <c r="VL31" s="12">
        <f>VJ31-VK31</f>
        <v/>
      </c>
      <c r="VM31" s="12">
        <f>ROUND(VK31*EssentialMix,0)</f>
        <v/>
      </c>
      <c r="VN31" s="12">
        <f>VK31-VM31</f>
        <v/>
      </c>
      <c r="VO31" s="12">
        <f>ROUND(VL31*EssentialMix,0)</f>
        <v/>
      </c>
      <c r="VP31" s="12">
        <f>VL31-VO31</f>
        <v/>
      </c>
      <c r="VQ31" s="12">
        <f>VM31+VM30+VM29+MAX(0,VQ30-VM30-VM29)*(1-VF31)</f>
        <v/>
      </c>
      <c r="VR31" s="12">
        <f>VN31+VN30+VN29+MAX(0,VR30-VN30-VN29)*(1-VF31)</f>
        <v/>
      </c>
      <c r="VS31" s="12">
        <f>VS30+VO31-VO19*(AnnualChurn*VLOOKUP(VB31,ChurnSeasonTable,4,FALSE))*POWER(1-(AnnualChurn*VLOOKUP(VB31,ChurnSeasonTable,4,FALSE)),0)+VO7*(AnnualChurn*VLOOKUP(VB31,ChurnSeasonTable,4,FALSE))*POWER(1-(AnnualChurn*VLOOKUP(VB31,ChurnSeasonTable,4,FALSE)),1)</f>
        <v/>
      </c>
      <c r="VT31" s="12">
        <f>VT30+VP31-VP19*(AnnualChurn*VLOOKUP(VB31,ChurnSeasonTable,4,FALSE))*POWER(1-(AnnualChurn*VLOOKUP(VB31,ChurnSeasonTable,4,FALSE)),0)+VP7*(AnnualChurn*VLOOKUP(VB31,ChurnSeasonTable,4,FALSE))*POWER(1-(AnnualChurn*VLOOKUP(VB31,ChurnSeasonTable,4,FALSE)),1)</f>
        <v/>
      </c>
      <c r="VU31" s="12">
        <f>VQ31+VR31+VS31+VT31</f>
        <v/>
      </c>
      <c r="VV31" s="9">
        <f>VQ31*PriceEssMonthly*VE31+VR31*PricePremMonthly*VE31+VS31*PriceEssAnnual*VE31/12+VT31*PricePremAnnual*VE31/12</f>
        <v/>
      </c>
      <c r="VW31" s="9">
        <f>VV31*12</f>
        <v/>
      </c>
      <c r="VX31" s="12">
        <f>VQ31*PriceEssMonthly*VE31+VR31*PricePremMonthly*VE31</f>
        <v/>
      </c>
      <c r="VY31" s="12">
        <f>VO31*PriceEssAnnual*VE31+VP31*PricePremAnnual*VE31</f>
        <v/>
      </c>
      <c r="VZ31" s="12">
        <f>VO19*POWER(1-(AnnualChurn*VLOOKUP(VB31,ChurnSeasonTable,4,FALSE)),1)*PriceEssAnnual*VE31+VO7*POWER(1-(AnnualChurn*VLOOKUP(VB31,ChurnSeasonTable,4,FALSE)),2)*PriceEssAnnual*VE31+VP19*POWER(1-(AnnualChurn*VLOOKUP(VB31,ChurnSeasonTable,4,FALSE)),1)*PricePremAnnual*VE31+VP7*POWER(1-(AnnualChurn*VLOOKUP(VB31,ChurnSeasonTable,4,FALSE)),2)*PricePremAnnual*VE31</f>
        <v/>
      </c>
      <c r="WA31" s="9">
        <f>VX31+VY31+VZ31</f>
        <v/>
      </c>
      <c r="WB31" s="12">
        <f>SUM(WA20:WA31)</f>
        <v/>
      </c>
      <c r="WC31" s="12">
        <f>OR(WC30,WB31&gt;=VATThreshold)</f>
        <v/>
      </c>
      <c r="WD31" s="9">
        <f>IF(WC31,WA31/(1+VATRate),WA31)</f>
        <v/>
      </c>
      <c r="WE31" s="12">
        <f>WA31-WD31</f>
        <v/>
      </c>
      <c r="WF31" s="12">
        <f>IF(WC31=0,0,IF(VB31=1,SUMPRODUCT(--(($VC$5:$VC31=$VC31-1)*($VB$5:$VB31&gt;=10)*($VB$5:$VB31&lt;=12)),$WE$5:$WE31),IF(VB31=4,SUMPRODUCT(--(($VC$5:$VC31=$VC31)*($VB$5:$VB31&gt;=1)*($VB$5:$VB31&lt;=3)),$WE$5:$WE31),IF(VB31=7,SUMPRODUCT(--(($VC$5:$VC31=$VC31)*($VB$5:$VB31&gt;=4)*($VB$5:$VB31&lt;=6)),$WE$5:$WE31),IF(VB31=10,SUMPRODUCT(--(($VC$5:$VC31=$VC31)*($VB$5:$VB31&gt;=7)*($VB$5:$VB31&lt;=9)),$WE$5:$WE31),0)))))</f>
        <v/>
      </c>
      <c r="WG31" s="12">
        <f>WG30+WE31-WF31</f>
        <v/>
      </c>
      <c r="WH31" s="12">
        <f>IF(ProviderDelay&gt;=1,WD30*ProviderShare,WD31*ProviderShare)</f>
        <v/>
      </c>
      <c r="WI31" s="12">
        <f>WA31*PaymentFee</f>
        <v/>
      </c>
      <c r="WJ31" s="12">
        <f>VU31*OpsAI</f>
        <v/>
      </c>
      <c r="WK31" s="12">
        <f>MonthlyFixed</f>
        <v/>
      </c>
      <c r="WL31" s="12">
        <f>VI31*ReferralReward</f>
        <v/>
      </c>
      <c r="WM31" s="12">
        <f>VG31</f>
        <v/>
      </c>
      <c r="WN31" s="9">
        <f>WD31-WH31-WI31-WJ31-WK31-WL31-WM31</f>
        <v/>
      </c>
      <c r="WO31" s="9">
        <f>WO30+WA31-(WH31+WI31+WJ31+WK31+WL31+WM31+WF31)</f>
        <v/>
      </c>
      <c r="WP31" s="12">
        <f>IF(VU31&gt;0,VV31/VU31,0)</f>
        <v/>
      </c>
      <c r="WQ31" s="11">
        <f>IF(VU30&gt;0,MAX(0,(VU30+VJ31-VU31)/VU30),0)</f>
        <v/>
      </c>
      <c r="WS31" s="12" t="n">
        <v>27</v>
      </c>
      <c r="WT31" s="12">
        <f>MOD(WS31-1+LaunchMonth-1,12)+1</f>
        <v/>
      </c>
      <c r="WU31" s="12">
        <f>INT((WS31-1+LaunchMonth-1)/12)+1</f>
        <v/>
      </c>
      <c r="WV31" s="12">
        <f>VLOOKUP(WT31,SeasonTable,2,FALSE)</f>
        <v/>
      </c>
      <c r="WW31" s="12">
        <f>(1+InflationRate)^INT((WS31-1)/12)</f>
        <v/>
      </c>
      <c r="WX31" s="11">
        <f>MonthlyChurn*VLOOKUP(WT31,ChurnSeasonTable,4,FALSE)</f>
        <v/>
      </c>
      <c r="WY31" s="12">
        <f>MIN(MAX(MktMin19plus,XS30*MktPct19plus),MAX(0,YG30-CashBuffer))</f>
        <v/>
      </c>
      <c r="WZ31" s="12">
        <f>IF(WY31&gt;0,MAX(1,ROUND(WY31/CAC*WV31,0)),0)</f>
        <v/>
      </c>
      <c r="XA31" s="12">
        <f>IF(WZ31&gt;0,ROUND(WZ31*ReferralMix/(1-ReferralMix),0),0)</f>
        <v/>
      </c>
      <c r="XB31" s="12">
        <f>WZ31+XA31</f>
        <v/>
      </c>
      <c r="XC31" s="12">
        <f>ROUND(XB31*(1-'Sens - Annual Mix'!$A$11),0)</f>
        <v/>
      </c>
      <c r="XD31" s="12">
        <f>XB31-XC31</f>
        <v/>
      </c>
      <c r="XE31" s="12">
        <f>ROUND(XC31*EssentialMix,0)</f>
        <v/>
      </c>
      <c r="XF31" s="12">
        <f>XC31-XE31</f>
        <v/>
      </c>
      <c r="XG31" s="12">
        <f>ROUND(XD31*EssentialMix,0)</f>
        <v/>
      </c>
      <c r="XH31" s="12">
        <f>XD31-XG31</f>
        <v/>
      </c>
      <c r="XI31" s="12">
        <f>XE31+XE30+XE29+MAX(0,XI30-XE30-XE29)*(1-WX31)</f>
        <v/>
      </c>
      <c r="XJ31" s="12">
        <f>XF31+XF30+XF29+MAX(0,XJ30-XF30-XF29)*(1-WX31)</f>
        <v/>
      </c>
      <c r="XK31" s="12">
        <f>XK30+XG31-XG19*(AnnualChurn*VLOOKUP(WT31,ChurnSeasonTable,4,FALSE))*POWER(1-(AnnualChurn*VLOOKUP(WT31,ChurnSeasonTable,4,FALSE)),0)+XG7*(AnnualChurn*VLOOKUP(WT31,ChurnSeasonTable,4,FALSE))*POWER(1-(AnnualChurn*VLOOKUP(WT31,ChurnSeasonTable,4,FALSE)),1)</f>
        <v/>
      </c>
      <c r="XL31" s="12">
        <f>XL30+XH31-XH19*(AnnualChurn*VLOOKUP(WT31,ChurnSeasonTable,4,FALSE))*POWER(1-(AnnualChurn*VLOOKUP(WT31,ChurnSeasonTable,4,FALSE)),0)+XH7*(AnnualChurn*VLOOKUP(WT31,ChurnSeasonTable,4,FALSE))*POWER(1-(AnnualChurn*VLOOKUP(WT31,ChurnSeasonTable,4,FALSE)),1)</f>
        <v/>
      </c>
      <c r="XM31" s="12">
        <f>XI31+XJ31+XK31+XL31</f>
        <v/>
      </c>
      <c r="XN31" s="9">
        <f>XI31*PriceEssMonthly*WW31+XJ31*PricePremMonthly*WW31+XK31*PriceEssAnnual*WW31/12+XL31*PricePremAnnual*WW31/12</f>
        <v/>
      </c>
      <c r="XO31" s="9">
        <f>XN31*12</f>
        <v/>
      </c>
      <c r="XP31" s="12">
        <f>XI31*PriceEssMonthly*WW31+XJ31*PricePremMonthly*WW31</f>
        <v/>
      </c>
      <c r="XQ31" s="12">
        <f>XG31*PriceEssAnnual*WW31+XH31*PricePremAnnual*WW31</f>
        <v/>
      </c>
      <c r="XR31" s="12">
        <f>XG19*POWER(1-(AnnualChurn*VLOOKUP(WT31,ChurnSeasonTable,4,FALSE)),1)*PriceEssAnnual*WW31+XG7*POWER(1-(AnnualChurn*VLOOKUP(WT31,ChurnSeasonTable,4,FALSE)),2)*PriceEssAnnual*WW31+XH19*POWER(1-(AnnualChurn*VLOOKUP(WT31,ChurnSeasonTable,4,FALSE)),1)*PricePremAnnual*WW31+XH7*POWER(1-(AnnualChurn*VLOOKUP(WT31,ChurnSeasonTable,4,FALSE)),2)*PricePremAnnual*WW31</f>
        <v/>
      </c>
      <c r="XS31" s="9">
        <f>XP31+XQ31+XR31</f>
        <v/>
      </c>
      <c r="XT31" s="12">
        <f>SUM(XS20:XS31)</f>
        <v/>
      </c>
      <c r="XU31" s="12">
        <f>OR(XU30,XT31&gt;=VATThreshold)</f>
        <v/>
      </c>
      <c r="XV31" s="9">
        <f>IF(XU31,XS31/(1+VATRate),XS31)</f>
        <v/>
      </c>
      <c r="XW31" s="12">
        <f>XS31-XV31</f>
        <v/>
      </c>
      <c r="XX31" s="12">
        <f>IF(XU31=0,0,IF(WT31=1,SUMPRODUCT(--(($WU$5:$WU31=$WU31-1)*($WT$5:$WT31&gt;=10)*($WT$5:$WT31&lt;=12)),$XW$5:$XW31),IF(WT31=4,SUMPRODUCT(--(($WU$5:$WU31=$WU31)*($WT$5:$WT31&gt;=1)*($WT$5:$WT31&lt;=3)),$XW$5:$XW31),IF(WT31=7,SUMPRODUCT(--(($WU$5:$WU31=$WU31)*($WT$5:$WT31&gt;=4)*($WT$5:$WT31&lt;=6)),$XW$5:$XW31),IF(WT31=10,SUMPRODUCT(--(($WU$5:$WU31=$WU31)*($WT$5:$WT31&gt;=7)*($WT$5:$WT31&lt;=9)),$XW$5:$XW31),0)))))</f>
        <v/>
      </c>
      <c r="XY31" s="12">
        <f>XY30+XW31-XX31</f>
        <v/>
      </c>
      <c r="XZ31" s="12">
        <f>IF(ProviderDelay&gt;=1,XV30*ProviderShare,XV31*ProviderShare)</f>
        <v/>
      </c>
      <c r="YA31" s="12">
        <f>XS31*PaymentFee</f>
        <v/>
      </c>
      <c r="YB31" s="12">
        <f>XM31*OpsAI</f>
        <v/>
      </c>
      <c r="YC31" s="12">
        <f>MonthlyFixed</f>
        <v/>
      </c>
      <c r="YD31" s="12">
        <f>XA31*ReferralReward</f>
        <v/>
      </c>
      <c r="YE31" s="12">
        <f>WY31</f>
        <v/>
      </c>
      <c r="YF31" s="9">
        <f>XV31-XZ31-YA31-YB31-YC31-YD31-YE31</f>
        <v/>
      </c>
      <c r="YG31" s="9">
        <f>YG30+XS31-(XZ31+YA31+YB31+YC31+YD31+YE31+XX31)</f>
        <v/>
      </c>
      <c r="YH31" s="12">
        <f>IF(XM31&gt;0,XN31/XM31,0)</f>
        <v/>
      </c>
      <c r="YI31" s="11">
        <f>IF(XM30&gt;0,MAX(0,(XM30+XB31-XM31)/XM30),0)</f>
        <v/>
      </c>
      <c r="YK31" s="12" t="n">
        <v>27</v>
      </c>
      <c r="YL31" s="12">
        <f>MOD(YK31-1+LaunchMonth-1,12)+1</f>
        <v/>
      </c>
      <c r="YM31" s="12">
        <f>INT((YK31-1+LaunchMonth-1)/12)+1</f>
        <v/>
      </c>
      <c r="YN31" s="12">
        <f>VLOOKUP(YL31,SeasonTable,2,FALSE)</f>
        <v/>
      </c>
      <c r="YO31" s="12">
        <f>(1+InflationRate)^INT((YK31-1)/12)</f>
        <v/>
      </c>
      <c r="YP31" s="11">
        <f>MonthlyChurn*VLOOKUP(YL31,ChurnSeasonTable,4,FALSE)</f>
        <v/>
      </c>
      <c r="YQ31" s="12">
        <f>MIN(MAX(MktMin19plus,ZK30*MktPct19plus),MAX(0,ZY30-CashBuffer))</f>
        <v/>
      </c>
      <c r="YR31" s="12">
        <f>IF(YQ31&gt;0,MAX(1,ROUND(YQ31/CAC*YN31,0)),0)</f>
        <v/>
      </c>
      <c r="YS31" s="12">
        <f>IF(YR31&gt;0,ROUND(YR31*ReferralMix/(1-ReferralMix),0),0)</f>
        <v/>
      </c>
      <c r="YT31" s="12">
        <f>YR31+YS31</f>
        <v/>
      </c>
      <c r="YU31" s="12">
        <f>ROUND(YT31*(1-'Sens - Annual Mix'!$A$12),0)</f>
        <v/>
      </c>
      <c r="YV31" s="12">
        <f>YT31-YU31</f>
        <v/>
      </c>
      <c r="YW31" s="12">
        <f>ROUND(YU31*EssentialMix,0)</f>
        <v/>
      </c>
      <c r="YX31" s="12">
        <f>YU31-YW31</f>
        <v/>
      </c>
      <c r="YY31" s="12">
        <f>ROUND(YV31*EssentialMix,0)</f>
        <v/>
      </c>
      <c r="YZ31" s="12">
        <f>YV31-YY31</f>
        <v/>
      </c>
      <c r="ZA31" s="12">
        <f>YW31+YW30+YW29+MAX(0,ZA30-YW30-YW29)*(1-YP31)</f>
        <v/>
      </c>
      <c r="ZB31" s="12">
        <f>YX31+YX30+YX29+MAX(0,ZB30-YX30-YX29)*(1-YP31)</f>
        <v/>
      </c>
      <c r="ZC31" s="12">
        <f>ZC30+YY31-YY19*(AnnualChurn*VLOOKUP(YL31,ChurnSeasonTable,4,FALSE))*POWER(1-(AnnualChurn*VLOOKUP(YL31,ChurnSeasonTable,4,FALSE)),0)+YY7*(AnnualChurn*VLOOKUP(YL31,ChurnSeasonTable,4,FALSE))*POWER(1-(AnnualChurn*VLOOKUP(YL31,ChurnSeasonTable,4,FALSE)),1)</f>
        <v/>
      </c>
      <c r="ZD31" s="12">
        <f>ZD30+YZ31-YZ19*(AnnualChurn*VLOOKUP(YL31,ChurnSeasonTable,4,FALSE))*POWER(1-(AnnualChurn*VLOOKUP(YL31,ChurnSeasonTable,4,FALSE)),0)+YZ7*(AnnualChurn*VLOOKUP(YL31,ChurnSeasonTable,4,FALSE))*POWER(1-(AnnualChurn*VLOOKUP(YL31,ChurnSeasonTable,4,FALSE)),1)</f>
        <v/>
      </c>
      <c r="ZE31" s="12">
        <f>ZA31+ZB31+ZC31+ZD31</f>
        <v/>
      </c>
      <c r="ZF31" s="9">
        <f>ZA31*PriceEssMonthly*YO31+ZB31*PricePremMonthly*YO31+ZC31*PriceEssAnnual*YO31/12+ZD31*PricePremAnnual*YO31/12</f>
        <v/>
      </c>
      <c r="ZG31" s="9">
        <f>ZF31*12</f>
        <v/>
      </c>
      <c r="ZH31" s="12">
        <f>ZA31*PriceEssMonthly*YO31+ZB31*PricePremMonthly*YO31</f>
        <v/>
      </c>
      <c r="ZI31" s="12">
        <f>YY31*PriceEssAnnual*YO31+YZ31*PricePremAnnual*YO31</f>
        <v/>
      </c>
      <c r="ZJ31" s="12">
        <f>YY19*POWER(1-(AnnualChurn*VLOOKUP(YL31,ChurnSeasonTable,4,FALSE)),1)*PriceEssAnnual*YO31+YY7*POWER(1-(AnnualChurn*VLOOKUP(YL31,ChurnSeasonTable,4,FALSE)),2)*PriceEssAnnual*YO31+YZ19*POWER(1-(AnnualChurn*VLOOKUP(YL31,ChurnSeasonTable,4,FALSE)),1)*PricePremAnnual*YO31+YZ7*POWER(1-(AnnualChurn*VLOOKUP(YL31,ChurnSeasonTable,4,FALSE)),2)*PricePremAnnual*YO31</f>
        <v/>
      </c>
      <c r="ZK31" s="9">
        <f>ZH31+ZI31+ZJ31</f>
        <v/>
      </c>
      <c r="ZL31" s="12">
        <f>SUM(ZK20:ZK31)</f>
        <v/>
      </c>
      <c r="ZM31" s="12">
        <f>OR(ZM30,ZL31&gt;=VATThreshold)</f>
        <v/>
      </c>
      <c r="ZN31" s="9">
        <f>IF(ZM31,ZK31/(1+VATRate),ZK31)</f>
        <v/>
      </c>
      <c r="ZO31" s="12">
        <f>ZK31-ZN31</f>
        <v/>
      </c>
      <c r="ZP31" s="12">
        <f>IF(ZM31=0,0,IF(YL31=1,SUMPRODUCT(--(($YM$5:$YM31=$YM31-1)*($YL$5:$YL31&gt;=10)*($YL$5:$YL31&lt;=12)),$ZO$5:$ZO31),IF(YL31=4,SUMPRODUCT(--(($YM$5:$YM31=$YM31)*($YL$5:$YL31&gt;=1)*($YL$5:$YL31&lt;=3)),$ZO$5:$ZO31),IF(YL31=7,SUMPRODUCT(--(($YM$5:$YM31=$YM31)*($YL$5:$YL31&gt;=4)*($YL$5:$YL31&lt;=6)),$ZO$5:$ZO31),IF(YL31=10,SUMPRODUCT(--(($YM$5:$YM31=$YM31)*($YL$5:$YL31&gt;=7)*($YL$5:$YL31&lt;=9)),$ZO$5:$ZO31),0)))))</f>
        <v/>
      </c>
      <c r="ZQ31" s="12">
        <f>ZQ30+ZO31-ZP31</f>
        <v/>
      </c>
      <c r="ZR31" s="12">
        <f>IF(ProviderDelay&gt;=1,ZN30*ProviderShare,ZN31*ProviderShare)</f>
        <v/>
      </c>
      <c r="ZS31" s="12">
        <f>ZK31*PaymentFee</f>
        <v/>
      </c>
      <c r="ZT31" s="12">
        <f>ZE31*OpsAI</f>
        <v/>
      </c>
      <c r="ZU31" s="12">
        <f>MonthlyFixed</f>
        <v/>
      </c>
      <c r="ZV31" s="12">
        <f>YS31*ReferralReward</f>
        <v/>
      </c>
      <c r="ZW31" s="12">
        <f>YQ31</f>
        <v/>
      </c>
      <c r="ZX31" s="9">
        <f>ZN31-ZR31-ZS31-ZT31-ZU31-ZV31-ZW31</f>
        <v/>
      </c>
      <c r="ZY31" s="9">
        <f>ZY30+ZK31-(ZR31+ZS31+ZT31+ZU31+ZV31+ZW31+ZP31)</f>
        <v/>
      </c>
      <c r="ZZ31" s="12">
        <f>IF(ZE31&gt;0,ZF31/ZE31,0)</f>
        <v/>
      </c>
      <c r="AAA31" s="11">
        <f>IF(ZE30&gt;0,MAX(0,(ZE30+YT31-ZE31)/ZE30),0)</f>
        <v/>
      </c>
      <c r="AAC31" s="12" t="n">
        <v>27</v>
      </c>
      <c r="AAD31" s="12">
        <f>MOD(AAC31-1+LaunchMonth-1,12)+1</f>
        <v/>
      </c>
      <c r="AAE31" s="12">
        <f>INT((AAC31-1+LaunchMonth-1)/12)+1</f>
        <v/>
      </c>
      <c r="AAF31" s="12">
        <f>VLOOKUP(AAD31,SeasonTable,2,FALSE)</f>
        <v/>
      </c>
      <c r="AAG31" s="12">
        <f>(1+InflationRate)^INT((AAC31-1)/12)</f>
        <v/>
      </c>
      <c r="AAH31" s="11">
        <f>MonthlyChurn*VLOOKUP(AAD31,ChurnSeasonTable,4,FALSE)</f>
        <v/>
      </c>
      <c r="AAI31" s="12">
        <f>MIN(MAX(MktMin19plus,ABC30*MktPct19plus),MAX(0,ABQ30-CashBuffer))</f>
        <v/>
      </c>
      <c r="AAJ31" s="12">
        <f>IF(AAI31&gt;0,MAX(1,ROUND(AAI31/CAC*AAF31,0)),0)</f>
        <v/>
      </c>
      <c r="AAK31" s="12">
        <f>IF(AAJ31&gt;0,ROUND(AAJ31*ReferralMix/(1-ReferralMix),0),0)</f>
        <v/>
      </c>
      <c r="AAL31" s="12">
        <f>AAJ31+AAK31</f>
        <v/>
      </c>
      <c r="AAM31" s="12">
        <f>ROUND(AAL31*(1-'Sens - Annual Mix'!$A$13),0)</f>
        <v/>
      </c>
      <c r="AAN31" s="12">
        <f>AAL31-AAM31</f>
        <v/>
      </c>
      <c r="AAO31" s="12">
        <f>ROUND(AAM31*EssentialMix,0)</f>
        <v/>
      </c>
      <c r="AAP31" s="12">
        <f>AAM31-AAO31</f>
        <v/>
      </c>
      <c r="AAQ31" s="12">
        <f>ROUND(AAN31*EssentialMix,0)</f>
        <v/>
      </c>
      <c r="AAR31" s="12">
        <f>AAN31-AAQ31</f>
        <v/>
      </c>
      <c r="AAS31" s="12">
        <f>AAO31+AAO30+AAO29+MAX(0,AAS30-AAO30-AAO29)*(1-AAH31)</f>
        <v/>
      </c>
      <c r="AAT31" s="12">
        <f>AAP31+AAP30+AAP29+MAX(0,AAT30-AAP30-AAP29)*(1-AAH31)</f>
        <v/>
      </c>
      <c r="AAU31" s="12">
        <f>AAU30+AAQ31-AAQ19*(AnnualChurn*VLOOKUP(AAD31,ChurnSeasonTable,4,FALSE))*POWER(1-(AnnualChurn*VLOOKUP(AAD31,ChurnSeasonTable,4,FALSE)),0)+AAQ7*(AnnualChurn*VLOOKUP(AAD31,ChurnSeasonTable,4,FALSE))*POWER(1-(AnnualChurn*VLOOKUP(AAD31,ChurnSeasonTable,4,FALSE)),1)</f>
        <v/>
      </c>
      <c r="AAV31" s="12">
        <f>AAV30+AAR31-AAR19*(AnnualChurn*VLOOKUP(AAD31,ChurnSeasonTable,4,FALSE))*POWER(1-(AnnualChurn*VLOOKUP(AAD31,ChurnSeasonTable,4,FALSE)),0)+AAR7*(AnnualChurn*VLOOKUP(AAD31,ChurnSeasonTable,4,FALSE))*POWER(1-(AnnualChurn*VLOOKUP(AAD31,ChurnSeasonTable,4,FALSE)),1)</f>
        <v/>
      </c>
      <c r="AAW31" s="12">
        <f>AAS31+AAT31+AAU31+AAV31</f>
        <v/>
      </c>
      <c r="AAX31" s="9">
        <f>AAS31*PriceEssMonthly*AAG31+AAT31*PricePremMonthly*AAG31+AAU31*PriceEssAnnual*AAG31/12+AAV31*PricePremAnnual*AAG31/12</f>
        <v/>
      </c>
      <c r="AAY31" s="9">
        <f>AAX31*12</f>
        <v/>
      </c>
      <c r="AAZ31" s="12">
        <f>AAS31*PriceEssMonthly*AAG31+AAT31*PricePremMonthly*AAG31</f>
        <v/>
      </c>
      <c r="ABA31" s="12">
        <f>AAQ31*PriceEssAnnual*AAG31+AAR31*PricePremAnnual*AAG31</f>
        <v/>
      </c>
      <c r="ABB31" s="12">
        <f>AAQ19*POWER(1-(AnnualChurn*VLOOKUP(AAD31,ChurnSeasonTable,4,FALSE)),1)*PriceEssAnnual*AAG31+AAQ7*POWER(1-(AnnualChurn*VLOOKUP(AAD31,ChurnSeasonTable,4,FALSE)),2)*PriceEssAnnual*AAG31+AAR19*POWER(1-(AnnualChurn*VLOOKUP(AAD31,ChurnSeasonTable,4,FALSE)),1)*PricePremAnnual*AAG31+AAR7*POWER(1-(AnnualChurn*VLOOKUP(AAD31,ChurnSeasonTable,4,FALSE)),2)*PricePremAnnual*AAG31</f>
        <v/>
      </c>
      <c r="ABC31" s="9">
        <f>AAZ31+ABA31+ABB31</f>
        <v/>
      </c>
      <c r="ABD31" s="12">
        <f>SUM(ABC20:ABC31)</f>
        <v/>
      </c>
      <c r="ABE31" s="12">
        <f>OR(ABE30,ABD31&gt;=VATThreshold)</f>
        <v/>
      </c>
      <c r="ABF31" s="9">
        <f>IF(ABE31,ABC31/(1+VATRate),ABC31)</f>
        <v/>
      </c>
      <c r="ABG31" s="12">
        <f>ABC31-ABF31</f>
        <v/>
      </c>
      <c r="ABH31" s="12">
        <f>IF(ABE31=0,0,IF(AAD31=1,SUMPRODUCT(--(($AAE$5:$AAE31=$AAE31-1)*($AAD$5:$AAD31&gt;=10)*($AAD$5:$AAD31&lt;=12)),$ABG$5:$ABG31),IF(AAD31=4,SUMPRODUCT(--(($AAE$5:$AAE31=$AAE31)*($AAD$5:$AAD31&gt;=1)*($AAD$5:$AAD31&lt;=3)),$ABG$5:$ABG31),IF(AAD31=7,SUMPRODUCT(--(($AAE$5:$AAE31=$AAE31)*($AAD$5:$AAD31&gt;=4)*($AAD$5:$AAD31&lt;=6)),$ABG$5:$ABG31),IF(AAD31=10,SUMPRODUCT(--(($AAE$5:$AAE31=$AAE31)*($AAD$5:$AAD31&gt;=7)*($AAD$5:$AAD31&lt;=9)),$ABG$5:$ABG31),0)))))</f>
        <v/>
      </c>
      <c r="ABI31" s="12">
        <f>ABI30+ABG31-ABH31</f>
        <v/>
      </c>
      <c r="ABJ31" s="12">
        <f>IF(ProviderDelay&gt;=1,ABF30*ProviderShare,ABF31*ProviderShare)</f>
        <v/>
      </c>
      <c r="ABK31" s="12">
        <f>ABC31*PaymentFee</f>
        <v/>
      </c>
      <c r="ABL31" s="12">
        <f>AAW31*OpsAI</f>
        <v/>
      </c>
      <c r="ABM31" s="12">
        <f>MonthlyFixed</f>
        <v/>
      </c>
      <c r="ABN31" s="12">
        <f>AAK31*ReferralReward</f>
        <v/>
      </c>
      <c r="ABO31" s="12">
        <f>AAI31</f>
        <v/>
      </c>
      <c r="ABP31" s="9">
        <f>ABF31-ABJ31-ABK31-ABL31-ABM31-ABN31-ABO31</f>
        <v/>
      </c>
      <c r="ABQ31" s="9">
        <f>ABQ30+ABC31-(ABJ31+ABK31+ABL31+ABM31+ABN31+ABO31+ABH31)</f>
        <v/>
      </c>
      <c r="ABR31" s="12">
        <f>IF(AAW31&gt;0,AAX31/AAW31,0)</f>
        <v/>
      </c>
      <c r="ABS31" s="11">
        <f>IF(AAW30&gt;0,MAX(0,(AAW30+AAL31-AAW31)/AAW30),0)</f>
        <v/>
      </c>
      <c r="ABU31" s="12" t="n">
        <v>27</v>
      </c>
      <c r="ABV31" s="12">
        <f>MOD(ABU31-1+LaunchMonth-1,12)+1</f>
        <v/>
      </c>
      <c r="ABW31" s="12">
        <f>INT((ABU31-1+LaunchMonth-1)/12)+1</f>
        <v/>
      </c>
      <c r="ABX31" s="12">
        <f>VLOOKUP(ABV31,SeasonTable,2,FALSE)</f>
        <v/>
      </c>
      <c r="ABY31" s="12">
        <f>(1+InflationRate)^INT((ABU31-1)/12)</f>
        <v/>
      </c>
      <c r="ABZ31" s="11">
        <f>MonthlyChurn*VLOOKUP(ABV31,ChurnSeasonTable,4,FALSE)</f>
        <v/>
      </c>
      <c r="ACA31" s="12">
        <f>MIN(MAX(MktMin19plus,ACU30*MktPct19plus),MAX(0,ADI30-CashBuffer))</f>
        <v/>
      </c>
      <c r="ACB31" s="12">
        <f>IF(ACA31&gt;0,MAX(1,ROUND(ACA31/CAC*ABX31,0)),0)</f>
        <v/>
      </c>
      <c r="ACC31" s="12">
        <f>IF(ACB31&gt;0,ROUND(ACB31*ReferralMix/(1-ReferralMix),0),0)</f>
        <v/>
      </c>
      <c r="ACD31" s="12">
        <f>ACB31+ACC31</f>
        <v/>
      </c>
      <c r="ACE31" s="12">
        <f>ROUND(ACD31*(1-'Sens - Annual Mix'!$A$14),0)</f>
        <v/>
      </c>
      <c r="ACF31" s="12">
        <f>ACD31-ACE31</f>
        <v/>
      </c>
      <c r="ACG31" s="12">
        <f>ROUND(ACE31*EssentialMix,0)</f>
        <v/>
      </c>
      <c r="ACH31" s="12">
        <f>ACE31-ACG31</f>
        <v/>
      </c>
      <c r="ACI31" s="12">
        <f>ROUND(ACF31*EssentialMix,0)</f>
        <v/>
      </c>
      <c r="ACJ31" s="12">
        <f>ACF31-ACI31</f>
        <v/>
      </c>
      <c r="ACK31" s="12">
        <f>ACG31+ACG30+ACG29+MAX(0,ACK30-ACG30-ACG29)*(1-ABZ31)</f>
        <v/>
      </c>
      <c r="ACL31" s="12">
        <f>ACH31+ACH30+ACH29+MAX(0,ACL30-ACH30-ACH29)*(1-ABZ31)</f>
        <v/>
      </c>
      <c r="ACM31" s="12">
        <f>ACM30+ACI31-ACI19*(AnnualChurn*VLOOKUP(ABV31,ChurnSeasonTable,4,FALSE))*POWER(1-(AnnualChurn*VLOOKUP(ABV31,ChurnSeasonTable,4,FALSE)),0)+ACI7*(AnnualChurn*VLOOKUP(ABV31,ChurnSeasonTable,4,FALSE))*POWER(1-(AnnualChurn*VLOOKUP(ABV31,ChurnSeasonTable,4,FALSE)),1)</f>
        <v/>
      </c>
      <c r="ACN31" s="12">
        <f>ACN30+ACJ31-ACJ19*(AnnualChurn*VLOOKUP(ABV31,ChurnSeasonTable,4,FALSE))*POWER(1-(AnnualChurn*VLOOKUP(ABV31,ChurnSeasonTable,4,FALSE)),0)+ACJ7*(AnnualChurn*VLOOKUP(ABV31,ChurnSeasonTable,4,FALSE))*POWER(1-(AnnualChurn*VLOOKUP(ABV31,ChurnSeasonTable,4,FALSE)),1)</f>
        <v/>
      </c>
      <c r="ACO31" s="12">
        <f>ACK31+ACL31+ACM31+ACN31</f>
        <v/>
      </c>
      <c r="ACP31" s="9">
        <f>ACK31*PriceEssMonthly*ABY31+ACL31*PricePremMonthly*ABY31+ACM31*PriceEssAnnual*ABY31/12+ACN31*PricePremAnnual*ABY31/12</f>
        <v/>
      </c>
      <c r="ACQ31" s="9">
        <f>ACP31*12</f>
        <v/>
      </c>
      <c r="ACR31" s="12">
        <f>ACK31*PriceEssMonthly*ABY31+ACL31*PricePremMonthly*ABY31</f>
        <v/>
      </c>
      <c r="ACS31" s="12">
        <f>ACI31*PriceEssAnnual*ABY31+ACJ31*PricePremAnnual*ABY31</f>
        <v/>
      </c>
      <c r="ACT31" s="12">
        <f>ACI19*POWER(1-(AnnualChurn*VLOOKUP(ABV31,ChurnSeasonTable,4,FALSE)),1)*PriceEssAnnual*ABY31+ACI7*POWER(1-(AnnualChurn*VLOOKUP(ABV31,ChurnSeasonTable,4,FALSE)),2)*PriceEssAnnual*ABY31+ACJ19*POWER(1-(AnnualChurn*VLOOKUP(ABV31,ChurnSeasonTable,4,FALSE)),1)*PricePremAnnual*ABY31+ACJ7*POWER(1-(AnnualChurn*VLOOKUP(ABV31,ChurnSeasonTable,4,FALSE)),2)*PricePremAnnual*ABY31</f>
        <v/>
      </c>
      <c r="ACU31" s="9">
        <f>ACR31+ACS31+ACT31</f>
        <v/>
      </c>
      <c r="ACV31" s="12">
        <f>SUM(ACU20:ACU31)</f>
        <v/>
      </c>
      <c r="ACW31" s="12">
        <f>OR(ACW30,ACV31&gt;=VATThreshold)</f>
        <v/>
      </c>
      <c r="ACX31" s="9">
        <f>IF(ACW31,ACU31/(1+VATRate),ACU31)</f>
        <v/>
      </c>
      <c r="ACY31" s="12">
        <f>ACU31-ACX31</f>
        <v/>
      </c>
      <c r="ACZ31" s="12">
        <f>IF(ACW31=0,0,IF(ABV31=1,SUMPRODUCT(--(($ABW$5:$ABW31=$ABW31-1)*($ABV$5:$ABV31&gt;=10)*($ABV$5:$ABV31&lt;=12)),$ACY$5:$ACY31),IF(ABV31=4,SUMPRODUCT(--(($ABW$5:$ABW31=$ABW31)*($ABV$5:$ABV31&gt;=1)*($ABV$5:$ABV31&lt;=3)),$ACY$5:$ACY31),IF(ABV31=7,SUMPRODUCT(--(($ABW$5:$ABW31=$ABW31)*($ABV$5:$ABV31&gt;=4)*($ABV$5:$ABV31&lt;=6)),$ACY$5:$ACY31),IF(ABV31=10,SUMPRODUCT(--(($ABW$5:$ABW31=$ABW31)*($ABV$5:$ABV31&gt;=7)*($ABV$5:$ABV31&lt;=9)),$ACY$5:$ACY31),0)))))</f>
        <v/>
      </c>
      <c r="ADA31" s="12">
        <f>ADA30+ACY31-ACZ31</f>
        <v/>
      </c>
      <c r="ADB31" s="12">
        <f>IF(ProviderDelay&gt;=1,ACX30*ProviderShare,ACX31*ProviderShare)</f>
        <v/>
      </c>
      <c r="ADC31" s="12">
        <f>ACU31*PaymentFee</f>
        <v/>
      </c>
      <c r="ADD31" s="12">
        <f>ACO31*OpsAI</f>
        <v/>
      </c>
      <c r="ADE31" s="12">
        <f>MonthlyFixed</f>
        <v/>
      </c>
      <c r="ADF31" s="12">
        <f>ACC31*ReferralReward</f>
        <v/>
      </c>
      <c r="ADG31" s="12">
        <f>ACA31</f>
        <v/>
      </c>
      <c r="ADH31" s="9">
        <f>ACX31-ADB31-ADC31-ADD31-ADE31-ADF31-ADG31</f>
        <v/>
      </c>
      <c r="ADI31" s="9">
        <f>ADI30+ACU31-(ADB31+ADC31+ADD31+ADE31+ADF31+ADG31+ACZ31)</f>
        <v/>
      </c>
      <c r="ADJ31" s="12">
        <f>IF(ACO31&gt;0,ACP31/ACO31,0)</f>
        <v/>
      </c>
      <c r="ADK31" s="11">
        <f>IF(ACO30&gt;0,MAX(0,(ACO30+ACD31-ACO31)/ACO30),0)</f>
        <v/>
      </c>
      <c r="ADM31" s="12" t="n">
        <v>27</v>
      </c>
      <c r="ADN31" s="12">
        <f>MOD(ADM31-1+LaunchMonth-1,12)+1</f>
        <v/>
      </c>
      <c r="ADO31" s="12">
        <f>INT((ADM31-1+LaunchMonth-1)/12)+1</f>
        <v/>
      </c>
      <c r="ADP31" s="12">
        <f>VLOOKUP(ADN31,SeasonTable,2,FALSE)</f>
        <v/>
      </c>
      <c r="ADQ31" s="12">
        <f>(1+InflationRate)^INT((ADM31-1)/12)</f>
        <v/>
      </c>
      <c r="ADR31" s="11">
        <f>MonthlyChurn*VLOOKUP(ADN31,ChurnSeasonTable,4,FALSE)</f>
        <v/>
      </c>
      <c r="ADS31" s="12">
        <f>MIN(MAX(MktMin19plus,AEM30*MktPct19plus),MAX(0,AFA30-CashBuffer))</f>
        <v/>
      </c>
      <c r="ADT31" s="12">
        <f>IF(ADS31&gt;0,MAX(1,ROUND(ADS31/CAC*ADP31,0)),0)</f>
        <v/>
      </c>
      <c r="ADU31" s="12">
        <f>IF(ADT31&gt;0,ROUND(ADT31*ReferralMix/(1-ReferralMix),0),0)</f>
        <v/>
      </c>
      <c r="ADV31" s="12">
        <f>ADT31+ADU31</f>
        <v/>
      </c>
      <c r="ADW31" s="12">
        <f>ROUND(ADV31*(1-'Sens - Annual Mix'!$A$15),0)</f>
        <v/>
      </c>
      <c r="ADX31" s="12">
        <f>ADV31-ADW31</f>
        <v/>
      </c>
      <c r="ADY31" s="12">
        <f>ROUND(ADW31*EssentialMix,0)</f>
        <v/>
      </c>
      <c r="ADZ31" s="12">
        <f>ADW31-ADY31</f>
        <v/>
      </c>
      <c r="AEA31" s="12">
        <f>ROUND(ADX31*EssentialMix,0)</f>
        <v/>
      </c>
      <c r="AEB31" s="12">
        <f>ADX31-AEA31</f>
        <v/>
      </c>
      <c r="AEC31" s="12">
        <f>ADY31+ADY30+ADY29+MAX(0,AEC30-ADY30-ADY29)*(1-ADR31)</f>
        <v/>
      </c>
      <c r="AED31" s="12">
        <f>ADZ31+ADZ30+ADZ29+MAX(0,AED30-ADZ30-ADZ29)*(1-ADR31)</f>
        <v/>
      </c>
      <c r="AEE31" s="12">
        <f>AEE30+AEA31-AEA19*(AnnualChurn*VLOOKUP(ADN31,ChurnSeasonTable,4,FALSE))*POWER(1-(AnnualChurn*VLOOKUP(ADN31,ChurnSeasonTable,4,FALSE)),0)+AEA7*(AnnualChurn*VLOOKUP(ADN31,ChurnSeasonTable,4,FALSE))*POWER(1-(AnnualChurn*VLOOKUP(ADN31,ChurnSeasonTable,4,FALSE)),1)</f>
        <v/>
      </c>
      <c r="AEF31" s="12">
        <f>AEF30+AEB31-AEB19*(AnnualChurn*VLOOKUP(ADN31,ChurnSeasonTable,4,FALSE))*POWER(1-(AnnualChurn*VLOOKUP(ADN31,ChurnSeasonTable,4,FALSE)),0)+AEB7*(AnnualChurn*VLOOKUP(ADN31,ChurnSeasonTable,4,FALSE))*POWER(1-(AnnualChurn*VLOOKUP(ADN31,ChurnSeasonTable,4,FALSE)),1)</f>
        <v/>
      </c>
      <c r="AEG31" s="12">
        <f>AEC31+AED31+AEE31+AEF31</f>
        <v/>
      </c>
      <c r="AEH31" s="9">
        <f>AEC31*PriceEssMonthly*ADQ31+AED31*PricePremMonthly*ADQ31+AEE31*PriceEssAnnual*ADQ31/12+AEF31*PricePremAnnual*ADQ31/12</f>
        <v/>
      </c>
      <c r="AEI31" s="9">
        <f>AEH31*12</f>
        <v/>
      </c>
      <c r="AEJ31" s="12">
        <f>AEC31*PriceEssMonthly*ADQ31+AED31*PricePremMonthly*ADQ31</f>
        <v/>
      </c>
      <c r="AEK31" s="12">
        <f>AEA31*PriceEssAnnual*ADQ31+AEB31*PricePremAnnual*ADQ31</f>
        <v/>
      </c>
      <c r="AEL31" s="12">
        <f>AEA19*POWER(1-(AnnualChurn*VLOOKUP(ADN31,ChurnSeasonTable,4,FALSE)),1)*PriceEssAnnual*ADQ31+AEA7*POWER(1-(AnnualChurn*VLOOKUP(ADN31,ChurnSeasonTable,4,FALSE)),2)*PriceEssAnnual*ADQ31+AEB19*POWER(1-(AnnualChurn*VLOOKUP(ADN31,ChurnSeasonTable,4,FALSE)),1)*PricePremAnnual*ADQ31+AEB7*POWER(1-(AnnualChurn*VLOOKUP(ADN31,ChurnSeasonTable,4,FALSE)),2)*PricePremAnnual*ADQ31</f>
        <v/>
      </c>
      <c r="AEM31" s="9">
        <f>AEJ31+AEK31+AEL31</f>
        <v/>
      </c>
      <c r="AEN31" s="12">
        <f>SUM(AEM20:AEM31)</f>
        <v/>
      </c>
      <c r="AEO31" s="12">
        <f>OR(AEO30,AEN31&gt;=VATThreshold)</f>
        <v/>
      </c>
      <c r="AEP31" s="9">
        <f>IF(AEO31,AEM31/(1+VATRate),AEM31)</f>
        <v/>
      </c>
      <c r="AEQ31" s="12">
        <f>AEM31-AEP31</f>
        <v/>
      </c>
      <c r="AER31" s="12">
        <f>IF(AEO31=0,0,IF(ADN31=1,SUMPRODUCT(--(($ADO$5:$ADO31=$ADO31-1)*($ADN$5:$ADN31&gt;=10)*($ADN$5:$ADN31&lt;=12)),$AEQ$5:$AEQ31),IF(ADN31=4,SUMPRODUCT(--(($ADO$5:$ADO31=$ADO31)*($ADN$5:$ADN31&gt;=1)*($ADN$5:$ADN31&lt;=3)),$AEQ$5:$AEQ31),IF(ADN31=7,SUMPRODUCT(--(($ADO$5:$ADO31=$ADO31)*($ADN$5:$ADN31&gt;=4)*($ADN$5:$ADN31&lt;=6)),$AEQ$5:$AEQ31),IF(ADN31=10,SUMPRODUCT(--(($ADO$5:$ADO31=$ADO31)*($ADN$5:$ADN31&gt;=7)*($ADN$5:$ADN31&lt;=9)),$AEQ$5:$AEQ31),0)))))</f>
        <v/>
      </c>
      <c r="AES31" s="12">
        <f>AES30+AEQ31-AER31</f>
        <v/>
      </c>
      <c r="AET31" s="12">
        <f>IF(ProviderDelay&gt;=1,AEP30*ProviderShare,AEP31*ProviderShare)</f>
        <v/>
      </c>
      <c r="AEU31" s="12">
        <f>AEM31*PaymentFee</f>
        <v/>
      </c>
      <c r="AEV31" s="12">
        <f>AEG31*OpsAI</f>
        <v/>
      </c>
      <c r="AEW31" s="12">
        <f>MonthlyFixed</f>
        <v/>
      </c>
      <c r="AEX31" s="12">
        <f>ADU31*ReferralReward</f>
        <v/>
      </c>
      <c r="AEY31" s="12">
        <f>ADS31</f>
        <v/>
      </c>
      <c r="AEZ31" s="9">
        <f>AEP31-AET31-AEU31-AEV31-AEW31-AEX31-AEY31</f>
        <v/>
      </c>
      <c r="AFA31" s="9">
        <f>AFA30+AEM31-(AET31+AEU31+AEV31+AEW31+AEX31+AEY31+AER31)</f>
        <v/>
      </c>
      <c r="AFB31" s="12">
        <f>IF(AEG31&gt;0,AEH31/AEG31,0)</f>
        <v/>
      </c>
      <c r="AFC31" s="11">
        <f>IF(AEG30&gt;0,MAX(0,(AEG30+ADV31-AEG31)/AEG30),0)</f>
        <v/>
      </c>
      <c r="AFE31" s="12" t="n">
        <v>27</v>
      </c>
      <c r="AFF31" s="12">
        <f>MOD(AFE31-1+LaunchMonth-1,12)+1</f>
        <v/>
      </c>
      <c r="AFG31" s="12">
        <f>INT((AFE31-1+LaunchMonth-1)/12)+1</f>
        <v/>
      </c>
      <c r="AFH31" s="12">
        <f>VLOOKUP(AFF31,SeasonTable,2,FALSE)</f>
        <v/>
      </c>
      <c r="AFI31" s="12">
        <f>(1+InflationRate)^INT((AFE31-1)/12)</f>
        <v/>
      </c>
      <c r="AFJ31" s="11">
        <f>MonthlyChurn*VLOOKUP(AFF31,ChurnSeasonTable,4,FALSE)</f>
        <v/>
      </c>
      <c r="AFK31" s="12">
        <f>MIN(MAX(MktMin19plus,AGE30*MktPct19plus),MAX(0,AGS30-CashBuffer))</f>
        <v/>
      </c>
      <c r="AFL31" s="12">
        <f>IF(AFK31&gt;0,MAX(1,ROUND(AFK31/'Sens - CAC &amp; Marketing'!$A$9*AFH31,0)),0)</f>
        <v/>
      </c>
      <c r="AFM31" s="12">
        <f>IF(AFL31&gt;0,ROUND(AFL31*ReferralMix/(1-ReferralMix),0),0)</f>
        <v/>
      </c>
      <c r="AFN31" s="12">
        <f>AFL31+AFM31</f>
        <v/>
      </c>
      <c r="AFO31" s="12">
        <f>ROUND(AFN31*(1-AnnualMix),0)</f>
        <v/>
      </c>
      <c r="AFP31" s="12">
        <f>AFN31-AFO31</f>
        <v/>
      </c>
      <c r="AFQ31" s="12">
        <f>ROUND(AFO31*EssentialMix,0)</f>
        <v/>
      </c>
      <c r="AFR31" s="12">
        <f>AFO31-AFQ31</f>
        <v/>
      </c>
      <c r="AFS31" s="12">
        <f>ROUND(AFP31*EssentialMix,0)</f>
        <v/>
      </c>
      <c r="AFT31" s="12">
        <f>AFP31-AFS31</f>
        <v/>
      </c>
      <c r="AFU31" s="12">
        <f>AFQ31+AFQ30+AFQ29+MAX(0,AFU30-AFQ30-AFQ29)*(1-AFJ31)</f>
        <v/>
      </c>
      <c r="AFV31" s="12">
        <f>AFR31+AFR30+AFR29+MAX(0,AFV30-AFR30-AFR29)*(1-AFJ31)</f>
        <v/>
      </c>
      <c r="AFW31" s="12">
        <f>AFW30+AFS31-AFS19*(AnnualChurn*VLOOKUP(AFF31,ChurnSeasonTable,4,FALSE))*POWER(1-(AnnualChurn*VLOOKUP(AFF31,ChurnSeasonTable,4,FALSE)),0)+AFS7*(AnnualChurn*VLOOKUP(AFF31,ChurnSeasonTable,4,FALSE))*POWER(1-(AnnualChurn*VLOOKUP(AFF31,ChurnSeasonTable,4,FALSE)),1)</f>
        <v/>
      </c>
      <c r="AFX31" s="12">
        <f>AFX30+AFT31-AFT19*(AnnualChurn*VLOOKUP(AFF31,ChurnSeasonTable,4,FALSE))*POWER(1-(AnnualChurn*VLOOKUP(AFF31,ChurnSeasonTable,4,FALSE)),0)+AFT7*(AnnualChurn*VLOOKUP(AFF31,ChurnSeasonTable,4,FALSE))*POWER(1-(AnnualChurn*VLOOKUP(AFF31,ChurnSeasonTable,4,FALSE)),1)</f>
        <v/>
      </c>
      <c r="AFY31" s="12">
        <f>AFU31+AFV31+AFW31+AFX31</f>
        <v/>
      </c>
      <c r="AFZ31" s="9">
        <f>AFU31*PriceEssMonthly*AFI31+AFV31*PricePremMonthly*AFI31+AFW31*PriceEssAnnual*AFI31/12+AFX31*PricePremAnnual*AFI31/12</f>
        <v/>
      </c>
      <c r="AGA31" s="9">
        <f>AFZ31*12</f>
        <v/>
      </c>
      <c r="AGB31" s="12">
        <f>AFU31*PriceEssMonthly*AFI31+AFV31*PricePremMonthly*AFI31</f>
        <v/>
      </c>
      <c r="AGC31" s="12">
        <f>AFS31*PriceEssAnnual*AFI31+AFT31*PricePremAnnual*AFI31</f>
        <v/>
      </c>
      <c r="AGD31" s="12">
        <f>AFS19*POWER(1-(AnnualChurn*VLOOKUP(AFF31,ChurnSeasonTable,4,FALSE)),1)*PriceEssAnnual*AFI31+AFS7*POWER(1-(AnnualChurn*VLOOKUP(AFF31,ChurnSeasonTable,4,FALSE)),2)*PriceEssAnnual*AFI31+AFT19*POWER(1-(AnnualChurn*VLOOKUP(AFF31,ChurnSeasonTable,4,FALSE)),1)*PricePremAnnual*AFI31+AFT7*POWER(1-(AnnualChurn*VLOOKUP(AFF31,ChurnSeasonTable,4,FALSE)),2)*PricePremAnnual*AFI31</f>
        <v/>
      </c>
      <c r="AGE31" s="9">
        <f>AGB31+AGC31+AGD31</f>
        <v/>
      </c>
      <c r="AGF31" s="12">
        <f>SUM(AGE20:AGE31)</f>
        <v/>
      </c>
      <c r="AGG31" s="12">
        <f>OR(AGG30,AGF31&gt;=VATThreshold)</f>
        <v/>
      </c>
      <c r="AGH31" s="9">
        <f>IF(AGG31,AGE31/(1+VATRate),AGE31)</f>
        <v/>
      </c>
      <c r="AGI31" s="12">
        <f>AGE31-AGH31</f>
        <v/>
      </c>
      <c r="AGJ31" s="12">
        <f>IF(AGG31=0,0,IF(AFF31=1,SUMPRODUCT(--(($AFG$5:$AFG31=$AFG31-1)*($AFF$5:$AFF31&gt;=10)*($AFF$5:$AFF31&lt;=12)),$AGI$5:$AGI31),IF(AFF31=4,SUMPRODUCT(--(($AFG$5:$AFG31=$AFG31)*($AFF$5:$AFF31&gt;=1)*($AFF$5:$AFF31&lt;=3)),$AGI$5:$AGI31),IF(AFF31=7,SUMPRODUCT(--(($AFG$5:$AFG31=$AFG31)*($AFF$5:$AFF31&gt;=4)*($AFF$5:$AFF31&lt;=6)),$AGI$5:$AGI31),IF(AFF31=10,SUMPRODUCT(--(($AFG$5:$AFG31=$AFG31)*($AFF$5:$AFF31&gt;=7)*($AFF$5:$AFF31&lt;=9)),$AGI$5:$AGI31),0)))))</f>
        <v/>
      </c>
      <c r="AGK31" s="12">
        <f>AGK30+AGI31-AGJ31</f>
        <v/>
      </c>
      <c r="AGL31" s="12">
        <f>IF(ProviderDelay&gt;=1,AGH30*ProviderShare,AGH31*ProviderShare)</f>
        <v/>
      </c>
      <c r="AGM31" s="12">
        <f>AGE31*PaymentFee</f>
        <v/>
      </c>
      <c r="AGN31" s="12">
        <f>AFY31*OpsAI</f>
        <v/>
      </c>
      <c r="AGO31" s="12">
        <f>MonthlyFixed</f>
        <v/>
      </c>
      <c r="AGP31" s="12">
        <f>AFM31*ReferralReward</f>
        <v/>
      </c>
      <c r="AGQ31" s="12">
        <f>AFK31</f>
        <v/>
      </c>
      <c r="AGR31" s="9">
        <f>AGH31-AGL31-AGM31-AGN31-AGO31-AGP31-AGQ31</f>
        <v/>
      </c>
      <c r="AGS31" s="9">
        <f>AGS30+AGE31-(AGL31+AGM31+AGN31+AGO31+AGP31+AGQ31+AGJ31)</f>
        <v/>
      </c>
      <c r="AGT31" s="12">
        <f>IF(AFY31&gt;0,AFZ31/AFY31,0)</f>
        <v/>
      </c>
      <c r="AGU31" s="11">
        <f>IF(AFY30&gt;0,MAX(0,(AFY30+AFN31-AFY31)/AFY30),0)</f>
        <v/>
      </c>
      <c r="AGW31" s="12" t="n">
        <v>27</v>
      </c>
      <c r="AGX31" s="12">
        <f>MOD(AGW31-1+LaunchMonth-1,12)+1</f>
        <v/>
      </c>
      <c r="AGY31" s="12">
        <f>INT((AGW31-1+LaunchMonth-1)/12)+1</f>
        <v/>
      </c>
      <c r="AGZ31" s="12">
        <f>VLOOKUP(AGX31,SeasonTable,2,FALSE)</f>
        <v/>
      </c>
      <c r="AHA31" s="12">
        <f>(1+InflationRate)^INT((AGW31-1)/12)</f>
        <v/>
      </c>
      <c r="AHB31" s="11">
        <f>MonthlyChurn*VLOOKUP(AGX31,ChurnSeasonTable,4,FALSE)</f>
        <v/>
      </c>
      <c r="AHC31" s="12">
        <f>MIN(MAX(MktMin19plus,AHW30*MktPct19plus),MAX(0,AIK30-CashBuffer))</f>
        <v/>
      </c>
      <c r="AHD31" s="12">
        <f>IF(AHC31&gt;0,MAX(1,ROUND(AHC31/'Sens - CAC &amp; Marketing'!$A$10*AGZ31,0)),0)</f>
        <v/>
      </c>
      <c r="AHE31" s="12">
        <f>IF(AHD31&gt;0,ROUND(AHD31*ReferralMix/(1-ReferralMix),0),0)</f>
        <v/>
      </c>
      <c r="AHF31" s="12">
        <f>AHD31+AHE31</f>
        <v/>
      </c>
      <c r="AHG31" s="12">
        <f>ROUND(AHF31*(1-AnnualMix),0)</f>
        <v/>
      </c>
      <c r="AHH31" s="12">
        <f>AHF31-AHG31</f>
        <v/>
      </c>
      <c r="AHI31" s="12">
        <f>ROUND(AHG31*EssentialMix,0)</f>
        <v/>
      </c>
      <c r="AHJ31" s="12">
        <f>AHG31-AHI31</f>
        <v/>
      </c>
      <c r="AHK31" s="12">
        <f>ROUND(AHH31*EssentialMix,0)</f>
        <v/>
      </c>
      <c r="AHL31" s="12">
        <f>AHH31-AHK31</f>
        <v/>
      </c>
      <c r="AHM31" s="12">
        <f>AHI31+AHI30+AHI29+MAX(0,AHM30-AHI30-AHI29)*(1-AHB31)</f>
        <v/>
      </c>
      <c r="AHN31" s="12">
        <f>AHJ31+AHJ30+AHJ29+MAX(0,AHN30-AHJ30-AHJ29)*(1-AHB31)</f>
        <v/>
      </c>
      <c r="AHO31" s="12">
        <f>AHO30+AHK31-AHK19*(AnnualChurn*VLOOKUP(AGX31,ChurnSeasonTable,4,FALSE))*POWER(1-(AnnualChurn*VLOOKUP(AGX31,ChurnSeasonTable,4,FALSE)),0)+AHK7*(AnnualChurn*VLOOKUP(AGX31,ChurnSeasonTable,4,FALSE))*POWER(1-(AnnualChurn*VLOOKUP(AGX31,ChurnSeasonTable,4,FALSE)),1)</f>
        <v/>
      </c>
      <c r="AHP31" s="12">
        <f>AHP30+AHL31-AHL19*(AnnualChurn*VLOOKUP(AGX31,ChurnSeasonTable,4,FALSE))*POWER(1-(AnnualChurn*VLOOKUP(AGX31,ChurnSeasonTable,4,FALSE)),0)+AHL7*(AnnualChurn*VLOOKUP(AGX31,ChurnSeasonTable,4,FALSE))*POWER(1-(AnnualChurn*VLOOKUP(AGX31,ChurnSeasonTable,4,FALSE)),1)</f>
        <v/>
      </c>
      <c r="AHQ31" s="12">
        <f>AHM31+AHN31+AHO31+AHP31</f>
        <v/>
      </c>
      <c r="AHR31" s="9">
        <f>AHM31*PriceEssMonthly*AHA31+AHN31*PricePremMonthly*AHA31+AHO31*PriceEssAnnual*AHA31/12+AHP31*PricePremAnnual*AHA31/12</f>
        <v/>
      </c>
      <c r="AHS31" s="9">
        <f>AHR31*12</f>
        <v/>
      </c>
      <c r="AHT31" s="12">
        <f>AHM31*PriceEssMonthly*AHA31+AHN31*PricePremMonthly*AHA31</f>
        <v/>
      </c>
      <c r="AHU31" s="12">
        <f>AHK31*PriceEssAnnual*AHA31+AHL31*PricePremAnnual*AHA31</f>
        <v/>
      </c>
      <c r="AHV31" s="12">
        <f>AHK19*POWER(1-(AnnualChurn*VLOOKUP(AGX31,ChurnSeasonTable,4,FALSE)),1)*PriceEssAnnual*AHA31+AHK7*POWER(1-(AnnualChurn*VLOOKUP(AGX31,ChurnSeasonTable,4,FALSE)),2)*PriceEssAnnual*AHA31+AHL19*POWER(1-(AnnualChurn*VLOOKUP(AGX31,ChurnSeasonTable,4,FALSE)),1)*PricePremAnnual*AHA31+AHL7*POWER(1-(AnnualChurn*VLOOKUP(AGX31,ChurnSeasonTable,4,FALSE)),2)*PricePremAnnual*AHA31</f>
        <v/>
      </c>
      <c r="AHW31" s="9">
        <f>AHT31+AHU31+AHV31</f>
        <v/>
      </c>
      <c r="AHX31" s="12">
        <f>SUM(AHW20:AHW31)</f>
        <v/>
      </c>
      <c r="AHY31" s="12">
        <f>OR(AHY30,AHX31&gt;=VATThreshold)</f>
        <v/>
      </c>
      <c r="AHZ31" s="9">
        <f>IF(AHY31,AHW31/(1+VATRate),AHW31)</f>
        <v/>
      </c>
      <c r="AIA31" s="12">
        <f>AHW31-AHZ31</f>
        <v/>
      </c>
      <c r="AIB31" s="12">
        <f>IF(AHY31=0,0,IF(AGX31=1,SUMPRODUCT(--(($AGY$5:$AGY31=$AGY31-1)*($AGX$5:$AGX31&gt;=10)*($AGX$5:$AGX31&lt;=12)),$AIA$5:$AIA31),IF(AGX31=4,SUMPRODUCT(--(($AGY$5:$AGY31=$AGY31)*($AGX$5:$AGX31&gt;=1)*($AGX$5:$AGX31&lt;=3)),$AIA$5:$AIA31),IF(AGX31=7,SUMPRODUCT(--(($AGY$5:$AGY31=$AGY31)*($AGX$5:$AGX31&gt;=4)*($AGX$5:$AGX31&lt;=6)),$AIA$5:$AIA31),IF(AGX31=10,SUMPRODUCT(--(($AGY$5:$AGY31=$AGY31)*($AGX$5:$AGX31&gt;=7)*($AGX$5:$AGX31&lt;=9)),$AIA$5:$AIA31),0)))))</f>
        <v/>
      </c>
      <c r="AIC31" s="12">
        <f>AIC30+AIA31-AIB31</f>
        <v/>
      </c>
      <c r="AID31" s="12">
        <f>IF(ProviderDelay&gt;=1,AHZ30*ProviderShare,AHZ31*ProviderShare)</f>
        <v/>
      </c>
      <c r="AIE31" s="12">
        <f>AHW31*PaymentFee</f>
        <v/>
      </c>
      <c r="AIF31" s="12">
        <f>AHQ31*OpsAI</f>
        <v/>
      </c>
      <c r="AIG31" s="12">
        <f>MonthlyFixed</f>
        <v/>
      </c>
      <c r="AIH31" s="12">
        <f>AHE31*ReferralReward</f>
        <v/>
      </c>
      <c r="AII31" s="12">
        <f>AHC31</f>
        <v/>
      </c>
      <c r="AIJ31" s="9">
        <f>AHZ31-AID31-AIE31-AIF31-AIG31-AIH31-AII31</f>
        <v/>
      </c>
      <c r="AIK31" s="9">
        <f>AIK30+AHW31-(AID31+AIE31+AIF31+AIG31+AIH31+AII31+AIB31)</f>
        <v/>
      </c>
      <c r="AIL31" s="12">
        <f>IF(AHQ31&gt;0,AHR31/AHQ31,0)</f>
        <v/>
      </c>
      <c r="AIM31" s="11">
        <f>IF(AHQ30&gt;0,MAX(0,(AHQ30+AHF31-AHQ31)/AHQ30),0)</f>
        <v/>
      </c>
      <c r="AIO31" s="12" t="n">
        <v>27</v>
      </c>
      <c r="AIP31" s="12">
        <f>MOD(AIO31-1+LaunchMonth-1,12)+1</f>
        <v/>
      </c>
      <c r="AIQ31" s="12">
        <f>INT((AIO31-1+LaunchMonth-1)/12)+1</f>
        <v/>
      </c>
      <c r="AIR31" s="12">
        <f>VLOOKUP(AIP31,SeasonTable,2,FALSE)</f>
        <v/>
      </c>
      <c r="AIS31" s="12">
        <f>(1+InflationRate)^INT((AIO31-1)/12)</f>
        <v/>
      </c>
      <c r="AIT31" s="11">
        <f>MonthlyChurn*VLOOKUP(AIP31,ChurnSeasonTable,4,FALSE)</f>
        <v/>
      </c>
      <c r="AIU31" s="12">
        <f>MIN(MAX(MktMin19plus,AJO30*MktPct19plus),MAX(0,AKC30-CashBuffer))</f>
        <v/>
      </c>
      <c r="AIV31" s="12">
        <f>IF(AIU31&gt;0,MAX(1,ROUND(AIU31/'Sens - CAC &amp; Marketing'!$A$11*AIR31,0)),0)</f>
        <v/>
      </c>
      <c r="AIW31" s="12">
        <f>IF(AIV31&gt;0,ROUND(AIV31*ReferralMix/(1-ReferralMix),0),0)</f>
        <v/>
      </c>
      <c r="AIX31" s="12">
        <f>AIV31+AIW31</f>
        <v/>
      </c>
      <c r="AIY31" s="12">
        <f>ROUND(AIX31*(1-AnnualMix),0)</f>
        <v/>
      </c>
      <c r="AIZ31" s="12">
        <f>AIX31-AIY31</f>
        <v/>
      </c>
      <c r="AJA31" s="12">
        <f>ROUND(AIY31*EssentialMix,0)</f>
        <v/>
      </c>
      <c r="AJB31" s="12">
        <f>AIY31-AJA31</f>
        <v/>
      </c>
      <c r="AJC31" s="12">
        <f>ROUND(AIZ31*EssentialMix,0)</f>
        <v/>
      </c>
      <c r="AJD31" s="12">
        <f>AIZ31-AJC31</f>
        <v/>
      </c>
      <c r="AJE31" s="12">
        <f>AJA31+AJA30+AJA29+MAX(0,AJE30-AJA30-AJA29)*(1-AIT31)</f>
        <v/>
      </c>
      <c r="AJF31" s="12">
        <f>AJB31+AJB30+AJB29+MAX(0,AJF30-AJB30-AJB29)*(1-AIT31)</f>
        <v/>
      </c>
      <c r="AJG31" s="12">
        <f>AJG30+AJC31-AJC19*(AnnualChurn*VLOOKUP(AIP31,ChurnSeasonTable,4,FALSE))*POWER(1-(AnnualChurn*VLOOKUP(AIP31,ChurnSeasonTable,4,FALSE)),0)+AJC7*(AnnualChurn*VLOOKUP(AIP31,ChurnSeasonTable,4,FALSE))*POWER(1-(AnnualChurn*VLOOKUP(AIP31,ChurnSeasonTable,4,FALSE)),1)</f>
        <v/>
      </c>
      <c r="AJH31" s="12">
        <f>AJH30+AJD31-AJD19*(AnnualChurn*VLOOKUP(AIP31,ChurnSeasonTable,4,FALSE))*POWER(1-(AnnualChurn*VLOOKUP(AIP31,ChurnSeasonTable,4,FALSE)),0)+AJD7*(AnnualChurn*VLOOKUP(AIP31,ChurnSeasonTable,4,FALSE))*POWER(1-(AnnualChurn*VLOOKUP(AIP31,ChurnSeasonTable,4,FALSE)),1)</f>
        <v/>
      </c>
      <c r="AJI31" s="12">
        <f>AJE31+AJF31+AJG31+AJH31</f>
        <v/>
      </c>
      <c r="AJJ31" s="9">
        <f>AJE31*PriceEssMonthly*AIS31+AJF31*PricePremMonthly*AIS31+AJG31*PriceEssAnnual*AIS31/12+AJH31*PricePremAnnual*AIS31/12</f>
        <v/>
      </c>
      <c r="AJK31" s="9">
        <f>AJJ31*12</f>
        <v/>
      </c>
      <c r="AJL31" s="12">
        <f>AJE31*PriceEssMonthly*AIS31+AJF31*PricePremMonthly*AIS31</f>
        <v/>
      </c>
      <c r="AJM31" s="12">
        <f>AJC31*PriceEssAnnual*AIS31+AJD31*PricePremAnnual*AIS31</f>
        <v/>
      </c>
      <c r="AJN31" s="12">
        <f>AJC19*POWER(1-(AnnualChurn*VLOOKUP(AIP31,ChurnSeasonTable,4,FALSE)),1)*PriceEssAnnual*AIS31+AJC7*POWER(1-(AnnualChurn*VLOOKUP(AIP31,ChurnSeasonTable,4,FALSE)),2)*PriceEssAnnual*AIS31+AJD19*POWER(1-(AnnualChurn*VLOOKUP(AIP31,ChurnSeasonTable,4,FALSE)),1)*PricePremAnnual*AIS31+AJD7*POWER(1-(AnnualChurn*VLOOKUP(AIP31,ChurnSeasonTable,4,FALSE)),2)*PricePremAnnual*AIS31</f>
        <v/>
      </c>
      <c r="AJO31" s="9">
        <f>AJL31+AJM31+AJN31</f>
        <v/>
      </c>
      <c r="AJP31" s="12">
        <f>SUM(AJO20:AJO31)</f>
        <v/>
      </c>
      <c r="AJQ31" s="12">
        <f>OR(AJQ30,AJP31&gt;=VATThreshold)</f>
        <v/>
      </c>
      <c r="AJR31" s="9">
        <f>IF(AJQ31,AJO31/(1+VATRate),AJO31)</f>
        <v/>
      </c>
      <c r="AJS31" s="12">
        <f>AJO31-AJR31</f>
        <v/>
      </c>
      <c r="AJT31" s="12">
        <f>IF(AJQ31=0,0,IF(AIP31=1,SUMPRODUCT(--(($AIQ$5:$AIQ31=$AIQ31-1)*($AIP$5:$AIP31&gt;=10)*($AIP$5:$AIP31&lt;=12)),$AJS$5:$AJS31),IF(AIP31=4,SUMPRODUCT(--(($AIQ$5:$AIQ31=$AIQ31)*($AIP$5:$AIP31&gt;=1)*($AIP$5:$AIP31&lt;=3)),$AJS$5:$AJS31),IF(AIP31=7,SUMPRODUCT(--(($AIQ$5:$AIQ31=$AIQ31)*($AIP$5:$AIP31&gt;=4)*($AIP$5:$AIP31&lt;=6)),$AJS$5:$AJS31),IF(AIP31=10,SUMPRODUCT(--(($AIQ$5:$AIQ31=$AIQ31)*($AIP$5:$AIP31&gt;=7)*($AIP$5:$AIP31&lt;=9)),$AJS$5:$AJS31),0)))))</f>
        <v/>
      </c>
      <c r="AJU31" s="12">
        <f>AJU30+AJS31-AJT31</f>
        <v/>
      </c>
      <c r="AJV31" s="12">
        <f>IF(ProviderDelay&gt;=1,AJR30*ProviderShare,AJR31*ProviderShare)</f>
        <v/>
      </c>
      <c r="AJW31" s="12">
        <f>AJO31*PaymentFee</f>
        <v/>
      </c>
      <c r="AJX31" s="12">
        <f>AJI31*OpsAI</f>
        <v/>
      </c>
      <c r="AJY31" s="12">
        <f>MonthlyFixed</f>
        <v/>
      </c>
      <c r="AJZ31" s="12">
        <f>AIW31*ReferralReward</f>
        <v/>
      </c>
      <c r="AKA31" s="12">
        <f>AIU31</f>
        <v/>
      </c>
      <c r="AKB31" s="9">
        <f>AJR31-AJV31-AJW31-AJX31-AJY31-AJZ31-AKA31</f>
        <v/>
      </c>
      <c r="AKC31" s="9">
        <f>AKC30+AJO31-(AJV31+AJW31+AJX31+AJY31+AJZ31+AKA31+AJT31)</f>
        <v/>
      </c>
      <c r="AKD31" s="12">
        <f>IF(AJI31&gt;0,AJJ31/AJI31,0)</f>
        <v/>
      </c>
      <c r="AKE31" s="11">
        <f>IF(AJI30&gt;0,MAX(0,(AJI30+AIX31-AJI31)/AJI30),0)</f>
        <v/>
      </c>
      <c r="AKG31" s="12" t="n">
        <v>27</v>
      </c>
      <c r="AKH31" s="12">
        <f>MOD(AKG31-1+LaunchMonth-1,12)+1</f>
        <v/>
      </c>
      <c r="AKI31" s="12">
        <f>INT((AKG31-1+LaunchMonth-1)/12)+1</f>
        <v/>
      </c>
      <c r="AKJ31" s="12">
        <f>VLOOKUP(AKH31,SeasonTable,2,FALSE)</f>
        <v/>
      </c>
      <c r="AKK31" s="12">
        <f>(1+InflationRate)^INT((AKG31-1)/12)</f>
        <v/>
      </c>
      <c r="AKL31" s="11">
        <f>MonthlyChurn*VLOOKUP(AKH31,ChurnSeasonTable,4,FALSE)</f>
        <v/>
      </c>
      <c r="AKM31" s="12">
        <f>MIN(MAX(MktMin19plus,ALG30*MktPct19plus),MAX(0,ALU30-CashBuffer))</f>
        <v/>
      </c>
      <c r="AKN31" s="12">
        <f>IF(AKM31&gt;0,MAX(1,ROUND(AKM31/'Sens - CAC &amp; Marketing'!$A$12*AKJ31,0)),0)</f>
        <v/>
      </c>
      <c r="AKO31" s="12">
        <f>IF(AKN31&gt;0,ROUND(AKN31*ReferralMix/(1-ReferralMix),0),0)</f>
        <v/>
      </c>
      <c r="AKP31" s="12">
        <f>AKN31+AKO31</f>
        <v/>
      </c>
      <c r="AKQ31" s="12">
        <f>ROUND(AKP31*(1-AnnualMix),0)</f>
        <v/>
      </c>
      <c r="AKR31" s="12">
        <f>AKP31-AKQ31</f>
        <v/>
      </c>
      <c r="AKS31" s="12">
        <f>ROUND(AKQ31*EssentialMix,0)</f>
        <v/>
      </c>
      <c r="AKT31" s="12">
        <f>AKQ31-AKS31</f>
        <v/>
      </c>
      <c r="AKU31" s="12">
        <f>ROUND(AKR31*EssentialMix,0)</f>
        <v/>
      </c>
      <c r="AKV31" s="12">
        <f>AKR31-AKU31</f>
        <v/>
      </c>
      <c r="AKW31" s="12">
        <f>AKS31+AKS30+AKS29+MAX(0,AKW30-AKS30-AKS29)*(1-AKL31)</f>
        <v/>
      </c>
      <c r="AKX31" s="12">
        <f>AKT31+AKT30+AKT29+MAX(0,AKX30-AKT30-AKT29)*(1-AKL31)</f>
        <v/>
      </c>
      <c r="AKY31" s="12">
        <f>AKY30+AKU31-AKU19*(AnnualChurn*VLOOKUP(AKH31,ChurnSeasonTable,4,FALSE))*POWER(1-(AnnualChurn*VLOOKUP(AKH31,ChurnSeasonTable,4,FALSE)),0)+AKU7*(AnnualChurn*VLOOKUP(AKH31,ChurnSeasonTable,4,FALSE))*POWER(1-(AnnualChurn*VLOOKUP(AKH31,ChurnSeasonTable,4,FALSE)),1)</f>
        <v/>
      </c>
      <c r="AKZ31" s="12">
        <f>AKZ30+AKV31-AKV19*(AnnualChurn*VLOOKUP(AKH31,ChurnSeasonTable,4,FALSE))*POWER(1-(AnnualChurn*VLOOKUP(AKH31,ChurnSeasonTable,4,FALSE)),0)+AKV7*(AnnualChurn*VLOOKUP(AKH31,ChurnSeasonTable,4,FALSE))*POWER(1-(AnnualChurn*VLOOKUP(AKH31,ChurnSeasonTable,4,FALSE)),1)</f>
        <v/>
      </c>
      <c r="ALA31" s="12">
        <f>AKW31+AKX31+AKY31+AKZ31</f>
        <v/>
      </c>
      <c r="ALB31" s="9">
        <f>AKW31*PriceEssMonthly*AKK31+AKX31*PricePremMonthly*AKK31+AKY31*PriceEssAnnual*AKK31/12+AKZ31*PricePremAnnual*AKK31/12</f>
        <v/>
      </c>
      <c r="ALC31" s="9">
        <f>ALB31*12</f>
        <v/>
      </c>
      <c r="ALD31" s="12">
        <f>AKW31*PriceEssMonthly*AKK31+AKX31*PricePremMonthly*AKK31</f>
        <v/>
      </c>
      <c r="ALE31" s="12">
        <f>AKU31*PriceEssAnnual*AKK31+AKV31*PricePremAnnual*AKK31</f>
        <v/>
      </c>
      <c r="ALF31" s="12">
        <f>AKU19*POWER(1-(AnnualChurn*VLOOKUP(AKH31,ChurnSeasonTable,4,FALSE)),1)*PriceEssAnnual*AKK31+AKU7*POWER(1-(AnnualChurn*VLOOKUP(AKH31,ChurnSeasonTable,4,FALSE)),2)*PriceEssAnnual*AKK31+AKV19*POWER(1-(AnnualChurn*VLOOKUP(AKH31,ChurnSeasonTable,4,FALSE)),1)*PricePremAnnual*AKK31+AKV7*POWER(1-(AnnualChurn*VLOOKUP(AKH31,ChurnSeasonTable,4,FALSE)),2)*PricePremAnnual*AKK31</f>
        <v/>
      </c>
      <c r="ALG31" s="9">
        <f>ALD31+ALE31+ALF31</f>
        <v/>
      </c>
      <c r="ALH31" s="12">
        <f>SUM(ALG20:ALG31)</f>
        <v/>
      </c>
      <c r="ALI31" s="12">
        <f>OR(ALI30,ALH31&gt;=VATThreshold)</f>
        <v/>
      </c>
      <c r="ALJ31" s="9">
        <f>IF(ALI31,ALG31/(1+VATRate),ALG31)</f>
        <v/>
      </c>
      <c r="ALK31" s="12">
        <f>ALG31-ALJ31</f>
        <v/>
      </c>
      <c r="ALL31" s="12">
        <f>IF(ALI31=0,0,IF(AKH31=1,SUMPRODUCT(--(($AKI$5:$AKI31=$AKI31-1)*($AKH$5:$AKH31&gt;=10)*($AKH$5:$AKH31&lt;=12)),$ALK$5:$ALK31),IF(AKH31=4,SUMPRODUCT(--(($AKI$5:$AKI31=$AKI31)*($AKH$5:$AKH31&gt;=1)*($AKH$5:$AKH31&lt;=3)),$ALK$5:$ALK31),IF(AKH31=7,SUMPRODUCT(--(($AKI$5:$AKI31=$AKI31)*($AKH$5:$AKH31&gt;=4)*($AKH$5:$AKH31&lt;=6)),$ALK$5:$ALK31),IF(AKH31=10,SUMPRODUCT(--(($AKI$5:$AKI31=$AKI31)*($AKH$5:$AKH31&gt;=7)*($AKH$5:$AKH31&lt;=9)),$ALK$5:$ALK31),0)))))</f>
        <v/>
      </c>
      <c r="ALM31" s="12">
        <f>ALM30+ALK31-ALL31</f>
        <v/>
      </c>
      <c r="ALN31" s="12">
        <f>IF(ProviderDelay&gt;=1,ALJ30*ProviderShare,ALJ31*ProviderShare)</f>
        <v/>
      </c>
      <c r="ALO31" s="12">
        <f>ALG31*PaymentFee</f>
        <v/>
      </c>
      <c r="ALP31" s="12">
        <f>ALA31*OpsAI</f>
        <v/>
      </c>
      <c r="ALQ31" s="12">
        <f>MonthlyFixed</f>
        <v/>
      </c>
      <c r="ALR31" s="12">
        <f>AKO31*ReferralReward</f>
        <v/>
      </c>
      <c r="ALS31" s="12">
        <f>AKM31</f>
        <v/>
      </c>
      <c r="ALT31" s="9">
        <f>ALJ31-ALN31-ALO31-ALP31-ALQ31-ALR31-ALS31</f>
        <v/>
      </c>
      <c r="ALU31" s="9">
        <f>ALU30+ALG31-(ALN31+ALO31+ALP31+ALQ31+ALR31+ALS31+ALL31)</f>
        <v/>
      </c>
      <c r="ALV31" s="12">
        <f>IF(ALA31&gt;0,ALB31/ALA31,0)</f>
        <v/>
      </c>
      <c r="ALW31" s="11">
        <f>IF(ALA30&gt;0,MAX(0,(ALA30+AKP31-ALA31)/ALA30),0)</f>
        <v/>
      </c>
      <c r="ALY31" s="12" t="n">
        <v>27</v>
      </c>
      <c r="ALZ31" s="12">
        <f>MOD(ALY31-1+LaunchMonth-1,12)+1</f>
        <v/>
      </c>
      <c r="AMA31" s="12">
        <f>INT((ALY31-1+LaunchMonth-1)/12)+1</f>
        <v/>
      </c>
      <c r="AMB31" s="12">
        <f>VLOOKUP(ALZ31,SeasonTable,2,FALSE)</f>
        <v/>
      </c>
      <c r="AMC31" s="12">
        <f>(1+InflationRate)^INT((ALY31-1)/12)</f>
        <v/>
      </c>
      <c r="AMD31" s="11">
        <f>MonthlyChurn*VLOOKUP(ALZ31,ChurnSeasonTable,4,FALSE)</f>
        <v/>
      </c>
      <c r="AME31" s="12">
        <f>MIN(MAX(MktMin19plus,AMY30*MktPct19plus),MAX(0,ANM30-CashBuffer))</f>
        <v/>
      </c>
      <c r="AMF31" s="12">
        <f>IF(AME31&gt;0,MAX(1,ROUND(AME31/'Sens - CAC &amp; Marketing'!$A$13*AMB31,0)),0)</f>
        <v/>
      </c>
      <c r="AMG31" s="12">
        <f>IF(AMF31&gt;0,ROUND(AMF31*ReferralMix/(1-ReferralMix),0),0)</f>
        <v/>
      </c>
      <c r="AMH31" s="12">
        <f>AMF31+AMG31</f>
        <v/>
      </c>
      <c r="AMI31" s="12">
        <f>ROUND(AMH31*(1-AnnualMix),0)</f>
        <v/>
      </c>
      <c r="AMJ31" s="12">
        <f>AMH31-AMI31</f>
        <v/>
      </c>
      <c r="AMK31" s="12">
        <f>ROUND(AMI31*EssentialMix,0)</f>
        <v/>
      </c>
      <c r="AML31" s="12">
        <f>AMI31-AMK31</f>
        <v/>
      </c>
      <c r="AMM31" s="12">
        <f>ROUND(AMJ31*EssentialMix,0)</f>
        <v/>
      </c>
      <c r="AMN31" s="12">
        <f>AMJ31-AMM31</f>
        <v/>
      </c>
      <c r="AMO31" s="12">
        <f>AMK31+AMK30+AMK29+MAX(0,AMO30-AMK30-AMK29)*(1-AMD31)</f>
        <v/>
      </c>
      <c r="AMP31" s="12">
        <f>AML31+AML30+AML29+MAX(0,AMP30-AML30-AML29)*(1-AMD31)</f>
        <v/>
      </c>
      <c r="AMQ31" s="12">
        <f>AMQ30+AMM31-AMM19*(AnnualChurn*VLOOKUP(ALZ31,ChurnSeasonTable,4,FALSE))*POWER(1-(AnnualChurn*VLOOKUP(ALZ31,ChurnSeasonTable,4,FALSE)),0)+AMM7*(AnnualChurn*VLOOKUP(ALZ31,ChurnSeasonTable,4,FALSE))*POWER(1-(AnnualChurn*VLOOKUP(ALZ31,ChurnSeasonTable,4,FALSE)),1)</f>
        <v/>
      </c>
      <c r="AMR31" s="12">
        <f>AMR30+AMN31-AMN19*(AnnualChurn*VLOOKUP(ALZ31,ChurnSeasonTable,4,FALSE))*POWER(1-(AnnualChurn*VLOOKUP(ALZ31,ChurnSeasonTable,4,FALSE)),0)+AMN7*(AnnualChurn*VLOOKUP(ALZ31,ChurnSeasonTable,4,FALSE))*POWER(1-(AnnualChurn*VLOOKUP(ALZ31,ChurnSeasonTable,4,FALSE)),1)</f>
        <v/>
      </c>
      <c r="AMS31" s="12">
        <f>AMO31+AMP31+AMQ31+AMR31</f>
        <v/>
      </c>
      <c r="AMT31" s="9">
        <f>AMO31*PriceEssMonthly*AMC31+AMP31*PricePremMonthly*AMC31+AMQ31*PriceEssAnnual*AMC31/12+AMR31*PricePremAnnual*AMC31/12</f>
        <v/>
      </c>
      <c r="AMU31" s="9">
        <f>AMT31*12</f>
        <v/>
      </c>
      <c r="AMV31" s="12">
        <f>AMO31*PriceEssMonthly*AMC31+AMP31*PricePremMonthly*AMC31</f>
        <v/>
      </c>
      <c r="AMW31" s="12">
        <f>AMM31*PriceEssAnnual*AMC31+AMN31*PricePremAnnual*AMC31</f>
        <v/>
      </c>
      <c r="AMX31" s="12">
        <f>AMM19*POWER(1-(AnnualChurn*VLOOKUP(ALZ31,ChurnSeasonTable,4,FALSE)),1)*PriceEssAnnual*AMC31+AMM7*POWER(1-(AnnualChurn*VLOOKUP(ALZ31,ChurnSeasonTable,4,FALSE)),2)*PriceEssAnnual*AMC31+AMN19*POWER(1-(AnnualChurn*VLOOKUP(ALZ31,ChurnSeasonTable,4,FALSE)),1)*PricePremAnnual*AMC31+AMN7*POWER(1-(AnnualChurn*VLOOKUP(ALZ31,ChurnSeasonTable,4,FALSE)),2)*PricePremAnnual*AMC31</f>
        <v/>
      </c>
      <c r="AMY31" s="9">
        <f>AMV31+AMW31+AMX31</f>
        <v/>
      </c>
      <c r="AMZ31" s="12">
        <f>SUM(AMY20:AMY31)</f>
        <v/>
      </c>
      <c r="ANA31" s="12">
        <f>OR(ANA30,AMZ31&gt;=VATThreshold)</f>
        <v/>
      </c>
      <c r="ANB31" s="9">
        <f>IF(ANA31,AMY31/(1+VATRate),AMY31)</f>
        <v/>
      </c>
      <c r="ANC31" s="12">
        <f>AMY31-ANB31</f>
        <v/>
      </c>
      <c r="AND31" s="12">
        <f>IF(ANA31=0,0,IF(ALZ31=1,SUMPRODUCT(--(($AMA$5:$AMA31=$AMA31-1)*($ALZ$5:$ALZ31&gt;=10)*($ALZ$5:$ALZ31&lt;=12)),$ANC$5:$ANC31),IF(ALZ31=4,SUMPRODUCT(--(($AMA$5:$AMA31=$AMA31)*($ALZ$5:$ALZ31&gt;=1)*($ALZ$5:$ALZ31&lt;=3)),$ANC$5:$ANC31),IF(ALZ31=7,SUMPRODUCT(--(($AMA$5:$AMA31=$AMA31)*($ALZ$5:$ALZ31&gt;=4)*($ALZ$5:$ALZ31&lt;=6)),$ANC$5:$ANC31),IF(ALZ31=10,SUMPRODUCT(--(($AMA$5:$AMA31=$AMA31)*($ALZ$5:$ALZ31&gt;=7)*($ALZ$5:$ALZ31&lt;=9)),$ANC$5:$ANC31),0)))))</f>
        <v/>
      </c>
      <c r="ANE31" s="12">
        <f>ANE30+ANC31-AND31</f>
        <v/>
      </c>
      <c r="ANF31" s="12">
        <f>IF(ProviderDelay&gt;=1,ANB30*ProviderShare,ANB31*ProviderShare)</f>
        <v/>
      </c>
      <c r="ANG31" s="12">
        <f>AMY31*PaymentFee</f>
        <v/>
      </c>
      <c r="ANH31" s="12">
        <f>AMS31*OpsAI</f>
        <v/>
      </c>
      <c r="ANI31" s="12">
        <f>MonthlyFixed</f>
        <v/>
      </c>
      <c r="ANJ31" s="12">
        <f>AMG31*ReferralReward</f>
        <v/>
      </c>
      <c r="ANK31" s="12">
        <f>AME31</f>
        <v/>
      </c>
      <c r="ANL31" s="9">
        <f>ANB31-ANF31-ANG31-ANH31-ANI31-ANJ31-ANK31</f>
        <v/>
      </c>
      <c r="ANM31" s="9">
        <f>ANM30+AMY31-(ANF31+ANG31+ANH31+ANI31+ANJ31+ANK31+AND31)</f>
        <v/>
      </c>
      <c r="ANN31" s="12">
        <f>IF(AMS31&gt;0,AMT31/AMS31,0)</f>
        <v/>
      </c>
      <c r="ANO31" s="11">
        <f>IF(AMS30&gt;0,MAX(0,(AMS30+AMH31-AMS31)/AMS30),0)</f>
        <v/>
      </c>
      <c r="ANQ31" s="12" t="n">
        <v>27</v>
      </c>
      <c r="ANR31" s="12">
        <f>MOD(ANQ31-1+LaunchMonth-1,12)+1</f>
        <v/>
      </c>
      <c r="ANS31" s="12">
        <f>INT((ANQ31-1+LaunchMonth-1)/12)+1</f>
        <v/>
      </c>
      <c r="ANT31" s="12">
        <f>VLOOKUP(ANR31,SeasonTable,2,FALSE)</f>
        <v/>
      </c>
      <c r="ANU31" s="12">
        <f>(1+InflationRate)^INT((ANQ31-1)/12)</f>
        <v/>
      </c>
      <c r="ANV31" s="11">
        <f>MonthlyChurn*VLOOKUP(ANR31,ChurnSeasonTable,4,FALSE)</f>
        <v/>
      </c>
      <c r="ANW31" s="12">
        <f>MIN(MAX(MktMin19plus,AOQ30*MktPct19plus),MAX(0,APE30-CashBuffer))</f>
        <v/>
      </c>
      <c r="ANX31" s="12">
        <f>IF(ANW31&gt;0,MAX(1,ROUND(ANW31/'Sens - CAC &amp; Marketing'!$A$14*ANT31,0)),0)</f>
        <v/>
      </c>
      <c r="ANY31" s="12">
        <f>IF(ANX31&gt;0,ROUND(ANX31*ReferralMix/(1-ReferralMix),0),0)</f>
        <v/>
      </c>
      <c r="ANZ31" s="12">
        <f>ANX31+ANY31</f>
        <v/>
      </c>
      <c r="AOA31" s="12">
        <f>ROUND(ANZ31*(1-AnnualMix),0)</f>
        <v/>
      </c>
      <c r="AOB31" s="12">
        <f>ANZ31-AOA31</f>
        <v/>
      </c>
      <c r="AOC31" s="12">
        <f>ROUND(AOA31*EssentialMix,0)</f>
        <v/>
      </c>
      <c r="AOD31" s="12">
        <f>AOA31-AOC31</f>
        <v/>
      </c>
      <c r="AOE31" s="12">
        <f>ROUND(AOB31*EssentialMix,0)</f>
        <v/>
      </c>
      <c r="AOF31" s="12">
        <f>AOB31-AOE31</f>
        <v/>
      </c>
      <c r="AOG31" s="12">
        <f>AOC31+AOC30+AOC29+MAX(0,AOG30-AOC30-AOC29)*(1-ANV31)</f>
        <v/>
      </c>
      <c r="AOH31" s="12">
        <f>AOD31+AOD30+AOD29+MAX(0,AOH30-AOD30-AOD29)*(1-ANV31)</f>
        <v/>
      </c>
      <c r="AOI31" s="12">
        <f>AOI30+AOE31-AOE19*(AnnualChurn*VLOOKUP(ANR31,ChurnSeasonTable,4,FALSE))*POWER(1-(AnnualChurn*VLOOKUP(ANR31,ChurnSeasonTable,4,FALSE)),0)+AOE7*(AnnualChurn*VLOOKUP(ANR31,ChurnSeasonTable,4,FALSE))*POWER(1-(AnnualChurn*VLOOKUP(ANR31,ChurnSeasonTable,4,FALSE)),1)</f>
        <v/>
      </c>
      <c r="AOJ31" s="12">
        <f>AOJ30+AOF31-AOF19*(AnnualChurn*VLOOKUP(ANR31,ChurnSeasonTable,4,FALSE))*POWER(1-(AnnualChurn*VLOOKUP(ANR31,ChurnSeasonTable,4,FALSE)),0)+AOF7*(AnnualChurn*VLOOKUP(ANR31,ChurnSeasonTable,4,FALSE))*POWER(1-(AnnualChurn*VLOOKUP(ANR31,ChurnSeasonTable,4,FALSE)),1)</f>
        <v/>
      </c>
      <c r="AOK31" s="12">
        <f>AOG31+AOH31+AOI31+AOJ31</f>
        <v/>
      </c>
      <c r="AOL31" s="9">
        <f>AOG31*PriceEssMonthly*ANU31+AOH31*PricePremMonthly*ANU31+AOI31*PriceEssAnnual*ANU31/12+AOJ31*PricePremAnnual*ANU31/12</f>
        <v/>
      </c>
      <c r="AOM31" s="9">
        <f>AOL31*12</f>
        <v/>
      </c>
      <c r="AON31" s="12">
        <f>AOG31*PriceEssMonthly*ANU31+AOH31*PricePremMonthly*ANU31</f>
        <v/>
      </c>
      <c r="AOO31" s="12">
        <f>AOE31*PriceEssAnnual*ANU31+AOF31*PricePremAnnual*ANU31</f>
        <v/>
      </c>
      <c r="AOP31" s="12">
        <f>AOE19*POWER(1-(AnnualChurn*VLOOKUP(ANR31,ChurnSeasonTable,4,FALSE)),1)*PriceEssAnnual*ANU31+AOE7*POWER(1-(AnnualChurn*VLOOKUP(ANR31,ChurnSeasonTable,4,FALSE)),2)*PriceEssAnnual*ANU31+AOF19*POWER(1-(AnnualChurn*VLOOKUP(ANR31,ChurnSeasonTable,4,FALSE)),1)*PricePremAnnual*ANU31+AOF7*POWER(1-(AnnualChurn*VLOOKUP(ANR31,ChurnSeasonTable,4,FALSE)),2)*PricePremAnnual*ANU31</f>
        <v/>
      </c>
      <c r="AOQ31" s="9">
        <f>AON31+AOO31+AOP31</f>
        <v/>
      </c>
      <c r="AOR31" s="12">
        <f>SUM(AOQ20:AOQ31)</f>
        <v/>
      </c>
      <c r="AOS31" s="12">
        <f>OR(AOS30,AOR31&gt;=VATThreshold)</f>
        <v/>
      </c>
      <c r="AOT31" s="9">
        <f>IF(AOS31,AOQ31/(1+VATRate),AOQ31)</f>
        <v/>
      </c>
      <c r="AOU31" s="12">
        <f>AOQ31-AOT31</f>
        <v/>
      </c>
      <c r="AOV31" s="12">
        <f>IF(AOS31=0,0,IF(ANR31=1,SUMPRODUCT(--(($ANS$5:$ANS31=$ANS31-1)*($ANR$5:$ANR31&gt;=10)*($ANR$5:$ANR31&lt;=12)),$AOU$5:$AOU31),IF(ANR31=4,SUMPRODUCT(--(($ANS$5:$ANS31=$ANS31)*($ANR$5:$ANR31&gt;=1)*($ANR$5:$ANR31&lt;=3)),$AOU$5:$AOU31),IF(ANR31=7,SUMPRODUCT(--(($ANS$5:$ANS31=$ANS31)*($ANR$5:$ANR31&gt;=4)*($ANR$5:$ANR31&lt;=6)),$AOU$5:$AOU31),IF(ANR31=10,SUMPRODUCT(--(($ANS$5:$ANS31=$ANS31)*($ANR$5:$ANR31&gt;=7)*($ANR$5:$ANR31&lt;=9)),$AOU$5:$AOU31),0)))))</f>
        <v/>
      </c>
      <c r="AOW31" s="12">
        <f>AOW30+AOU31-AOV31</f>
        <v/>
      </c>
      <c r="AOX31" s="12">
        <f>IF(ProviderDelay&gt;=1,AOT30*ProviderShare,AOT31*ProviderShare)</f>
        <v/>
      </c>
      <c r="AOY31" s="12">
        <f>AOQ31*PaymentFee</f>
        <v/>
      </c>
      <c r="AOZ31" s="12">
        <f>AOK31*OpsAI</f>
        <v/>
      </c>
      <c r="APA31" s="12">
        <f>MonthlyFixed</f>
        <v/>
      </c>
      <c r="APB31" s="12">
        <f>ANY31*ReferralReward</f>
        <v/>
      </c>
      <c r="APC31" s="12">
        <f>ANW31</f>
        <v/>
      </c>
      <c r="APD31" s="9">
        <f>AOT31-AOX31-AOY31-AOZ31-APA31-APB31-APC31</f>
        <v/>
      </c>
      <c r="APE31" s="9">
        <f>APE30+AOQ31-(AOX31+AOY31+AOZ31+APA31+APB31+APC31+AOV31)</f>
        <v/>
      </c>
      <c r="APF31" s="12">
        <f>IF(AOK31&gt;0,AOL31/AOK31,0)</f>
        <v/>
      </c>
      <c r="APG31" s="11">
        <f>IF(AOK30&gt;0,MAX(0,(AOK30+ANZ31-AOK31)/AOK30),0)</f>
        <v/>
      </c>
      <c r="API31" s="12" t="n">
        <v>27</v>
      </c>
      <c r="APJ31" s="12">
        <f>MOD(API31-1+LaunchMonth-1,12)+1</f>
        <v/>
      </c>
      <c r="APK31" s="12">
        <f>INT((API31-1+LaunchMonth-1)/12)+1</f>
        <v/>
      </c>
      <c r="APL31" s="12">
        <f>VLOOKUP(APJ31,SeasonTable,2,FALSE)</f>
        <v/>
      </c>
      <c r="APM31" s="12">
        <f>(1+InflationRate)^INT((API31-1)/12)</f>
        <v/>
      </c>
      <c r="APN31" s="11">
        <f>MonthlyChurn*VLOOKUP(APJ31,ChurnSeasonTable,4,FALSE)</f>
        <v/>
      </c>
      <c r="APO31" s="12">
        <f>MIN(MAX(MktMin19plus,AQI30*MktPct19plus),MAX(0,AQW30-CashBuffer))</f>
        <v/>
      </c>
      <c r="APP31" s="12">
        <f>IF(APO31&gt;0,MAX(1,ROUND(APO31/'Sens - CAC &amp; Marketing'!$A$15*APL31,0)),0)</f>
        <v/>
      </c>
      <c r="APQ31" s="12">
        <f>IF(APP31&gt;0,ROUND(APP31*ReferralMix/(1-ReferralMix),0),0)</f>
        <v/>
      </c>
      <c r="APR31" s="12">
        <f>APP31+APQ31</f>
        <v/>
      </c>
      <c r="APS31" s="12">
        <f>ROUND(APR31*(1-AnnualMix),0)</f>
        <v/>
      </c>
      <c r="APT31" s="12">
        <f>APR31-APS31</f>
        <v/>
      </c>
      <c r="APU31" s="12">
        <f>ROUND(APS31*EssentialMix,0)</f>
        <v/>
      </c>
      <c r="APV31" s="12">
        <f>APS31-APU31</f>
        <v/>
      </c>
      <c r="APW31" s="12">
        <f>ROUND(APT31*EssentialMix,0)</f>
        <v/>
      </c>
      <c r="APX31" s="12">
        <f>APT31-APW31</f>
        <v/>
      </c>
      <c r="APY31" s="12">
        <f>APU31+APU30+APU29+MAX(0,APY30-APU30-APU29)*(1-APN31)</f>
        <v/>
      </c>
      <c r="APZ31" s="12">
        <f>APV31+APV30+APV29+MAX(0,APZ30-APV30-APV29)*(1-APN31)</f>
        <v/>
      </c>
      <c r="AQA31" s="12">
        <f>AQA30+APW31-APW19*(AnnualChurn*VLOOKUP(APJ31,ChurnSeasonTable,4,FALSE))*POWER(1-(AnnualChurn*VLOOKUP(APJ31,ChurnSeasonTable,4,FALSE)),0)+APW7*(AnnualChurn*VLOOKUP(APJ31,ChurnSeasonTable,4,FALSE))*POWER(1-(AnnualChurn*VLOOKUP(APJ31,ChurnSeasonTable,4,FALSE)),1)</f>
        <v/>
      </c>
      <c r="AQB31" s="12">
        <f>AQB30+APX31-APX19*(AnnualChurn*VLOOKUP(APJ31,ChurnSeasonTable,4,FALSE))*POWER(1-(AnnualChurn*VLOOKUP(APJ31,ChurnSeasonTable,4,FALSE)),0)+APX7*(AnnualChurn*VLOOKUP(APJ31,ChurnSeasonTable,4,FALSE))*POWER(1-(AnnualChurn*VLOOKUP(APJ31,ChurnSeasonTable,4,FALSE)),1)</f>
        <v/>
      </c>
      <c r="AQC31" s="12">
        <f>APY31+APZ31+AQA31+AQB31</f>
        <v/>
      </c>
      <c r="AQD31" s="9">
        <f>APY31*PriceEssMonthly*APM31+APZ31*PricePremMonthly*APM31+AQA31*PriceEssAnnual*APM31/12+AQB31*PricePremAnnual*APM31/12</f>
        <v/>
      </c>
      <c r="AQE31" s="9">
        <f>AQD31*12</f>
        <v/>
      </c>
      <c r="AQF31" s="12">
        <f>APY31*PriceEssMonthly*APM31+APZ31*PricePremMonthly*APM31</f>
        <v/>
      </c>
      <c r="AQG31" s="12">
        <f>APW31*PriceEssAnnual*APM31+APX31*PricePremAnnual*APM31</f>
        <v/>
      </c>
      <c r="AQH31" s="12">
        <f>APW19*POWER(1-(AnnualChurn*VLOOKUP(APJ31,ChurnSeasonTable,4,FALSE)),1)*PriceEssAnnual*APM31+APW7*POWER(1-(AnnualChurn*VLOOKUP(APJ31,ChurnSeasonTable,4,FALSE)),2)*PriceEssAnnual*APM31+APX19*POWER(1-(AnnualChurn*VLOOKUP(APJ31,ChurnSeasonTable,4,FALSE)),1)*PricePremAnnual*APM31+APX7*POWER(1-(AnnualChurn*VLOOKUP(APJ31,ChurnSeasonTable,4,FALSE)),2)*PricePremAnnual*APM31</f>
        <v/>
      </c>
      <c r="AQI31" s="9">
        <f>AQF31+AQG31+AQH31</f>
        <v/>
      </c>
      <c r="AQJ31" s="12">
        <f>SUM(AQI20:AQI31)</f>
        <v/>
      </c>
      <c r="AQK31" s="12">
        <f>OR(AQK30,AQJ31&gt;=VATThreshold)</f>
        <v/>
      </c>
      <c r="AQL31" s="9">
        <f>IF(AQK31,AQI31/(1+VATRate),AQI31)</f>
        <v/>
      </c>
      <c r="AQM31" s="12">
        <f>AQI31-AQL31</f>
        <v/>
      </c>
      <c r="AQN31" s="12">
        <f>IF(AQK31=0,0,IF(APJ31=1,SUMPRODUCT(--(($APK$5:$APK31=$APK31-1)*($APJ$5:$APJ31&gt;=10)*($APJ$5:$APJ31&lt;=12)),$AQM$5:$AQM31),IF(APJ31=4,SUMPRODUCT(--(($APK$5:$APK31=$APK31)*($APJ$5:$APJ31&gt;=1)*($APJ$5:$APJ31&lt;=3)),$AQM$5:$AQM31),IF(APJ31=7,SUMPRODUCT(--(($APK$5:$APK31=$APK31)*($APJ$5:$APJ31&gt;=4)*($APJ$5:$APJ31&lt;=6)),$AQM$5:$AQM31),IF(APJ31=10,SUMPRODUCT(--(($APK$5:$APK31=$APK31)*($APJ$5:$APJ31&gt;=7)*($APJ$5:$APJ31&lt;=9)),$AQM$5:$AQM31),0)))))</f>
        <v/>
      </c>
      <c r="AQO31" s="12">
        <f>AQO30+AQM31-AQN31</f>
        <v/>
      </c>
      <c r="AQP31" s="12">
        <f>IF(ProviderDelay&gt;=1,AQL30*ProviderShare,AQL31*ProviderShare)</f>
        <v/>
      </c>
      <c r="AQQ31" s="12">
        <f>AQI31*PaymentFee</f>
        <v/>
      </c>
      <c r="AQR31" s="12">
        <f>AQC31*OpsAI</f>
        <v/>
      </c>
      <c r="AQS31" s="12">
        <f>MonthlyFixed</f>
        <v/>
      </c>
      <c r="AQT31" s="12">
        <f>APQ31*ReferralReward</f>
        <v/>
      </c>
      <c r="AQU31" s="12">
        <f>APO31</f>
        <v/>
      </c>
      <c r="AQV31" s="9">
        <f>AQL31-AQP31-AQQ31-AQR31-AQS31-AQT31-AQU31</f>
        <v/>
      </c>
      <c r="AQW31" s="9">
        <f>AQW30+AQI31-(AQP31+AQQ31+AQR31+AQS31+AQT31+AQU31+AQN31)</f>
        <v/>
      </c>
      <c r="AQX31" s="12">
        <f>IF(AQC31&gt;0,AQD31/AQC31,0)</f>
        <v/>
      </c>
      <c r="AQY31" s="11">
        <f>IF(AQC30&gt;0,MAX(0,(AQC30+APR31-AQC31)/AQC30),0)</f>
        <v/>
      </c>
      <c r="ARA31" s="12" t="n">
        <v>27</v>
      </c>
      <c r="ARB31" s="12">
        <f>MOD(ARA31-1+LaunchMonth-1,12)+1</f>
        <v/>
      </c>
      <c r="ARC31" s="12">
        <f>INT((ARA31-1+LaunchMonth-1)/12)+1</f>
        <v/>
      </c>
      <c r="ARD31" s="12">
        <f>VLOOKUP(ARB31,WinterPivotSeasonTable,5,FALSE)</f>
        <v/>
      </c>
      <c r="ARE31" s="12">
        <f>(1+InflationRate)^INT((ARA31-1)/12)</f>
        <v/>
      </c>
      <c r="ARF31" s="11">
        <f>MonthlyChurn*VLOOKUP(ARB31,WinterPivotChurnTable,6,FALSE)</f>
        <v/>
      </c>
      <c r="ARG31" s="12">
        <f>MIN(MAX(MktMin19plus,ASA30*MktPct19plus),MAX(0,ASO30-CashBuffer))</f>
        <v/>
      </c>
      <c r="ARH31" s="12">
        <f>IF(ARG31&gt;0,MAX(1,ROUND(ARG31/CAC*ARD31,0)),0)</f>
        <v/>
      </c>
      <c r="ARI31" s="12">
        <f>IF(ARH31&gt;0,ROUND(ARH31*ReferralMix/(1-ReferralMix),0),0)</f>
        <v/>
      </c>
      <c r="ARJ31" s="12">
        <f>ARH31+ARI31</f>
        <v/>
      </c>
      <c r="ARK31" s="12">
        <f>ROUND(ARJ31*(1-AnnualMix),0)</f>
        <v/>
      </c>
      <c r="ARL31" s="12">
        <f>ARJ31-ARK31</f>
        <v/>
      </c>
      <c r="ARM31" s="12">
        <f>ROUND(ARK31*'Sens - Winter Pivot'!$B$6,0)</f>
        <v/>
      </c>
      <c r="ARN31" s="12">
        <f>ARK31-ARM31</f>
        <v/>
      </c>
      <c r="ARO31" s="12">
        <f>ROUND(ARL31*'Sens - Winter Pivot'!$B$6,0)</f>
        <v/>
      </c>
      <c r="ARP31" s="12">
        <f>ARL31-ARO31</f>
        <v/>
      </c>
      <c r="ARQ31" s="12">
        <f>ARM31+ARM30+ARM29+MAX(0,ARQ30-ARM30-ARM29)*(1-ARF31)</f>
        <v/>
      </c>
      <c r="ARR31" s="12">
        <f>ARN31+ARN30+ARN29+MAX(0,ARR30-ARN30-ARN29)*(1-ARF31)</f>
        <v/>
      </c>
      <c r="ARS31" s="12">
        <f>ARS30+ARO31-ARO19*(AnnualChurn*VLOOKUP(ARB31,WinterPivotChurnTable,6,FALSE))*POWER(1-(AnnualChurn*VLOOKUP(ARB31,WinterPivotChurnTable,6,FALSE)),0)+ARO7*(AnnualChurn*VLOOKUP(ARB31,WinterPivotChurnTable,6,FALSE))*POWER(1-(AnnualChurn*VLOOKUP(ARB31,WinterPivotChurnTable,6,FALSE)),1)</f>
        <v/>
      </c>
      <c r="ART31" s="12">
        <f>ART30+ARP31-ARP19*(AnnualChurn*VLOOKUP(ARB31,WinterPivotChurnTable,6,FALSE))*POWER(1-(AnnualChurn*VLOOKUP(ARB31,WinterPivotChurnTable,6,FALSE)),0)+ARP7*(AnnualChurn*VLOOKUP(ARB31,WinterPivotChurnTable,6,FALSE))*POWER(1-(AnnualChurn*VLOOKUP(ARB31,WinterPivotChurnTable,6,FALSE)),1)</f>
        <v/>
      </c>
      <c r="ARU31" s="12">
        <f>ARQ31+ARR31+ARS31+ART31</f>
        <v/>
      </c>
      <c r="ARV31" s="9">
        <f>ARQ31*PriceEssMonthly*ARE31+ARR31*(PricePremMonthly+'Sens - Winter Pivot'!$B$7)*ARE31+ARS31*PriceEssAnnual*ARE31/12+ART31*(PricePremAnnual+'Sens - Winter Pivot'!$B$7*12)*ARE31/12</f>
        <v/>
      </c>
      <c r="ARW31" s="9">
        <f>ARV31*12</f>
        <v/>
      </c>
      <c r="ARX31" s="12">
        <f>ARQ31*PriceEssMonthly*ARE31+ARR31*(PricePremMonthly+'Sens - Winter Pivot'!$B$7)*ARE31</f>
        <v/>
      </c>
      <c r="ARY31" s="12">
        <f>ARO31*PriceEssAnnual*ARE31+ARP31*(PricePremAnnual+'Sens - Winter Pivot'!$B$7*12)*ARE31</f>
        <v/>
      </c>
      <c r="ARZ31" s="12">
        <f>ARO19*POWER(1-(AnnualChurn*VLOOKUP(ARB31,WinterPivotChurnTable,6,FALSE)),1)*PriceEssAnnual*ARE31+ARO7*POWER(1-(AnnualChurn*VLOOKUP(ARB31,WinterPivotChurnTable,6,FALSE)),2)*PriceEssAnnual*ARE31+ARP19*POWER(1-(AnnualChurn*VLOOKUP(ARB31,WinterPivotChurnTable,6,FALSE)),1)*PricePremAnnual*ARE31+ARP7*POWER(1-(AnnualChurn*VLOOKUP(ARB31,WinterPivotChurnTable,6,FALSE)),2)*PricePremAnnual*ARE31</f>
        <v/>
      </c>
      <c r="ASA31" s="9">
        <f>ARX31+ARY31+ARZ31</f>
        <v/>
      </c>
      <c r="ASB31" s="12">
        <f>SUM(ASA20:ASA31)</f>
        <v/>
      </c>
      <c r="ASC31" s="12">
        <f>OR(ASC30,ASB31&gt;=VATThreshold)</f>
        <v/>
      </c>
      <c r="ASD31" s="9">
        <f>IF(ASC31,ASA31/(1+VATRate),ASA31)</f>
        <v/>
      </c>
      <c r="ASE31" s="12">
        <f>ASA31-ASD31</f>
        <v/>
      </c>
      <c r="ASF31" s="12">
        <f>IF(ASC31=0,0,IF(ARB31=1,SUMPRODUCT(--(($ARC$5:$ARC31=$ARC31-1)*($ARB$5:$ARB31&gt;=10)*($ARB$5:$ARB31&lt;=12)),$ASE$5:$ASE31),IF(ARB31=4,SUMPRODUCT(--(($ARC$5:$ARC31=$ARC31)*($ARB$5:$ARB31&gt;=1)*($ARB$5:$ARB31&lt;=3)),$ASE$5:$ASE31),IF(ARB31=7,SUMPRODUCT(--(($ARC$5:$ARC31=$ARC31)*($ARB$5:$ARB31&gt;=4)*($ARB$5:$ARB31&lt;=6)),$ASE$5:$ASE31),IF(ARB31=10,SUMPRODUCT(--(($ARC$5:$ARC31=$ARC31)*($ARB$5:$ARB31&gt;=7)*($ARB$5:$ARB31&lt;=9)),$ASE$5:$ASE31),0)))))</f>
        <v/>
      </c>
      <c r="ASG31" s="12">
        <f>ASG30+ASE31-ASF31</f>
        <v/>
      </c>
      <c r="ASH31" s="12">
        <f>IF(ProviderDelay&gt;=1,ASD30*ProviderShare,ASD31*ProviderShare)</f>
        <v/>
      </c>
      <c r="ASI31" s="12">
        <f>ASA31*PaymentFee</f>
        <v/>
      </c>
      <c r="ASJ31" s="12">
        <f>ARU31*OpsAI</f>
        <v/>
      </c>
      <c r="ASK31" s="12">
        <f>MonthlyFixed</f>
        <v/>
      </c>
      <c r="ASL31" s="12">
        <f>ARI31*ReferralReward</f>
        <v/>
      </c>
      <c r="ASM31" s="12">
        <f>ARG31</f>
        <v/>
      </c>
      <c r="ASN31" s="9">
        <f>ASD31-ASH31-ASI31-ASJ31-ASK31-ASL31-ASM31</f>
        <v/>
      </c>
      <c r="ASO31" s="9">
        <f>ASO30+ASA31-(ASH31+ASI31+ASJ31+ASK31+ASL31+ASM31+ASF31)</f>
        <v/>
      </c>
      <c r="ASP31" s="12">
        <f>IF(ARU31&gt;0,ARV31/ARU31,0)</f>
        <v/>
      </c>
      <c r="ASQ31" s="11">
        <f>IF(ARU30&gt;0,MAX(0,(ARU30+ARJ31-ARU31)/ARU30),0)</f>
        <v/>
      </c>
    </row>
    <row r="32">
      <c r="A32" s="12" t="n">
        <v>28</v>
      </c>
      <c r="B32" s="12">
        <f>MOD(A32-1+LaunchMonth-1,12)+1</f>
        <v/>
      </c>
      <c r="C32" s="12">
        <f>INT((A32-1+LaunchMonth-1)/12)+1</f>
        <v/>
      </c>
      <c r="D32" s="12">
        <f>VLOOKUP(B32,SeasonTable,2,FALSE)</f>
        <v/>
      </c>
      <c r="E32" s="12">
        <f>(1+InflationRate)^INT((A32-1)/12)</f>
        <v/>
      </c>
      <c r="F32" s="11">
        <f>'Sens - Scenarios'!$B$5*VLOOKUP(B32,ChurnSeasonTable,4,FALSE)</f>
        <v/>
      </c>
      <c r="G32" s="12">
        <f>MIN(MAX(MktMin19plus,AA31*MktPct19plus),MAX(0,AO31-CashBuffer))</f>
        <v/>
      </c>
      <c r="H32" s="12">
        <f>IF(G32&gt;0,MAX(1,ROUND(G32/'Sens - Scenarios'!$B$8*D32,0)),0)</f>
        <v/>
      </c>
      <c r="I32" s="12">
        <f>IF(H32&gt;0,ROUND(H32*ReferralMix/(1-ReferralMix),0),0)</f>
        <v/>
      </c>
      <c r="J32" s="12">
        <f>H32+I32</f>
        <v/>
      </c>
      <c r="K32" s="12">
        <f>ROUND(J32*(1-'Sens - Scenarios'!$B$7),0)</f>
        <v/>
      </c>
      <c r="L32" s="12">
        <f>J32-K32</f>
        <v/>
      </c>
      <c r="M32" s="12">
        <f>ROUND(K32*EssentialMix,0)</f>
        <v/>
      </c>
      <c r="N32" s="12">
        <f>K32-M32</f>
        <v/>
      </c>
      <c r="O32" s="12">
        <f>ROUND(L32*EssentialMix,0)</f>
        <v/>
      </c>
      <c r="P32" s="12">
        <f>L32-O32</f>
        <v/>
      </c>
      <c r="Q32" s="12">
        <f>M32+M31+M30+MAX(0,Q31-M31-M30)*(1-F32)</f>
        <v/>
      </c>
      <c r="R32" s="12">
        <f>N32+N31+N30+MAX(0,R31-N31-N30)*(1-F32)</f>
        <v/>
      </c>
      <c r="S32" s="12">
        <f>S31+O32-O20*('Sens - Scenarios'!$B$6*VLOOKUP(B32,ChurnSeasonTable,4,FALSE))*POWER(1-('Sens - Scenarios'!$B$6*VLOOKUP(B32,ChurnSeasonTable,4,FALSE)),0)+O8*('Sens - Scenarios'!$B$6*VLOOKUP(B32,ChurnSeasonTable,4,FALSE))*POWER(1-('Sens - Scenarios'!$B$6*VLOOKUP(B32,ChurnSeasonTable,4,FALSE)),1)</f>
        <v/>
      </c>
      <c r="T32" s="12">
        <f>T31+P32-P20*('Sens - Scenarios'!$B$6*VLOOKUP(B32,ChurnSeasonTable,4,FALSE))*POWER(1-('Sens - Scenarios'!$B$6*VLOOKUP(B32,ChurnSeasonTable,4,FALSE)),0)+P8*('Sens - Scenarios'!$B$6*VLOOKUP(B32,ChurnSeasonTable,4,FALSE))*POWER(1-('Sens - Scenarios'!$B$6*VLOOKUP(B32,ChurnSeasonTable,4,FALSE)),1)</f>
        <v/>
      </c>
      <c r="U32" s="12">
        <f>Q32+R32+S32+T32</f>
        <v/>
      </c>
      <c r="V32" s="9">
        <f>Q32*PriceEssMonthly*E32+R32*PricePremMonthly*E32+S32*PriceEssAnnual*E32/12+T32*PricePremAnnual*E32/12</f>
        <v/>
      </c>
      <c r="W32" s="9">
        <f>V32*12</f>
        <v/>
      </c>
      <c r="X32" s="12">
        <f>Q32*PriceEssMonthly*E32+R32*PricePremMonthly*E32</f>
        <v/>
      </c>
      <c r="Y32" s="12">
        <f>O32*PriceEssAnnual*E32+P32*PricePremAnnual*E32</f>
        <v/>
      </c>
      <c r="Z32" s="12">
        <f>O20*POWER(1-('Sens - Scenarios'!$B$6*VLOOKUP(B32,ChurnSeasonTable,4,FALSE)),1)*PriceEssAnnual*E32+O8*POWER(1-('Sens - Scenarios'!$B$6*VLOOKUP(B32,ChurnSeasonTable,4,FALSE)),2)*PriceEssAnnual*E32+P20*POWER(1-('Sens - Scenarios'!$B$6*VLOOKUP(B32,ChurnSeasonTable,4,FALSE)),1)*PricePremAnnual*E32+P8*POWER(1-('Sens - Scenarios'!$B$6*VLOOKUP(B32,ChurnSeasonTable,4,FALSE)),2)*PricePremAnnual*E32</f>
        <v/>
      </c>
      <c r="AA32" s="9">
        <f>X32+Y32+Z32</f>
        <v/>
      </c>
      <c r="AB32" s="12">
        <f>SUM(AA21:AA32)</f>
        <v/>
      </c>
      <c r="AC32" s="12">
        <f>OR(AC31,AB32&gt;=VATThreshold)</f>
        <v/>
      </c>
      <c r="AD32" s="9">
        <f>IF(AC32,AA32/(1+VATRate),AA32)</f>
        <v/>
      </c>
      <c r="AE32" s="12">
        <f>AA32-AD32</f>
        <v/>
      </c>
      <c r="AF32" s="12">
        <f>IF(AC32=0,0,IF(B32=1,SUMPRODUCT(--(($C$5:$C32=$C32-1)*($B$5:$B32&gt;=10)*($B$5:$B32&lt;=12)),$AE$5:$AE32),IF(B32=4,SUMPRODUCT(--(($C$5:$C32=$C32)*($B$5:$B32&gt;=1)*($B$5:$B32&lt;=3)),$AE$5:$AE32),IF(B32=7,SUMPRODUCT(--(($C$5:$C32=$C32)*($B$5:$B32&gt;=4)*($B$5:$B32&lt;=6)),$AE$5:$AE32),IF(B32=10,SUMPRODUCT(--(($C$5:$C32=$C32)*($B$5:$B32&gt;=7)*($B$5:$B32&lt;=9)),$AE$5:$AE32),0)))))</f>
        <v/>
      </c>
      <c r="AG32" s="12">
        <f>AG31+AE32-AF32</f>
        <v/>
      </c>
      <c r="AH32" s="12">
        <f>IF(ProviderDelay&gt;=1,AD31*ProviderShare,AD32*ProviderShare)</f>
        <v/>
      </c>
      <c r="AI32" s="12">
        <f>AA32*PaymentFee</f>
        <v/>
      </c>
      <c r="AJ32" s="12">
        <f>U32*OpsAI</f>
        <v/>
      </c>
      <c r="AK32" s="12">
        <f>MonthlyFixed</f>
        <v/>
      </c>
      <c r="AL32" s="12">
        <f>I32*ReferralReward</f>
        <v/>
      </c>
      <c r="AM32" s="12">
        <f>G32</f>
        <v/>
      </c>
      <c r="AN32" s="9">
        <f>AD32-AH32-AI32-AJ32-AK32-AL32-AM32</f>
        <v/>
      </c>
      <c r="AO32" s="9">
        <f>AO31+AA32-(AH32+AI32+AJ32+AK32+AL32+AM32+AF32)</f>
        <v/>
      </c>
      <c r="AP32" s="12">
        <f>IF(U32&gt;0,V32/U32,0)</f>
        <v/>
      </c>
      <c r="AQ32" s="11">
        <f>IF(U31&gt;0,MAX(0,(U31+J32-U32)/U31),0)</f>
        <v/>
      </c>
      <c r="AS32" s="12" t="n">
        <v>28</v>
      </c>
      <c r="AT32" s="12">
        <f>MOD(AS32-1+LaunchMonth-1,12)+1</f>
        <v/>
      </c>
      <c r="AU32" s="12">
        <f>INT((AS32-1+LaunchMonth-1)/12)+1</f>
        <v/>
      </c>
      <c r="AV32" s="12">
        <f>VLOOKUP(AT32,SeasonTable,2,FALSE)</f>
        <v/>
      </c>
      <c r="AW32" s="12">
        <f>(1+InflationRate)^INT((AS32-1)/12)</f>
        <v/>
      </c>
      <c r="AX32" s="11">
        <f>MonthlyChurn*VLOOKUP(AT32,ChurnSeasonTable,4,FALSE)</f>
        <v/>
      </c>
      <c r="AY32" s="12">
        <f>MIN(MAX(MktMin19plus,BS31*MktPct19plus),MAX(0,CG31-CashBuffer))</f>
        <v/>
      </c>
      <c r="AZ32" s="12">
        <f>IF(AY32&gt;0,MAX(1,ROUND(AY32/CAC*AV32,0)),0)</f>
        <v/>
      </c>
      <c r="BA32" s="12">
        <f>IF(AZ32&gt;0,ROUND(AZ32*ReferralMix/(1-ReferralMix),0),0)</f>
        <v/>
      </c>
      <c r="BB32" s="12">
        <f>AZ32+BA32</f>
        <v/>
      </c>
      <c r="BC32" s="12">
        <f>ROUND(BB32*(1-AnnualMix),0)</f>
        <v/>
      </c>
      <c r="BD32" s="12">
        <f>BB32-BC32</f>
        <v/>
      </c>
      <c r="BE32" s="12">
        <f>ROUND(BC32*EssentialMix,0)</f>
        <v/>
      </c>
      <c r="BF32" s="12">
        <f>BC32-BE32</f>
        <v/>
      </c>
      <c r="BG32" s="12">
        <f>ROUND(BD32*EssentialMix,0)</f>
        <v/>
      </c>
      <c r="BH32" s="12">
        <f>BD32-BG32</f>
        <v/>
      </c>
      <c r="BI32" s="12">
        <f>BE32+BE31+BE30+MAX(0,BI31-BE31-BE30)*(1-AX32)</f>
        <v/>
      </c>
      <c r="BJ32" s="12">
        <f>BF32+BF31+BF30+MAX(0,BJ31-BF31-BF30)*(1-AX32)</f>
        <v/>
      </c>
      <c r="BK32" s="12">
        <f>BK31+BG32-BG20*(AnnualChurn*VLOOKUP(AT32,ChurnSeasonTable,4,FALSE))*POWER(1-(AnnualChurn*VLOOKUP(AT32,ChurnSeasonTable,4,FALSE)),0)+BG8*(AnnualChurn*VLOOKUP(AT32,ChurnSeasonTable,4,FALSE))*POWER(1-(AnnualChurn*VLOOKUP(AT32,ChurnSeasonTable,4,FALSE)),1)</f>
        <v/>
      </c>
      <c r="BL32" s="12">
        <f>BL31+BH32-BH20*(AnnualChurn*VLOOKUP(AT32,ChurnSeasonTable,4,FALSE))*POWER(1-(AnnualChurn*VLOOKUP(AT32,ChurnSeasonTable,4,FALSE)),0)+BH8*(AnnualChurn*VLOOKUP(AT32,ChurnSeasonTable,4,FALSE))*POWER(1-(AnnualChurn*VLOOKUP(AT32,ChurnSeasonTable,4,FALSE)),1)</f>
        <v/>
      </c>
      <c r="BM32" s="12">
        <f>BI32+BJ32+BK32+BL32</f>
        <v/>
      </c>
      <c r="BN32" s="9">
        <f>BI32*PriceEssMonthly*AW32+BJ32*PricePremMonthly*AW32+BK32*PriceEssAnnual*AW32/12+BL32*PricePremAnnual*AW32/12</f>
        <v/>
      </c>
      <c r="BO32" s="9">
        <f>BN32*12</f>
        <v/>
      </c>
      <c r="BP32" s="12">
        <f>BI32*PriceEssMonthly*AW32+BJ32*PricePremMonthly*AW32</f>
        <v/>
      </c>
      <c r="BQ32" s="12">
        <f>BG32*PriceEssAnnual*AW32+BH32*PricePremAnnual*AW32</f>
        <v/>
      </c>
      <c r="BR32" s="12">
        <f>BG20*POWER(1-(AnnualChurn*VLOOKUP(AT32,ChurnSeasonTable,4,FALSE)),1)*PriceEssAnnual*AW32+BG8*POWER(1-(AnnualChurn*VLOOKUP(AT32,ChurnSeasonTable,4,FALSE)),2)*PriceEssAnnual*AW32+BH20*POWER(1-(AnnualChurn*VLOOKUP(AT32,ChurnSeasonTable,4,FALSE)),1)*PricePremAnnual*AW32+BH8*POWER(1-(AnnualChurn*VLOOKUP(AT32,ChurnSeasonTable,4,FALSE)),2)*PricePremAnnual*AW32</f>
        <v/>
      </c>
      <c r="BS32" s="9">
        <f>BP32+BQ32+BR32</f>
        <v/>
      </c>
      <c r="BT32" s="12">
        <f>SUM(BS21:BS32)</f>
        <v/>
      </c>
      <c r="BU32" s="12">
        <f>OR(BU31,BT32&gt;=VATThreshold)</f>
        <v/>
      </c>
      <c r="BV32" s="9">
        <f>IF(BU32,BS32/(1+VATRate),BS32)</f>
        <v/>
      </c>
      <c r="BW32" s="12">
        <f>BS32-BV32</f>
        <v/>
      </c>
      <c r="BX32" s="12">
        <f>IF(BU32=0,0,IF(AT32=1,SUMPRODUCT(--(($AU$5:$AU32=$AU32-1)*($AT$5:$AT32&gt;=10)*($AT$5:$AT32&lt;=12)),$BW$5:$BW32),IF(AT32=4,SUMPRODUCT(--(($AU$5:$AU32=$AU32)*($AT$5:$AT32&gt;=1)*($AT$5:$AT32&lt;=3)),$BW$5:$BW32),IF(AT32=7,SUMPRODUCT(--(($AU$5:$AU32=$AU32)*($AT$5:$AT32&gt;=4)*($AT$5:$AT32&lt;=6)),$BW$5:$BW32),IF(AT32=10,SUMPRODUCT(--(($AU$5:$AU32=$AU32)*($AT$5:$AT32&gt;=7)*($AT$5:$AT32&lt;=9)),$BW$5:$BW32),0)))))</f>
        <v/>
      </c>
      <c r="BY32" s="12">
        <f>BY31+BW32-BX32</f>
        <v/>
      </c>
      <c r="BZ32" s="12">
        <f>IF(ProviderDelay&gt;=1,BV31*ProviderShare,BV32*ProviderShare)</f>
        <v/>
      </c>
      <c r="CA32" s="12">
        <f>BS32*PaymentFee</f>
        <v/>
      </c>
      <c r="CB32" s="12">
        <f>BM32*OpsAI</f>
        <v/>
      </c>
      <c r="CC32" s="12">
        <f>MonthlyFixed</f>
        <v/>
      </c>
      <c r="CD32" s="12">
        <f>BA32*ReferralReward</f>
        <v/>
      </c>
      <c r="CE32" s="12">
        <f>AY32</f>
        <v/>
      </c>
      <c r="CF32" s="9">
        <f>BV32-BZ32-CA32-CB32-CC32-CD32-CE32</f>
        <v/>
      </c>
      <c r="CG32" s="9">
        <f>CG31+BS32-(BZ32+CA32+CB32+CC32+CD32+CE32+BX32)</f>
        <v/>
      </c>
      <c r="CH32" s="12">
        <f>IF(BM32&gt;0,BN32/BM32,0)</f>
        <v/>
      </c>
      <c r="CI32" s="11">
        <f>IF(BM31&gt;0,MAX(0,(BM31+BB32-BM32)/BM31),0)</f>
        <v/>
      </c>
      <c r="CK32" s="12" t="n">
        <v>28</v>
      </c>
      <c r="CL32" s="12">
        <f>MOD(CK32-1+LaunchMonth-1,12)+1</f>
        <v/>
      </c>
      <c r="CM32" s="12">
        <f>INT((CK32-1+LaunchMonth-1)/12)+1</f>
        <v/>
      </c>
      <c r="CN32" s="12">
        <f>VLOOKUP(CL32,SeasonTable,2,FALSE)</f>
        <v/>
      </c>
      <c r="CO32" s="12">
        <f>(1+InflationRate)^INT((CK32-1)/12)</f>
        <v/>
      </c>
      <c r="CP32" s="11">
        <f>'Sens - Scenarios'!$D$5*VLOOKUP(CL32,ChurnSeasonTable,4,FALSE)</f>
        <v/>
      </c>
      <c r="CQ32" s="12">
        <f>MIN(MAX(MktMin19plus,DK31*MktPct19plus),MAX(0,DY31-CashBuffer))</f>
        <v/>
      </c>
      <c r="CR32" s="12">
        <f>IF(CQ32&gt;0,MAX(1,ROUND(CQ32/'Sens - Scenarios'!$D$8*CN32,0)),0)</f>
        <v/>
      </c>
      <c r="CS32" s="12">
        <f>IF(CR32&gt;0,ROUND(CR32*ReferralMix/(1-ReferralMix),0),0)</f>
        <v/>
      </c>
      <c r="CT32" s="12">
        <f>CR32+CS32</f>
        <v/>
      </c>
      <c r="CU32" s="12">
        <f>ROUND(CT32*(1-'Sens - Scenarios'!$D$7),0)</f>
        <v/>
      </c>
      <c r="CV32" s="12">
        <f>CT32-CU32</f>
        <v/>
      </c>
      <c r="CW32" s="12">
        <f>ROUND(CU32*EssentialMix,0)</f>
        <v/>
      </c>
      <c r="CX32" s="12">
        <f>CU32-CW32</f>
        <v/>
      </c>
      <c r="CY32" s="12">
        <f>ROUND(CV32*EssentialMix,0)</f>
        <v/>
      </c>
      <c r="CZ32" s="12">
        <f>CV32-CY32</f>
        <v/>
      </c>
      <c r="DA32" s="12">
        <f>CW32+CW31+CW30+MAX(0,DA31-CW31-CW30)*(1-CP32)</f>
        <v/>
      </c>
      <c r="DB32" s="12">
        <f>CX32+CX31+CX30+MAX(0,DB31-CX31-CX30)*(1-CP32)</f>
        <v/>
      </c>
      <c r="DC32" s="12">
        <f>DC31+CY32-CY20*('Sens - Scenarios'!$D$6*VLOOKUP(CL32,ChurnSeasonTable,4,FALSE))*POWER(1-('Sens - Scenarios'!$D$6*VLOOKUP(CL32,ChurnSeasonTable,4,FALSE)),0)+CY8*('Sens - Scenarios'!$D$6*VLOOKUP(CL32,ChurnSeasonTable,4,FALSE))*POWER(1-('Sens - Scenarios'!$D$6*VLOOKUP(CL32,ChurnSeasonTable,4,FALSE)),1)</f>
        <v/>
      </c>
      <c r="DD32" s="12">
        <f>DD31+CZ32-CZ20*('Sens - Scenarios'!$D$6*VLOOKUP(CL32,ChurnSeasonTable,4,FALSE))*POWER(1-('Sens - Scenarios'!$D$6*VLOOKUP(CL32,ChurnSeasonTable,4,FALSE)),0)+CZ8*('Sens - Scenarios'!$D$6*VLOOKUP(CL32,ChurnSeasonTable,4,FALSE))*POWER(1-('Sens - Scenarios'!$D$6*VLOOKUP(CL32,ChurnSeasonTable,4,FALSE)),1)</f>
        <v/>
      </c>
      <c r="DE32" s="12">
        <f>DA32+DB32+DC32+DD32</f>
        <v/>
      </c>
      <c r="DF32" s="9">
        <f>DA32*PriceEssMonthly*CO32+DB32*PricePremMonthly*CO32+DC32*PriceEssAnnual*CO32/12+DD32*PricePremAnnual*CO32/12</f>
        <v/>
      </c>
      <c r="DG32" s="9">
        <f>DF32*12</f>
        <v/>
      </c>
      <c r="DH32" s="12">
        <f>DA32*PriceEssMonthly*CO32+DB32*PricePremMonthly*CO32</f>
        <v/>
      </c>
      <c r="DI32" s="12">
        <f>CY32*PriceEssAnnual*CO32+CZ32*PricePremAnnual*CO32</f>
        <v/>
      </c>
      <c r="DJ32" s="12">
        <f>CY20*POWER(1-('Sens - Scenarios'!$D$6*VLOOKUP(CL32,ChurnSeasonTable,4,FALSE)),1)*PriceEssAnnual*CO32+CY8*POWER(1-('Sens - Scenarios'!$D$6*VLOOKUP(CL32,ChurnSeasonTable,4,FALSE)),2)*PriceEssAnnual*CO32+CZ20*POWER(1-('Sens - Scenarios'!$D$6*VLOOKUP(CL32,ChurnSeasonTable,4,FALSE)),1)*PricePremAnnual*CO32+CZ8*POWER(1-('Sens - Scenarios'!$D$6*VLOOKUP(CL32,ChurnSeasonTable,4,FALSE)),2)*PricePremAnnual*CO32</f>
        <v/>
      </c>
      <c r="DK32" s="9">
        <f>DH32+DI32+DJ32</f>
        <v/>
      </c>
      <c r="DL32" s="12">
        <f>SUM(DK21:DK32)</f>
        <v/>
      </c>
      <c r="DM32" s="12">
        <f>OR(DM31,DL32&gt;=VATThreshold)</f>
        <v/>
      </c>
      <c r="DN32" s="9">
        <f>IF(DM32,DK32/(1+VATRate),DK32)</f>
        <v/>
      </c>
      <c r="DO32" s="12">
        <f>DK32-DN32</f>
        <v/>
      </c>
      <c r="DP32" s="12">
        <f>IF(DM32=0,0,IF(CL32=1,SUMPRODUCT(--(($CM$5:$CM32=$CM32-1)*($CL$5:$CL32&gt;=10)*($CL$5:$CL32&lt;=12)),$DO$5:$DO32),IF(CL32=4,SUMPRODUCT(--(($CM$5:$CM32=$CM32)*($CL$5:$CL32&gt;=1)*($CL$5:$CL32&lt;=3)),$DO$5:$DO32),IF(CL32=7,SUMPRODUCT(--(($CM$5:$CM32=$CM32)*($CL$5:$CL32&gt;=4)*($CL$5:$CL32&lt;=6)),$DO$5:$DO32),IF(CL32=10,SUMPRODUCT(--(($CM$5:$CM32=$CM32)*($CL$5:$CL32&gt;=7)*($CL$5:$CL32&lt;=9)),$DO$5:$DO32),0)))))</f>
        <v/>
      </c>
      <c r="DQ32" s="12">
        <f>DQ31+DO32-DP32</f>
        <v/>
      </c>
      <c r="DR32" s="12">
        <f>IF(ProviderDelay&gt;=1,DN31*ProviderShare,DN32*ProviderShare)</f>
        <v/>
      </c>
      <c r="DS32" s="12">
        <f>DK32*PaymentFee</f>
        <v/>
      </c>
      <c r="DT32" s="12">
        <f>DE32*OpsAI</f>
        <v/>
      </c>
      <c r="DU32" s="12">
        <f>MonthlyFixed</f>
        <v/>
      </c>
      <c r="DV32" s="12">
        <f>CS32*ReferralReward</f>
        <v/>
      </c>
      <c r="DW32" s="12">
        <f>CQ32</f>
        <v/>
      </c>
      <c r="DX32" s="9">
        <f>DN32-DR32-DS32-DT32-DU32-DV32-DW32</f>
        <v/>
      </c>
      <c r="DY32" s="9">
        <f>DY31+DK32-(DR32+DS32+DT32+DU32+DV32+DW32+DP32)</f>
        <v/>
      </c>
      <c r="DZ32" s="12">
        <f>IF(DE32&gt;0,DF32/DE32,0)</f>
        <v/>
      </c>
      <c r="EA32" s="11">
        <f>IF(DE31&gt;0,MAX(0,(DE31+CT32-DE32)/DE31),0)</f>
        <v/>
      </c>
      <c r="EC32" s="12" t="n">
        <v>28</v>
      </c>
      <c r="ED32" s="12">
        <f>MOD(EC32-1+LaunchMonth-1,12)+1</f>
        <v/>
      </c>
      <c r="EE32" s="12">
        <f>INT((EC32-1+LaunchMonth-1)/12)+1</f>
        <v/>
      </c>
      <c r="EF32" s="12">
        <f>VLOOKUP(ED32,SeasonTable,2,FALSE)</f>
        <v/>
      </c>
      <c r="EG32" s="12">
        <f>(1+InflationRate)^INT((EC32-1)/12)</f>
        <v/>
      </c>
      <c r="EH32" s="11">
        <f>'Sens - Churn'!$A$13*VLOOKUP(ED32,ChurnSeasonTable,4,FALSE)</f>
        <v/>
      </c>
      <c r="EI32" s="12">
        <f>MIN(MAX(MktMin19plus,FC31*MktPct19plus),MAX(0,FQ31-CashBuffer))</f>
        <v/>
      </c>
      <c r="EJ32" s="12">
        <f>IF(EI32&gt;0,MAX(1,ROUND(EI32/CAC*EF32,0)),0)</f>
        <v/>
      </c>
      <c r="EK32" s="12">
        <f>IF(EJ32&gt;0,ROUND(EJ32*ReferralMix/(1-ReferralMix),0),0)</f>
        <v/>
      </c>
      <c r="EL32" s="12">
        <f>EJ32+EK32</f>
        <v/>
      </c>
      <c r="EM32" s="12">
        <f>ROUND(EL32*(1-AnnualMix),0)</f>
        <v/>
      </c>
      <c r="EN32" s="12">
        <f>EL32-EM32</f>
        <v/>
      </c>
      <c r="EO32" s="12">
        <f>ROUND(EM32*EssentialMix,0)</f>
        <v/>
      </c>
      <c r="EP32" s="12">
        <f>EM32-EO32</f>
        <v/>
      </c>
      <c r="EQ32" s="12">
        <f>ROUND(EN32*EssentialMix,0)</f>
        <v/>
      </c>
      <c r="ER32" s="12">
        <f>EN32-EQ32</f>
        <v/>
      </c>
      <c r="ES32" s="12">
        <f>EO32+EO31+EO30+MAX(0,ES31-EO31-EO30)*(1-EH32)</f>
        <v/>
      </c>
      <c r="ET32" s="12">
        <f>EP32+EP31+EP30+MAX(0,ET31-EP31-EP30)*(1-EH32)</f>
        <v/>
      </c>
      <c r="EU32" s="12">
        <f>EU31+EQ32-EQ20*(AnnualChurn*VLOOKUP(ED32,ChurnSeasonTable,4,FALSE))*POWER(1-(AnnualChurn*VLOOKUP(ED32,ChurnSeasonTable,4,FALSE)),0)+EQ8*(AnnualChurn*VLOOKUP(ED32,ChurnSeasonTable,4,FALSE))*POWER(1-(AnnualChurn*VLOOKUP(ED32,ChurnSeasonTable,4,FALSE)),1)</f>
        <v/>
      </c>
      <c r="EV32" s="12">
        <f>EV31+ER32-ER20*(AnnualChurn*VLOOKUP(ED32,ChurnSeasonTable,4,FALSE))*POWER(1-(AnnualChurn*VLOOKUP(ED32,ChurnSeasonTable,4,FALSE)),0)+ER8*(AnnualChurn*VLOOKUP(ED32,ChurnSeasonTable,4,FALSE))*POWER(1-(AnnualChurn*VLOOKUP(ED32,ChurnSeasonTable,4,FALSE)),1)</f>
        <v/>
      </c>
      <c r="EW32" s="12">
        <f>ES32+ET32+EU32+EV32</f>
        <v/>
      </c>
      <c r="EX32" s="9">
        <f>ES32*PriceEssMonthly*EG32+ET32*PricePremMonthly*EG32+EU32*PriceEssAnnual*EG32/12+EV32*PricePremAnnual*EG32/12</f>
        <v/>
      </c>
      <c r="EY32" s="9">
        <f>EX32*12</f>
        <v/>
      </c>
      <c r="EZ32" s="12">
        <f>ES32*PriceEssMonthly*EG32+ET32*PricePremMonthly*EG32</f>
        <v/>
      </c>
      <c r="FA32" s="12">
        <f>EQ32*PriceEssAnnual*EG32+ER32*PricePremAnnual*EG32</f>
        <v/>
      </c>
      <c r="FB32" s="12">
        <f>EQ20*POWER(1-(AnnualChurn*VLOOKUP(ED32,ChurnSeasonTable,4,FALSE)),1)*PriceEssAnnual*EG32+EQ8*POWER(1-(AnnualChurn*VLOOKUP(ED32,ChurnSeasonTable,4,FALSE)),2)*PriceEssAnnual*EG32+ER20*POWER(1-(AnnualChurn*VLOOKUP(ED32,ChurnSeasonTable,4,FALSE)),1)*PricePremAnnual*EG32+ER8*POWER(1-(AnnualChurn*VLOOKUP(ED32,ChurnSeasonTable,4,FALSE)),2)*PricePremAnnual*EG32</f>
        <v/>
      </c>
      <c r="FC32" s="9">
        <f>EZ32+FA32+FB32</f>
        <v/>
      </c>
      <c r="FD32" s="12">
        <f>SUM(FC21:FC32)</f>
        <v/>
      </c>
      <c r="FE32" s="12">
        <f>OR(FE31,FD32&gt;=VATThreshold)</f>
        <v/>
      </c>
      <c r="FF32" s="9">
        <f>IF(FE32,FC32/(1+VATRate),FC32)</f>
        <v/>
      </c>
      <c r="FG32" s="12">
        <f>FC32-FF32</f>
        <v/>
      </c>
      <c r="FH32" s="12">
        <f>IF(FE32=0,0,IF(ED32=1,SUMPRODUCT(--(($EE$5:$EE32=$EE32-1)*($ED$5:$ED32&gt;=10)*($ED$5:$ED32&lt;=12)),$FG$5:$FG32),IF(ED32=4,SUMPRODUCT(--(($EE$5:$EE32=$EE32)*($ED$5:$ED32&gt;=1)*($ED$5:$ED32&lt;=3)),$FG$5:$FG32),IF(ED32=7,SUMPRODUCT(--(($EE$5:$EE32=$EE32)*($ED$5:$ED32&gt;=4)*($ED$5:$ED32&lt;=6)),$FG$5:$FG32),IF(ED32=10,SUMPRODUCT(--(($EE$5:$EE32=$EE32)*($ED$5:$ED32&gt;=7)*($ED$5:$ED32&lt;=9)),$FG$5:$FG32),0)))))</f>
        <v/>
      </c>
      <c r="FI32" s="12">
        <f>FI31+FG32-FH32</f>
        <v/>
      </c>
      <c r="FJ32" s="12">
        <f>IF(ProviderDelay&gt;=1,FF31*ProviderShare,FF32*ProviderShare)</f>
        <v/>
      </c>
      <c r="FK32" s="12">
        <f>FC32*PaymentFee</f>
        <v/>
      </c>
      <c r="FL32" s="12">
        <f>EW32*OpsAI</f>
        <v/>
      </c>
      <c r="FM32" s="12">
        <f>MonthlyFixed</f>
        <v/>
      </c>
      <c r="FN32" s="12">
        <f>EK32*ReferralReward</f>
        <v/>
      </c>
      <c r="FO32" s="12">
        <f>EI32</f>
        <v/>
      </c>
      <c r="FP32" s="9">
        <f>FF32-FJ32-FK32-FL32-FM32-FN32-FO32</f>
        <v/>
      </c>
      <c r="FQ32" s="9">
        <f>FQ31+FC32-(FJ32+FK32+FL32+FM32+FN32+FO32+FH32)</f>
        <v/>
      </c>
      <c r="FR32" s="12">
        <f>IF(EW32&gt;0,EX32/EW32,0)</f>
        <v/>
      </c>
      <c r="FS32" s="11">
        <f>IF(EW31&gt;0,MAX(0,(EW31+EL32-EW32)/EW31),0)</f>
        <v/>
      </c>
      <c r="FU32" s="12" t="n">
        <v>28</v>
      </c>
      <c r="FV32" s="12">
        <f>MOD(FU32-1+LaunchMonth-1,12)+1</f>
        <v/>
      </c>
      <c r="FW32" s="12">
        <f>INT((FU32-1+LaunchMonth-1)/12)+1</f>
        <v/>
      </c>
      <c r="FX32" s="12">
        <f>VLOOKUP(FV32,SeasonTable,2,FALSE)</f>
        <v/>
      </c>
      <c r="FY32" s="12">
        <f>(1+InflationRate)^INT((FU32-1)/12)</f>
        <v/>
      </c>
      <c r="FZ32" s="11">
        <f>'Sens - Churn'!$A$14*VLOOKUP(FV32,ChurnSeasonTable,4,FALSE)</f>
        <v/>
      </c>
      <c r="GA32" s="12">
        <f>MIN(MAX(MktMin19plus,GU31*MktPct19plus),MAX(0,HI31-CashBuffer))</f>
        <v/>
      </c>
      <c r="GB32" s="12">
        <f>IF(GA32&gt;0,MAX(1,ROUND(GA32/CAC*FX32,0)),0)</f>
        <v/>
      </c>
      <c r="GC32" s="12">
        <f>IF(GB32&gt;0,ROUND(GB32*ReferralMix/(1-ReferralMix),0),0)</f>
        <v/>
      </c>
      <c r="GD32" s="12">
        <f>GB32+GC32</f>
        <v/>
      </c>
      <c r="GE32" s="12">
        <f>ROUND(GD32*(1-AnnualMix),0)</f>
        <v/>
      </c>
      <c r="GF32" s="12">
        <f>GD32-GE32</f>
        <v/>
      </c>
      <c r="GG32" s="12">
        <f>ROUND(GE32*EssentialMix,0)</f>
        <v/>
      </c>
      <c r="GH32" s="12">
        <f>GE32-GG32</f>
        <v/>
      </c>
      <c r="GI32" s="12">
        <f>ROUND(GF32*EssentialMix,0)</f>
        <v/>
      </c>
      <c r="GJ32" s="12">
        <f>GF32-GI32</f>
        <v/>
      </c>
      <c r="GK32" s="12">
        <f>GG32+GG31+GG30+MAX(0,GK31-GG31-GG30)*(1-FZ32)</f>
        <v/>
      </c>
      <c r="GL32" s="12">
        <f>GH32+GH31+GH30+MAX(0,GL31-GH31-GH30)*(1-FZ32)</f>
        <v/>
      </c>
      <c r="GM32" s="12">
        <f>GM31+GI32-GI20*(AnnualChurn*VLOOKUP(FV32,ChurnSeasonTable,4,FALSE))*POWER(1-(AnnualChurn*VLOOKUP(FV32,ChurnSeasonTable,4,FALSE)),0)+GI8*(AnnualChurn*VLOOKUP(FV32,ChurnSeasonTable,4,FALSE))*POWER(1-(AnnualChurn*VLOOKUP(FV32,ChurnSeasonTable,4,FALSE)),1)</f>
        <v/>
      </c>
      <c r="GN32" s="12">
        <f>GN31+GJ32-GJ20*(AnnualChurn*VLOOKUP(FV32,ChurnSeasonTable,4,FALSE))*POWER(1-(AnnualChurn*VLOOKUP(FV32,ChurnSeasonTable,4,FALSE)),0)+GJ8*(AnnualChurn*VLOOKUP(FV32,ChurnSeasonTable,4,FALSE))*POWER(1-(AnnualChurn*VLOOKUP(FV32,ChurnSeasonTable,4,FALSE)),1)</f>
        <v/>
      </c>
      <c r="GO32" s="12">
        <f>GK32+GL32+GM32+GN32</f>
        <v/>
      </c>
      <c r="GP32" s="9">
        <f>GK32*PriceEssMonthly*FY32+GL32*PricePremMonthly*FY32+GM32*PriceEssAnnual*FY32/12+GN32*PricePremAnnual*FY32/12</f>
        <v/>
      </c>
      <c r="GQ32" s="9">
        <f>GP32*12</f>
        <v/>
      </c>
      <c r="GR32" s="12">
        <f>GK32*PriceEssMonthly*FY32+GL32*PricePremMonthly*FY32</f>
        <v/>
      </c>
      <c r="GS32" s="12">
        <f>GI32*PriceEssAnnual*FY32+GJ32*PricePremAnnual*FY32</f>
        <v/>
      </c>
      <c r="GT32" s="12">
        <f>GI20*POWER(1-(AnnualChurn*VLOOKUP(FV32,ChurnSeasonTable,4,FALSE)),1)*PriceEssAnnual*FY32+GI8*POWER(1-(AnnualChurn*VLOOKUP(FV32,ChurnSeasonTable,4,FALSE)),2)*PriceEssAnnual*FY32+GJ20*POWER(1-(AnnualChurn*VLOOKUP(FV32,ChurnSeasonTable,4,FALSE)),1)*PricePremAnnual*FY32+GJ8*POWER(1-(AnnualChurn*VLOOKUP(FV32,ChurnSeasonTable,4,FALSE)),2)*PricePremAnnual*FY32</f>
        <v/>
      </c>
      <c r="GU32" s="9">
        <f>GR32+GS32+GT32</f>
        <v/>
      </c>
      <c r="GV32" s="12">
        <f>SUM(GU21:GU32)</f>
        <v/>
      </c>
      <c r="GW32" s="12">
        <f>OR(GW31,GV32&gt;=VATThreshold)</f>
        <v/>
      </c>
      <c r="GX32" s="9">
        <f>IF(GW32,GU32/(1+VATRate),GU32)</f>
        <v/>
      </c>
      <c r="GY32" s="12">
        <f>GU32-GX32</f>
        <v/>
      </c>
      <c r="GZ32" s="12">
        <f>IF(GW32=0,0,IF(FV32=1,SUMPRODUCT(--(($FW$5:$FW32=$FW32-1)*($FV$5:$FV32&gt;=10)*($FV$5:$FV32&lt;=12)),$GY$5:$GY32),IF(FV32=4,SUMPRODUCT(--(($FW$5:$FW32=$FW32)*($FV$5:$FV32&gt;=1)*($FV$5:$FV32&lt;=3)),$GY$5:$GY32),IF(FV32=7,SUMPRODUCT(--(($FW$5:$FW32=$FW32)*($FV$5:$FV32&gt;=4)*($FV$5:$FV32&lt;=6)),$GY$5:$GY32),IF(FV32=10,SUMPRODUCT(--(($FW$5:$FW32=$FW32)*($FV$5:$FV32&gt;=7)*($FV$5:$FV32&lt;=9)),$GY$5:$GY32),0)))))</f>
        <v/>
      </c>
      <c r="HA32" s="12">
        <f>HA31+GY32-GZ32</f>
        <v/>
      </c>
      <c r="HB32" s="12">
        <f>IF(ProviderDelay&gt;=1,GX31*ProviderShare,GX32*ProviderShare)</f>
        <v/>
      </c>
      <c r="HC32" s="12">
        <f>GU32*PaymentFee</f>
        <v/>
      </c>
      <c r="HD32" s="12">
        <f>GO32*OpsAI</f>
        <v/>
      </c>
      <c r="HE32" s="12">
        <f>MonthlyFixed</f>
        <v/>
      </c>
      <c r="HF32" s="12">
        <f>GC32*ReferralReward</f>
        <v/>
      </c>
      <c r="HG32" s="12">
        <f>GA32</f>
        <v/>
      </c>
      <c r="HH32" s="9">
        <f>GX32-HB32-HC32-HD32-HE32-HF32-HG32</f>
        <v/>
      </c>
      <c r="HI32" s="9">
        <f>HI31+GU32-(HB32+HC32+HD32+HE32+HF32+HG32+GZ32)</f>
        <v/>
      </c>
      <c r="HJ32" s="12">
        <f>IF(GO32&gt;0,GP32/GO32,0)</f>
        <v/>
      </c>
      <c r="HK32" s="11">
        <f>IF(GO31&gt;0,MAX(0,(GO31+GD32-GO32)/GO31),0)</f>
        <v/>
      </c>
      <c r="HM32" s="12" t="n">
        <v>28</v>
      </c>
      <c r="HN32" s="12">
        <f>MOD(HM32-1+LaunchMonth-1,12)+1</f>
        <v/>
      </c>
      <c r="HO32" s="12">
        <f>INT((HM32-1+LaunchMonth-1)/12)+1</f>
        <v/>
      </c>
      <c r="HP32" s="12">
        <f>VLOOKUP(HN32,SeasonTable,2,FALSE)</f>
        <v/>
      </c>
      <c r="HQ32" s="12">
        <f>(1+InflationRate)^INT((HM32-1)/12)</f>
        <v/>
      </c>
      <c r="HR32" s="11">
        <f>'Sens - Churn'!$A$15*VLOOKUP(HN32,ChurnSeasonTable,4,FALSE)</f>
        <v/>
      </c>
      <c r="HS32" s="12">
        <f>MIN(MAX(MktMin19plus,IM31*MktPct19plus),MAX(0,JA31-CashBuffer))</f>
        <v/>
      </c>
      <c r="HT32" s="12">
        <f>IF(HS32&gt;0,MAX(1,ROUND(HS32/CAC*HP32,0)),0)</f>
        <v/>
      </c>
      <c r="HU32" s="12">
        <f>IF(HT32&gt;0,ROUND(HT32*ReferralMix/(1-ReferralMix),0),0)</f>
        <v/>
      </c>
      <c r="HV32" s="12">
        <f>HT32+HU32</f>
        <v/>
      </c>
      <c r="HW32" s="12">
        <f>ROUND(HV32*(1-AnnualMix),0)</f>
        <v/>
      </c>
      <c r="HX32" s="12">
        <f>HV32-HW32</f>
        <v/>
      </c>
      <c r="HY32" s="12">
        <f>ROUND(HW32*EssentialMix,0)</f>
        <v/>
      </c>
      <c r="HZ32" s="12">
        <f>HW32-HY32</f>
        <v/>
      </c>
      <c r="IA32" s="12">
        <f>ROUND(HX32*EssentialMix,0)</f>
        <v/>
      </c>
      <c r="IB32" s="12">
        <f>HX32-IA32</f>
        <v/>
      </c>
      <c r="IC32" s="12">
        <f>HY32+HY31+HY30+MAX(0,IC31-HY31-HY30)*(1-HR32)</f>
        <v/>
      </c>
      <c r="ID32" s="12">
        <f>HZ32+HZ31+HZ30+MAX(0,ID31-HZ31-HZ30)*(1-HR32)</f>
        <v/>
      </c>
      <c r="IE32" s="12">
        <f>IE31+IA32-IA20*(AnnualChurn*VLOOKUP(HN32,ChurnSeasonTable,4,FALSE))*POWER(1-(AnnualChurn*VLOOKUP(HN32,ChurnSeasonTable,4,FALSE)),0)+IA8*(AnnualChurn*VLOOKUP(HN32,ChurnSeasonTable,4,FALSE))*POWER(1-(AnnualChurn*VLOOKUP(HN32,ChurnSeasonTable,4,FALSE)),1)</f>
        <v/>
      </c>
      <c r="IF32" s="12">
        <f>IF31+IB32-IB20*(AnnualChurn*VLOOKUP(HN32,ChurnSeasonTable,4,FALSE))*POWER(1-(AnnualChurn*VLOOKUP(HN32,ChurnSeasonTable,4,FALSE)),0)+IB8*(AnnualChurn*VLOOKUP(HN32,ChurnSeasonTable,4,FALSE))*POWER(1-(AnnualChurn*VLOOKUP(HN32,ChurnSeasonTable,4,FALSE)),1)</f>
        <v/>
      </c>
      <c r="IG32" s="12">
        <f>IC32+ID32+IE32+IF32</f>
        <v/>
      </c>
      <c r="IH32" s="9">
        <f>IC32*PriceEssMonthly*HQ32+ID32*PricePremMonthly*HQ32+IE32*PriceEssAnnual*HQ32/12+IF32*PricePremAnnual*HQ32/12</f>
        <v/>
      </c>
      <c r="II32" s="9">
        <f>IH32*12</f>
        <v/>
      </c>
      <c r="IJ32" s="12">
        <f>IC32*PriceEssMonthly*HQ32+ID32*PricePremMonthly*HQ32</f>
        <v/>
      </c>
      <c r="IK32" s="12">
        <f>IA32*PriceEssAnnual*HQ32+IB32*PricePremAnnual*HQ32</f>
        <v/>
      </c>
      <c r="IL32" s="12">
        <f>IA20*POWER(1-(AnnualChurn*VLOOKUP(HN32,ChurnSeasonTable,4,FALSE)),1)*PriceEssAnnual*HQ32+IA8*POWER(1-(AnnualChurn*VLOOKUP(HN32,ChurnSeasonTable,4,FALSE)),2)*PriceEssAnnual*HQ32+IB20*POWER(1-(AnnualChurn*VLOOKUP(HN32,ChurnSeasonTable,4,FALSE)),1)*PricePremAnnual*HQ32+IB8*POWER(1-(AnnualChurn*VLOOKUP(HN32,ChurnSeasonTable,4,FALSE)),2)*PricePremAnnual*HQ32</f>
        <v/>
      </c>
      <c r="IM32" s="9">
        <f>IJ32+IK32+IL32</f>
        <v/>
      </c>
      <c r="IN32" s="12">
        <f>SUM(IM21:IM32)</f>
        <v/>
      </c>
      <c r="IO32" s="12">
        <f>OR(IO31,IN32&gt;=VATThreshold)</f>
        <v/>
      </c>
      <c r="IP32" s="9">
        <f>IF(IO32,IM32/(1+VATRate),IM32)</f>
        <v/>
      </c>
      <c r="IQ32" s="12">
        <f>IM32-IP32</f>
        <v/>
      </c>
      <c r="IR32" s="12">
        <f>IF(IO32=0,0,IF(HN32=1,SUMPRODUCT(--(($HO$5:$HO32=$HO32-1)*($HN$5:$HN32&gt;=10)*($HN$5:$HN32&lt;=12)),$IQ$5:$IQ32),IF(HN32=4,SUMPRODUCT(--(($HO$5:$HO32=$HO32)*($HN$5:$HN32&gt;=1)*($HN$5:$HN32&lt;=3)),$IQ$5:$IQ32),IF(HN32=7,SUMPRODUCT(--(($HO$5:$HO32=$HO32)*($HN$5:$HN32&gt;=4)*($HN$5:$HN32&lt;=6)),$IQ$5:$IQ32),IF(HN32=10,SUMPRODUCT(--(($HO$5:$HO32=$HO32)*($HN$5:$HN32&gt;=7)*($HN$5:$HN32&lt;=9)),$IQ$5:$IQ32),0)))))</f>
        <v/>
      </c>
      <c r="IS32" s="12">
        <f>IS31+IQ32-IR32</f>
        <v/>
      </c>
      <c r="IT32" s="12">
        <f>IF(ProviderDelay&gt;=1,IP31*ProviderShare,IP32*ProviderShare)</f>
        <v/>
      </c>
      <c r="IU32" s="12">
        <f>IM32*PaymentFee</f>
        <v/>
      </c>
      <c r="IV32" s="12">
        <f>IG32*OpsAI</f>
        <v/>
      </c>
      <c r="IW32" s="12">
        <f>MonthlyFixed</f>
        <v/>
      </c>
      <c r="IX32" s="12">
        <f>HU32*ReferralReward</f>
        <v/>
      </c>
      <c r="IY32" s="12">
        <f>HS32</f>
        <v/>
      </c>
      <c r="IZ32" s="9">
        <f>IP32-IT32-IU32-IV32-IW32-IX32-IY32</f>
        <v/>
      </c>
      <c r="JA32" s="9">
        <f>JA31+IM32-(IT32+IU32+IV32+IW32+IX32+IY32+IR32)</f>
        <v/>
      </c>
      <c r="JB32" s="12">
        <f>IF(IG32&gt;0,IH32/IG32,0)</f>
        <v/>
      </c>
      <c r="JC32" s="11">
        <f>IF(IG31&gt;0,MAX(0,(IG31+HV32-IG32)/IG31),0)</f>
        <v/>
      </c>
      <c r="JE32" s="12" t="n">
        <v>28</v>
      </c>
      <c r="JF32" s="12">
        <f>MOD(JE32-1+LaunchMonth-1,12)+1</f>
        <v/>
      </c>
      <c r="JG32" s="12">
        <f>INT((JE32-1+LaunchMonth-1)/12)+1</f>
        <v/>
      </c>
      <c r="JH32" s="12">
        <f>VLOOKUP(JF32,SeasonTable,2,FALSE)</f>
        <v/>
      </c>
      <c r="JI32" s="12">
        <f>(1+InflationRate)^INT((JE32-1)/12)</f>
        <v/>
      </c>
      <c r="JJ32" s="11">
        <f>'Sens - Churn'!$A$16*VLOOKUP(JF32,ChurnSeasonTable,4,FALSE)</f>
        <v/>
      </c>
      <c r="JK32" s="12">
        <f>MIN(MAX(MktMin19plus,KE31*MktPct19plus),MAX(0,KS31-CashBuffer))</f>
        <v/>
      </c>
      <c r="JL32" s="12">
        <f>IF(JK32&gt;0,MAX(1,ROUND(JK32/CAC*JH32,0)),0)</f>
        <v/>
      </c>
      <c r="JM32" s="12">
        <f>IF(JL32&gt;0,ROUND(JL32*ReferralMix/(1-ReferralMix),0),0)</f>
        <v/>
      </c>
      <c r="JN32" s="12">
        <f>JL32+JM32</f>
        <v/>
      </c>
      <c r="JO32" s="12">
        <f>ROUND(JN32*(1-AnnualMix),0)</f>
        <v/>
      </c>
      <c r="JP32" s="12">
        <f>JN32-JO32</f>
        <v/>
      </c>
      <c r="JQ32" s="12">
        <f>ROUND(JO32*EssentialMix,0)</f>
        <v/>
      </c>
      <c r="JR32" s="12">
        <f>JO32-JQ32</f>
        <v/>
      </c>
      <c r="JS32" s="12">
        <f>ROUND(JP32*EssentialMix,0)</f>
        <v/>
      </c>
      <c r="JT32" s="12">
        <f>JP32-JS32</f>
        <v/>
      </c>
      <c r="JU32" s="12">
        <f>JQ32+JQ31+JQ30+MAX(0,JU31-JQ31-JQ30)*(1-JJ32)</f>
        <v/>
      </c>
      <c r="JV32" s="12">
        <f>JR32+JR31+JR30+MAX(0,JV31-JR31-JR30)*(1-JJ32)</f>
        <v/>
      </c>
      <c r="JW32" s="12">
        <f>JW31+JS32-JS20*(AnnualChurn*VLOOKUP(JF32,ChurnSeasonTable,4,FALSE))*POWER(1-(AnnualChurn*VLOOKUP(JF32,ChurnSeasonTable,4,FALSE)),0)+JS8*(AnnualChurn*VLOOKUP(JF32,ChurnSeasonTable,4,FALSE))*POWER(1-(AnnualChurn*VLOOKUP(JF32,ChurnSeasonTable,4,FALSE)),1)</f>
        <v/>
      </c>
      <c r="JX32" s="12">
        <f>JX31+JT32-JT20*(AnnualChurn*VLOOKUP(JF32,ChurnSeasonTable,4,FALSE))*POWER(1-(AnnualChurn*VLOOKUP(JF32,ChurnSeasonTable,4,FALSE)),0)+JT8*(AnnualChurn*VLOOKUP(JF32,ChurnSeasonTable,4,FALSE))*POWER(1-(AnnualChurn*VLOOKUP(JF32,ChurnSeasonTable,4,FALSE)),1)</f>
        <v/>
      </c>
      <c r="JY32" s="12">
        <f>JU32+JV32+JW32+JX32</f>
        <v/>
      </c>
      <c r="JZ32" s="9">
        <f>JU32*PriceEssMonthly*JI32+JV32*PricePremMonthly*JI32+JW32*PriceEssAnnual*JI32/12+JX32*PricePremAnnual*JI32/12</f>
        <v/>
      </c>
      <c r="KA32" s="9">
        <f>JZ32*12</f>
        <v/>
      </c>
      <c r="KB32" s="12">
        <f>JU32*PriceEssMonthly*JI32+JV32*PricePremMonthly*JI32</f>
        <v/>
      </c>
      <c r="KC32" s="12">
        <f>JS32*PriceEssAnnual*JI32+JT32*PricePremAnnual*JI32</f>
        <v/>
      </c>
      <c r="KD32" s="12">
        <f>JS20*POWER(1-(AnnualChurn*VLOOKUP(JF32,ChurnSeasonTable,4,FALSE)),1)*PriceEssAnnual*JI32+JS8*POWER(1-(AnnualChurn*VLOOKUP(JF32,ChurnSeasonTable,4,FALSE)),2)*PriceEssAnnual*JI32+JT20*POWER(1-(AnnualChurn*VLOOKUP(JF32,ChurnSeasonTable,4,FALSE)),1)*PricePremAnnual*JI32+JT8*POWER(1-(AnnualChurn*VLOOKUP(JF32,ChurnSeasonTable,4,FALSE)),2)*PricePremAnnual*JI32</f>
        <v/>
      </c>
      <c r="KE32" s="9">
        <f>KB32+KC32+KD32</f>
        <v/>
      </c>
      <c r="KF32" s="12">
        <f>SUM(KE21:KE32)</f>
        <v/>
      </c>
      <c r="KG32" s="12">
        <f>OR(KG31,KF32&gt;=VATThreshold)</f>
        <v/>
      </c>
      <c r="KH32" s="9">
        <f>IF(KG32,KE32/(1+VATRate),KE32)</f>
        <v/>
      </c>
      <c r="KI32" s="12">
        <f>KE32-KH32</f>
        <v/>
      </c>
      <c r="KJ32" s="12">
        <f>IF(KG32=0,0,IF(JF32=1,SUMPRODUCT(--(($JG$5:$JG32=$JG32-1)*($JF$5:$JF32&gt;=10)*($JF$5:$JF32&lt;=12)),$KI$5:$KI32),IF(JF32=4,SUMPRODUCT(--(($JG$5:$JG32=$JG32)*($JF$5:$JF32&gt;=1)*($JF$5:$JF32&lt;=3)),$KI$5:$KI32),IF(JF32=7,SUMPRODUCT(--(($JG$5:$JG32=$JG32)*($JF$5:$JF32&gt;=4)*($JF$5:$JF32&lt;=6)),$KI$5:$KI32),IF(JF32=10,SUMPRODUCT(--(($JG$5:$JG32=$JG32)*($JF$5:$JF32&gt;=7)*($JF$5:$JF32&lt;=9)),$KI$5:$KI32),0)))))</f>
        <v/>
      </c>
      <c r="KK32" s="12">
        <f>KK31+KI32-KJ32</f>
        <v/>
      </c>
      <c r="KL32" s="12">
        <f>IF(ProviderDelay&gt;=1,KH31*ProviderShare,KH32*ProviderShare)</f>
        <v/>
      </c>
      <c r="KM32" s="12">
        <f>KE32*PaymentFee</f>
        <v/>
      </c>
      <c r="KN32" s="12">
        <f>JY32*OpsAI</f>
        <v/>
      </c>
      <c r="KO32" s="12">
        <f>MonthlyFixed</f>
        <v/>
      </c>
      <c r="KP32" s="12">
        <f>JM32*ReferralReward</f>
        <v/>
      </c>
      <c r="KQ32" s="12">
        <f>JK32</f>
        <v/>
      </c>
      <c r="KR32" s="9">
        <f>KH32-KL32-KM32-KN32-KO32-KP32-KQ32</f>
        <v/>
      </c>
      <c r="KS32" s="9">
        <f>KS31+KE32-(KL32+KM32+KN32+KO32+KP32+KQ32+KJ32)</f>
        <v/>
      </c>
      <c r="KT32" s="12">
        <f>IF(JY32&gt;0,JZ32/JY32,0)</f>
        <v/>
      </c>
      <c r="KU32" s="11">
        <f>IF(JY31&gt;0,MAX(0,(JY31+JN32-JY32)/JY31),0)</f>
        <v/>
      </c>
      <c r="KW32" s="12" t="n">
        <v>28</v>
      </c>
      <c r="KX32" s="12">
        <f>MOD(KW32-1+LaunchMonth-1,12)+1</f>
        <v/>
      </c>
      <c r="KY32" s="12">
        <f>INT((KW32-1+LaunchMonth-1)/12)+1</f>
        <v/>
      </c>
      <c r="KZ32" s="12">
        <f>VLOOKUP(KX32,SeasonTable,2,FALSE)</f>
        <v/>
      </c>
      <c r="LA32" s="12">
        <f>(1+InflationRate)^INT((KW32-1)/12)</f>
        <v/>
      </c>
      <c r="LB32" s="11">
        <f>'Sens - Churn'!$A$17*VLOOKUP(KX32,ChurnSeasonTable,4,FALSE)</f>
        <v/>
      </c>
      <c r="LC32" s="12">
        <f>MIN(MAX(MktMin19plus,LW31*MktPct19plus),MAX(0,MK31-CashBuffer))</f>
        <v/>
      </c>
      <c r="LD32" s="12">
        <f>IF(LC32&gt;0,MAX(1,ROUND(LC32/CAC*KZ32,0)),0)</f>
        <v/>
      </c>
      <c r="LE32" s="12">
        <f>IF(LD32&gt;0,ROUND(LD32*ReferralMix/(1-ReferralMix),0),0)</f>
        <v/>
      </c>
      <c r="LF32" s="12">
        <f>LD32+LE32</f>
        <v/>
      </c>
      <c r="LG32" s="12">
        <f>ROUND(LF32*(1-AnnualMix),0)</f>
        <v/>
      </c>
      <c r="LH32" s="12">
        <f>LF32-LG32</f>
        <v/>
      </c>
      <c r="LI32" s="12">
        <f>ROUND(LG32*EssentialMix,0)</f>
        <v/>
      </c>
      <c r="LJ32" s="12">
        <f>LG32-LI32</f>
        <v/>
      </c>
      <c r="LK32" s="12">
        <f>ROUND(LH32*EssentialMix,0)</f>
        <v/>
      </c>
      <c r="LL32" s="12">
        <f>LH32-LK32</f>
        <v/>
      </c>
      <c r="LM32" s="12">
        <f>LI32+LI31+LI30+MAX(0,LM31-LI31-LI30)*(1-LB32)</f>
        <v/>
      </c>
      <c r="LN32" s="12">
        <f>LJ32+LJ31+LJ30+MAX(0,LN31-LJ31-LJ30)*(1-LB32)</f>
        <v/>
      </c>
      <c r="LO32" s="12">
        <f>LO31+LK32-LK20*(AnnualChurn*VLOOKUP(KX32,ChurnSeasonTable,4,FALSE))*POWER(1-(AnnualChurn*VLOOKUP(KX32,ChurnSeasonTable,4,FALSE)),0)+LK8*(AnnualChurn*VLOOKUP(KX32,ChurnSeasonTable,4,FALSE))*POWER(1-(AnnualChurn*VLOOKUP(KX32,ChurnSeasonTable,4,FALSE)),1)</f>
        <v/>
      </c>
      <c r="LP32" s="12">
        <f>LP31+LL32-LL20*(AnnualChurn*VLOOKUP(KX32,ChurnSeasonTable,4,FALSE))*POWER(1-(AnnualChurn*VLOOKUP(KX32,ChurnSeasonTable,4,FALSE)),0)+LL8*(AnnualChurn*VLOOKUP(KX32,ChurnSeasonTable,4,FALSE))*POWER(1-(AnnualChurn*VLOOKUP(KX32,ChurnSeasonTable,4,FALSE)),1)</f>
        <v/>
      </c>
      <c r="LQ32" s="12">
        <f>LM32+LN32+LO32+LP32</f>
        <v/>
      </c>
      <c r="LR32" s="9">
        <f>LM32*PriceEssMonthly*LA32+LN32*PricePremMonthly*LA32+LO32*PriceEssAnnual*LA32/12+LP32*PricePremAnnual*LA32/12</f>
        <v/>
      </c>
      <c r="LS32" s="9">
        <f>LR32*12</f>
        <v/>
      </c>
      <c r="LT32" s="12">
        <f>LM32*PriceEssMonthly*LA32+LN32*PricePremMonthly*LA32</f>
        <v/>
      </c>
      <c r="LU32" s="12">
        <f>LK32*PriceEssAnnual*LA32+LL32*PricePremAnnual*LA32</f>
        <v/>
      </c>
      <c r="LV32" s="12">
        <f>LK20*POWER(1-(AnnualChurn*VLOOKUP(KX32,ChurnSeasonTable,4,FALSE)),1)*PriceEssAnnual*LA32+LK8*POWER(1-(AnnualChurn*VLOOKUP(KX32,ChurnSeasonTable,4,FALSE)),2)*PriceEssAnnual*LA32+LL20*POWER(1-(AnnualChurn*VLOOKUP(KX32,ChurnSeasonTable,4,FALSE)),1)*PricePremAnnual*LA32+LL8*POWER(1-(AnnualChurn*VLOOKUP(KX32,ChurnSeasonTable,4,FALSE)),2)*PricePremAnnual*LA32</f>
        <v/>
      </c>
      <c r="LW32" s="9">
        <f>LT32+LU32+LV32</f>
        <v/>
      </c>
      <c r="LX32" s="12">
        <f>SUM(LW21:LW32)</f>
        <v/>
      </c>
      <c r="LY32" s="12">
        <f>OR(LY31,LX32&gt;=VATThreshold)</f>
        <v/>
      </c>
      <c r="LZ32" s="9">
        <f>IF(LY32,LW32/(1+VATRate),LW32)</f>
        <v/>
      </c>
      <c r="MA32" s="12">
        <f>LW32-LZ32</f>
        <v/>
      </c>
      <c r="MB32" s="12">
        <f>IF(LY32=0,0,IF(KX32=1,SUMPRODUCT(--(($KY$5:$KY32=$KY32-1)*($KX$5:$KX32&gt;=10)*($KX$5:$KX32&lt;=12)),$MA$5:$MA32),IF(KX32=4,SUMPRODUCT(--(($KY$5:$KY32=$KY32)*($KX$5:$KX32&gt;=1)*($KX$5:$KX32&lt;=3)),$MA$5:$MA32),IF(KX32=7,SUMPRODUCT(--(($KY$5:$KY32=$KY32)*($KX$5:$KX32&gt;=4)*($KX$5:$KX32&lt;=6)),$MA$5:$MA32),IF(KX32=10,SUMPRODUCT(--(($KY$5:$KY32=$KY32)*($KX$5:$KX32&gt;=7)*($KX$5:$KX32&lt;=9)),$MA$5:$MA32),0)))))</f>
        <v/>
      </c>
      <c r="MC32" s="12">
        <f>MC31+MA32-MB32</f>
        <v/>
      </c>
      <c r="MD32" s="12">
        <f>IF(ProviderDelay&gt;=1,LZ31*ProviderShare,LZ32*ProviderShare)</f>
        <v/>
      </c>
      <c r="ME32" s="12">
        <f>LW32*PaymentFee</f>
        <v/>
      </c>
      <c r="MF32" s="12">
        <f>LQ32*OpsAI</f>
        <v/>
      </c>
      <c r="MG32" s="12">
        <f>MonthlyFixed</f>
        <v/>
      </c>
      <c r="MH32" s="12">
        <f>LE32*ReferralReward</f>
        <v/>
      </c>
      <c r="MI32" s="12">
        <f>LC32</f>
        <v/>
      </c>
      <c r="MJ32" s="9">
        <f>LZ32-MD32-ME32-MF32-MG32-MH32-MI32</f>
        <v/>
      </c>
      <c r="MK32" s="9">
        <f>MK31+LW32-(MD32+ME32+MF32+MG32+MH32+MI32+MB32)</f>
        <v/>
      </c>
      <c r="ML32" s="12">
        <f>IF(LQ32&gt;0,LR32/LQ32,0)</f>
        <v/>
      </c>
      <c r="MM32" s="11">
        <f>IF(LQ31&gt;0,MAX(0,(LQ31+LF32-LQ32)/LQ31),0)</f>
        <v/>
      </c>
      <c r="MO32" s="12" t="n">
        <v>28</v>
      </c>
      <c r="MP32" s="12">
        <f>MOD(MO32-1+LaunchMonth-1,12)+1</f>
        <v/>
      </c>
      <c r="MQ32" s="12">
        <f>INT((MO32-1+LaunchMonth-1)/12)+1</f>
        <v/>
      </c>
      <c r="MR32" s="12">
        <f>VLOOKUP(MP32,SeasonTable,2,FALSE)</f>
        <v/>
      </c>
      <c r="MS32" s="12">
        <f>(1+InflationRate)^INT((MO32-1)/12)</f>
        <v/>
      </c>
      <c r="MT32" s="11">
        <f>'Sens - Churn'!$A$18*VLOOKUP(MP32,ChurnSeasonTable,4,FALSE)</f>
        <v/>
      </c>
      <c r="MU32" s="12">
        <f>MIN(MAX(MktMin19plus,NO31*MktPct19plus),MAX(0,OC31-CashBuffer))</f>
        <v/>
      </c>
      <c r="MV32" s="12">
        <f>IF(MU32&gt;0,MAX(1,ROUND(MU32/CAC*MR32,0)),0)</f>
        <v/>
      </c>
      <c r="MW32" s="12">
        <f>IF(MV32&gt;0,ROUND(MV32*ReferralMix/(1-ReferralMix),0),0)</f>
        <v/>
      </c>
      <c r="MX32" s="12">
        <f>MV32+MW32</f>
        <v/>
      </c>
      <c r="MY32" s="12">
        <f>ROUND(MX32*(1-AnnualMix),0)</f>
        <v/>
      </c>
      <c r="MZ32" s="12">
        <f>MX32-MY32</f>
        <v/>
      </c>
      <c r="NA32" s="12">
        <f>ROUND(MY32*EssentialMix,0)</f>
        <v/>
      </c>
      <c r="NB32" s="12">
        <f>MY32-NA32</f>
        <v/>
      </c>
      <c r="NC32" s="12">
        <f>ROUND(MZ32*EssentialMix,0)</f>
        <v/>
      </c>
      <c r="ND32" s="12">
        <f>MZ32-NC32</f>
        <v/>
      </c>
      <c r="NE32" s="12">
        <f>NA32+NA31+NA30+MAX(0,NE31-NA31-NA30)*(1-MT32)</f>
        <v/>
      </c>
      <c r="NF32" s="12">
        <f>NB32+NB31+NB30+MAX(0,NF31-NB31-NB30)*(1-MT32)</f>
        <v/>
      </c>
      <c r="NG32" s="12">
        <f>NG31+NC32-NC20*(AnnualChurn*VLOOKUP(MP32,ChurnSeasonTable,4,FALSE))*POWER(1-(AnnualChurn*VLOOKUP(MP32,ChurnSeasonTable,4,FALSE)),0)+NC8*(AnnualChurn*VLOOKUP(MP32,ChurnSeasonTable,4,FALSE))*POWER(1-(AnnualChurn*VLOOKUP(MP32,ChurnSeasonTable,4,FALSE)),1)</f>
        <v/>
      </c>
      <c r="NH32" s="12">
        <f>NH31+ND32-ND20*(AnnualChurn*VLOOKUP(MP32,ChurnSeasonTable,4,FALSE))*POWER(1-(AnnualChurn*VLOOKUP(MP32,ChurnSeasonTable,4,FALSE)),0)+ND8*(AnnualChurn*VLOOKUP(MP32,ChurnSeasonTable,4,FALSE))*POWER(1-(AnnualChurn*VLOOKUP(MP32,ChurnSeasonTable,4,FALSE)),1)</f>
        <v/>
      </c>
      <c r="NI32" s="12">
        <f>NE32+NF32+NG32+NH32</f>
        <v/>
      </c>
      <c r="NJ32" s="9">
        <f>NE32*PriceEssMonthly*MS32+NF32*PricePremMonthly*MS32+NG32*PriceEssAnnual*MS32/12+NH32*PricePremAnnual*MS32/12</f>
        <v/>
      </c>
      <c r="NK32" s="9">
        <f>NJ32*12</f>
        <v/>
      </c>
      <c r="NL32" s="12">
        <f>NE32*PriceEssMonthly*MS32+NF32*PricePremMonthly*MS32</f>
        <v/>
      </c>
      <c r="NM32" s="12">
        <f>NC32*PriceEssAnnual*MS32+ND32*PricePremAnnual*MS32</f>
        <v/>
      </c>
      <c r="NN32" s="12">
        <f>NC20*POWER(1-(AnnualChurn*VLOOKUP(MP32,ChurnSeasonTable,4,FALSE)),1)*PriceEssAnnual*MS32+NC8*POWER(1-(AnnualChurn*VLOOKUP(MP32,ChurnSeasonTable,4,FALSE)),2)*PriceEssAnnual*MS32+ND20*POWER(1-(AnnualChurn*VLOOKUP(MP32,ChurnSeasonTable,4,FALSE)),1)*PricePremAnnual*MS32+ND8*POWER(1-(AnnualChurn*VLOOKUP(MP32,ChurnSeasonTable,4,FALSE)),2)*PricePremAnnual*MS32</f>
        <v/>
      </c>
      <c r="NO32" s="9">
        <f>NL32+NM32+NN32</f>
        <v/>
      </c>
      <c r="NP32" s="12">
        <f>SUM(NO21:NO32)</f>
        <v/>
      </c>
      <c r="NQ32" s="12">
        <f>OR(NQ31,NP32&gt;=VATThreshold)</f>
        <v/>
      </c>
      <c r="NR32" s="9">
        <f>IF(NQ32,NO32/(1+VATRate),NO32)</f>
        <v/>
      </c>
      <c r="NS32" s="12">
        <f>NO32-NR32</f>
        <v/>
      </c>
      <c r="NT32" s="12">
        <f>IF(NQ32=0,0,IF(MP32=1,SUMPRODUCT(--(($MQ$5:$MQ32=$MQ32-1)*($MP$5:$MP32&gt;=10)*($MP$5:$MP32&lt;=12)),$NS$5:$NS32),IF(MP32=4,SUMPRODUCT(--(($MQ$5:$MQ32=$MQ32)*($MP$5:$MP32&gt;=1)*($MP$5:$MP32&lt;=3)),$NS$5:$NS32),IF(MP32=7,SUMPRODUCT(--(($MQ$5:$MQ32=$MQ32)*($MP$5:$MP32&gt;=4)*($MP$5:$MP32&lt;=6)),$NS$5:$NS32),IF(MP32=10,SUMPRODUCT(--(($MQ$5:$MQ32=$MQ32)*($MP$5:$MP32&gt;=7)*($MP$5:$MP32&lt;=9)),$NS$5:$NS32),0)))))</f>
        <v/>
      </c>
      <c r="NU32" s="12">
        <f>NU31+NS32-NT32</f>
        <v/>
      </c>
      <c r="NV32" s="12">
        <f>IF(ProviderDelay&gt;=1,NR31*ProviderShare,NR32*ProviderShare)</f>
        <v/>
      </c>
      <c r="NW32" s="12">
        <f>NO32*PaymentFee</f>
        <v/>
      </c>
      <c r="NX32" s="12">
        <f>NI32*OpsAI</f>
        <v/>
      </c>
      <c r="NY32" s="12">
        <f>MonthlyFixed</f>
        <v/>
      </c>
      <c r="NZ32" s="12">
        <f>MW32*ReferralReward</f>
        <v/>
      </c>
      <c r="OA32" s="12">
        <f>MU32</f>
        <v/>
      </c>
      <c r="OB32" s="9">
        <f>NR32-NV32-NW32-NX32-NY32-NZ32-OA32</f>
        <v/>
      </c>
      <c r="OC32" s="9">
        <f>OC31+NO32-(NV32+NW32+NX32+NY32+NZ32+OA32+NT32)</f>
        <v/>
      </c>
      <c r="OD32" s="12">
        <f>IF(NI32&gt;0,NJ32/NI32,0)</f>
        <v/>
      </c>
      <c r="OE32" s="11">
        <f>IF(NI31&gt;0,MAX(0,(NI31+MX32-NI32)/NI31),0)</f>
        <v/>
      </c>
      <c r="OG32" s="12" t="n">
        <v>28</v>
      </c>
      <c r="OH32" s="12">
        <f>MOD(OG32-1+LaunchMonth-1,12)+1</f>
        <v/>
      </c>
      <c r="OI32" s="12">
        <f>INT((OG32-1+LaunchMonth-1)/12)+1</f>
        <v/>
      </c>
      <c r="OJ32" s="12">
        <f>VLOOKUP(OH32,SeasonTable,2,FALSE)</f>
        <v/>
      </c>
      <c r="OK32" s="12">
        <f>(1+InflationRate)^INT((OG32-1)/12)</f>
        <v/>
      </c>
      <c r="OL32" s="11">
        <f>'Sens - Churn'!$A$19*VLOOKUP(OH32,ChurnSeasonTable,4,FALSE)</f>
        <v/>
      </c>
      <c r="OM32" s="12">
        <f>MIN(MAX(MktMin19plus,PG31*MktPct19plus),MAX(0,PU31-CashBuffer))</f>
        <v/>
      </c>
      <c r="ON32" s="12">
        <f>IF(OM32&gt;0,MAX(1,ROUND(OM32/CAC*OJ32,0)),0)</f>
        <v/>
      </c>
      <c r="OO32" s="12">
        <f>IF(ON32&gt;0,ROUND(ON32*ReferralMix/(1-ReferralMix),0),0)</f>
        <v/>
      </c>
      <c r="OP32" s="12">
        <f>ON32+OO32</f>
        <v/>
      </c>
      <c r="OQ32" s="12">
        <f>ROUND(OP32*(1-AnnualMix),0)</f>
        <v/>
      </c>
      <c r="OR32" s="12">
        <f>OP32-OQ32</f>
        <v/>
      </c>
      <c r="OS32" s="12">
        <f>ROUND(OQ32*EssentialMix,0)</f>
        <v/>
      </c>
      <c r="OT32" s="12">
        <f>OQ32-OS32</f>
        <v/>
      </c>
      <c r="OU32" s="12">
        <f>ROUND(OR32*EssentialMix,0)</f>
        <v/>
      </c>
      <c r="OV32" s="12">
        <f>OR32-OU32</f>
        <v/>
      </c>
      <c r="OW32" s="12">
        <f>OS32+OS31+OS30+MAX(0,OW31-OS31-OS30)*(1-OL32)</f>
        <v/>
      </c>
      <c r="OX32" s="12">
        <f>OT32+OT31+OT30+MAX(0,OX31-OT31-OT30)*(1-OL32)</f>
        <v/>
      </c>
      <c r="OY32" s="12">
        <f>OY31+OU32-OU20*(AnnualChurn*VLOOKUP(OH32,ChurnSeasonTable,4,FALSE))*POWER(1-(AnnualChurn*VLOOKUP(OH32,ChurnSeasonTable,4,FALSE)),0)+OU8*(AnnualChurn*VLOOKUP(OH32,ChurnSeasonTable,4,FALSE))*POWER(1-(AnnualChurn*VLOOKUP(OH32,ChurnSeasonTable,4,FALSE)),1)</f>
        <v/>
      </c>
      <c r="OZ32" s="12">
        <f>OZ31+OV32-OV20*(AnnualChurn*VLOOKUP(OH32,ChurnSeasonTable,4,FALSE))*POWER(1-(AnnualChurn*VLOOKUP(OH32,ChurnSeasonTable,4,FALSE)),0)+OV8*(AnnualChurn*VLOOKUP(OH32,ChurnSeasonTable,4,FALSE))*POWER(1-(AnnualChurn*VLOOKUP(OH32,ChurnSeasonTable,4,FALSE)),1)</f>
        <v/>
      </c>
      <c r="PA32" s="12">
        <f>OW32+OX32+OY32+OZ32</f>
        <v/>
      </c>
      <c r="PB32" s="9">
        <f>OW32*PriceEssMonthly*OK32+OX32*PricePremMonthly*OK32+OY32*PriceEssAnnual*OK32/12+OZ32*PricePremAnnual*OK32/12</f>
        <v/>
      </c>
      <c r="PC32" s="9">
        <f>PB32*12</f>
        <v/>
      </c>
      <c r="PD32" s="12">
        <f>OW32*PriceEssMonthly*OK32+OX32*PricePremMonthly*OK32</f>
        <v/>
      </c>
      <c r="PE32" s="12">
        <f>OU32*PriceEssAnnual*OK32+OV32*PricePremAnnual*OK32</f>
        <v/>
      </c>
      <c r="PF32" s="12">
        <f>OU20*POWER(1-(AnnualChurn*VLOOKUP(OH32,ChurnSeasonTable,4,FALSE)),1)*PriceEssAnnual*OK32+OU8*POWER(1-(AnnualChurn*VLOOKUP(OH32,ChurnSeasonTable,4,FALSE)),2)*PriceEssAnnual*OK32+OV20*POWER(1-(AnnualChurn*VLOOKUP(OH32,ChurnSeasonTable,4,FALSE)),1)*PricePremAnnual*OK32+OV8*POWER(1-(AnnualChurn*VLOOKUP(OH32,ChurnSeasonTable,4,FALSE)),2)*PricePremAnnual*OK32</f>
        <v/>
      </c>
      <c r="PG32" s="9">
        <f>PD32+PE32+PF32</f>
        <v/>
      </c>
      <c r="PH32" s="12">
        <f>SUM(PG21:PG32)</f>
        <v/>
      </c>
      <c r="PI32" s="12">
        <f>OR(PI31,PH32&gt;=VATThreshold)</f>
        <v/>
      </c>
      <c r="PJ32" s="9">
        <f>IF(PI32,PG32/(1+VATRate),PG32)</f>
        <v/>
      </c>
      <c r="PK32" s="12">
        <f>PG32-PJ32</f>
        <v/>
      </c>
      <c r="PL32" s="12">
        <f>IF(PI32=0,0,IF(OH32=1,SUMPRODUCT(--(($OI$5:$OI32=$OI32-1)*($OH$5:$OH32&gt;=10)*($OH$5:$OH32&lt;=12)),$PK$5:$PK32),IF(OH32=4,SUMPRODUCT(--(($OI$5:$OI32=$OI32)*($OH$5:$OH32&gt;=1)*($OH$5:$OH32&lt;=3)),$PK$5:$PK32),IF(OH32=7,SUMPRODUCT(--(($OI$5:$OI32=$OI32)*($OH$5:$OH32&gt;=4)*($OH$5:$OH32&lt;=6)),$PK$5:$PK32),IF(OH32=10,SUMPRODUCT(--(($OI$5:$OI32=$OI32)*($OH$5:$OH32&gt;=7)*($OH$5:$OH32&lt;=9)),$PK$5:$PK32),0)))))</f>
        <v/>
      </c>
      <c r="PM32" s="12">
        <f>PM31+PK32-PL32</f>
        <v/>
      </c>
      <c r="PN32" s="12">
        <f>IF(ProviderDelay&gt;=1,PJ31*ProviderShare,PJ32*ProviderShare)</f>
        <v/>
      </c>
      <c r="PO32" s="12">
        <f>PG32*PaymentFee</f>
        <v/>
      </c>
      <c r="PP32" s="12">
        <f>PA32*OpsAI</f>
        <v/>
      </c>
      <c r="PQ32" s="12">
        <f>MonthlyFixed</f>
        <v/>
      </c>
      <c r="PR32" s="12">
        <f>OO32*ReferralReward</f>
        <v/>
      </c>
      <c r="PS32" s="12">
        <f>OM32</f>
        <v/>
      </c>
      <c r="PT32" s="9">
        <f>PJ32-PN32-PO32-PP32-PQ32-PR32-PS32</f>
        <v/>
      </c>
      <c r="PU32" s="9">
        <f>PU31+PG32-(PN32+PO32+PP32+PQ32+PR32+PS32+PL32)</f>
        <v/>
      </c>
      <c r="PV32" s="12">
        <f>IF(PA32&gt;0,PB32/PA32,0)</f>
        <v/>
      </c>
      <c r="PW32" s="11">
        <f>IF(PA31&gt;0,MAX(0,(PA31+OP32-PA32)/PA31),0)</f>
        <v/>
      </c>
      <c r="PY32" s="12" t="n">
        <v>28</v>
      </c>
      <c r="PZ32" s="12">
        <f>MOD(PY32-1+LaunchMonth-1,12)+1</f>
        <v/>
      </c>
      <c r="QA32" s="12">
        <f>INT((PY32-1+LaunchMonth-1)/12)+1</f>
        <v/>
      </c>
      <c r="QB32" s="12">
        <f>VLOOKUP(PZ32,SeasonTable,2,FALSE)</f>
        <v/>
      </c>
      <c r="QC32" s="12">
        <f>(1+InflationRate)^INT((PY32-1)/12)</f>
        <v/>
      </c>
      <c r="QD32" s="11">
        <f>'Sens - Churn'!$A$20*VLOOKUP(PZ32,ChurnSeasonTable,4,FALSE)</f>
        <v/>
      </c>
      <c r="QE32" s="12">
        <f>MIN(MAX(MktMin19plus,QY31*MktPct19plus),MAX(0,RM31-CashBuffer))</f>
        <v/>
      </c>
      <c r="QF32" s="12">
        <f>IF(QE32&gt;0,MAX(1,ROUND(QE32/CAC*QB32,0)),0)</f>
        <v/>
      </c>
      <c r="QG32" s="12">
        <f>IF(QF32&gt;0,ROUND(QF32*ReferralMix/(1-ReferralMix),0),0)</f>
        <v/>
      </c>
      <c r="QH32" s="12">
        <f>QF32+QG32</f>
        <v/>
      </c>
      <c r="QI32" s="12">
        <f>ROUND(QH32*(1-AnnualMix),0)</f>
        <v/>
      </c>
      <c r="QJ32" s="12">
        <f>QH32-QI32</f>
        <v/>
      </c>
      <c r="QK32" s="12">
        <f>ROUND(QI32*EssentialMix,0)</f>
        <v/>
      </c>
      <c r="QL32" s="12">
        <f>QI32-QK32</f>
        <v/>
      </c>
      <c r="QM32" s="12">
        <f>ROUND(QJ32*EssentialMix,0)</f>
        <v/>
      </c>
      <c r="QN32" s="12">
        <f>QJ32-QM32</f>
        <v/>
      </c>
      <c r="QO32" s="12">
        <f>QK32+QK31+QK30+MAX(0,QO31-QK31-QK30)*(1-QD32)</f>
        <v/>
      </c>
      <c r="QP32" s="12">
        <f>QL32+QL31+QL30+MAX(0,QP31-QL31-QL30)*(1-QD32)</f>
        <v/>
      </c>
      <c r="QQ32" s="12">
        <f>QQ31+QM32-QM20*(AnnualChurn*VLOOKUP(PZ32,ChurnSeasonTable,4,FALSE))*POWER(1-(AnnualChurn*VLOOKUP(PZ32,ChurnSeasonTable,4,FALSE)),0)+QM8*(AnnualChurn*VLOOKUP(PZ32,ChurnSeasonTable,4,FALSE))*POWER(1-(AnnualChurn*VLOOKUP(PZ32,ChurnSeasonTable,4,FALSE)),1)</f>
        <v/>
      </c>
      <c r="QR32" s="12">
        <f>QR31+QN32-QN20*(AnnualChurn*VLOOKUP(PZ32,ChurnSeasonTable,4,FALSE))*POWER(1-(AnnualChurn*VLOOKUP(PZ32,ChurnSeasonTable,4,FALSE)),0)+QN8*(AnnualChurn*VLOOKUP(PZ32,ChurnSeasonTable,4,FALSE))*POWER(1-(AnnualChurn*VLOOKUP(PZ32,ChurnSeasonTable,4,FALSE)),1)</f>
        <v/>
      </c>
      <c r="QS32" s="12">
        <f>QO32+QP32+QQ32+QR32</f>
        <v/>
      </c>
      <c r="QT32" s="9">
        <f>QO32*PriceEssMonthly*QC32+QP32*PricePremMonthly*QC32+QQ32*PriceEssAnnual*QC32/12+QR32*PricePremAnnual*QC32/12</f>
        <v/>
      </c>
      <c r="QU32" s="9">
        <f>QT32*12</f>
        <v/>
      </c>
      <c r="QV32" s="12">
        <f>QO32*PriceEssMonthly*QC32+QP32*PricePremMonthly*QC32</f>
        <v/>
      </c>
      <c r="QW32" s="12">
        <f>QM32*PriceEssAnnual*QC32+QN32*PricePremAnnual*QC32</f>
        <v/>
      </c>
      <c r="QX32" s="12">
        <f>QM20*POWER(1-(AnnualChurn*VLOOKUP(PZ32,ChurnSeasonTable,4,FALSE)),1)*PriceEssAnnual*QC32+QM8*POWER(1-(AnnualChurn*VLOOKUP(PZ32,ChurnSeasonTable,4,FALSE)),2)*PriceEssAnnual*QC32+QN20*POWER(1-(AnnualChurn*VLOOKUP(PZ32,ChurnSeasonTable,4,FALSE)),1)*PricePremAnnual*QC32+QN8*POWER(1-(AnnualChurn*VLOOKUP(PZ32,ChurnSeasonTable,4,FALSE)),2)*PricePremAnnual*QC32</f>
        <v/>
      </c>
      <c r="QY32" s="9">
        <f>QV32+QW32+QX32</f>
        <v/>
      </c>
      <c r="QZ32" s="12">
        <f>SUM(QY21:QY32)</f>
        <v/>
      </c>
      <c r="RA32" s="12">
        <f>OR(RA31,QZ32&gt;=VATThreshold)</f>
        <v/>
      </c>
      <c r="RB32" s="9">
        <f>IF(RA32,QY32/(1+VATRate),QY32)</f>
        <v/>
      </c>
      <c r="RC32" s="12">
        <f>QY32-RB32</f>
        <v/>
      </c>
      <c r="RD32" s="12">
        <f>IF(RA32=0,0,IF(PZ32=1,SUMPRODUCT(--(($QA$5:$QA32=$QA32-1)*($PZ$5:$PZ32&gt;=10)*($PZ$5:$PZ32&lt;=12)),$RC$5:$RC32),IF(PZ32=4,SUMPRODUCT(--(($QA$5:$QA32=$QA32)*($PZ$5:$PZ32&gt;=1)*($PZ$5:$PZ32&lt;=3)),$RC$5:$RC32),IF(PZ32=7,SUMPRODUCT(--(($QA$5:$QA32=$QA32)*($PZ$5:$PZ32&gt;=4)*($PZ$5:$PZ32&lt;=6)),$RC$5:$RC32),IF(PZ32=10,SUMPRODUCT(--(($QA$5:$QA32=$QA32)*($PZ$5:$PZ32&gt;=7)*($PZ$5:$PZ32&lt;=9)),$RC$5:$RC32),0)))))</f>
        <v/>
      </c>
      <c r="RE32" s="12">
        <f>RE31+RC32-RD32</f>
        <v/>
      </c>
      <c r="RF32" s="12">
        <f>IF(ProviderDelay&gt;=1,RB31*ProviderShare,RB32*ProviderShare)</f>
        <v/>
      </c>
      <c r="RG32" s="12">
        <f>QY32*PaymentFee</f>
        <v/>
      </c>
      <c r="RH32" s="12">
        <f>QS32*OpsAI</f>
        <v/>
      </c>
      <c r="RI32" s="12">
        <f>MonthlyFixed</f>
        <v/>
      </c>
      <c r="RJ32" s="12">
        <f>QG32*ReferralReward</f>
        <v/>
      </c>
      <c r="RK32" s="12">
        <f>QE32</f>
        <v/>
      </c>
      <c r="RL32" s="9">
        <f>RB32-RF32-RG32-RH32-RI32-RJ32-RK32</f>
        <v/>
      </c>
      <c r="RM32" s="9">
        <f>RM31+QY32-(RF32+RG32+RH32+RI32+RJ32+RK32+RD32)</f>
        <v/>
      </c>
      <c r="RN32" s="12">
        <f>IF(QS32&gt;0,QT32/QS32,0)</f>
        <v/>
      </c>
      <c r="RO32" s="11">
        <f>IF(QS31&gt;0,MAX(0,(QS31+QH32-QS32)/QS31),0)</f>
        <v/>
      </c>
      <c r="RQ32" s="12" t="n">
        <v>28</v>
      </c>
      <c r="RR32" s="12">
        <f>MOD(RQ32-1+LaunchMonth-1,12)+1</f>
        <v/>
      </c>
      <c r="RS32" s="12">
        <f>INT((RQ32-1+LaunchMonth-1)/12)+1</f>
        <v/>
      </c>
      <c r="RT32" s="12">
        <f>VLOOKUP(RR32,SeasonTable,2,FALSE)</f>
        <v/>
      </c>
      <c r="RU32" s="12">
        <f>(1+InflationRate)^INT((RQ32-1)/12)</f>
        <v/>
      </c>
      <c r="RV32" s="11">
        <f>'Sens - Churn'!$A$21*VLOOKUP(RR32,ChurnSeasonTable,4,FALSE)</f>
        <v/>
      </c>
      <c r="RW32" s="12">
        <f>MIN(MAX(MktMin19plus,SQ31*MktPct19plus),MAX(0,TE31-CashBuffer))</f>
        <v/>
      </c>
      <c r="RX32" s="12">
        <f>IF(RW32&gt;0,MAX(1,ROUND(RW32/CAC*RT32,0)),0)</f>
        <v/>
      </c>
      <c r="RY32" s="12">
        <f>IF(RX32&gt;0,ROUND(RX32*ReferralMix/(1-ReferralMix),0),0)</f>
        <v/>
      </c>
      <c r="RZ32" s="12">
        <f>RX32+RY32</f>
        <v/>
      </c>
      <c r="SA32" s="12">
        <f>ROUND(RZ32*(1-AnnualMix),0)</f>
        <v/>
      </c>
      <c r="SB32" s="12">
        <f>RZ32-SA32</f>
        <v/>
      </c>
      <c r="SC32" s="12">
        <f>ROUND(SA32*EssentialMix,0)</f>
        <v/>
      </c>
      <c r="SD32" s="12">
        <f>SA32-SC32</f>
        <v/>
      </c>
      <c r="SE32" s="12">
        <f>ROUND(SB32*EssentialMix,0)</f>
        <v/>
      </c>
      <c r="SF32" s="12">
        <f>SB32-SE32</f>
        <v/>
      </c>
      <c r="SG32" s="12">
        <f>SC32+SC31+SC30+MAX(0,SG31-SC31-SC30)*(1-RV32)</f>
        <v/>
      </c>
      <c r="SH32" s="12">
        <f>SD32+SD31+SD30+MAX(0,SH31-SD31-SD30)*(1-RV32)</f>
        <v/>
      </c>
      <c r="SI32" s="12">
        <f>SI31+SE32-SE20*(AnnualChurn*VLOOKUP(RR32,ChurnSeasonTable,4,FALSE))*POWER(1-(AnnualChurn*VLOOKUP(RR32,ChurnSeasonTable,4,FALSE)),0)+SE8*(AnnualChurn*VLOOKUP(RR32,ChurnSeasonTable,4,FALSE))*POWER(1-(AnnualChurn*VLOOKUP(RR32,ChurnSeasonTable,4,FALSE)),1)</f>
        <v/>
      </c>
      <c r="SJ32" s="12">
        <f>SJ31+SF32-SF20*(AnnualChurn*VLOOKUP(RR32,ChurnSeasonTable,4,FALSE))*POWER(1-(AnnualChurn*VLOOKUP(RR32,ChurnSeasonTable,4,FALSE)),0)+SF8*(AnnualChurn*VLOOKUP(RR32,ChurnSeasonTable,4,FALSE))*POWER(1-(AnnualChurn*VLOOKUP(RR32,ChurnSeasonTable,4,FALSE)),1)</f>
        <v/>
      </c>
      <c r="SK32" s="12">
        <f>SG32+SH32+SI32+SJ32</f>
        <v/>
      </c>
      <c r="SL32" s="9">
        <f>SG32*PriceEssMonthly*RU32+SH32*PricePremMonthly*RU32+SI32*PriceEssAnnual*RU32/12+SJ32*PricePremAnnual*RU32/12</f>
        <v/>
      </c>
      <c r="SM32" s="9">
        <f>SL32*12</f>
        <v/>
      </c>
      <c r="SN32" s="12">
        <f>SG32*PriceEssMonthly*RU32+SH32*PricePremMonthly*RU32</f>
        <v/>
      </c>
      <c r="SO32" s="12">
        <f>SE32*PriceEssAnnual*RU32+SF32*PricePremAnnual*RU32</f>
        <v/>
      </c>
      <c r="SP32" s="12">
        <f>SE20*POWER(1-(AnnualChurn*VLOOKUP(RR32,ChurnSeasonTable,4,FALSE)),1)*PriceEssAnnual*RU32+SE8*POWER(1-(AnnualChurn*VLOOKUP(RR32,ChurnSeasonTable,4,FALSE)),2)*PriceEssAnnual*RU32+SF20*POWER(1-(AnnualChurn*VLOOKUP(RR32,ChurnSeasonTable,4,FALSE)),1)*PricePremAnnual*RU32+SF8*POWER(1-(AnnualChurn*VLOOKUP(RR32,ChurnSeasonTable,4,FALSE)),2)*PricePremAnnual*RU32</f>
        <v/>
      </c>
      <c r="SQ32" s="9">
        <f>SN32+SO32+SP32</f>
        <v/>
      </c>
      <c r="SR32" s="12">
        <f>SUM(SQ21:SQ32)</f>
        <v/>
      </c>
      <c r="SS32" s="12">
        <f>OR(SS31,SR32&gt;=VATThreshold)</f>
        <v/>
      </c>
      <c r="ST32" s="9">
        <f>IF(SS32,SQ32/(1+VATRate),SQ32)</f>
        <v/>
      </c>
      <c r="SU32" s="12">
        <f>SQ32-ST32</f>
        <v/>
      </c>
      <c r="SV32" s="12">
        <f>IF(SS32=0,0,IF(RR32=1,SUMPRODUCT(--(($RS$5:$RS32=$RS32-1)*($RR$5:$RR32&gt;=10)*($RR$5:$RR32&lt;=12)),$SU$5:$SU32),IF(RR32=4,SUMPRODUCT(--(($RS$5:$RS32=$RS32)*($RR$5:$RR32&gt;=1)*($RR$5:$RR32&lt;=3)),$SU$5:$SU32),IF(RR32=7,SUMPRODUCT(--(($RS$5:$RS32=$RS32)*($RR$5:$RR32&gt;=4)*($RR$5:$RR32&lt;=6)),$SU$5:$SU32),IF(RR32=10,SUMPRODUCT(--(($RS$5:$RS32=$RS32)*($RR$5:$RR32&gt;=7)*($RR$5:$RR32&lt;=9)),$SU$5:$SU32),0)))))</f>
        <v/>
      </c>
      <c r="SW32" s="12">
        <f>SW31+SU32-SV32</f>
        <v/>
      </c>
      <c r="SX32" s="12">
        <f>IF(ProviderDelay&gt;=1,ST31*ProviderShare,ST32*ProviderShare)</f>
        <v/>
      </c>
      <c r="SY32" s="12">
        <f>SQ32*PaymentFee</f>
        <v/>
      </c>
      <c r="SZ32" s="12">
        <f>SK32*OpsAI</f>
        <v/>
      </c>
      <c r="TA32" s="12">
        <f>MonthlyFixed</f>
        <v/>
      </c>
      <c r="TB32" s="12">
        <f>RY32*ReferralReward</f>
        <v/>
      </c>
      <c r="TC32" s="12">
        <f>RW32</f>
        <v/>
      </c>
      <c r="TD32" s="9">
        <f>ST32-SX32-SY32-SZ32-TA32-TB32-TC32</f>
        <v/>
      </c>
      <c r="TE32" s="9">
        <f>TE31+SQ32-(SX32+SY32+SZ32+TA32+TB32+TC32+SV32)</f>
        <v/>
      </c>
      <c r="TF32" s="12">
        <f>IF(SK32&gt;0,SL32/SK32,0)</f>
        <v/>
      </c>
      <c r="TG32" s="11">
        <f>IF(SK31&gt;0,MAX(0,(SK31+RZ32-SK32)/SK31),0)</f>
        <v/>
      </c>
      <c r="TI32" s="12" t="n">
        <v>28</v>
      </c>
      <c r="TJ32" s="12">
        <f>MOD(TI32-1+LaunchMonth-1,12)+1</f>
        <v/>
      </c>
      <c r="TK32" s="12">
        <f>INT((TI32-1+LaunchMonth-1)/12)+1</f>
        <v/>
      </c>
      <c r="TL32" s="12">
        <f>VLOOKUP(TJ32,SeasonTable,2,FALSE)</f>
        <v/>
      </c>
      <c r="TM32" s="12">
        <f>(1+InflationRate)^INT((TI32-1)/12)</f>
        <v/>
      </c>
      <c r="TN32" s="11">
        <f>MonthlyChurn*VLOOKUP(TJ32,ChurnSeasonTable,4,FALSE)</f>
        <v/>
      </c>
      <c r="TO32" s="12">
        <f>MIN(MAX(MktMin19plus,UI31*MktPct19plus),MAX(0,UW31-CashBuffer))</f>
        <v/>
      </c>
      <c r="TP32" s="12">
        <f>IF(TO32&gt;0,MAX(1,ROUND(TO32/CAC*TL32,0)),0)</f>
        <v/>
      </c>
      <c r="TQ32" s="12">
        <f>IF(TP32&gt;0,ROUND(TP32*ReferralMix/(1-ReferralMix),0),0)</f>
        <v/>
      </c>
      <c r="TR32" s="12">
        <f>TP32+TQ32</f>
        <v/>
      </c>
      <c r="TS32" s="12">
        <f>ROUND(TR32*(1-'Sens - Annual Mix'!$A$9),0)</f>
        <v/>
      </c>
      <c r="TT32" s="12">
        <f>TR32-TS32</f>
        <v/>
      </c>
      <c r="TU32" s="12">
        <f>ROUND(TS32*EssentialMix,0)</f>
        <v/>
      </c>
      <c r="TV32" s="12">
        <f>TS32-TU32</f>
        <v/>
      </c>
      <c r="TW32" s="12">
        <f>ROUND(TT32*EssentialMix,0)</f>
        <v/>
      </c>
      <c r="TX32" s="12">
        <f>TT32-TW32</f>
        <v/>
      </c>
      <c r="TY32" s="12">
        <f>TU32+TU31+TU30+MAX(0,TY31-TU31-TU30)*(1-TN32)</f>
        <v/>
      </c>
      <c r="TZ32" s="12">
        <f>TV32+TV31+TV30+MAX(0,TZ31-TV31-TV30)*(1-TN32)</f>
        <v/>
      </c>
      <c r="UA32" s="12">
        <f>UA31+TW32-TW20*(AnnualChurn*VLOOKUP(TJ32,ChurnSeasonTable,4,FALSE))*POWER(1-(AnnualChurn*VLOOKUP(TJ32,ChurnSeasonTable,4,FALSE)),0)+TW8*(AnnualChurn*VLOOKUP(TJ32,ChurnSeasonTable,4,FALSE))*POWER(1-(AnnualChurn*VLOOKUP(TJ32,ChurnSeasonTable,4,FALSE)),1)</f>
        <v/>
      </c>
      <c r="UB32" s="12">
        <f>UB31+TX32-TX20*(AnnualChurn*VLOOKUP(TJ32,ChurnSeasonTable,4,FALSE))*POWER(1-(AnnualChurn*VLOOKUP(TJ32,ChurnSeasonTable,4,FALSE)),0)+TX8*(AnnualChurn*VLOOKUP(TJ32,ChurnSeasonTable,4,FALSE))*POWER(1-(AnnualChurn*VLOOKUP(TJ32,ChurnSeasonTable,4,FALSE)),1)</f>
        <v/>
      </c>
      <c r="UC32" s="12">
        <f>TY32+TZ32+UA32+UB32</f>
        <v/>
      </c>
      <c r="UD32" s="9">
        <f>TY32*PriceEssMonthly*TM32+TZ32*PricePremMonthly*TM32+UA32*PriceEssAnnual*TM32/12+UB32*PricePremAnnual*TM32/12</f>
        <v/>
      </c>
      <c r="UE32" s="9">
        <f>UD32*12</f>
        <v/>
      </c>
      <c r="UF32" s="12">
        <f>TY32*PriceEssMonthly*TM32+TZ32*PricePremMonthly*TM32</f>
        <v/>
      </c>
      <c r="UG32" s="12">
        <f>TW32*PriceEssAnnual*TM32+TX32*PricePremAnnual*TM32</f>
        <v/>
      </c>
      <c r="UH32" s="12">
        <f>TW20*POWER(1-(AnnualChurn*VLOOKUP(TJ32,ChurnSeasonTable,4,FALSE)),1)*PriceEssAnnual*TM32+TW8*POWER(1-(AnnualChurn*VLOOKUP(TJ32,ChurnSeasonTable,4,FALSE)),2)*PriceEssAnnual*TM32+TX20*POWER(1-(AnnualChurn*VLOOKUP(TJ32,ChurnSeasonTable,4,FALSE)),1)*PricePremAnnual*TM32+TX8*POWER(1-(AnnualChurn*VLOOKUP(TJ32,ChurnSeasonTable,4,FALSE)),2)*PricePremAnnual*TM32</f>
        <v/>
      </c>
      <c r="UI32" s="9">
        <f>UF32+UG32+UH32</f>
        <v/>
      </c>
      <c r="UJ32" s="12">
        <f>SUM(UI21:UI32)</f>
        <v/>
      </c>
      <c r="UK32" s="12">
        <f>OR(UK31,UJ32&gt;=VATThreshold)</f>
        <v/>
      </c>
      <c r="UL32" s="9">
        <f>IF(UK32,UI32/(1+VATRate),UI32)</f>
        <v/>
      </c>
      <c r="UM32" s="12">
        <f>UI32-UL32</f>
        <v/>
      </c>
      <c r="UN32" s="12">
        <f>IF(UK32=0,0,IF(TJ32=1,SUMPRODUCT(--(($TK$5:$TK32=$TK32-1)*($TJ$5:$TJ32&gt;=10)*($TJ$5:$TJ32&lt;=12)),$UM$5:$UM32),IF(TJ32=4,SUMPRODUCT(--(($TK$5:$TK32=$TK32)*($TJ$5:$TJ32&gt;=1)*($TJ$5:$TJ32&lt;=3)),$UM$5:$UM32),IF(TJ32=7,SUMPRODUCT(--(($TK$5:$TK32=$TK32)*($TJ$5:$TJ32&gt;=4)*($TJ$5:$TJ32&lt;=6)),$UM$5:$UM32),IF(TJ32=10,SUMPRODUCT(--(($TK$5:$TK32=$TK32)*($TJ$5:$TJ32&gt;=7)*($TJ$5:$TJ32&lt;=9)),$UM$5:$UM32),0)))))</f>
        <v/>
      </c>
      <c r="UO32" s="12">
        <f>UO31+UM32-UN32</f>
        <v/>
      </c>
      <c r="UP32" s="12">
        <f>IF(ProviderDelay&gt;=1,UL31*ProviderShare,UL32*ProviderShare)</f>
        <v/>
      </c>
      <c r="UQ32" s="12">
        <f>UI32*PaymentFee</f>
        <v/>
      </c>
      <c r="UR32" s="12">
        <f>UC32*OpsAI</f>
        <v/>
      </c>
      <c r="US32" s="12">
        <f>MonthlyFixed</f>
        <v/>
      </c>
      <c r="UT32" s="12">
        <f>TQ32*ReferralReward</f>
        <v/>
      </c>
      <c r="UU32" s="12">
        <f>TO32</f>
        <v/>
      </c>
      <c r="UV32" s="9">
        <f>UL32-UP32-UQ32-UR32-US32-UT32-UU32</f>
        <v/>
      </c>
      <c r="UW32" s="9">
        <f>UW31+UI32-(UP32+UQ32+UR32+US32+UT32+UU32+UN32)</f>
        <v/>
      </c>
      <c r="UX32" s="12">
        <f>IF(UC32&gt;0,UD32/UC32,0)</f>
        <v/>
      </c>
      <c r="UY32" s="11">
        <f>IF(UC31&gt;0,MAX(0,(UC31+TR32-UC32)/UC31),0)</f>
        <v/>
      </c>
      <c r="VA32" s="12" t="n">
        <v>28</v>
      </c>
      <c r="VB32" s="12">
        <f>MOD(VA32-1+LaunchMonth-1,12)+1</f>
        <v/>
      </c>
      <c r="VC32" s="12">
        <f>INT((VA32-1+LaunchMonth-1)/12)+1</f>
        <v/>
      </c>
      <c r="VD32" s="12">
        <f>VLOOKUP(VB32,SeasonTable,2,FALSE)</f>
        <v/>
      </c>
      <c r="VE32" s="12">
        <f>(1+InflationRate)^INT((VA32-1)/12)</f>
        <v/>
      </c>
      <c r="VF32" s="11">
        <f>MonthlyChurn*VLOOKUP(VB32,ChurnSeasonTable,4,FALSE)</f>
        <v/>
      </c>
      <c r="VG32" s="12">
        <f>MIN(MAX(MktMin19plus,WA31*MktPct19plus),MAX(0,WO31-CashBuffer))</f>
        <v/>
      </c>
      <c r="VH32" s="12">
        <f>IF(VG32&gt;0,MAX(1,ROUND(VG32/CAC*VD32,0)),0)</f>
        <v/>
      </c>
      <c r="VI32" s="12">
        <f>IF(VH32&gt;0,ROUND(VH32*ReferralMix/(1-ReferralMix),0),0)</f>
        <v/>
      </c>
      <c r="VJ32" s="12">
        <f>VH32+VI32</f>
        <v/>
      </c>
      <c r="VK32" s="12">
        <f>ROUND(VJ32*(1-'Sens - Annual Mix'!$A$10),0)</f>
        <v/>
      </c>
      <c r="VL32" s="12">
        <f>VJ32-VK32</f>
        <v/>
      </c>
      <c r="VM32" s="12">
        <f>ROUND(VK32*EssentialMix,0)</f>
        <v/>
      </c>
      <c r="VN32" s="12">
        <f>VK32-VM32</f>
        <v/>
      </c>
      <c r="VO32" s="12">
        <f>ROUND(VL32*EssentialMix,0)</f>
        <v/>
      </c>
      <c r="VP32" s="12">
        <f>VL32-VO32</f>
        <v/>
      </c>
      <c r="VQ32" s="12">
        <f>VM32+VM31+VM30+MAX(0,VQ31-VM31-VM30)*(1-VF32)</f>
        <v/>
      </c>
      <c r="VR32" s="12">
        <f>VN32+VN31+VN30+MAX(0,VR31-VN31-VN30)*(1-VF32)</f>
        <v/>
      </c>
      <c r="VS32" s="12">
        <f>VS31+VO32-VO20*(AnnualChurn*VLOOKUP(VB32,ChurnSeasonTable,4,FALSE))*POWER(1-(AnnualChurn*VLOOKUP(VB32,ChurnSeasonTable,4,FALSE)),0)+VO8*(AnnualChurn*VLOOKUP(VB32,ChurnSeasonTable,4,FALSE))*POWER(1-(AnnualChurn*VLOOKUP(VB32,ChurnSeasonTable,4,FALSE)),1)</f>
        <v/>
      </c>
      <c r="VT32" s="12">
        <f>VT31+VP32-VP20*(AnnualChurn*VLOOKUP(VB32,ChurnSeasonTable,4,FALSE))*POWER(1-(AnnualChurn*VLOOKUP(VB32,ChurnSeasonTable,4,FALSE)),0)+VP8*(AnnualChurn*VLOOKUP(VB32,ChurnSeasonTable,4,FALSE))*POWER(1-(AnnualChurn*VLOOKUP(VB32,ChurnSeasonTable,4,FALSE)),1)</f>
        <v/>
      </c>
      <c r="VU32" s="12">
        <f>VQ32+VR32+VS32+VT32</f>
        <v/>
      </c>
      <c r="VV32" s="9">
        <f>VQ32*PriceEssMonthly*VE32+VR32*PricePremMonthly*VE32+VS32*PriceEssAnnual*VE32/12+VT32*PricePremAnnual*VE32/12</f>
        <v/>
      </c>
      <c r="VW32" s="9">
        <f>VV32*12</f>
        <v/>
      </c>
      <c r="VX32" s="12">
        <f>VQ32*PriceEssMonthly*VE32+VR32*PricePremMonthly*VE32</f>
        <v/>
      </c>
      <c r="VY32" s="12">
        <f>VO32*PriceEssAnnual*VE32+VP32*PricePremAnnual*VE32</f>
        <v/>
      </c>
      <c r="VZ32" s="12">
        <f>VO20*POWER(1-(AnnualChurn*VLOOKUP(VB32,ChurnSeasonTable,4,FALSE)),1)*PriceEssAnnual*VE32+VO8*POWER(1-(AnnualChurn*VLOOKUP(VB32,ChurnSeasonTable,4,FALSE)),2)*PriceEssAnnual*VE32+VP20*POWER(1-(AnnualChurn*VLOOKUP(VB32,ChurnSeasonTable,4,FALSE)),1)*PricePremAnnual*VE32+VP8*POWER(1-(AnnualChurn*VLOOKUP(VB32,ChurnSeasonTable,4,FALSE)),2)*PricePremAnnual*VE32</f>
        <v/>
      </c>
      <c r="WA32" s="9">
        <f>VX32+VY32+VZ32</f>
        <v/>
      </c>
      <c r="WB32" s="12">
        <f>SUM(WA21:WA32)</f>
        <v/>
      </c>
      <c r="WC32" s="12">
        <f>OR(WC31,WB32&gt;=VATThreshold)</f>
        <v/>
      </c>
      <c r="WD32" s="9">
        <f>IF(WC32,WA32/(1+VATRate),WA32)</f>
        <v/>
      </c>
      <c r="WE32" s="12">
        <f>WA32-WD32</f>
        <v/>
      </c>
      <c r="WF32" s="12">
        <f>IF(WC32=0,0,IF(VB32=1,SUMPRODUCT(--(($VC$5:$VC32=$VC32-1)*($VB$5:$VB32&gt;=10)*($VB$5:$VB32&lt;=12)),$WE$5:$WE32),IF(VB32=4,SUMPRODUCT(--(($VC$5:$VC32=$VC32)*($VB$5:$VB32&gt;=1)*($VB$5:$VB32&lt;=3)),$WE$5:$WE32),IF(VB32=7,SUMPRODUCT(--(($VC$5:$VC32=$VC32)*($VB$5:$VB32&gt;=4)*($VB$5:$VB32&lt;=6)),$WE$5:$WE32),IF(VB32=10,SUMPRODUCT(--(($VC$5:$VC32=$VC32)*($VB$5:$VB32&gt;=7)*($VB$5:$VB32&lt;=9)),$WE$5:$WE32),0)))))</f>
        <v/>
      </c>
      <c r="WG32" s="12">
        <f>WG31+WE32-WF32</f>
        <v/>
      </c>
      <c r="WH32" s="12">
        <f>IF(ProviderDelay&gt;=1,WD31*ProviderShare,WD32*ProviderShare)</f>
        <v/>
      </c>
      <c r="WI32" s="12">
        <f>WA32*PaymentFee</f>
        <v/>
      </c>
      <c r="WJ32" s="12">
        <f>VU32*OpsAI</f>
        <v/>
      </c>
      <c r="WK32" s="12">
        <f>MonthlyFixed</f>
        <v/>
      </c>
      <c r="WL32" s="12">
        <f>VI32*ReferralReward</f>
        <v/>
      </c>
      <c r="WM32" s="12">
        <f>VG32</f>
        <v/>
      </c>
      <c r="WN32" s="9">
        <f>WD32-WH32-WI32-WJ32-WK32-WL32-WM32</f>
        <v/>
      </c>
      <c r="WO32" s="9">
        <f>WO31+WA32-(WH32+WI32+WJ32+WK32+WL32+WM32+WF32)</f>
        <v/>
      </c>
      <c r="WP32" s="12">
        <f>IF(VU32&gt;0,VV32/VU32,0)</f>
        <v/>
      </c>
      <c r="WQ32" s="11">
        <f>IF(VU31&gt;0,MAX(0,(VU31+VJ32-VU32)/VU31),0)</f>
        <v/>
      </c>
      <c r="WS32" s="12" t="n">
        <v>28</v>
      </c>
      <c r="WT32" s="12">
        <f>MOD(WS32-1+LaunchMonth-1,12)+1</f>
        <v/>
      </c>
      <c r="WU32" s="12">
        <f>INT((WS32-1+LaunchMonth-1)/12)+1</f>
        <v/>
      </c>
      <c r="WV32" s="12">
        <f>VLOOKUP(WT32,SeasonTable,2,FALSE)</f>
        <v/>
      </c>
      <c r="WW32" s="12">
        <f>(1+InflationRate)^INT((WS32-1)/12)</f>
        <v/>
      </c>
      <c r="WX32" s="11">
        <f>MonthlyChurn*VLOOKUP(WT32,ChurnSeasonTable,4,FALSE)</f>
        <v/>
      </c>
      <c r="WY32" s="12">
        <f>MIN(MAX(MktMin19plus,XS31*MktPct19plus),MAX(0,YG31-CashBuffer))</f>
        <v/>
      </c>
      <c r="WZ32" s="12">
        <f>IF(WY32&gt;0,MAX(1,ROUND(WY32/CAC*WV32,0)),0)</f>
        <v/>
      </c>
      <c r="XA32" s="12">
        <f>IF(WZ32&gt;0,ROUND(WZ32*ReferralMix/(1-ReferralMix),0),0)</f>
        <v/>
      </c>
      <c r="XB32" s="12">
        <f>WZ32+XA32</f>
        <v/>
      </c>
      <c r="XC32" s="12">
        <f>ROUND(XB32*(1-'Sens - Annual Mix'!$A$11),0)</f>
        <v/>
      </c>
      <c r="XD32" s="12">
        <f>XB32-XC32</f>
        <v/>
      </c>
      <c r="XE32" s="12">
        <f>ROUND(XC32*EssentialMix,0)</f>
        <v/>
      </c>
      <c r="XF32" s="12">
        <f>XC32-XE32</f>
        <v/>
      </c>
      <c r="XG32" s="12">
        <f>ROUND(XD32*EssentialMix,0)</f>
        <v/>
      </c>
      <c r="XH32" s="12">
        <f>XD32-XG32</f>
        <v/>
      </c>
      <c r="XI32" s="12">
        <f>XE32+XE31+XE30+MAX(0,XI31-XE31-XE30)*(1-WX32)</f>
        <v/>
      </c>
      <c r="XJ32" s="12">
        <f>XF32+XF31+XF30+MAX(0,XJ31-XF31-XF30)*(1-WX32)</f>
        <v/>
      </c>
      <c r="XK32" s="12">
        <f>XK31+XG32-XG20*(AnnualChurn*VLOOKUP(WT32,ChurnSeasonTable,4,FALSE))*POWER(1-(AnnualChurn*VLOOKUP(WT32,ChurnSeasonTable,4,FALSE)),0)+XG8*(AnnualChurn*VLOOKUP(WT32,ChurnSeasonTable,4,FALSE))*POWER(1-(AnnualChurn*VLOOKUP(WT32,ChurnSeasonTable,4,FALSE)),1)</f>
        <v/>
      </c>
      <c r="XL32" s="12">
        <f>XL31+XH32-XH20*(AnnualChurn*VLOOKUP(WT32,ChurnSeasonTable,4,FALSE))*POWER(1-(AnnualChurn*VLOOKUP(WT32,ChurnSeasonTable,4,FALSE)),0)+XH8*(AnnualChurn*VLOOKUP(WT32,ChurnSeasonTable,4,FALSE))*POWER(1-(AnnualChurn*VLOOKUP(WT32,ChurnSeasonTable,4,FALSE)),1)</f>
        <v/>
      </c>
      <c r="XM32" s="12">
        <f>XI32+XJ32+XK32+XL32</f>
        <v/>
      </c>
      <c r="XN32" s="9">
        <f>XI32*PriceEssMonthly*WW32+XJ32*PricePremMonthly*WW32+XK32*PriceEssAnnual*WW32/12+XL32*PricePremAnnual*WW32/12</f>
        <v/>
      </c>
      <c r="XO32" s="9">
        <f>XN32*12</f>
        <v/>
      </c>
      <c r="XP32" s="12">
        <f>XI32*PriceEssMonthly*WW32+XJ32*PricePremMonthly*WW32</f>
        <v/>
      </c>
      <c r="XQ32" s="12">
        <f>XG32*PriceEssAnnual*WW32+XH32*PricePremAnnual*WW32</f>
        <v/>
      </c>
      <c r="XR32" s="12">
        <f>XG20*POWER(1-(AnnualChurn*VLOOKUP(WT32,ChurnSeasonTable,4,FALSE)),1)*PriceEssAnnual*WW32+XG8*POWER(1-(AnnualChurn*VLOOKUP(WT32,ChurnSeasonTable,4,FALSE)),2)*PriceEssAnnual*WW32+XH20*POWER(1-(AnnualChurn*VLOOKUP(WT32,ChurnSeasonTable,4,FALSE)),1)*PricePremAnnual*WW32+XH8*POWER(1-(AnnualChurn*VLOOKUP(WT32,ChurnSeasonTable,4,FALSE)),2)*PricePremAnnual*WW32</f>
        <v/>
      </c>
      <c r="XS32" s="9">
        <f>XP32+XQ32+XR32</f>
        <v/>
      </c>
      <c r="XT32" s="12">
        <f>SUM(XS21:XS32)</f>
        <v/>
      </c>
      <c r="XU32" s="12">
        <f>OR(XU31,XT32&gt;=VATThreshold)</f>
        <v/>
      </c>
      <c r="XV32" s="9">
        <f>IF(XU32,XS32/(1+VATRate),XS32)</f>
        <v/>
      </c>
      <c r="XW32" s="12">
        <f>XS32-XV32</f>
        <v/>
      </c>
      <c r="XX32" s="12">
        <f>IF(XU32=0,0,IF(WT32=1,SUMPRODUCT(--(($WU$5:$WU32=$WU32-1)*($WT$5:$WT32&gt;=10)*($WT$5:$WT32&lt;=12)),$XW$5:$XW32),IF(WT32=4,SUMPRODUCT(--(($WU$5:$WU32=$WU32)*($WT$5:$WT32&gt;=1)*($WT$5:$WT32&lt;=3)),$XW$5:$XW32),IF(WT32=7,SUMPRODUCT(--(($WU$5:$WU32=$WU32)*($WT$5:$WT32&gt;=4)*($WT$5:$WT32&lt;=6)),$XW$5:$XW32),IF(WT32=10,SUMPRODUCT(--(($WU$5:$WU32=$WU32)*($WT$5:$WT32&gt;=7)*($WT$5:$WT32&lt;=9)),$XW$5:$XW32),0)))))</f>
        <v/>
      </c>
      <c r="XY32" s="12">
        <f>XY31+XW32-XX32</f>
        <v/>
      </c>
      <c r="XZ32" s="12">
        <f>IF(ProviderDelay&gt;=1,XV31*ProviderShare,XV32*ProviderShare)</f>
        <v/>
      </c>
      <c r="YA32" s="12">
        <f>XS32*PaymentFee</f>
        <v/>
      </c>
      <c r="YB32" s="12">
        <f>XM32*OpsAI</f>
        <v/>
      </c>
      <c r="YC32" s="12">
        <f>MonthlyFixed</f>
        <v/>
      </c>
      <c r="YD32" s="12">
        <f>XA32*ReferralReward</f>
        <v/>
      </c>
      <c r="YE32" s="12">
        <f>WY32</f>
        <v/>
      </c>
      <c r="YF32" s="9">
        <f>XV32-XZ32-YA32-YB32-YC32-YD32-YE32</f>
        <v/>
      </c>
      <c r="YG32" s="9">
        <f>YG31+XS32-(XZ32+YA32+YB32+YC32+YD32+YE32+XX32)</f>
        <v/>
      </c>
      <c r="YH32" s="12">
        <f>IF(XM32&gt;0,XN32/XM32,0)</f>
        <v/>
      </c>
      <c r="YI32" s="11">
        <f>IF(XM31&gt;0,MAX(0,(XM31+XB32-XM32)/XM31),0)</f>
        <v/>
      </c>
      <c r="YK32" s="12" t="n">
        <v>28</v>
      </c>
      <c r="YL32" s="12">
        <f>MOD(YK32-1+LaunchMonth-1,12)+1</f>
        <v/>
      </c>
      <c r="YM32" s="12">
        <f>INT((YK32-1+LaunchMonth-1)/12)+1</f>
        <v/>
      </c>
      <c r="YN32" s="12">
        <f>VLOOKUP(YL32,SeasonTable,2,FALSE)</f>
        <v/>
      </c>
      <c r="YO32" s="12">
        <f>(1+InflationRate)^INT((YK32-1)/12)</f>
        <v/>
      </c>
      <c r="YP32" s="11">
        <f>MonthlyChurn*VLOOKUP(YL32,ChurnSeasonTable,4,FALSE)</f>
        <v/>
      </c>
      <c r="YQ32" s="12">
        <f>MIN(MAX(MktMin19plus,ZK31*MktPct19plus),MAX(0,ZY31-CashBuffer))</f>
        <v/>
      </c>
      <c r="YR32" s="12">
        <f>IF(YQ32&gt;0,MAX(1,ROUND(YQ32/CAC*YN32,0)),0)</f>
        <v/>
      </c>
      <c r="YS32" s="12">
        <f>IF(YR32&gt;0,ROUND(YR32*ReferralMix/(1-ReferralMix),0),0)</f>
        <v/>
      </c>
      <c r="YT32" s="12">
        <f>YR32+YS32</f>
        <v/>
      </c>
      <c r="YU32" s="12">
        <f>ROUND(YT32*(1-'Sens - Annual Mix'!$A$12),0)</f>
        <v/>
      </c>
      <c r="YV32" s="12">
        <f>YT32-YU32</f>
        <v/>
      </c>
      <c r="YW32" s="12">
        <f>ROUND(YU32*EssentialMix,0)</f>
        <v/>
      </c>
      <c r="YX32" s="12">
        <f>YU32-YW32</f>
        <v/>
      </c>
      <c r="YY32" s="12">
        <f>ROUND(YV32*EssentialMix,0)</f>
        <v/>
      </c>
      <c r="YZ32" s="12">
        <f>YV32-YY32</f>
        <v/>
      </c>
      <c r="ZA32" s="12">
        <f>YW32+YW31+YW30+MAX(0,ZA31-YW31-YW30)*(1-YP32)</f>
        <v/>
      </c>
      <c r="ZB32" s="12">
        <f>YX32+YX31+YX30+MAX(0,ZB31-YX31-YX30)*(1-YP32)</f>
        <v/>
      </c>
      <c r="ZC32" s="12">
        <f>ZC31+YY32-YY20*(AnnualChurn*VLOOKUP(YL32,ChurnSeasonTable,4,FALSE))*POWER(1-(AnnualChurn*VLOOKUP(YL32,ChurnSeasonTable,4,FALSE)),0)+YY8*(AnnualChurn*VLOOKUP(YL32,ChurnSeasonTable,4,FALSE))*POWER(1-(AnnualChurn*VLOOKUP(YL32,ChurnSeasonTable,4,FALSE)),1)</f>
        <v/>
      </c>
      <c r="ZD32" s="12">
        <f>ZD31+YZ32-YZ20*(AnnualChurn*VLOOKUP(YL32,ChurnSeasonTable,4,FALSE))*POWER(1-(AnnualChurn*VLOOKUP(YL32,ChurnSeasonTable,4,FALSE)),0)+YZ8*(AnnualChurn*VLOOKUP(YL32,ChurnSeasonTable,4,FALSE))*POWER(1-(AnnualChurn*VLOOKUP(YL32,ChurnSeasonTable,4,FALSE)),1)</f>
        <v/>
      </c>
      <c r="ZE32" s="12">
        <f>ZA32+ZB32+ZC32+ZD32</f>
        <v/>
      </c>
      <c r="ZF32" s="9">
        <f>ZA32*PriceEssMonthly*YO32+ZB32*PricePremMonthly*YO32+ZC32*PriceEssAnnual*YO32/12+ZD32*PricePremAnnual*YO32/12</f>
        <v/>
      </c>
      <c r="ZG32" s="9">
        <f>ZF32*12</f>
        <v/>
      </c>
      <c r="ZH32" s="12">
        <f>ZA32*PriceEssMonthly*YO32+ZB32*PricePremMonthly*YO32</f>
        <v/>
      </c>
      <c r="ZI32" s="12">
        <f>YY32*PriceEssAnnual*YO32+YZ32*PricePremAnnual*YO32</f>
        <v/>
      </c>
      <c r="ZJ32" s="12">
        <f>YY20*POWER(1-(AnnualChurn*VLOOKUP(YL32,ChurnSeasonTable,4,FALSE)),1)*PriceEssAnnual*YO32+YY8*POWER(1-(AnnualChurn*VLOOKUP(YL32,ChurnSeasonTable,4,FALSE)),2)*PriceEssAnnual*YO32+YZ20*POWER(1-(AnnualChurn*VLOOKUP(YL32,ChurnSeasonTable,4,FALSE)),1)*PricePremAnnual*YO32+YZ8*POWER(1-(AnnualChurn*VLOOKUP(YL32,ChurnSeasonTable,4,FALSE)),2)*PricePremAnnual*YO32</f>
        <v/>
      </c>
      <c r="ZK32" s="9">
        <f>ZH32+ZI32+ZJ32</f>
        <v/>
      </c>
      <c r="ZL32" s="12">
        <f>SUM(ZK21:ZK32)</f>
        <v/>
      </c>
      <c r="ZM32" s="12">
        <f>OR(ZM31,ZL32&gt;=VATThreshold)</f>
        <v/>
      </c>
      <c r="ZN32" s="9">
        <f>IF(ZM32,ZK32/(1+VATRate),ZK32)</f>
        <v/>
      </c>
      <c r="ZO32" s="12">
        <f>ZK32-ZN32</f>
        <v/>
      </c>
      <c r="ZP32" s="12">
        <f>IF(ZM32=0,0,IF(YL32=1,SUMPRODUCT(--(($YM$5:$YM32=$YM32-1)*($YL$5:$YL32&gt;=10)*($YL$5:$YL32&lt;=12)),$ZO$5:$ZO32),IF(YL32=4,SUMPRODUCT(--(($YM$5:$YM32=$YM32)*($YL$5:$YL32&gt;=1)*($YL$5:$YL32&lt;=3)),$ZO$5:$ZO32),IF(YL32=7,SUMPRODUCT(--(($YM$5:$YM32=$YM32)*($YL$5:$YL32&gt;=4)*($YL$5:$YL32&lt;=6)),$ZO$5:$ZO32),IF(YL32=10,SUMPRODUCT(--(($YM$5:$YM32=$YM32)*($YL$5:$YL32&gt;=7)*($YL$5:$YL32&lt;=9)),$ZO$5:$ZO32),0)))))</f>
        <v/>
      </c>
      <c r="ZQ32" s="12">
        <f>ZQ31+ZO32-ZP32</f>
        <v/>
      </c>
      <c r="ZR32" s="12">
        <f>IF(ProviderDelay&gt;=1,ZN31*ProviderShare,ZN32*ProviderShare)</f>
        <v/>
      </c>
      <c r="ZS32" s="12">
        <f>ZK32*PaymentFee</f>
        <v/>
      </c>
      <c r="ZT32" s="12">
        <f>ZE32*OpsAI</f>
        <v/>
      </c>
      <c r="ZU32" s="12">
        <f>MonthlyFixed</f>
        <v/>
      </c>
      <c r="ZV32" s="12">
        <f>YS32*ReferralReward</f>
        <v/>
      </c>
      <c r="ZW32" s="12">
        <f>YQ32</f>
        <v/>
      </c>
      <c r="ZX32" s="9">
        <f>ZN32-ZR32-ZS32-ZT32-ZU32-ZV32-ZW32</f>
        <v/>
      </c>
      <c r="ZY32" s="9">
        <f>ZY31+ZK32-(ZR32+ZS32+ZT32+ZU32+ZV32+ZW32+ZP32)</f>
        <v/>
      </c>
      <c r="ZZ32" s="12">
        <f>IF(ZE32&gt;0,ZF32/ZE32,0)</f>
        <v/>
      </c>
      <c r="AAA32" s="11">
        <f>IF(ZE31&gt;0,MAX(0,(ZE31+YT32-ZE32)/ZE31),0)</f>
        <v/>
      </c>
      <c r="AAC32" s="12" t="n">
        <v>28</v>
      </c>
      <c r="AAD32" s="12">
        <f>MOD(AAC32-1+LaunchMonth-1,12)+1</f>
        <v/>
      </c>
      <c r="AAE32" s="12">
        <f>INT((AAC32-1+LaunchMonth-1)/12)+1</f>
        <v/>
      </c>
      <c r="AAF32" s="12">
        <f>VLOOKUP(AAD32,SeasonTable,2,FALSE)</f>
        <v/>
      </c>
      <c r="AAG32" s="12">
        <f>(1+InflationRate)^INT((AAC32-1)/12)</f>
        <v/>
      </c>
      <c r="AAH32" s="11">
        <f>MonthlyChurn*VLOOKUP(AAD32,ChurnSeasonTable,4,FALSE)</f>
        <v/>
      </c>
      <c r="AAI32" s="12">
        <f>MIN(MAX(MktMin19plus,ABC31*MktPct19plus),MAX(0,ABQ31-CashBuffer))</f>
        <v/>
      </c>
      <c r="AAJ32" s="12">
        <f>IF(AAI32&gt;0,MAX(1,ROUND(AAI32/CAC*AAF32,0)),0)</f>
        <v/>
      </c>
      <c r="AAK32" s="12">
        <f>IF(AAJ32&gt;0,ROUND(AAJ32*ReferralMix/(1-ReferralMix),0),0)</f>
        <v/>
      </c>
      <c r="AAL32" s="12">
        <f>AAJ32+AAK32</f>
        <v/>
      </c>
      <c r="AAM32" s="12">
        <f>ROUND(AAL32*(1-'Sens - Annual Mix'!$A$13),0)</f>
        <v/>
      </c>
      <c r="AAN32" s="12">
        <f>AAL32-AAM32</f>
        <v/>
      </c>
      <c r="AAO32" s="12">
        <f>ROUND(AAM32*EssentialMix,0)</f>
        <v/>
      </c>
      <c r="AAP32" s="12">
        <f>AAM32-AAO32</f>
        <v/>
      </c>
      <c r="AAQ32" s="12">
        <f>ROUND(AAN32*EssentialMix,0)</f>
        <v/>
      </c>
      <c r="AAR32" s="12">
        <f>AAN32-AAQ32</f>
        <v/>
      </c>
      <c r="AAS32" s="12">
        <f>AAO32+AAO31+AAO30+MAX(0,AAS31-AAO31-AAO30)*(1-AAH32)</f>
        <v/>
      </c>
      <c r="AAT32" s="12">
        <f>AAP32+AAP31+AAP30+MAX(0,AAT31-AAP31-AAP30)*(1-AAH32)</f>
        <v/>
      </c>
      <c r="AAU32" s="12">
        <f>AAU31+AAQ32-AAQ20*(AnnualChurn*VLOOKUP(AAD32,ChurnSeasonTable,4,FALSE))*POWER(1-(AnnualChurn*VLOOKUP(AAD32,ChurnSeasonTable,4,FALSE)),0)+AAQ8*(AnnualChurn*VLOOKUP(AAD32,ChurnSeasonTable,4,FALSE))*POWER(1-(AnnualChurn*VLOOKUP(AAD32,ChurnSeasonTable,4,FALSE)),1)</f>
        <v/>
      </c>
      <c r="AAV32" s="12">
        <f>AAV31+AAR32-AAR20*(AnnualChurn*VLOOKUP(AAD32,ChurnSeasonTable,4,FALSE))*POWER(1-(AnnualChurn*VLOOKUP(AAD32,ChurnSeasonTable,4,FALSE)),0)+AAR8*(AnnualChurn*VLOOKUP(AAD32,ChurnSeasonTable,4,FALSE))*POWER(1-(AnnualChurn*VLOOKUP(AAD32,ChurnSeasonTable,4,FALSE)),1)</f>
        <v/>
      </c>
      <c r="AAW32" s="12">
        <f>AAS32+AAT32+AAU32+AAV32</f>
        <v/>
      </c>
      <c r="AAX32" s="9">
        <f>AAS32*PriceEssMonthly*AAG32+AAT32*PricePremMonthly*AAG32+AAU32*PriceEssAnnual*AAG32/12+AAV32*PricePremAnnual*AAG32/12</f>
        <v/>
      </c>
      <c r="AAY32" s="9">
        <f>AAX32*12</f>
        <v/>
      </c>
      <c r="AAZ32" s="12">
        <f>AAS32*PriceEssMonthly*AAG32+AAT32*PricePremMonthly*AAG32</f>
        <v/>
      </c>
      <c r="ABA32" s="12">
        <f>AAQ32*PriceEssAnnual*AAG32+AAR32*PricePremAnnual*AAG32</f>
        <v/>
      </c>
      <c r="ABB32" s="12">
        <f>AAQ20*POWER(1-(AnnualChurn*VLOOKUP(AAD32,ChurnSeasonTable,4,FALSE)),1)*PriceEssAnnual*AAG32+AAQ8*POWER(1-(AnnualChurn*VLOOKUP(AAD32,ChurnSeasonTable,4,FALSE)),2)*PriceEssAnnual*AAG32+AAR20*POWER(1-(AnnualChurn*VLOOKUP(AAD32,ChurnSeasonTable,4,FALSE)),1)*PricePremAnnual*AAG32+AAR8*POWER(1-(AnnualChurn*VLOOKUP(AAD32,ChurnSeasonTable,4,FALSE)),2)*PricePremAnnual*AAG32</f>
        <v/>
      </c>
      <c r="ABC32" s="9">
        <f>AAZ32+ABA32+ABB32</f>
        <v/>
      </c>
      <c r="ABD32" s="12">
        <f>SUM(ABC21:ABC32)</f>
        <v/>
      </c>
      <c r="ABE32" s="12">
        <f>OR(ABE31,ABD32&gt;=VATThreshold)</f>
        <v/>
      </c>
      <c r="ABF32" s="9">
        <f>IF(ABE32,ABC32/(1+VATRate),ABC32)</f>
        <v/>
      </c>
      <c r="ABG32" s="12">
        <f>ABC32-ABF32</f>
        <v/>
      </c>
      <c r="ABH32" s="12">
        <f>IF(ABE32=0,0,IF(AAD32=1,SUMPRODUCT(--(($AAE$5:$AAE32=$AAE32-1)*($AAD$5:$AAD32&gt;=10)*($AAD$5:$AAD32&lt;=12)),$ABG$5:$ABG32),IF(AAD32=4,SUMPRODUCT(--(($AAE$5:$AAE32=$AAE32)*($AAD$5:$AAD32&gt;=1)*($AAD$5:$AAD32&lt;=3)),$ABG$5:$ABG32),IF(AAD32=7,SUMPRODUCT(--(($AAE$5:$AAE32=$AAE32)*($AAD$5:$AAD32&gt;=4)*($AAD$5:$AAD32&lt;=6)),$ABG$5:$ABG32),IF(AAD32=10,SUMPRODUCT(--(($AAE$5:$AAE32=$AAE32)*($AAD$5:$AAD32&gt;=7)*($AAD$5:$AAD32&lt;=9)),$ABG$5:$ABG32),0)))))</f>
        <v/>
      </c>
      <c r="ABI32" s="12">
        <f>ABI31+ABG32-ABH32</f>
        <v/>
      </c>
      <c r="ABJ32" s="12">
        <f>IF(ProviderDelay&gt;=1,ABF31*ProviderShare,ABF32*ProviderShare)</f>
        <v/>
      </c>
      <c r="ABK32" s="12">
        <f>ABC32*PaymentFee</f>
        <v/>
      </c>
      <c r="ABL32" s="12">
        <f>AAW32*OpsAI</f>
        <v/>
      </c>
      <c r="ABM32" s="12">
        <f>MonthlyFixed</f>
        <v/>
      </c>
      <c r="ABN32" s="12">
        <f>AAK32*ReferralReward</f>
        <v/>
      </c>
      <c r="ABO32" s="12">
        <f>AAI32</f>
        <v/>
      </c>
      <c r="ABP32" s="9">
        <f>ABF32-ABJ32-ABK32-ABL32-ABM32-ABN32-ABO32</f>
        <v/>
      </c>
      <c r="ABQ32" s="9">
        <f>ABQ31+ABC32-(ABJ32+ABK32+ABL32+ABM32+ABN32+ABO32+ABH32)</f>
        <v/>
      </c>
      <c r="ABR32" s="12">
        <f>IF(AAW32&gt;0,AAX32/AAW32,0)</f>
        <v/>
      </c>
      <c r="ABS32" s="11">
        <f>IF(AAW31&gt;0,MAX(0,(AAW31+AAL32-AAW32)/AAW31),0)</f>
        <v/>
      </c>
      <c r="ABU32" s="12" t="n">
        <v>28</v>
      </c>
      <c r="ABV32" s="12">
        <f>MOD(ABU32-1+LaunchMonth-1,12)+1</f>
        <v/>
      </c>
      <c r="ABW32" s="12">
        <f>INT((ABU32-1+LaunchMonth-1)/12)+1</f>
        <v/>
      </c>
      <c r="ABX32" s="12">
        <f>VLOOKUP(ABV32,SeasonTable,2,FALSE)</f>
        <v/>
      </c>
      <c r="ABY32" s="12">
        <f>(1+InflationRate)^INT((ABU32-1)/12)</f>
        <v/>
      </c>
      <c r="ABZ32" s="11">
        <f>MonthlyChurn*VLOOKUP(ABV32,ChurnSeasonTable,4,FALSE)</f>
        <v/>
      </c>
      <c r="ACA32" s="12">
        <f>MIN(MAX(MktMin19plus,ACU31*MktPct19plus),MAX(0,ADI31-CashBuffer))</f>
        <v/>
      </c>
      <c r="ACB32" s="12">
        <f>IF(ACA32&gt;0,MAX(1,ROUND(ACA32/CAC*ABX32,0)),0)</f>
        <v/>
      </c>
      <c r="ACC32" s="12">
        <f>IF(ACB32&gt;0,ROUND(ACB32*ReferralMix/(1-ReferralMix),0),0)</f>
        <v/>
      </c>
      <c r="ACD32" s="12">
        <f>ACB32+ACC32</f>
        <v/>
      </c>
      <c r="ACE32" s="12">
        <f>ROUND(ACD32*(1-'Sens - Annual Mix'!$A$14),0)</f>
        <v/>
      </c>
      <c r="ACF32" s="12">
        <f>ACD32-ACE32</f>
        <v/>
      </c>
      <c r="ACG32" s="12">
        <f>ROUND(ACE32*EssentialMix,0)</f>
        <v/>
      </c>
      <c r="ACH32" s="12">
        <f>ACE32-ACG32</f>
        <v/>
      </c>
      <c r="ACI32" s="12">
        <f>ROUND(ACF32*EssentialMix,0)</f>
        <v/>
      </c>
      <c r="ACJ32" s="12">
        <f>ACF32-ACI32</f>
        <v/>
      </c>
      <c r="ACK32" s="12">
        <f>ACG32+ACG31+ACG30+MAX(0,ACK31-ACG31-ACG30)*(1-ABZ32)</f>
        <v/>
      </c>
      <c r="ACL32" s="12">
        <f>ACH32+ACH31+ACH30+MAX(0,ACL31-ACH31-ACH30)*(1-ABZ32)</f>
        <v/>
      </c>
      <c r="ACM32" s="12">
        <f>ACM31+ACI32-ACI20*(AnnualChurn*VLOOKUP(ABV32,ChurnSeasonTable,4,FALSE))*POWER(1-(AnnualChurn*VLOOKUP(ABV32,ChurnSeasonTable,4,FALSE)),0)+ACI8*(AnnualChurn*VLOOKUP(ABV32,ChurnSeasonTable,4,FALSE))*POWER(1-(AnnualChurn*VLOOKUP(ABV32,ChurnSeasonTable,4,FALSE)),1)</f>
        <v/>
      </c>
      <c r="ACN32" s="12">
        <f>ACN31+ACJ32-ACJ20*(AnnualChurn*VLOOKUP(ABV32,ChurnSeasonTable,4,FALSE))*POWER(1-(AnnualChurn*VLOOKUP(ABV32,ChurnSeasonTable,4,FALSE)),0)+ACJ8*(AnnualChurn*VLOOKUP(ABV32,ChurnSeasonTable,4,FALSE))*POWER(1-(AnnualChurn*VLOOKUP(ABV32,ChurnSeasonTable,4,FALSE)),1)</f>
        <v/>
      </c>
      <c r="ACO32" s="12">
        <f>ACK32+ACL32+ACM32+ACN32</f>
        <v/>
      </c>
      <c r="ACP32" s="9">
        <f>ACK32*PriceEssMonthly*ABY32+ACL32*PricePremMonthly*ABY32+ACM32*PriceEssAnnual*ABY32/12+ACN32*PricePremAnnual*ABY32/12</f>
        <v/>
      </c>
      <c r="ACQ32" s="9">
        <f>ACP32*12</f>
        <v/>
      </c>
      <c r="ACR32" s="12">
        <f>ACK32*PriceEssMonthly*ABY32+ACL32*PricePremMonthly*ABY32</f>
        <v/>
      </c>
      <c r="ACS32" s="12">
        <f>ACI32*PriceEssAnnual*ABY32+ACJ32*PricePremAnnual*ABY32</f>
        <v/>
      </c>
      <c r="ACT32" s="12">
        <f>ACI20*POWER(1-(AnnualChurn*VLOOKUP(ABV32,ChurnSeasonTable,4,FALSE)),1)*PriceEssAnnual*ABY32+ACI8*POWER(1-(AnnualChurn*VLOOKUP(ABV32,ChurnSeasonTable,4,FALSE)),2)*PriceEssAnnual*ABY32+ACJ20*POWER(1-(AnnualChurn*VLOOKUP(ABV32,ChurnSeasonTable,4,FALSE)),1)*PricePremAnnual*ABY32+ACJ8*POWER(1-(AnnualChurn*VLOOKUP(ABV32,ChurnSeasonTable,4,FALSE)),2)*PricePremAnnual*ABY32</f>
        <v/>
      </c>
      <c r="ACU32" s="9">
        <f>ACR32+ACS32+ACT32</f>
        <v/>
      </c>
      <c r="ACV32" s="12">
        <f>SUM(ACU21:ACU32)</f>
        <v/>
      </c>
      <c r="ACW32" s="12">
        <f>OR(ACW31,ACV32&gt;=VATThreshold)</f>
        <v/>
      </c>
      <c r="ACX32" s="9">
        <f>IF(ACW32,ACU32/(1+VATRate),ACU32)</f>
        <v/>
      </c>
      <c r="ACY32" s="12">
        <f>ACU32-ACX32</f>
        <v/>
      </c>
      <c r="ACZ32" s="12">
        <f>IF(ACW32=0,0,IF(ABV32=1,SUMPRODUCT(--(($ABW$5:$ABW32=$ABW32-1)*($ABV$5:$ABV32&gt;=10)*($ABV$5:$ABV32&lt;=12)),$ACY$5:$ACY32),IF(ABV32=4,SUMPRODUCT(--(($ABW$5:$ABW32=$ABW32)*($ABV$5:$ABV32&gt;=1)*($ABV$5:$ABV32&lt;=3)),$ACY$5:$ACY32),IF(ABV32=7,SUMPRODUCT(--(($ABW$5:$ABW32=$ABW32)*($ABV$5:$ABV32&gt;=4)*($ABV$5:$ABV32&lt;=6)),$ACY$5:$ACY32),IF(ABV32=10,SUMPRODUCT(--(($ABW$5:$ABW32=$ABW32)*($ABV$5:$ABV32&gt;=7)*($ABV$5:$ABV32&lt;=9)),$ACY$5:$ACY32),0)))))</f>
        <v/>
      </c>
      <c r="ADA32" s="12">
        <f>ADA31+ACY32-ACZ32</f>
        <v/>
      </c>
      <c r="ADB32" s="12">
        <f>IF(ProviderDelay&gt;=1,ACX31*ProviderShare,ACX32*ProviderShare)</f>
        <v/>
      </c>
      <c r="ADC32" s="12">
        <f>ACU32*PaymentFee</f>
        <v/>
      </c>
      <c r="ADD32" s="12">
        <f>ACO32*OpsAI</f>
        <v/>
      </c>
      <c r="ADE32" s="12">
        <f>MonthlyFixed</f>
        <v/>
      </c>
      <c r="ADF32" s="12">
        <f>ACC32*ReferralReward</f>
        <v/>
      </c>
      <c r="ADG32" s="12">
        <f>ACA32</f>
        <v/>
      </c>
      <c r="ADH32" s="9">
        <f>ACX32-ADB32-ADC32-ADD32-ADE32-ADF32-ADG32</f>
        <v/>
      </c>
      <c r="ADI32" s="9">
        <f>ADI31+ACU32-(ADB32+ADC32+ADD32+ADE32+ADF32+ADG32+ACZ32)</f>
        <v/>
      </c>
      <c r="ADJ32" s="12">
        <f>IF(ACO32&gt;0,ACP32/ACO32,0)</f>
        <v/>
      </c>
      <c r="ADK32" s="11">
        <f>IF(ACO31&gt;0,MAX(0,(ACO31+ACD32-ACO32)/ACO31),0)</f>
        <v/>
      </c>
      <c r="ADM32" s="12" t="n">
        <v>28</v>
      </c>
      <c r="ADN32" s="12">
        <f>MOD(ADM32-1+LaunchMonth-1,12)+1</f>
        <v/>
      </c>
      <c r="ADO32" s="12">
        <f>INT((ADM32-1+LaunchMonth-1)/12)+1</f>
        <v/>
      </c>
      <c r="ADP32" s="12">
        <f>VLOOKUP(ADN32,SeasonTable,2,FALSE)</f>
        <v/>
      </c>
      <c r="ADQ32" s="12">
        <f>(1+InflationRate)^INT((ADM32-1)/12)</f>
        <v/>
      </c>
      <c r="ADR32" s="11">
        <f>MonthlyChurn*VLOOKUP(ADN32,ChurnSeasonTable,4,FALSE)</f>
        <v/>
      </c>
      <c r="ADS32" s="12">
        <f>MIN(MAX(MktMin19plus,AEM31*MktPct19plus),MAX(0,AFA31-CashBuffer))</f>
        <v/>
      </c>
      <c r="ADT32" s="12">
        <f>IF(ADS32&gt;0,MAX(1,ROUND(ADS32/CAC*ADP32,0)),0)</f>
        <v/>
      </c>
      <c r="ADU32" s="12">
        <f>IF(ADT32&gt;0,ROUND(ADT32*ReferralMix/(1-ReferralMix),0),0)</f>
        <v/>
      </c>
      <c r="ADV32" s="12">
        <f>ADT32+ADU32</f>
        <v/>
      </c>
      <c r="ADW32" s="12">
        <f>ROUND(ADV32*(1-'Sens - Annual Mix'!$A$15),0)</f>
        <v/>
      </c>
      <c r="ADX32" s="12">
        <f>ADV32-ADW32</f>
        <v/>
      </c>
      <c r="ADY32" s="12">
        <f>ROUND(ADW32*EssentialMix,0)</f>
        <v/>
      </c>
      <c r="ADZ32" s="12">
        <f>ADW32-ADY32</f>
        <v/>
      </c>
      <c r="AEA32" s="12">
        <f>ROUND(ADX32*EssentialMix,0)</f>
        <v/>
      </c>
      <c r="AEB32" s="12">
        <f>ADX32-AEA32</f>
        <v/>
      </c>
      <c r="AEC32" s="12">
        <f>ADY32+ADY31+ADY30+MAX(0,AEC31-ADY31-ADY30)*(1-ADR32)</f>
        <v/>
      </c>
      <c r="AED32" s="12">
        <f>ADZ32+ADZ31+ADZ30+MAX(0,AED31-ADZ31-ADZ30)*(1-ADR32)</f>
        <v/>
      </c>
      <c r="AEE32" s="12">
        <f>AEE31+AEA32-AEA20*(AnnualChurn*VLOOKUP(ADN32,ChurnSeasonTable,4,FALSE))*POWER(1-(AnnualChurn*VLOOKUP(ADN32,ChurnSeasonTable,4,FALSE)),0)+AEA8*(AnnualChurn*VLOOKUP(ADN32,ChurnSeasonTable,4,FALSE))*POWER(1-(AnnualChurn*VLOOKUP(ADN32,ChurnSeasonTable,4,FALSE)),1)</f>
        <v/>
      </c>
      <c r="AEF32" s="12">
        <f>AEF31+AEB32-AEB20*(AnnualChurn*VLOOKUP(ADN32,ChurnSeasonTable,4,FALSE))*POWER(1-(AnnualChurn*VLOOKUP(ADN32,ChurnSeasonTable,4,FALSE)),0)+AEB8*(AnnualChurn*VLOOKUP(ADN32,ChurnSeasonTable,4,FALSE))*POWER(1-(AnnualChurn*VLOOKUP(ADN32,ChurnSeasonTable,4,FALSE)),1)</f>
        <v/>
      </c>
      <c r="AEG32" s="12">
        <f>AEC32+AED32+AEE32+AEF32</f>
        <v/>
      </c>
      <c r="AEH32" s="9">
        <f>AEC32*PriceEssMonthly*ADQ32+AED32*PricePremMonthly*ADQ32+AEE32*PriceEssAnnual*ADQ32/12+AEF32*PricePremAnnual*ADQ32/12</f>
        <v/>
      </c>
      <c r="AEI32" s="9">
        <f>AEH32*12</f>
        <v/>
      </c>
      <c r="AEJ32" s="12">
        <f>AEC32*PriceEssMonthly*ADQ32+AED32*PricePremMonthly*ADQ32</f>
        <v/>
      </c>
      <c r="AEK32" s="12">
        <f>AEA32*PriceEssAnnual*ADQ32+AEB32*PricePremAnnual*ADQ32</f>
        <v/>
      </c>
      <c r="AEL32" s="12">
        <f>AEA20*POWER(1-(AnnualChurn*VLOOKUP(ADN32,ChurnSeasonTable,4,FALSE)),1)*PriceEssAnnual*ADQ32+AEA8*POWER(1-(AnnualChurn*VLOOKUP(ADN32,ChurnSeasonTable,4,FALSE)),2)*PriceEssAnnual*ADQ32+AEB20*POWER(1-(AnnualChurn*VLOOKUP(ADN32,ChurnSeasonTable,4,FALSE)),1)*PricePremAnnual*ADQ32+AEB8*POWER(1-(AnnualChurn*VLOOKUP(ADN32,ChurnSeasonTable,4,FALSE)),2)*PricePremAnnual*ADQ32</f>
        <v/>
      </c>
      <c r="AEM32" s="9">
        <f>AEJ32+AEK32+AEL32</f>
        <v/>
      </c>
      <c r="AEN32" s="12">
        <f>SUM(AEM21:AEM32)</f>
        <v/>
      </c>
      <c r="AEO32" s="12">
        <f>OR(AEO31,AEN32&gt;=VATThreshold)</f>
        <v/>
      </c>
      <c r="AEP32" s="9">
        <f>IF(AEO32,AEM32/(1+VATRate),AEM32)</f>
        <v/>
      </c>
      <c r="AEQ32" s="12">
        <f>AEM32-AEP32</f>
        <v/>
      </c>
      <c r="AER32" s="12">
        <f>IF(AEO32=0,0,IF(ADN32=1,SUMPRODUCT(--(($ADO$5:$ADO32=$ADO32-1)*($ADN$5:$ADN32&gt;=10)*($ADN$5:$ADN32&lt;=12)),$AEQ$5:$AEQ32),IF(ADN32=4,SUMPRODUCT(--(($ADO$5:$ADO32=$ADO32)*($ADN$5:$ADN32&gt;=1)*($ADN$5:$ADN32&lt;=3)),$AEQ$5:$AEQ32),IF(ADN32=7,SUMPRODUCT(--(($ADO$5:$ADO32=$ADO32)*($ADN$5:$ADN32&gt;=4)*($ADN$5:$ADN32&lt;=6)),$AEQ$5:$AEQ32),IF(ADN32=10,SUMPRODUCT(--(($ADO$5:$ADO32=$ADO32)*($ADN$5:$ADN32&gt;=7)*($ADN$5:$ADN32&lt;=9)),$AEQ$5:$AEQ32),0)))))</f>
        <v/>
      </c>
      <c r="AES32" s="12">
        <f>AES31+AEQ32-AER32</f>
        <v/>
      </c>
      <c r="AET32" s="12">
        <f>IF(ProviderDelay&gt;=1,AEP31*ProviderShare,AEP32*ProviderShare)</f>
        <v/>
      </c>
      <c r="AEU32" s="12">
        <f>AEM32*PaymentFee</f>
        <v/>
      </c>
      <c r="AEV32" s="12">
        <f>AEG32*OpsAI</f>
        <v/>
      </c>
      <c r="AEW32" s="12">
        <f>MonthlyFixed</f>
        <v/>
      </c>
      <c r="AEX32" s="12">
        <f>ADU32*ReferralReward</f>
        <v/>
      </c>
      <c r="AEY32" s="12">
        <f>ADS32</f>
        <v/>
      </c>
      <c r="AEZ32" s="9">
        <f>AEP32-AET32-AEU32-AEV32-AEW32-AEX32-AEY32</f>
        <v/>
      </c>
      <c r="AFA32" s="9">
        <f>AFA31+AEM32-(AET32+AEU32+AEV32+AEW32+AEX32+AEY32+AER32)</f>
        <v/>
      </c>
      <c r="AFB32" s="12">
        <f>IF(AEG32&gt;0,AEH32/AEG32,0)</f>
        <v/>
      </c>
      <c r="AFC32" s="11">
        <f>IF(AEG31&gt;0,MAX(0,(AEG31+ADV32-AEG32)/AEG31),0)</f>
        <v/>
      </c>
      <c r="AFE32" s="12" t="n">
        <v>28</v>
      </c>
      <c r="AFF32" s="12">
        <f>MOD(AFE32-1+LaunchMonth-1,12)+1</f>
        <v/>
      </c>
      <c r="AFG32" s="12">
        <f>INT((AFE32-1+LaunchMonth-1)/12)+1</f>
        <v/>
      </c>
      <c r="AFH32" s="12">
        <f>VLOOKUP(AFF32,SeasonTable,2,FALSE)</f>
        <v/>
      </c>
      <c r="AFI32" s="12">
        <f>(1+InflationRate)^INT((AFE32-1)/12)</f>
        <v/>
      </c>
      <c r="AFJ32" s="11">
        <f>MonthlyChurn*VLOOKUP(AFF32,ChurnSeasonTable,4,FALSE)</f>
        <v/>
      </c>
      <c r="AFK32" s="12">
        <f>MIN(MAX(MktMin19plus,AGE31*MktPct19plus),MAX(0,AGS31-CashBuffer))</f>
        <v/>
      </c>
      <c r="AFL32" s="12">
        <f>IF(AFK32&gt;0,MAX(1,ROUND(AFK32/'Sens - CAC &amp; Marketing'!$A$9*AFH32,0)),0)</f>
        <v/>
      </c>
      <c r="AFM32" s="12">
        <f>IF(AFL32&gt;0,ROUND(AFL32*ReferralMix/(1-ReferralMix),0),0)</f>
        <v/>
      </c>
      <c r="AFN32" s="12">
        <f>AFL32+AFM32</f>
        <v/>
      </c>
      <c r="AFO32" s="12">
        <f>ROUND(AFN32*(1-AnnualMix),0)</f>
        <v/>
      </c>
      <c r="AFP32" s="12">
        <f>AFN32-AFO32</f>
        <v/>
      </c>
      <c r="AFQ32" s="12">
        <f>ROUND(AFO32*EssentialMix,0)</f>
        <v/>
      </c>
      <c r="AFR32" s="12">
        <f>AFO32-AFQ32</f>
        <v/>
      </c>
      <c r="AFS32" s="12">
        <f>ROUND(AFP32*EssentialMix,0)</f>
        <v/>
      </c>
      <c r="AFT32" s="12">
        <f>AFP32-AFS32</f>
        <v/>
      </c>
      <c r="AFU32" s="12">
        <f>AFQ32+AFQ31+AFQ30+MAX(0,AFU31-AFQ31-AFQ30)*(1-AFJ32)</f>
        <v/>
      </c>
      <c r="AFV32" s="12">
        <f>AFR32+AFR31+AFR30+MAX(0,AFV31-AFR31-AFR30)*(1-AFJ32)</f>
        <v/>
      </c>
      <c r="AFW32" s="12">
        <f>AFW31+AFS32-AFS20*(AnnualChurn*VLOOKUP(AFF32,ChurnSeasonTable,4,FALSE))*POWER(1-(AnnualChurn*VLOOKUP(AFF32,ChurnSeasonTable,4,FALSE)),0)+AFS8*(AnnualChurn*VLOOKUP(AFF32,ChurnSeasonTable,4,FALSE))*POWER(1-(AnnualChurn*VLOOKUP(AFF32,ChurnSeasonTable,4,FALSE)),1)</f>
        <v/>
      </c>
      <c r="AFX32" s="12">
        <f>AFX31+AFT32-AFT20*(AnnualChurn*VLOOKUP(AFF32,ChurnSeasonTable,4,FALSE))*POWER(1-(AnnualChurn*VLOOKUP(AFF32,ChurnSeasonTable,4,FALSE)),0)+AFT8*(AnnualChurn*VLOOKUP(AFF32,ChurnSeasonTable,4,FALSE))*POWER(1-(AnnualChurn*VLOOKUP(AFF32,ChurnSeasonTable,4,FALSE)),1)</f>
        <v/>
      </c>
      <c r="AFY32" s="12">
        <f>AFU32+AFV32+AFW32+AFX32</f>
        <v/>
      </c>
      <c r="AFZ32" s="9">
        <f>AFU32*PriceEssMonthly*AFI32+AFV32*PricePremMonthly*AFI32+AFW32*PriceEssAnnual*AFI32/12+AFX32*PricePremAnnual*AFI32/12</f>
        <v/>
      </c>
      <c r="AGA32" s="9">
        <f>AFZ32*12</f>
        <v/>
      </c>
      <c r="AGB32" s="12">
        <f>AFU32*PriceEssMonthly*AFI32+AFV32*PricePremMonthly*AFI32</f>
        <v/>
      </c>
      <c r="AGC32" s="12">
        <f>AFS32*PriceEssAnnual*AFI32+AFT32*PricePremAnnual*AFI32</f>
        <v/>
      </c>
      <c r="AGD32" s="12">
        <f>AFS20*POWER(1-(AnnualChurn*VLOOKUP(AFF32,ChurnSeasonTable,4,FALSE)),1)*PriceEssAnnual*AFI32+AFS8*POWER(1-(AnnualChurn*VLOOKUP(AFF32,ChurnSeasonTable,4,FALSE)),2)*PriceEssAnnual*AFI32+AFT20*POWER(1-(AnnualChurn*VLOOKUP(AFF32,ChurnSeasonTable,4,FALSE)),1)*PricePremAnnual*AFI32+AFT8*POWER(1-(AnnualChurn*VLOOKUP(AFF32,ChurnSeasonTable,4,FALSE)),2)*PricePremAnnual*AFI32</f>
        <v/>
      </c>
      <c r="AGE32" s="9">
        <f>AGB32+AGC32+AGD32</f>
        <v/>
      </c>
      <c r="AGF32" s="12">
        <f>SUM(AGE21:AGE32)</f>
        <v/>
      </c>
      <c r="AGG32" s="12">
        <f>OR(AGG31,AGF32&gt;=VATThreshold)</f>
        <v/>
      </c>
      <c r="AGH32" s="9">
        <f>IF(AGG32,AGE32/(1+VATRate),AGE32)</f>
        <v/>
      </c>
      <c r="AGI32" s="12">
        <f>AGE32-AGH32</f>
        <v/>
      </c>
      <c r="AGJ32" s="12">
        <f>IF(AGG32=0,0,IF(AFF32=1,SUMPRODUCT(--(($AFG$5:$AFG32=$AFG32-1)*($AFF$5:$AFF32&gt;=10)*($AFF$5:$AFF32&lt;=12)),$AGI$5:$AGI32),IF(AFF32=4,SUMPRODUCT(--(($AFG$5:$AFG32=$AFG32)*($AFF$5:$AFF32&gt;=1)*($AFF$5:$AFF32&lt;=3)),$AGI$5:$AGI32),IF(AFF32=7,SUMPRODUCT(--(($AFG$5:$AFG32=$AFG32)*($AFF$5:$AFF32&gt;=4)*($AFF$5:$AFF32&lt;=6)),$AGI$5:$AGI32),IF(AFF32=10,SUMPRODUCT(--(($AFG$5:$AFG32=$AFG32)*($AFF$5:$AFF32&gt;=7)*($AFF$5:$AFF32&lt;=9)),$AGI$5:$AGI32),0)))))</f>
        <v/>
      </c>
      <c r="AGK32" s="12">
        <f>AGK31+AGI32-AGJ32</f>
        <v/>
      </c>
      <c r="AGL32" s="12">
        <f>IF(ProviderDelay&gt;=1,AGH31*ProviderShare,AGH32*ProviderShare)</f>
        <v/>
      </c>
      <c r="AGM32" s="12">
        <f>AGE32*PaymentFee</f>
        <v/>
      </c>
      <c r="AGN32" s="12">
        <f>AFY32*OpsAI</f>
        <v/>
      </c>
      <c r="AGO32" s="12">
        <f>MonthlyFixed</f>
        <v/>
      </c>
      <c r="AGP32" s="12">
        <f>AFM32*ReferralReward</f>
        <v/>
      </c>
      <c r="AGQ32" s="12">
        <f>AFK32</f>
        <v/>
      </c>
      <c r="AGR32" s="9">
        <f>AGH32-AGL32-AGM32-AGN32-AGO32-AGP32-AGQ32</f>
        <v/>
      </c>
      <c r="AGS32" s="9">
        <f>AGS31+AGE32-(AGL32+AGM32+AGN32+AGO32+AGP32+AGQ32+AGJ32)</f>
        <v/>
      </c>
      <c r="AGT32" s="12">
        <f>IF(AFY32&gt;0,AFZ32/AFY32,0)</f>
        <v/>
      </c>
      <c r="AGU32" s="11">
        <f>IF(AFY31&gt;0,MAX(0,(AFY31+AFN32-AFY32)/AFY31),0)</f>
        <v/>
      </c>
      <c r="AGW32" s="12" t="n">
        <v>28</v>
      </c>
      <c r="AGX32" s="12">
        <f>MOD(AGW32-1+LaunchMonth-1,12)+1</f>
        <v/>
      </c>
      <c r="AGY32" s="12">
        <f>INT((AGW32-1+LaunchMonth-1)/12)+1</f>
        <v/>
      </c>
      <c r="AGZ32" s="12">
        <f>VLOOKUP(AGX32,SeasonTable,2,FALSE)</f>
        <v/>
      </c>
      <c r="AHA32" s="12">
        <f>(1+InflationRate)^INT((AGW32-1)/12)</f>
        <v/>
      </c>
      <c r="AHB32" s="11">
        <f>MonthlyChurn*VLOOKUP(AGX32,ChurnSeasonTable,4,FALSE)</f>
        <v/>
      </c>
      <c r="AHC32" s="12">
        <f>MIN(MAX(MktMin19plus,AHW31*MktPct19plus),MAX(0,AIK31-CashBuffer))</f>
        <v/>
      </c>
      <c r="AHD32" s="12">
        <f>IF(AHC32&gt;0,MAX(1,ROUND(AHC32/'Sens - CAC &amp; Marketing'!$A$10*AGZ32,0)),0)</f>
        <v/>
      </c>
      <c r="AHE32" s="12">
        <f>IF(AHD32&gt;0,ROUND(AHD32*ReferralMix/(1-ReferralMix),0),0)</f>
        <v/>
      </c>
      <c r="AHF32" s="12">
        <f>AHD32+AHE32</f>
        <v/>
      </c>
      <c r="AHG32" s="12">
        <f>ROUND(AHF32*(1-AnnualMix),0)</f>
        <v/>
      </c>
      <c r="AHH32" s="12">
        <f>AHF32-AHG32</f>
        <v/>
      </c>
      <c r="AHI32" s="12">
        <f>ROUND(AHG32*EssentialMix,0)</f>
        <v/>
      </c>
      <c r="AHJ32" s="12">
        <f>AHG32-AHI32</f>
        <v/>
      </c>
      <c r="AHK32" s="12">
        <f>ROUND(AHH32*EssentialMix,0)</f>
        <v/>
      </c>
      <c r="AHL32" s="12">
        <f>AHH32-AHK32</f>
        <v/>
      </c>
      <c r="AHM32" s="12">
        <f>AHI32+AHI31+AHI30+MAX(0,AHM31-AHI31-AHI30)*(1-AHB32)</f>
        <v/>
      </c>
      <c r="AHN32" s="12">
        <f>AHJ32+AHJ31+AHJ30+MAX(0,AHN31-AHJ31-AHJ30)*(1-AHB32)</f>
        <v/>
      </c>
      <c r="AHO32" s="12">
        <f>AHO31+AHK32-AHK20*(AnnualChurn*VLOOKUP(AGX32,ChurnSeasonTable,4,FALSE))*POWER(1-(AnnualChurn*VLOOKUP(AGX32,ChurnSeasonTable,4,FALSE)),0)+AHK8*(AnnualChurn*VLOOKUP(AGX32,ChurnSeasonTable,4,FALSE))*POWER(1-(AnnualChurn*VLOOKUP(AGX32,ChurnSeasonTable,4,FALSE)),1)</f>
        <v/>
      </c>
      <c r="AHP32" s="12">
        <f>AHP31+AHL32-AHL20*(AnnualChurn*VLOOKUP(AGX32,ChurnSeasonTable,4,FALSE))*POWER(1-(AnnualChurn*VLOOKUP(AGX32,ChurnSeasonTable,4,FALSE)),0)+AHL8*(AnnualChurn*VLOOKUP(AGX32,ChurnSeasonTable,4,FALSE))*POWER(1-(AnnualChurn*VLOOKUP(AGX32,ChurnSeasonTable,4,FALSE)),1)</f>
        <v/>
      </c>
      <c r="AHQ32" s="12">
        <f>AHM32+AHN32+AHO32+AHP32</f>
        <v/>
      </c>
      <c r="AHR32" s="9">
        <f>AHM32*PriceEssMonthly*AHA32+AHN32*PricePremMonthly*AHA32+AHO32*PriceEssAnnual*AHA32/12+AHP32*PricePremAnnual*AHA32/12</f>
        <v/>
      </c>
      <c r="AHS32" s="9">
        <f>AHR32*12</f>
        <v/>
      </c>
      <c r="AHT32" s="12">
        <f>AHM32*PriceEssMonthly*AHA32+AHN32*PricePremMonthly*AHA32</f>
        <v/>
      </c>
      <c r="AHU32" s="12">
        <f>AHK32*PriceEssAnnual*AHA32+AHL32*PricePremAnnual*AHA32</f>
        <v/>
      </c>
      <c r="AHV32" s="12">
        <f>AHK20*POWER(1-(AnnualChurn*VLOOKUP(AGX32,ChurnSeasonTable,4,FALSE)),1)*PriceEssAnnual*AHA32+AHK8*POWER(1-(AnnualChurn*VLOOKUP(AGX32,ChurnSeasonTable,4,FALSE)),2)*PriceEssAnnual*AHA32+AHL20*POWER(1-(AnnualChurn*VLOOKUP(AGX32,ChurnSeasonTable,4,FALSE)),1)*PricePremAnnual*AHA32+AHL8*POWER(1-(AnnualChurn*VLOOKUP(AGX32,ChurnSeasonTable,4,FALSE)),2)*PricePremAnnual*AHA32</f>
        <v/>
      </c>
      <c r="AHW32" s="9">
        <f>AHT32+AHU32+AHV32</f>
        <v/>
      </c>
      <c r="AHX32" s="12">
        <f>SUM(AHW21:AHW32)</f>
        <v/>
      </c>
      <c r="AHY32" s="12">
        <f>OR(AHY31,AHX32&gt;=VATThreshold)</f>
        <v/>
      </c>
      <c r="AHZ32" s="9">
        <f>IF(AHY32,AHW32/(1+VATRate),AHW32)</f>
        <v/>
      </c>
      <c r="AIA32" s="12">
        <f>AHW32-AHZ32</f>
        <v/>
      </c>
      <c r="AIB32" s="12">
        <f>IF(AHY32=0,0,IF(AGX32=1,SUMPRODUCT(--(($AGY$5:$AGY32=$AGY32-1)*($AGX$5:$AGX32&gt;=10)*($AGX$5:$AGX32&lt;=12)),$AIA$5:$AIA32),IF(AGX32=4,SUMPRODUCT(--(($AGY$5:$AGY32=$AGY32)*($AGX$5:$AGX32&gt;=1)*($AGX$5:$AGX32&lt;=3)),$AIA$5:$AIA32),IF(AGX32=7,SUMPRODUCT(--(($AGY$5:$AGY32=$AGY32)*($AGX$5:$AGX32&gt;=4)*($AGX$5:$AGX32&lt;=6)),$AIA$5:$AIA32),IF(AGX32=10,SUMPRODUCT(--(($AGY$5:$AGY32=$AGY32)*($AGX$5:$AGX32&gt;=7)*($AGX$5:$AGX32&lt;=9)),$AIA$5:$AIA32),0)))))</f>
        <v/>
      </c>
      <c r="AIC32" s="12">
        <f>AIC31+AIA32-AIB32</f>
        <v/>
      </c>
      <c r="AID32" s="12">
        <f>IF(ProviderDelay&gt;=1,AHZ31*ProviderShare,AHZ32*ProviderShare)</f>
        <v/>
      </c>
      <c r="AIE32" s="12">
        <f>AHW32*PaymentFee</f>
        <v/>
      </c>
      <c r="AIF32" s="12">
        <f>AHQ32*OpsAI</f>
        <v/>
      </c>
      <c r="AIG32" s="12">
        <f>MonthlyFixed</f>
        <v/>
      </c>
      <c r="AIH32" s="12">
        <f>AHE32*ReferralReward</f>
        <v/>
      </c>
      <c r="AII32" s="12">
        <f>AHC32</f>
        <v/>
      </c>
      <c r="AIJ32" s="9">
        <f>AHZ32-AID32-AIE32-AIF32-AIG32-AIH32-AII32</f>
        <v/>
      </c>
      <c r="AIK32" s="9">
        <f>AIK31+AHW32-(AID32+AIE32+AIF32+AIG32+AIH32+AII32+AIB32)</f>
        <v/>
      </c>
      <c r="AIL32" s="12">
        <f>IF(AHQ32&gt;0,AHR32/AHQ32,0)</f>
        <v/>
      </c>
      <c r="AIM32" s="11">
        <f>IF(AHQ31&gt;0,MAX(0,(AHQ31+AHF32-AHQ32)/AHQ31),0)</f>
        <v/>
      </c>
      <c r="AIO32" s="12" t="n">
        <v>28</v>
      </c>
      <c r="AIP32" s="12">
        <f>MOD(AIO32-1+LaunchMonth-1,12)+1</f>
        <v/>
      </c>
      <c r="AIQ32" s="12">
        <f>INT((AIO32-1+LaunchMonth-1)/12)+1</f>
        <v/>
      </c>
      <c r="AIR32" s="12">
        <f>VLOOKUP(AIP32,SeasonTable,2,FALSE)</f>
        <v/>
      </c>
      <c r="AIS32" s="12">
        <f>(1+InflationRate)^INT((AIO32-1)/12)</f>
        <v/>
      </c>
      <c r="AIT32" s="11">
        <f>MonthlyChurn*VLOOKUP(AIP32,ChurnSeasonTable,4,FALSE)</f>
        <v/>
      </c>
      <c r="AIU32" s="12">
        <f>MIN(MAX(MktMin19plus,AJO31*MktPct19plus),MAX(0,AKC31-CashBuffer))</f>
        <v/>
      </c>
      <c r="AIV32" s="12">
        <f>IF(AIU32&gt;0,MAX(1,ROUND(AIU32/'Sens - CAC &amp; Marketing'!$A$11*AIR32,0)),0)</f>
        <v/>
      </c>
      <c r="AIW32" s="12">
        <f>IF(AIV32&gt;0,ROUND(AIV32*ReferralMix/(1-ReferralMix),0),0)</f>
        <v/>
      </c>
      <c r="AIX32" s="12">
        <f>AIV32+AIW32</f>
        <v/>
      </c>
      <c r="AIY32" s="12">
        <f>ROUND(AIX32*(1-AnnualMix),0)</f>
        <v/>
      </c>
      <c r="AIZ32" s="12">
        <f>AIX32-AIY32</f>
        <v/>
      </c>
      <c r="AJA32" s="12">
        <f>ROUND(AIY32*EssentialMix,0)</f>
        <v/>
      </c>
      <c r="AJB32" s="12">
        <f>AIY32-AJA32</f>
        <v/>
      </c>
      <c r="AJC32" s="12">
        <f>ROUND(AIZ32*EssentialMix,0)</f>
        <v/>
      </c>
      <c r="AJD32" s="12">
        <f>AIZ32-AJC32</f>
        <v/>
      </c>
      <c r="AJE32" s="12">
        <f>AJA32+AJA31+AJA30+MAX(0,AJE31-AJA31-AJA30)*(1-AIT32)</f>
        <v/>
      </c>
      <c r="AJF32" s="12">
        <f>AJB32+AJB31+AJB30+MAX(0,AJF31-AJB31-AJB30)*(1-AIT32)</f>
        <v/>
      </c>
      <c r="AJG32" s="12">
        <f>AJG31+AJC32-AJC20*(AnnualChurn*VLOOKUP(AIP32,ChurnSeasonTable,4,FALSE))*POWER(1-(AnnualChurn*VLOOKUP(AIP32,ChurnSeasonTable,4,FALSE)),0)+AJC8*(AnnualChurn*VLOOKUP(AIP32,ChurnSeasonTable,4,FALSE))*POWER(1-(AnnualChurn*VLOOKUP(AIP32,ChurnSeasonTable,4,FALSE)),1)</f>
        <v/>
      </c>
      <c r="AJH32" s="12">
        <f>AJH31+AJD32-AJD20*(AnnualChurn*VLOOKUP(AIP32,ChurnSeasonTable,4,FALSE))*POWER(1-(AnnualChurn*VLOOKUP(AIP32,ChurnSeasonTable,4,FALSE)),0)+AJD8*(AnnualChurn*VLOOKUP(AIP32,ChurnSeasonTable,4,FALSE))*POWER(1-(AnnualChurn*VLOOKUP(AIP32,ChurnSeasonTable,4,FALSE)),1)</f>
        <v/>
      </c>
      <c r="AJI32" s="12">
        <f>AJE32+AJF32+AJG32+AJH32</f>
        <v/>
      </c>
      <c r="AJJ32" s="9">
        <f>AJE32*PriceEssMonthly*AIS32+AJF32*PricePremMonthly*AIS32+AJG32*PriceEssAnnual*AIS32/12+AJH32*PricePremAnnual*AIS32/12</f>
        <v/>
      </c>
      <c r="AJK32" s="9">
        <f>AJJ32*12</f>
        <v/>
      </c>
      <c r="AJL32" s="12">
        <f>AJE32*PriceEssMonthly*AIS32+AJF32*PricePremMonthly*AIS32</f>
        <v/>
      </c>
      <c r="AJM32" s="12">
        <f>AJC32*PriceEssAnnual*AIS32+AJD32*PricePremAnnual*AIS32</f>
        <v/>
      </c>
      <c r="AJN32" s="12">
        <f>AJC20*POWER(1-(AnnualChurn*VLOOKUP(AIP32,ChurnSeasonTable,4,FALSE)),1)*PriceEssAnnual*AIS32+AJC8*POWER(1-(AnnualChurn*VLOOKUP(AIP32,ChurnSeasonTable,4,FALSE)),2)*PriceEssAnnual*AIS32+AJD20*POWER(1-(AnnualChurn*VLOOKUP(AIP32,ChurnSeasonTable,4,FALSE)),1)*PricePremAnnual*AIS32+AJD8*POWER(1-(AnnualChurn*VLOOKUP(AIP32,ChurnSeasonTable,4,FALSE)),2)*PricePremAnnual*AIS32</f>
        <v/>
      </c>
      <c r="AJO32" s="9">
        <f>AJL32+AJM32+AJN32</f>
        <v/>
      </c>
      <c r="AJP32" s="12">
        <f>SUM(AJO21:AJO32)</f>
        <v/>
      </c>
      <c r="AJQ32" s="12">
        <f>OR(AJQ31,AJP32&gt;=VATThreshold)</f>
        <v/>
      </c>
      <c r="AJR32" s="9">
        <f>IF(AJQ32,AJO32/(1+VATRate),AJO32)</f>
        <v/>
      </c>
      <c r="AJS32" s="12">
        <f>AJO32-AJR32</f>
        <v/>
      </c>
      <c r="AJT32" s="12">
        <f>IF(AJQ32=0,0,IF(AIP32=1,SUMPRODUCT(--(($AIQ$5:$AIQ32=$AIQ32-1)*($AIP$5:$AIP32&gt;=10)*($AIP$5:$AIP32&lt;=12)),$AJS$5:$AJS32),IF(AIP32=4,SUMPRODUCT(--(($AIQ$5:$AIQ32=$AIQ32)*($AIP$5:$AIP32&gt;=1)*($AIP$5:$AIP32&lt;=3)),$AJS$5:$AJS32),IF(AIP32=7,SUMPRODUCT(--(($AIQ$5:$AIQ32=$AIQ32)*($AIP$5:$AIP32&gt;=4)*($AIP$5:$AIP32&lt;=6)),$AJS$5:$AJS32),IF(AIP32=10,SUMPRODUCT(--(($AIQ$5:$AIQ32=$AIQ32)*($AIP$5:$AIP32&gt;=7)*($AIP$5:$AIP32&lt;=9)),$AJS$5:$AJS32),0)))))</f>
        <v/>
      </c>
      <c r="AJU32" s="12">
        <f>AJU31+AJS32-AJT32</f>
        <v/>
      </c>
      <c r="AJV32" s="12">
        <f>IF(ProviderDelay&gt;=1,AJR31*ProviderShare,AJR32*ProviderShare)</f>
        <v/>
      </c>
      <c r="AJW32" s="12">
        <f>AJO32*PaymentFee</f>
        <v/>
      </c>
      <c r="AJX32" s="12">
        <f>AJI32*OpsAI</f>
        <v/>
      </c>
      <c r="AJY32" s="12">
        <f>MonthlyFixed</f>
        <v/>
      </c>
      <c r="AJZ32" s="12">
        <f>AIW32*ReferralReward</f>
        <v/>
      </c>
      <c r="AKA32" s="12">
        <f>AIU32</f>
        <v/>
      </c>
      <c r="AKB32" s="9">
        <f>AJR32-AJV32-AJW32-AJX32-AJY32-AJZ32-AKA32</f>
        <v/>
      </c>
      <c r="AKC32" s="9">
        <f>AKC31+AJO32-(AJV32+AJW32+AJX32+AJY32+AJZ32+AKA32+AJT32)</f>
        <v/>
      </c>
      <c r="AKD32" s="12">
        <f>IF(AJI32&gt;0,AJJ32/AJI32,0)</f>
        <v/>
      </c>
      <c r="AKE32" s="11">
        <f>IF(AJI31&gt;0,MAX(0,(AJI31+AIX32-AJI32)/AJI31),0)</f>
        <v/>
      </c>
      <c r="AKG32" s="12" t="n">
        <v>28</v>
      </c>
      <c r="AKH32" s="12">
        <f>MOD(AKG32-1+LaunchMonth-1,12)+1</f>
        <v/>
      </c>
      <c r="AKI32" s="12">
        <f>INT((AKG32-1+LaunchMonth-1)/12)+1</f>
        <v/>
      </c>
      <c r="AKJ32" s="12">
        <f>VLOOKUP(AKH32,SeasonTable,2,FALSE)</f>
        <v/>
      </c>
      <c r="AKK32" s="12">
        <f>(1+InflationRate)^INT((AKG32-1)/12)</f>
        <v/>
      </c>
      <c r="AKL32" s="11">
        <f>MonthlyChurn*VLOOKUP(AKH32,ChurnSeasonTable,4,FALSE)</f>
        <v/>
      </c>
      <c r="AKM32" s="12">
        <f>MIN(MAX(MktMin19plus,ALG31*MktPct19plus),MAX(0,ALU31-CashBuffer))</f>
        <v/>
      </c>
      <c r="AKN32" s="12">
        <f>IF(AKM32&gt;0,MAX(1,ROUND(AKM32/'Sens - CAC &amp; Marketing'!$A$12*AKJ32,0)),0)</f>
        <v/>
      </c>
      <c r="AKO32" s="12">
        <f>IF(AKN32&gt;0,ROUND(AKN32*ReferralMix/(1-ReferralMix),0),0)</f>
        <v/>
      </c>
      <c r="AKP32" s="12">
        <f>AKN32+AKO32</f>
        <v/>
      </c>
      <c r="AKQ32" s="12">
        <f>ROUND(AKP32*(1-AnnualMix),0)</f>
        <v/>
      </c>
      <c r="AKR32" s="12">
        <f>AKP32-AKQ32</f>
        <v/>
      </c>
      <c r="AKS32" s="12">
        <f>ROUND(AKQ32*EssentialMix,0)</f>
        <v/>
      </c>
      <c r="AKT32" s="12">
        <f>AKQ32-AKS32</f>
        <v/>
      </c>
      <c r="AKU32" s="12">
        <f>ROUND(AKR32*EssentialMix,0)</f>
        <v/>
      </c>
      <c r="AKV32" s="12">
        <f>AKR32-AKU32</f>
        <v/>
      </c>
      <c r="AKW32" s="12">
        <f>AKS32+AKS31+AKS30+MAX(0,AKW31-AKS31-AKS30)*(1-AKL32)</f>
        <v/>
      </c>
      <c r="AKX32" s="12">
        <f>AKT32+AKT31+AKT30+MAX(0,AKX31-AKT31-AKT30)*(1-AKL32)</f>
        <v/>
      </c>
      <c r="AKY32" s="12">
        <f>AKY31+AKU32-AKU20*(AnnualChurn*VLOOKUP(AKH32,ChurnSeasonTable,4,FALSE))*POWER(1-(AnnualChurn*VLOOKUP(AKH32,ChurnSeasonTable,4,FALSE)),0)+AKU8*(AnnualChurn*VLOOKUP(AKH32,ChurnSeasonTable,4,FALSE))*POWER(1-(AnnualChurn*VLOOKUP(AKH32,ChurnSeasonTable,4,FALSE)),1)</f>
        <v/>
      </c>
      <c r="AKZ32" s="12">
        <f>AKZ31+AKV32-AKV20*(AnnualChurn*VLOOKUP(AKH32,ChurnSeasonTable,4,FALSE))*POWER(1-(AnnualChurn*VLOOKUP(AKH32,ChurnSeasonTable,4,FALSE)),0)+AKV8*(AnnualChurn*VLOOKUP(AKH32,ChurnSeasonTable,4,FALSE))*POWER(1-(AnnualChurn*VLOOKUP(AKH32,ChurnSeasonTable,4,FALSE)),1)</f>
        <v/>
      </c>
      <c r="ALA32" s="12">
        <f>AKW32+AKX32+AKY32+AKZ32</f>
        <v/>
      </c>
      <c r="ALB32" s="9">
        <f>AKW32*PriceEssMonthly*AKK32+AKX32*PricePremMonthly*AKK32+AKY32*PriceEssAnnual*AKK32/12+AKZ32*PricePremAnnual*AKK32/12</f>
        <v/>
      </c>
      <c r="ALC32" s="9">
        <f>ALB32*12</f>
        <v/>
      </c>
      <c r="ALD32" s="12">
        <f>AKW32*PriceEssMonthly*AKK32+AKX32*PricePremMonthly*AKK32</f>
        <v/>
      </c>
      <c r="ALE32" s="12">
        <f>AKU32*PriceEssAnnual*AKK32+AKV32*PricePremAnnual*AKK32</f>
        <v/>
      </c>
      <c r="ALF32" s="12">
        <f>AKU20*POWER(1-(AnnualChurn*VLOOKUP(AKH32,ChurnSeasonTable,4,FALSE)),1)*PriceEssAnnual*AKK32+AKU8*POWER(1-(AnnualChurn*VLOOKUP(AKH32,ChurnSeasonTable,4,FALSE)),2)*PriceEssAnnual*AKK32+AKV20*POWER(1-(AnnualChurn*VLOOKUP(AKH32,ChurnSeasonTable,4,FALSE)),1)*PricePremAnnual*AKK32+AKV8*POWER(1-(AnnualChurn*VLOOKUP(AKH32,ChurnSeasonTable,4,FALSE)),2)*PricePremAnnual*AKK32</f>
        <v/>
      </c>
      <c r="ALG32" s="9">
        <f>ALD32+ALE32+ALF32</f>
        <v/>
      </c>
      <c r="ALH32" s="12">
        <f>SUM(ALG21:ALG32)</f>
        <v/>
      </c>
      <c r="ALI32" s="12">
        <f>OR(ALI31,ALH32&gt;=VATThreshold)</f>
        <v/>
      </c>
      <c r="ALJ32" s="9">
        <f>IF(ALI32,ALG32/(1+VATRate),ALG32)</f>
        <v/>
      </c>
      <c r="ALK32" s="12">
        <f>ALG32-ALJ32</f>
        <v/>
      </c>
      <c r="ALL32" s="12">
        <f>IF(ALI32=0,0,IF(AKH32=1,SUMPRODUCT(--(($AKI$5:$AKI32=$AKI32-1)*($AKH$5:$AKH32&gt;=10)*($AKH$5:$AKH32&lt;=12)),$ALK$5:$ALK32),IF(AKH32=4,SUMPRODUCT(--(($AKI$5:$AKI32=$AKI32)*($AKH$5:$AKH32&gt;=1)*($AKH$5:$AKH32&lt;=3)),$ALK$5:$ALK32),IF(AKH32=7,SUMPRODUCT(--(($AKI$5:$AKI32=$AKI32)*($AKH$5:$AKH32&gt;=4)*($AKH$5:$AKH32&lt;=6)),$ALK$5:$ALK32),IF(AKH32=10,SUMPRODUCT(--(($AKI$5:$AKI32=$AKI32)*($AKH$5:$AKH32&gt;=7)*($AKH$5:$AKH32&lt;=9)),$ALK$5:$ALK32),0)))))</f>
        <v/>
      </c>
      <c r="ALM32" s="12">
        <f>ALM31+ALK32-ALL32</f>
        <v/>
      </c>
      <c r="ALN32" s="12">
        <f>IF(ProviderDelay&gt;=1,ALJ31*ProviderShare,ALJ32*ProviderShare)</f>
        <v/>
      </c>
      <c r="ALO32" s="12">
        <f>ALG32*PaymentFee</f>
        <v/>
      </c>
      <c r="ALP32" s="12">
        <f>ALA32*OpsAI</f>
        <v/>
      </c>
      <c r="ALQ32" s="12">
        <f>MonthlyFixed</f>
        <v/>
      </c>
      <c r="ALR32" s="12">
        <f>AKO32*ReferralReward</f>
        <v/>
      </c>
      <c r="ALS32" s="12">
        <f>AKM32</f>
        <v/>
      </c>
      <c r="ALT32" s="9">
        <f>ALJ32-ALN32-ALO32-ALP32-ALQ32-ALR32-ALS32</f>
        <v/>
      </c>
      <c r="ALU32" s="9">
        <f>ALU31+ALG32-(ALN32+ALO32+ALP32+ALQ32+ALR32+ALS32+ALL32)</f>
        <v/>
      </c>
      <c r="ALV32" s="12">
        <f>IF(ALA32&gt;0,ALB32/ALA32,0)</f>
        <v/>
      </c>
      <c r="ALW32" s="11">
        <f>IF(ALA31&gt;0,MAX(0,(ALA31+AKP32-ALA32)/ALA31),0)</f>
        <v/>
      </c>
      <c r="ALY32" s="12" t="n">
        <v>28</v>
      </c>
      <c r="ALZ32" s="12">
        <f>MOD(ALY32-1+LaunchMonth-1,12)+1</f>
        <v/>
      </c>
      <c r="AMA32" s="12">
        <f>INT((ALY32-1+LaunchMonth-1)/12)+1</f>
        <v/>
      </c>
      <c r="AMB32" s="12">
        <f>VLOOKUP(ALZ32,SeasonTable,2,FALSE)</f>
        <v/>
      </c>
      <c r="AMC32" s="12">
        <f>(1+InflationRate)^INT((ALY32-1)/12)</f>
        <v/>
      </c>
      <c r="AMD32" s="11">
        <f>MonthlyChurn*VLOOKUP(ALZ32,ChurnSeasonTable,4,FALSE)</f>
        <v/>
      </c>
      <c r="AME32" s="12">
        <f>MIN(MAX(MktMin19plus,AMY31*MktPct19plus),MAX(0,ANM31-CashBuffer))</f>
        <v/>
      </c>
      <c r="AMF32" s="12">
        <f>IF(AME32&gt;0,MAX(1,ROUND(AME32/'Sens - CAC &amp; Marketing'!$A$13*AMB32,0)),0)</f>
        <v/>
      </c>
      <c r="AMG32" s="12">
        <f>IF(AMF32&gt;0,ROUND(AMF32*ReferralMix/(1-ReferralMix),0),0)</f>
        <v/>
      </c>
      <c r="AMH32" s="12">
        <f>AMF32+AMG32</f>
        <v/>
      </c>
      <c r="AMI32" s="12">
        <f>ROUND(AMH32*(1-AnnualMix),0)</f>
        <v/>
      </c>
      <c r="AMJ32" s="12">
        <f>AMH32-AMI32</f>
        <v/>
      </c>
      <c r="AMK32" s="12">
        <f>ROUND(AMI32*EssentialMix,0)</f>
        <v/>
      </c>
      <c r="AML32" s="12">
        <f>AMI32-AMK32</f>
        <v/>
      </c>
      <c r="AMM32" s="12">
        <f>ROUND(AMJ32*EssentialMix,0)</f>
        <v/>
      </c>
      <c r="AMN32" s="12">
        <f>AMJ32-AMM32</f>
        <v/>
      </c>
      <c r="AMO32" s="12">
        <f>AMK32+AMK31+AMK30+MAX(0,AMO31-AMK31-AMK30)*(1-AMD32)</f>
        <v/>
      </c>
      <c r="AMP32" s="12">
        <f>AML32+AML31+AML30+MAX(0,AMP31-AML31-AML30)*(1-AMD32)</f>
        <v/>
      </c>
      <c r="AMQ32" s="12">
        <f>AMQ31+AMM32-AMM20*(AnnualChurn*VLOOKUP(ALZ32,ChurnSeasonTable,4,FALSE))*POWER(1-(AnnualChurn*VLOOKUP(ALZ32,ChurnSeasonTable,4,FALSE)),0)+AMM8*(AnnualChurn*VLOOKUP(ALZ32,ChurnSeasonTable,4,FALSE))*POWER(1-(AnnualChurn*VLOOKUP(ALZ32,ChurnSeasonTable,4,FALSE)),1)</f>
        <v/>
      </c>
      <c r="AMR32" s="12">
        <f>AMR31+AMN32-AMN20*(AnnualChurn*VLOOKUP(ALZ32,ChurnSeasonTable,4,FALSE))*POWER(1-(AnnualChurn*VLOOKUP(ALZ32,ChurnSeasonTable,4,FALSE)),0)+AMN8*(AnnualChurn*VLOOKUP(ALZ32,ChurnSeasonTable,4,FALSE))*POWER(1-(AnnualChurn*VLOOKUP(ALZ32,ChurnSeasonTable,4,FALSE)),1)</f>
        <v/>
      </c>
      <c r="AMS32" s="12">
        <f>AMO32+AMP32+AMQ32+AMR32</f>
        <v/>
      </c>
      <c r="AMT32" s="9">
        <f>AMO32*PriceEssMonthly*AMC32+AMP32*PricePremMonthly*AMC32+AMQ32*PriceEssAnnual*AMC32/12+AMR32*PricePremAnnual*AMC32/12</f>
        <v/>
      </c>
      <c r="AMU32" s="9">
        <f>AMT32*12</f>
        <v/>
      </c>
      <c r="AMV32" s="12">
        <f>AMO32*PriceEssMonthly*AMC32+AMP32*PricePremMonthly*AMC32</f>
        <v/>
      </c>
      <c r="AMW32" s="12">
        <f>AMM32*PriceEssAnnual*AMC32+AMN32*PricePremAnnual*AMC32</f>
        <v/>
      </c>
      <c r="AMX32" s="12">
        <f>AMM20*POWER(1-(AnnualChurn*VLOOKUP(ALZ32,ChurnSeasonTable,4,FALSE)),1)*PriceEssAnnual*AMC32+AMM8*POWER(1-(AnnualChurn*VLOOKUP(ALZ32,ChurnSeasonTable,4,FALSE)),2)*PriceEssAnnual*AMC32+AMN20*POWER(1-(AnnualChurn*VLOOKUP(ALZ32,ChurnSeasonTable,4,FALSE)),1)*PricePremAnnual*AMC32+AMN8*POWER(1-(AnnualChurn*VLOOKUP(ALZ32,ChurnSeasonTable,4,FALSE)),2)*PricePremAnnual*AMC32</f>
        <v/>
      </c>
      <c r="AMY32" s="9">
        <f>AMV32+AMW32+AMX32</f>
        <v/>
      </c>
      <c r="AMZ32" s="12">
        <f>SUM(AMY21:AMY32)</f>
        <v/>
      </c>
      <c r="ANA32" s="12">
        <f>OR(ANA31,AMZ32&gt;=VATThreshold)</f>
        <v/>
      </c>
      <c r="ANB32" s="9">
        <f>IF(ANA32,AMY32/(1+VATRate),AMY32)</f>
        <v/>
      </c>
      <c r="ANC32" s="12">
        <f>AMY32-ANB32</f>
        <v/>
      </c>
      <c r="AND32" s="12">
        <f>IF(ANA32=0,0,IF(ALZ32=1,SUMPRODUCT(--(($AMA$5:$AMA32=$AMA32-1)*($ALZ$5:$ALZ32&gt;=10)*($ALZ$5:$ALZ32&lt;=12)),$ANC$5:$ANC32),IF(ALZ32=4,SUMPRODUCT(--(($AMA$5:$AMA32=$AMA32)*($ALZ$5:$ALZ32&gt;=1)*($ALZ$5:$ALZ32&lt;=3)),$ANC$5:$ANC32),IF(ALZ32=7,SUMPRODUCT(--(($AMA$5:$AMA32=$AMA32)*($ALZ$5:$ALZ32&gt;=4)*($ALZ$5:$ALZ32&lt;=6)),$ANC$5:$ANC32),IF(ALZ32=10,SUMPRODUCT(--(($AMA$5:$AMA32=$AMA32)*($ALZ$5:$ALZ32&gt;=7)*($ALZ$5:$ALZ32&lt;=9)),$ANC$5:$ANC32),0)))))</f>
        <v/>
      </c>
      <c r="ANE32" s="12">
        <f>ANE31+ANC32-AND32</f>
        <v/>
      </c>
      <c r="ANF32" s="12">
        <f>IF(ProviderDelay&gt;=1,ANB31*ProviderShare,ANB32*ProviderShare)</f>
        <v/>
      </c>
      <c r="ANG32" s="12">
        <f>AMY32*PaymentFee</f>
        <v/>
      </c>
      <c r="ANH32" s="12">
        <f>AMS32*OpsAI</f>
        <v/>
      </c>
      <c r="ANI32" s="12">
        <f>MonthlyFixed</f>
        <v/>
      </c>
      <c r="ANJ32" s="12">
        <f>AMG32*ReferralReward</f>
        <v/>
      </c>
      <c r="ANK32" s="12">
        <f>AME32</f>
        <v/>
      </c>
      <c r="ANL32" s="9">
        <f>ANB32-ANF32-ANG32-ANH32-ANI32-ANJ32-ANK32</f>
        <v/>
      </c>
      <c r="ANM32" s="9">
        <f>ANM31+AMY32-(ANF32+ANG32+ANH32+ANI32+ANJ32+ANK32+AND32)</f>
        <v/>
      </c>
      <c r="ANN32" s="12">
        <f>IF(AMS32&gt;0,AMT32/AMS32,0)</f>
        <v/>
      </c>
      <c r="ANO32" s="11">
        <f>IF(AMS31&gt;0,MAX(0,(AMS31+AMH32-AMS32)/AMS31),0)</f>
        <v/>
      </c>
      <c r="ANQ32" s="12" t="n">
        <v>28</v>
      </c>
      <c r="ANR32" s="12">
        <f>MOD(ANQ32-1+LaunchMonth-1,12)+1</f>
        <v/>
      </c>
      <c r="ANS32" s="12">
        <f>INT((ANQ32-1+LaunchMonth-1)/12)+1</f>
        <v/>
      </c>
      <c r="ANT32" s="12">
        <f>VLOOKUP(ANR32,SeasonTable,2,FALSE)</f>
        <v/>
      </c>
      <c r="ANU32" s="12">
        <f>(1+InflationRate)^INT((ANQ32-1)/12)</f>
        <v/>
      </c>
      <c r="ANV32" s="11">
        <f>MonthlyChurn*VLOOKUP(ANR32,ChurnSeasonTable,4,FALSE)</f>
        <v/>
      </c>
      <c r="ANW32" s="12">
        <f>MIN(MAX(MktMin19plus,AOQ31*MktPct19plus),MAX(0,APE31-CashBuffer))</f>
        <v/>
      </c>
      <c r="ANX32" s="12">
        <f>IF(ANW32&gt;0,MAX(1,ROUND(ANW32/'Sens - CAC &amp; Marketing'!$A$14*ANT32,0)),0)</f>
        <v/>
      </c>
      <c r="ANY32" s="12">
        <f>IF(ANX32&gt;0,ROUND(ANX32*ReferralMix/(1-ReferralMix),0),0)</f>
        <v/>
      </c>
      <c r="ANZ32" s="12">
        <f>ANX32+ANY32</f>
        <v/>
      </c>
      <c r="AOA32" s="12">
        <f>ROUND(ANZ32*(1-AnnualMix),0)</f>
        <v/>
      </c>
      <c r="AOB32" s="12">
        <f>ANZ32-AOA32</f>
        <v/>
      </c>
      <c r="AOC32" s="12">
        <f>ROUND(AOA32*EssentialMix,0)</f>
        <v/>
      </c>
      <c r="AOD32" s="12">
        <f>AOA32-AOC32</f>
        <v/>
      </c>
      <c r="AOE32" s="12">
        <f>ROUND(AOB32*EssentialMix,0)</f>
        <v/>
      </c>
      <c r="AOF32" s="12">
        <f>AOB32-AOE32</f>
        <v/>
      </c>
      <c r="AOG32" s="12">
        <f>AOC32+AOC31+AOC30+MAX(0,AOG31-AOC31-AOC30)*(1-ANV32)</f>
        <v/>
      </c>
      <c r="AOH32" s="12">
        <f>AOD32+AOD31+AOD30+MAX(0,AOH31-AOD31-AOD30)*(1-ANV32)</f>
        <v/>
      </c>
      <c r="AOI32" s="12">
        <f>AOI31+AOE32-AOE20*(AnnualChurn*VLOOKUP(ANR32,ChurnSeasonTable,4,FALSE))*POWER(1-(AnnualChurn*VLOOKUP(ANR32,ChurnSeasonTable,4,FALSE)),0)+AOE8*(AnnualChurn*VLOOKUP(ANR32,ChurnSeasonTable,4,FALSE))*POWER(1-(AnnualChurn*VLOOKUP(ANR32,ChurnSeasonTable,4,FALSE)),1)</f>
        <v/>
      </c>
      <c r="AOJ32" s="12">
        <f>AOJ31+AOF32-AOF20*(AnnualChurn*VLOOKUP(ANR32,ChurnSeasonTable,4,FALSE))*POWER(1-(AnnualChurn*VLOOKUP(ANR32,ChurnSeasonTable,4,FALSE)),0)+AOF8*(AnnualChurn*VLOOKUP(ANR32,ChurnSeasonTable,4,FALSE))*POWER(1-(AnnualChurn*VLOOKUP(ANR32,ChurnSeasonTable,4,FALSE)),1)</f>
        <v/>
      </c>
      <c r="AOK32" s="12">
        <f>AOG32+AOH32+AOI32+AOJ32</f>
        <v/>
      </c>
      <c r="AOL32" s="9">
        <f>AOG32*PriceEssMonthly*ANU32+AOH32*PricePremMonthly*ANU32+AOI32*PriceEssAnnual*ANU32/12+AOJ32*PricePremAnnual*ANU32/12</f>
        <v/>
      </c>
      <c r="AOM32" s="9">
        <f>AOL32*12</f>
        <v/>
      </c>
      <c r="AON32" s="12">
        <f>AOG32*PriceEssMonthly*ANU32+AOH32*PricePremMonthly*ANU32</f>
        <v/>
      </c>
      <c r="AOO32" s="12">
        <f>AOE32*PriceEssAnnual*ANU32+AOF32*PricePremAnnual*ANU32</f>
        <v/>
      </c>
      <c r="AOP32" s="12">
        <f>AOE20*POWER(1-(AnnualChurn*VLOOKUP(ANR32,ChurnSeasonTable,4,FALSE)),1)*PriceEssAnnual*ANU32+AOE8*POWER(1-(AnnualChurn*VLOOKUP(ANR32,ChurnSeasonTable,4,FALSE)),2)*PriceEssAnnual*ANU32+AOF20*POWER(1-(AnnualChurn*VLOOKUP(ANR32,ChurnSeasonTable,4,FALSE)),1)*PricePremAnnual*ANU32+AOF8*POWER(1-(AnnualChurn*VLOOKUP(ANR32,ChurnSeasonTable,4,FALSE)),2)*PricePremAnnual*ANU32</f>
        <v/>
      </c>
      <c r="AOQ32" s="9">
        <f>AON32+AOO32+AOP32</f>
        <v/>
      </c>
      <c r="AOR32" s="12">
        <f>SUM(AOQ21:AOQ32)</f>
        <v/>
      </c>
      <c r="AOS32" s="12">
        <f>OR(AOS31,AOR32&gt;=VATThreshold)</f>
        <v/>
      </c>
      <c r="AOT32" s="9">
        <f>IF(AOS32,AOQ32/(1+VATRate),AOQ32)</f>
        <v/>
      </c>
      <c r="AOU32" s="12">
        <f>AOQ32-AOT32</f>
        <v/>
      </c>
      <c r="AOV32" s="12">
        <f>IF(AOS32=0,0,IF(ANR32=1,SUMPRODUCT(--(($ANS$5:$ANS32=$ANS32-1)*($ANR$5:$ANR32&gt;=10)*($ANR$5:$ANR32&lt;=12)),$AOU$5:$AOU32),IF(ANR32=4,SUMPRODUCT(--(($ANS$5:$ANS32=$ANS32)*($ANR$5:$ANR32&gt;=1)*($ANR$5:$ANR32&lt;=3)),$AOU$5:$AOU32),IF(ANR32=7,SUMPRODUCT(--(($ANS$5:$ANS32=$ANS32)*($ANR$5:$ANR32&gt;=4)*($ANR$5:$ANR32&lt;=6)),$AOU$5:$AOU32),IF(ANR32=10,SUMPRODUCT(--(($ANS$5:$ANS32=$ANS32)*($ANR$5:$ANR32&gt;=7)*($ANR$5:$ANR32&lt;=9)),$AOU$5:$AOU32),0)))))</f>
        <v/>
      </c>
      <c r="AOW32" s="12">
        <f>AOW31+AOU32-AOV32</f>
        <v/>
      </c>
      <c r="AOX32" s="12">
        <f>IF(ProviderDelay&gt;=1,AOT31*ProviderShare,AOT32*ProviderShare)</f>
        <v/>
      </c>
      <c r="AOY32" s="12">
        <f>AOQ32*PaymentFee</f>
        <v/>
      </c>
      <c r="AOZ32" s="12">
        <f>AOK32*OpsAI</f>
        <v/>
      </c>
      <c r="APA32" s="12">
        <f>MonthlyFixed</f>
        <v/>
      </c>
      <c r="APB32" s="12">
        <f>ANY32*ReferralReward</f>
        <v/>
      </c>
      <c r="APC32" s="12">
        <f>ANW32</f>
        <v/>
      </c>
      <c r="APD32" s="9">
        <f>AOT32-AOX32-AOY32-AOZ32-APA32-APB32-APC32</f>
        <v/>
      </c>
      <c r="APE32" s="9">
        <f>APE31+AOQ32-(AOX32+AOY32+AOZ32+APA32+APB32+APC32+AOV32)</f>
        <v/>
      </c>
      <c r="APF32" s="12">
        <f>IF(AOK32&gt;0,AOL32/AOK32,0)</f>
        <v/>
      </c>
      <c r="APG32" s="11">
        <f>IF(AOK31&gt;0,MAX(0,(AOK31+ANZ32-AOK32)/AOK31),0)</f>
        <v/>
      </c>
      <c r="API32" s="12" t="n">
        <v>28</v>
      </c>
      <c r="APJ32" s="12">
        <f>MOD(API32-1+LaunchMonth-1,12)+1</f>
        <v/>
      </c>
      <c r="APK32" s="12">
        <f>INT((API32-1+LaunchMonth-1)/12)+1</f>
        <v/>
      </c>
      <c r="APL32" s="12">
        <f>VLOOKUP(APJ32,SeasonTable,2,FALSE)</f>
        <v/>
      </c>
      <c r="APM32" s="12">
        <f>(1+InflationRate)^INT((API32-1)/12)</f>
        <v/>
      </c>
      <c r="APN32" s="11">
        <f>MonthlyChurn*VLOOKUP(APJ32,ChurnSeasonTable,4,FALSE)</f>
        <v/>
      </c>
      <c r="APO32" s="12">
        <f>MIN(MAX(MktMin19plus,AQI31*MktPct19plus),MAX(0,AQW31-CashBuffer))</f>
        <v/>
      </c>
      <c r="APP32" s="12">
        <f>IF(APO32&gt;0,MAX(1,ROUND(APO32/'Sens - CAC &amp; Marketing'!$A$15*APL32,0)),0)</f>
        <v/>
      </c>
      <c r="APQ32" s="12">
        <f>IF(APP32&gt;0,ROUND(APP32*ReferralMix/(1-ReferralMix),0),0)</f>
        <v/>
      </c>
      <c r="APR32" s="12">
        <f>APP32+APQ32</f>
        <v/>
      </c>
      <c r="APS32" s="12">
        <f>ROUND(APR32*(1-AnnualMix),0)</f>
        <v/>
      </c>
      <c r="APT32" s="12">
        <f>APR32-APS32</f>
        <v/>
      </c>
      <c r="APU32" s="12">
        <f>ROUND(APS32*EssentialMix,0)</f>
        <v/>
      </c>
      <c r="APV32" s="12">
        <f>APS32-APU32</f>
        <v/>
      </c>
      <c r="APW32" s="12">
        <f>ROUND(APT32*EssentialMix,0)</f>
        <v/>
      </c>
      <c r="APX32" s="12">
        <f>APT32-APW32</f>
        <v/>
      </c>
      <c r="APY32" s="12">
        <f>APU32+APU31+APU30+MAX(0,APY31-APU31-APU30)*(1-APN32)</f>
        <v/>
      </c>
      <c r="APZ32" s="12">
        <f>APV32+APV31+APV30+MAX(0,APZ31-APV31-APV30)*(1-APN32)</f>
        <v/>
      </c>
      <c r="AQA32" s="12">
        <f>AQA31+APW32-APW20*(AnnualChurn*VLOOKUP(APJ32,ChurnSeasonTable,4,FALSE))*POWER(1-(AnnualChurn*VLOOKUP(APJ32,ChurnSeasonTable,4,FALSE)),0)+APW8*(AnnualChurn*VLOOKUP(APJ32,ChurnSeasonTable,4,FALSE))*POWER(1-(AnnualChurn*VLOOKUP(APJ32,ChurnSeasonTable,4,FALSE)),1)</f>
        <v/>
      </c>
      <c r="AQB32" s="12">
        <f>AQB31+APX32-APX20*(AnnualChurn*VLOOKUP(APJ32,ChurnSeasonTable,4,FALSE))*POWER(1-(AnnualChurn*VLOOKUP(APJ32,ChurnSeasonTable,4,FALSE)),0)+APX8*(AnnualChurn*VLOOKUP(APJ32,ChurnSeasonTable,4,FALSE))*POWER(1-(AnnualChurn*VLOOKUP(APJ32,ChurnSeasonTable,4,FALSE)),1)</f>
        <v/>
      </c>
      <c r="AQC32" s="12">
        <f>APY32+APZ32+AQA32+AQB32</f>
        <v/>
      </c>
      <c r="AQD32" s="9">
        <f>APY32*PriceEssMonthly*APM32+APZ32*PricePremMonthly*APM32+AQA32*PriceEssAnnual*APM32/12+AQB32*PricePremAnnual*APM32/12</f>
        <v/>
      </c>
      <c r="AQE32" s="9">
        <f>AQD32*12</f>
        <v/>
      </c>
      <c r="AQF32" s="12">
        <f>APY32*PriceEssMonthly*APM32+APZ32*PricePremMonthly*APM32</f>
        <v/>
      </c>
      <c r="AQG32" s="12">
        <f>APW32*PriceEssAnnual*APM32+APX32*PricePremAnnual*APM32</f>
        <v/>
      </c>
      <c r="AQH32" s="12">
        <f>APW20*POWER(1-(AnnualChurn*VLOOKUP(APJ32,ChurnSeasonTable,4,FALSE)),1)*PriceEssAnnual*APM32+APW8*POWER(1-(AnnualChurn*VLOOKUP(APJ32,ChurnSeasonTable,4,FALSE)),2)*PriceEssAnnual*APM32+APX20*POWER(1-(AnnualChurn*VLOOKUP(APJ32,ChurnSeasonTable,4,FALSE)),1)*PricePremAnnual*APM32+APX8*POWER(1-(AnnualChurn*VLOOKUP(APJ32,ChurnSeasonTable,4,FALSE)),2)*PricePremAnnual*APM32</f>
        <v/>
      </c>
      <c r="AQI32" s="9">
        <f>AQF32+AQG32+AQH32</f>
        <v/>
      </c>
      <c r="AQJ32" s="12">
        <f>SUM(AQI21:AQI32)</f>
        <v/>
      </c>
      <c r="AQK32" s="12">
        <f>OR(AQK31,AQJ32&gt;=VATThreshold)</f>
        <v/>
      </c>
      <c r="AQL32" s="9">
        <f>IF(AQK32,AQI32/(1+VATRate),AQI32)</f>
        <v/>
      </c>
      <c r="AQM32" s="12">
        <f>AQI32-AQL32</f>
        <v/>
      </c>
      <c r="AQN32" s="12">
        <f>IF(AQK32=0,0,IF(APJ32=1,SUMPRODUCT(--(($APK$5:$APK32=$APK32-1)*($APJ$5:$APJ32&gt;=10)*($APJ$5:$APJ32&lt;=12)),$AQM$5:$AQM32),IF(APJ32=4,SUMPRODUCT(--(($APK$5:$APK32=$APK32)*($APJ$5:$APJ32&gt;=1)*($APJ$5:$APJ32&lt;=3)),$AQM$5:$AQM32),IF(APJ32=7,SUMPRODUCT(--(($APK$5:$APK32=$APK32)*($APJ$5:$APJ32&gt;=4)*($APJ$5:$APJ32&lt;=6)),$AQM$5:$AQM32),IF(APJ32=10,SUMPRODUCT(--(($APK$5:$APK32=$APK32)*($APJ$5:$APJ32&gt;=7)*($APJ$5:$APJ32&lt;=9)),$AQM$5:$AQM32),0)))))</f>
        <v/>
      </c>
      <c r="AQO32" s="12">
        <f>AQO31+AQM32-AQN32</f>
        <v/>
      </c>
      <c r="AQP32" s="12">
        <f>IF(ProviderDelay&gt;=1,AQL31*ProviderShare,AQL32*ProviderShare)</f>
        <v/>
      </c>
      <c r="AQQ32" s="12">
        <f>AQI32*PaymentFee</f>
        <v/>
      </c>
      <c r="AQR32" s="12">
        <f>AQC32*OpsAI</f>
        <v/>
      </c>
      <c r="AQS32" s="12">
        <f>MonthlyFixed</f>
        <v/>
      </c>
      <c r="AQT32" s="12">
        <f>APQ32*ReferralReward</f>
        <v/>
      </c>
      <c r="AQU32" s="12">
        <f>APO32</f>
        <v/>
      </c>
      <c r="AQV32" s="9">
        <f>AQL32-AQP32-AQQ32-AQR32-AQS32-AQT32-AQU32</f>
        <v/>
      </c>
      <c r="AQW32" s="9">
        <f>AQW31+AQI32-(AQP32+AQQ32+AQR32+AQS32+AQT32+AQU32+AQN32)</f>
        <v/>
      </c>
      <c r="AQX32" s="12">
        <f>IF(AQC32&gt;0,AQD32/AQC32,0)</f>
        <v/>
      </c>
      <c r="AQY32" s="11">
        <f>IF(AQC31&gt;0,MAX(0,(AQC31+APR32-AQC32)/AQC31),0)</f>
        <v/>
      </c>
      <c r="ARA32" s="12" t="n">
        <v>28</v>
      </c>
      <c r="ARB32" s="12">
        <f>MOD(ARA32-1+LaunchMonth-1,12)+1</f>
        <v/>
      </c>
      <c r="ARC32" s="12">
        <f>INT((ARA32-1+LaunchMonth-1)/12)+1</f>
        <v/>
      </c>
      <c r="ARD32" s="12">
        <f>VLOOKUP(ARB32,WinterPivotSeasonTable,5,FALSE)</f>
        <v/>
      </c>
      <c r="ARE32" s="12">
        <f>(1+InflationRate)^INT((ARA32-1)/12)</f>
        <v/>
      </c>
      <c r="ARF32" s="11">
        <f>MonthlyChurn*VLOOKUP(ARB32,WinterPivotChurnTable,6,FALSE)</f>
        <v/>
      </c>
      <c r="ARG32" s="12">
        <f>MIN(MAX(MktMin19plus,ASA31*MktPct19plus),MAX(0,ASO31-CashBuffer))</f>
        <v/>
      </c>
      <c r="ARH32" s="12">
        <f>IF(ARG32&gt;0,MAX(1,ROUND(ARG32/CAC*ARD32,0)),0)</f>
        <v/>
      </c>
      <c r="ARI32" s="12">
        <f>IF(ARH32&gt;0,ROUND(ARH32*ReferralMix/(1-ReferralMix),0),0)</f>
        <v/>
      </c>
      <c r="ARJ32" s="12">
        <f>ARH32+ARI32</f>
        <v/>
      </c>
      <c r="ARK32" s="12">
        <f>ROUND(ARJ32*(1-AnnualMix),0)</f>
        <v/>
      </c>
      <c r="ARL32" s="12">
        <f>ARJ32-ARK32</f>
        <v/>
      </c>
      <c r="ARM32" s="12">
        <f>ROUND(ARK32*'Sens - Winter Pivot'!$B$6,0)</f>
        <v/>
      </c>
      <c r="ARN32" s="12">
        <f>ARK32-ARM32</f>
        <v/>
      </c>
      <c r="ARO32" s="12">
        <f>ROUND(ARL32*'Sens - Winter Pivot'!$B$6,0)</f>
        <v/>
      </c>
      <c r="ARP32" s="12">
        <f>ARL32-ARO32</f>
        <v/>
      </c>
      <c r="ARQ32" s="12">
        <f>ARM32+ARM31+ARM30+MAX(0,ARQ31-ARM31-ARM30)*(1-ARF32)</f>
        <v/>
      </c>
      <c r="ARR32" s="12">
        <f>ARN32+ARN31+ARN30+MAX(0,ARR31-ARN31-ARN30)*(1-ARF32)</f>
        <v/>
      </c>
      <c r="ARS32" s="12">
        <f>ARS31+ARO32-ARO20*(AnnualChurn*VLOOKUP(ARB32,WinterPivotChurnTable,6,FALSE))*POWER(1-(AnnualChurn*VLOOKUP(ARB32,WinterPivotChurnTable,6,FALSE)),0)+ARO8*(AnnualChurn*VLOOKUP(ARB32,WinterPivotChurnTable,6,FALSE))*POWER(1-(AnnualChurn*VLOOKUP(ARB32,WinterPivotChurnTable,6,FALSE)),1)</f>
        <v/>
      </c>
      <c r="ART32" s="12">
        <f>ART31+ARP32-ARP20*(AnnualChurn*VLOOKUP(ARB32,WinterPivotChurnTable,6,FALSE))*POWER(1-(AnnualChurn*VLOOKUP(ARB32,WinterPivotChurnTable,6,FALSE)),0)+ARP8*(AnnualChurn*VLOOKUP(ARB32,WinterPivotChurnTable,6,FALSE))*POWER(1-(AnnualChurn*VLOOKUP(ARB32,WinterPivotChurnTable,6,FALSE)),1)</f>
        <v/>
      </c>
      <c r="ARU32" s="12">
        <f>ARQ32+ARR32+ARS32+ART32</f>
        <v/>
      </c>
      <c r="ARV32" s="9">
        <f>ARQ32*PriceEssMonthly*ARE32+ARR32*(PricePremMonthly+'Sens - Winter Pivot'!$B$7)*ARE32+ARS32*PriceEssAnnual*ARE32/12+ART32*(PricePremAnnual+'Sens - Winter Pivot'!$B$7*12)*ARE32/12</f>
        <v/>
      </c>
      <c r="ARW32" s="9">
        <f>ARV32*12</f>
        <v/>
      </c>
      <c r="ARX32" s="12">
        <f>ARQ32*PriceEssMonthly*ARE32+ARR32*(PricePremMonthly+'Sens - Winter Pivot'!$B$7)*ARE32</f>
        <v/>
      </c>
      <c r="ARY32" s="12">
        <f>ARO32*PriceEssAnnual*ARE32+ARP32*(PricePremAnnual+'Sens - Winter Pivot'!$B$7*12)*ARE32</f>
        <v/>
      </c>
      <c r="ARZ32" s="12">
        <f>ARO20*POWER(1-(AnnualChurn*VLOOKUP(ARB32,WinterPivotChurnTable,6,FALSE)),1)*PriceEssAnnual*ARE32+ARO8*POWER(1-(AnnualChurn*VLOOKUP(ARB32,WinterPivotChurnTable,6,FALSE)),2)*PriceEssAnnual*ARE32+ARP20*POWER(1-(AnnualChurn*VLOOKUP(ARB32,WinterPivotChurnTable,6,FALSE)),1)*PricePremAnnual*ARE32+ARP8*POWER(1-(AnnualChurn*VLOOKUP(ARB32,WinterPivotChurnTable,6,FALSE)),2)*PricePremAnnual*ARE32</f>
        <v/>
      </c>
      <c r="ASA32" s="9">
        <f>ARX32+ARY32+ARZ32</f>
        <v/>
      </c>
      <c r="ASB32" s="12">
        <f>SUM(ASA21:ASA32)</f>
        <v/>
      </c>
      <c r="ASC32" s="12">
        <f>OR(ASC31,ASB32&gt;=VATThreshold)</f>
        <v/>
      </c>
      <c r="ASD32" s="9">
        <f>IF(ASC32,ASA32/(1+VATRate),ASA32)</f>
        <v/>
      </c>
      <c r="ASE32" s="12">
        <f>ASA32-ASD32</f>
        <v/>
      </c>
      <c r="ASF32" s="12">
        <f>IF(ASC32=0,0,IF(ARB32=1,SUMPRODUCT(--(($ARC$5:$ARC32=$ARC32-1)*($ARB$5:$ARB32&gt;=10)*($ARB$5:$ARB32&lt;=12)),$ASE$5:$ASE32),IF(ARB32=4,SUMPRODUCT(--(($ARC$5:$ARC32=$ARC32)*($ARB$5:$ARB32&gt;=1)*($ARB$5:$ARB32&lt;=3)),$ASE$5:$ASE32),IF(ARB32=7,SUMPRODUCT(--(($ARC$5:$ARC32=$ARC32)*($ARB$5:$ARB32&gt;=4)*($ARB$5:$ARB32&lt;=6)),$ASE$5:$ASE32),IF(ARB32=10,SUMPRODUCT(--(($ARC$5:$ARC32=$ARC32)*($ARB$5:$ARB32&gt;=7)*($ARB$5:$ARB32&lt;=9)),$ASE$5:$ASE32),0)))))</f>
        <v/>
      </c>
      <c r="ASG32" s="12">
        <f>ASG31+ASE32-ASF32</f>
        <v/>
      </c>
      <c r="ASH32" s="12">
        <f>IF(ProviderDelay&gt;=1,ASD31*ProviderShare,ASD32*ProviderShare)</f>
        <v/>
      </c>
      <c r="ASI32" s="12">
        <f>ASA32*PaymentFee</f>
        <v/>
      </c>
      <c r="ASJ32" s="12">
        <f>ARU32*OpsAI</f>
        <v/>
      </c>
      <c r="ASK32" s="12">
        <f>MonthlyFixed</f>
        <v/>
      </c>
      <c r="ASL32" s="12">
        <f>ARI32*ReferralReward</f>
        <v/>
      </c>
      <c r="ASM32" s="12">
        <f>ARG32</f>
        <v/>
      </c>
      <c r="ASN32" s="9">
        <f>ASD32-ASH32-ASI32-ASJ32-ASK32-ASL32-ASM32</f>
        <v/>
      </c>
      <c r="ASO32" s="9">
        <f>ASO31+ASA32-(ASH32+ASI32+ASJ32+ASK32+ASL32+ASM32+ASF32)</f>
        <v/>
      </c>
      <c r="ASP32" s="12">
        <f>IF(ARU32&gt;0,ARV32/ARU32,0)</f>
        <v/>
      </c>
      <c r="ASQ32" s="11">
        <f>IF(ARU31&gt;0,MAX(0,(ARU31+ARJ32-ARU32)/ARU31),0)</f>
        <v/>
      </c>
    </row>
    <row r="33">
      <c r="A33" s="12" t="n">
        <v>29</v>
      </c>
      <c r="B33" s="12">
        <f>MOD(A33-1+LaunchMonth-1,12)+1</f>
        <v/>
      </c>
      <c r="C33" s="12">
        <f>INT((A33-1+LaunchMonth-1)/12)+1</f>
        <v/>
      </c>
      <c r="D33" s="12">
        <f>VLOOKUP(B33,SeasonTable,2,FALSE)</f>
        <v/>
      </c>
      <c r="E33" s="12">
        <f>(1+InflationRate)^INT((A33-1)/12)</f>
        <v/>
      </c>
      <c r="F33" s="11">
        <f>'Sens - Scenarios'!$B$5*VLOOKUP(B33,ChurnSeasonTable,4,FALSE)</f>
        <v/>
      </c>
      <c r="G33" s="12">
        <f>MIN(MAX(MktMin19plus,AA32*MktPct19plus),MAX(0,AO32-CashBuffer))</f>
        <v/>
      </c>
      <c r="H33" s="12">
        <f>IF(G33&gt;0,MAX(1,ROUND(G33/'Sens - Scenarios'!$B$8*D33,0)),0)</f>
        <v/>
      </c>
      <c r="I33" s="12">
        <f>IF(H33&gt;0,ROUND(H33*ReferralMix/(1-ReferralMix),0),0)</f>
        <v/>
      </c>
      <c r="J33" s="12">
        <f>H33+I33</f>
        <v/>
      </c>
      <c r="K33" s="12">
        <f>ROUND(J33*(1-'Sens - Scenarios'!$B$7),0)</f>
        <v/>
      </c>
      <c r="L33" s="12">
        <f>J33-K33</f>
        <v/>
      </c>
      <c r="M33" s="12">
        <f>ROUND(K33*EssentialMix,0)</f>
        <v/>
      </c>
      <c r="N33" s="12">
        <f>K33-M33</f>
        <v/>
      </c>
      <c r="O33" s="12">
        <f>ROUND(L33*EssentialMix,0)</f>
        <v/>
      </c>
      <c r="P33" s="12">
        <f>L33-O33</f>
        <v/>
      </c>
      <c r="Q33" s="12">
        <f>M33+M32+M31+MAX(0,Q32-M32-M31)*(1-F33)</f>
        <v/>
      </c>
      <c r="R33" s="12">
        <f>N33+N32+N31+MAX(0,R32-N32-N31)*(1-F33)</f>
        <v/>
      </c>
      <c r="S33" s="12">
        <f>S32+O33-O21*('Sens - Scenarios'!$B$6*VLOOKUP(B33,ChurnSeasonTable,4,FALSE))*POWER(1-('Sens - Scenarios'!$B$6*VLOOKUP(B33,ChurnSeasonTable,4,FALSE)),0)+O9*('Sens - Scenarios'!$B$6*VLOOKUP(B33,ChurnSeasonTable,4,FALSE))*POWER(1-('Sens - Scenarios'!$B$6*VLOOKUP(B33,ChurnSeasonTable,4,FALSE)),1)</f>
        <v/>
      </c>
      <c r="T33" s="12">
        <f>T32+P33-P21*('Sens - Scenarios'!$B$6*VLOOKUP(B33,ChurnSeasonTable,4,FALSE))*POWER(1-('Sens - Scenarios'!$B$6*VLOOKUP(B33,ChurnSeasonTable,4,FALSE)),0)+P9*('Sens - Scenarios'!$B$6*VLOOKUP(B33,ChurnSeasonTable,4,FALSE))*POWER(1-('Sens - Scenarios'!$B$6*VLOOKUP(B33,ChurnSeasonTable,4,FALSE)),1)</f>
        <v/>
      </c>
      <c r="U33" s="12">
        <f>Q33+R33+S33+T33</f>
        <v/>
      </c>
      <c r="V33" s="9">
        <f>Q33*PriceEssMonthly*E33+R33*PricePremMonthly*E33+S33*PriceEssAnnual*E33/12+T33*PricePremAnnual*E33/12</f>
        <v/>
      </c>
      <c r="W33" s="9">
        <f>V33*12</f>
        <v/>
      </c>
      <c r="X33" s="12">
        <f>Q33*PriceEssMonthly*E33+R33*PricePremMonthly*E33</f>
        <v/>
      </c>
      <c r="Y33" s="12">
        <f>O33*PriceEssAnnual*E33+P33*PricePremAnnual*E33</f>
        <v/>
      </c>
      <c r="Z33" s="12">
        <f>O21*POWER(1-('Sens - Scenarios'!$B$6*VLOOKUP(B33,ChurnSeasonTable,4,FALSE)),1)*PriceEssAnnual*E33+O9*POWER(1-('Sens - Scenarios'!$B$6*VLOOKUP(B33,ChurnSeasonTable,4,FALSE)),2)*PriceEssAnnual*E33+P21*POWER(1-('Sens - Scenarios'!$B$6*VLOOKUP(B33,ChurnSeasonTable,4,FALSE)),1)*PricePremAnnual*E33+P9*POWER(1-('Sens - Scenarios'!$B$6*VLOOKUP(B33,ChurnSeasonTable,4,FALSE)),2)*PricePremAnnual*E33</f>
        <v/>
      </c>
      <c r="AA33" s="9">
        <f>X33+Y33+Z33</f>
        <v/>
      </c>
      <c r="AB33" s="12">
        <f>SUM(AA22:AA33)</f>
        <v/>
      </c>
      <c r="AC33" s="12">
        <f>OR(AC32,AB33&gt;=VATThreshold)</f>
        <v/>
      </c>
      <c r="AD33" s="9">
        <f>IF(AC33,AA33/(1+VATRate),AA33)</f>
        <v/>
      </c>
      <c r="AE33" s="12">
        <f>AA33-AD33</f>
        <v/>
      </c>
      <c r="AF33" s="12">
        <f>IF(AC33=0,0,IF(B33=1,SUMPRODUCT(--(($C$5:$C33=$C33-1)*($B$5:$B33&gt;=10)*($B$5:$B33&lt;=12)),$AE$5:$AE33),IF(B33=4,SUMPRODUCT(--(($C$5:$C33=$C33)*($B$5:$B33&gt;=1)*($B$5:$B33&lt;=3)),$AE$5:$AE33),IF(B33=7,SUMPRODUCT(--(($C$5:$C33=$C33)*($B$5:$B33&gt;=4)*($B$5:$B33&lt;=6)),$AE$5:$AE33),IF(B33=10,SUMPRODUCT(--(($C$5:$C33=$C33)*($B$5:$B33&gt;=7)*($B$5:$B33&lt;=9)),$AE$5:$AE33),0)))))</f>
        <v/>
      </c>
      <c r="AG33" s="12">
        <f>AG32+AE33-AF33</f>
        <v/>
      </c>
      <c r="AH33" s="12">
        <f>IF(ProviderDelay&gt;=1,AD32*ProviderShare,AD33*ProviderShare)</f>
        <v/>
      </c>
      <c r="AI33" s="12">
        <f>AA33*PaymentFee</f>
        <v/>
      </c>
      <c r="AJ33" s="12">
        <f>U33*OpsAI</f>
        <v/>
      </c>
      <c r="AK33" s="12">
        <f>MonthlyFixed</f>
        <v/>
      </c>
      <c r="AL33" s="12">
        <f>I33*ReferralReward</f>
        <v/>
      </c>
      <c r="AM33" s="12">
        <f>G33</f>
        <v/>
      </c>
      <c r="AN33" s="9">
        <f>AD33-AH33-AI33-AJ33-AK33-AL33-AM33</f>
        <v/>
      </c>
      <c r="AO33" s="9">
        <f>AO32+AA33-(AH33+AI33+AJ33+AK33+AL33+AM33+AF33)</f>
        <v/>
      </c>
      <c r="AP33" s="12">
        <f>IF(U33&gt;0,V33/U33,0)</f>
        <v/>
      </c>
      <c r="AQ33" s="11">
        <f>IF(U32&gt;0,MAX(0,(U32+J33-U33)/U32),0)</f>
        <v/>
      </c>
      <c r="AS33" s="12" t="n">
        <v>29</v>
      </c>
      <c r="AT33" s="12">
        <f>MOD(AS33-1+LaunchMonth-1,12)+1</f>
        <v/>
      </c>
      <c r="AU33" s="12">
        <f>INT((AS33-1+LaunchMonth-1)/12)+1</f>
        <v/>
      </c>
      <c r="AV33" s="12">
        <f>VLOOKUP(AT33,SeasonTable,2,FALSE)</f>
        <v/>
      </c>
      <c r="AW33" s="12">
        <f>(1+InflationRate)^INT((AS33-1)/12)</f>
        <v/>
      </c>
      <c r="AX33" s="11">
        <f>MonthlyChurn*VLOOKUP(AT33,ChurnSeasonTable,4,FALSE)</f>
        <v/>
      </c>
      <c r="AY33" s="12">
        <f>MIN(MAX(MktMin19plus,BS32*MktPct19plus),MAX(0,CG32-CashBuffer))</f>
        <v/>
      </c>
      <c r="AZ33" s="12">
        <f>IF(AY33&gt;0,MAX(1,ROUND(AY33/CAC*AV33,0)),0)</f>
        <v/>
      </c>
      <c r="BA33" s="12">
        <f>IF(AZ33&gt;0,ROUND(AZ33*ReferralMix/(1-ReferralMix),0),0)</f>
        <v/>
      </c>
      <c r="BB33" s="12">
        <f>AZ33+BA33</f>
        <v/>
      </c>
      <c r="BC33" s="12">
        <f>ROUND(BB33*(1-AnnualMix),0)</f>
        <v/>
      </c>
      <c r="BD33" s="12">
        <f>BB33-BC33</f>
        <v/>
      </c>
      <c r="BE33" s="12">
        <f>ROUND(BC33*EssentialMix,0)</f>
        <v/>
      </c>
      <c r="BF33" s="12">
        <f>BC33-BE33</f>
        <v/>
      </c>
      <c r="BG33" s="12">
        <f>ROUND(BD33*EssentialMix,0)</f>
        <v/>
      </c>
      <c r="BH33" s="12">
        <f>BD33-BG33</f>
        <v/>
      </c>
      <c r="BI33" s="12">
        <f>BE33+BE32+BE31+MAX(0,BI32-BE32-BE31)*(1-AX33)</f>
        <v/>
      </c>
      <c r="BJ33" s="12">
        <f>BF33+BF32+BF31+MAX(0,BJ32-BF32-BF31)*(1-AX33)</f>
        <v/>
      </c>
      <c r="BK33" s="12">
        <f>BK32+BG33-BG21*(AnnualChurn*VLOOKUP(AT33,ChurnSeasonTable,4,FALSE))*POWER(1-(AnnualChurn*VLOOKUP(AT33,ChurnSeasonTable,4,FALSE)),0)+BG9*(AnnualChurn*VLOOKUP(AT33,ChurnSeasonTable,4,FALSE))*POWER(1-(AnnualChurn*VLOOKUP(AT33,ChurnSeasonTable,4,FALSE)),1)</f>
        <v/>
      </c>
      <c r="BL33" s="12">
        <f>BL32+BH33-BH21*(AnnualChurn*VLOOKUP(AT33,ChurnSeasonTable,4,FALSE))*POWER(1-(AnnualChurn*VLOOKUP(AT33,ChurnSeasonTable,4,FALSE)),0)+BH9*(AnnualChurn*VLOOKUP(AT33,ChurnSeasonTable,4,FALSE))*POWER(1-(AnnualChurn*VLOOKUP(AT33,ChurnSeasonTable,4,FALSE)),1)</f>
        <v/>
      </c>
      <c r="BM33" s="12">
        <f>BI33+BJ33+BK33+BL33</f>
        <v/>
      </c>
      <c r="BN33" s="9">
        <f>BI33*PriceEssMonthly*AW33+BJ33*PricePremMonthly*AW33+BK33*PriceEssAnnual*AW33/12+BL33*PricePremAnnual*AW33/12</f>
        <v/>
      </c>
      <c r="BO33" s="9">
        <f>BN33*12</f>
        <v/>
      </c>
      <c r="BP33" s="12">
        <f>BI33*PriceEssMonthly*AW33+BJ33*PricePremMonthly*AW33</f>
        <v/>
      </c>
      <c r="BQ33" s="12">
        <f>BG33*PriceEssAnnual*AW33+BH33*PricePremAnnual*AW33</f>
        <v/>
      </c>
      <c r="BR33" s="12">
        <f>BG21*POWER(1-(AnnualChurn*VLOOKUP(AT33,ChurnSeasonTable,4,FALSE)),1)*PriceEssAnnual*AW33+BG9*POWER(1-(AnnualChurn*VLOOKUP(AT33,ChurnSeasonTable,4,FALSE)),2)*PriceEssAnnual*AW33+BH21*POWER(1-(AnnualChurn*VLOOKUP(AT33,ChurnSeasonTable,4,FALSE)),1)*PricePremAnnual*AW33+BH9*POWER(1-(AnnualChurn*VLOOKUP(AT33,ChurnSeasonTable,4,FALSE)),2)*PricePremAnnual*AW33</f>
        <v/>
      </c>
      <c r="BS33" s="9">
        <f>BP33+BQ33+BR33</f>
        <v/>
      </c>
      <c r="BT33" s="12">
        <f>SUM(BS22:BS33)</f>
        <v/>
      </c>
      <c r="BU33" s="12">
        <f>OR(BU32,BT33&gt;=VATThreshold)</f>
        <v/>
      </c>
      <c r="BV33" s="9">
        <f>IF(BU33,BS33/(1+VATRate),BS33)</f>
        <v/>
      </c>
      <c r="BW33" s="12">
        <f>BS33-BV33</f>
        <v/>
      </c>
      <c r="BX33" s="12">
        <f>IF(BU33=0,0,IF(AT33=1,SUMPRODUCT(--(($AU$5:$AU33=$AU33-1)*($AT$5:$AT33&gt;=10)*($AT$5:$AT33&lt;=12)),$BW$5:$BW33),IF(AT33=4,SUMPRODUCT(--(($AU$5:$AU33=$AU33)*($AT$5:$AT33&gt;=1)*($AT$5:$AT33&lt;=3)),$BW$5:$BW33),IF(AT33=7,SUMPRODUCT(--(($AU$5:$AU33=$AU33)*($AT$5:$AT33&gt;=4)*($AT$5:$AT33&lt;=6)),$BW$5:$BW33),IF(AT33=10,SUMPRODUCT(--(($AU$5:$AU33=$AU33)*($AT$5:$AT33&gt;=7)*($AT$5:$AT33&lt;=9)),$BW$5:$BW33),0)))))</f>
        <v/>
      </c>
      <c r="BY33" s="12">
        <f>BY32+BW33-BX33</f>
        <v/>
      </c>
      <c r="BZ33" s="12">
        <f>IF(ProviderDelay&gt;=1,BV32*ProviderShare,BV33*ProviderShare)</f>
        <v/>
      </c>
      <c r="CA33" s="12">
        <f>BS33*PaymentFee</f>
        <v/>
      </c>
      <c r="CB33" s="12">
        <f>BM33*OpsAI</f>
        <v/>
      </c>
      <c r="CC33" s="12">
        <f>MonthlyFixed</f>
        <v/>
      </c>
      <c r="CD33" s="12">
        <f>BA33*ReferralReward</f>
        <v/>
      </c>
      <c r="CE33" s="12">
        <f>AY33</f>
        <v/>
      </c>
      <c r="CF33" s="9">
        <f>BV33-BZ33-CA33-CB33-CC33-CD33-CE33</f>
        <v/>
      </c>
      <c r="CG33" s="9">
        <f>CG32+BS33-(BZ33+CA33+CB33+CC33+CD33+CE33+BX33)</f>
        <v/>
      </c>
      <c r="CH33" s="12">
        <f>IF(BM33&gt;0,BN33/BM33,0)</f>
        <v/>
      </c>
      <c r="CI33" s="11">
        <f>IF(BM32&gt;0,MAX(0,(BM32+BB33-BM33)/BM32),0)</f>
        <v/>
      </c>
      <c r="CK33" s="12" t="n">
        <v>29</v>
      </c>
      <c r="CL33" s="12">
        <f>MOD(CK33-1+LaunchMonth-1,12)+1</f>
        <v/>
      </c>
      <c r="CM33" s="12">
        <f>INT((CK33-1+LaunchMonth-1)/12)+1</f>
        <v/>
      </c>
      <c r="CN33" s="12">
        <f>VLOOKUP(CL33,SeasonTable,2,FALSE)</f>
        <v/>
      </c>
      <c r="CO33" s="12">
        <f>(1+InflationRate)^INT((CK33-1)/12)</f>
        <v/>
      </c>
      <c r="CP33" s="11">
        <f>'Sens - Scenarios'!$D$5*VLOOKUP(CL33,ChurnSeasonTable,4,FALSE)</f>
        <v/>
      </c>
      <c r="CQ33" s="12">
        <f>MIN(MAX(MktMin19plus,DK32*MktPct19plus),MAX(0,DY32-CashBuffer))</f>
        <v/>
      </c>
      <c r="CR33" s="12">
        <f>IF(CQ33&gt;0,MAX(1,ROUND(CQ33/'Sens - Scenarios'!$D$8*CN33,0)),0)</f>
        <v/>
      </c>
      <c r="CS33" s="12">
        <f>IF(CR33&gt;0,ROUND(CR33*ReferralMix/(1-ReferralMix),0),0)</f>
        <v/>
      </c>
      <c r="CT33" s="12">
        <f>CR33+CS33</f>
        <v/>
      </c>
      <c r="CU33" s="12">
        <f>ROUND(CT33*(1-'Sens - Scenarios'!$D$7),0)</f>
        <v/>
      </c>
      <c r="CV33" s="12">
        <f>CT33-CU33</f>
        <v/>
      </c>
      <c r="CW33" s="12">
        <f>ROUND(CU33*EssentialMix,0)</f>
        <v/>
      </c>
      <c r="CX33" s="12">
        <f>CU33-CW33</f>
        <v/>
      </c>
      <c r="CY33" s="12">
        <f>ROUND(CV33*EssentialMix,0)</f>
        <v/>
      </c>
      <c r="CZ33" s="12">
        <f>CV33-CY33</f>
        <v/>
      </c>
      <c r="DA33" s="12">
        <f>CW33+CW32+CW31+MAX(0,DA32-CW32-CW31)*(1-CP33)</f>
        <v/>
      </c>
      <c r="DB33" s="12">
        <f>CX33+CX32+CX31+MAX(0,DB32-CX32-CX31)*(1-CP33)</f>
        <v/>
      </c>
      <c r="DC33" s="12">
        <f>DC32+CY33-CY21*('Sens - Scenarios'!$D$6*VLOOKUP(CL33,ChurnSeasonTable,4,FALSE))*POWER(1-('Sens - Scenarios'!$D$6*VLOOKUP(CL33,ChurnSeasonTable,4,FALSE)),0)+CY9*('Sens - Scenarios'!$D$6*VLOOKUP(CL33,ChurnSeasonTable,4,FALSE))*POWER(1-('Sens - Scenarios'!$D$6*VLOOKUP(CL33,ChurnSeasonTable,4,FALSE)),1)</f>
        <v/>
      </c>
      <c r="DD33" s="12">
        <f>DD32+CZ33-CZ21*('Sens - Scenarios'!$D$6*VLOOKUP(CL33,ChurnSeasonTable,4,FALSE))*POWER(1-('Sens - Scenarios'!$D$6*VLOOKUP(CL33,ChurnSeasonTable,4,FALSE)),0)+CZ9*('Sens - Scenarios'!$D$6*VLOOKUP(CL33,ChurnSeasonTable,4,FALSE))*POWER(1-('Sens - Scenarios'!$D$6*VLOOKUP(CL33,ChurnSeasonTable,4,FALSE)),1)</f>
        <v/>
      </c>
      <c r="DE33" s="12">
        <f>DA33+DB33+DC33+DD33</f>
        <v/>
      </c>
      <c r="DF33" s="9">
        <f>DA33*PriceEssMonthly*CO33+DB33*PricePremMonthly*CO33+DC33*PriceEssAnnual*CO33/12+DD33*PricePremAnnual*CO33/12</f>
        <v/>
      </c>
      <c r="DG33" s="9">
        <f>DF33*12</f>
        <v/>
      </c>
      <c r="DH33" s="12">
        <f>DA33*PriceEssMonthly*CO33+DB33*PricePremMonthly*CO33</f>
        <v/>
      </c>
      <c r="DI33" s="12">
        <f>CY33*PriceEssAnnual*CO33+CZ33*PricePremAnnual*CO33</f>
        <v/>
      </c>
      <c r="DJ33" s="12">
        <f>CY21*POWER(1-('Sens - Scenarios'!$D$6*VLOOKUP(CL33,ChurnSeasonTable,4,FALSE)),1)*PriceEssAnnual*CO33+CY9*POWER(1-('Sens - Scenarios'!$D$6*VLOOKUP(CL33,ChurnSeasonTable,4,FALSE)),2)*PriceEssAnnual*CO33+CZ21*POWER(1-('Sens - Scenarios'!$D$6*VLOOKUP(CL33,ChurnSeasonTable,4,FALSE)),1)*PricePremAnnual*CO33+CZ9*POWER(1-('Sens - Scenarios'!$D$6*VLOOKUP(CL33,ChurnSeasonTable,4,FALSE)),2)*PricePremAnnual*CO33</f>
        <v/>
      </c>
      <c r="DK33" s="9">
        <f>DH33+DI33+DJ33</f>
        <v/>
      </c>
      <c r="DL33" s="12">
        <f>SUM(DK22:DK33)</f>
        <v/>
      </c>
      <c r="DM33" s="12">
        <f>OR(DM32,DL33&gt;=VATThreshold)</f>
        <v/>
      </c>
      <c r="DN33" s="9">
        <f>IF(DM33,DK33/(1+VATRate),DK33)</f>
        <v/>
      </c>
      <c r="DO33" s="12">
        <f>DK33-DN33</f>
        <v/>
      </c>
      <c r="DP33" s="12">
        <f>IF(DM33=0,0,IF(CL33=1,SUMPRODUCT(--(($CM$5:$CM33=$CM33-1)*($CL$5:$CL33&gt;=10)*($CL$5:$CL33&lt;=12)),$DO$5:$DO33),IF(CL33=4,SUMPRODUCT(--(($CM$5:$CM33=$CM33)*($CL$5:$CL33&gt;=1)*($CL$5:$CL33&lt;=3)),$DO$5:$DO33),IF(CL33=7,SUMPRODUCT(--(($CM$5:$CM33=$CM33)*($CL$5:$CL33&gt;=4)*($CL$5:$CL33&lt;=6)),$DO$5:$DO33),IF(CL33=10,SUMPRODUCT(--(($CM$5:$CM33=$CM33)*($CL$5:$CL33&gt;=7)*($CL$5:$CL33&lt;=9)),$DO$5:$DO33),0)))))</f>
        <v/>
      </c>
      <c r="DQ33" s="12">
        <f>DQ32+DO33-DP33</f>
        <v/>
      </c>
      <c r="DR33" s="12">
        <f>IF(ProviderDelay&gt;=1,DN32*ProviderShare,DN33*ProviderShare)</f>
        <v/>
      </c>
      <c r="DS33" s="12">
        <f>DK33*PaymentFee</f>
        <v/>
      </c>
      <c r="DT33" s="12">
        <f>DE33*OpsAI</f>
        <v/>
      </c>
      <c r="DU33" s="12">
        <f>MonthlyFixed</f>
        <v/>
      </c>
      <c r="DV33" s="12">
        <f>CS33*ReferralReward</f>
        <v/>
      </c>
      <c r="DW33" s="12">
        <f>CQ33</f>
        <v/>
      </c>
      <c r="DX33" s="9">
        <f>DN33-DR33-DS33-DT33-DU33-DV33-DW33</f>
        <v/>
      </c>
      <c r="DY33" s="9">
        <f>DY32+DK33-(DR33+DS33+DT33+DU33+DV33+DW33+DP33)</f>
        <v/>
      </c>
      <c r="DZ33" s="12">
        <f>IF(DE33&gt;0,DF33/DE33,0)</f>
        <v/>
      </c>
      <c r="EA33" s="11">
        <f>IF(DE32&gt;0,MAX(0,(DE32+CT33-DE33)/DE32),0)</f>
        <v/>
      </c>
      <c r="EC33" s="12" t="n">
        <v>29</v>
      </c>
      <c r="ED33" s="12">
        <f>MOD(EC33-1+LaunchMonth-1,12)+1</f>
        <v/>
      </c>
      <c r="EE33" s="12">
        <f>INT((EC33-1+LaunchMonth-1)/12)+1</f>
        <v/>
      </c>
      <c r="EF33" s="12">
        <f>VLOOKUP(ED33,SeasonTable,2,FALSE)</f>
        <v/>
      </c>
      <c r="EG33" s="12">
        <f>(1+InflationRate)^INT((EC33-1)/12)</f>
        <v/>
      </c>
      <c r="EH33" s="11">
        <f>'Sens - Churn'!$A$13*VLOOKUP(ED33,ChurnSeasonTable,4,FALSE)</f>
        <v/>
      </c>
      <c r="EI33" s="12">
        <f>MIN(MAX(MktMin19plus,FC32*MktPct19plus),MAX(0,FQ32-CashBuffer))</f>
        <v/>
      </c>
      <c r="EJ33" s="12">
        <f>IF(EI33&gt;0,MAX(1,ROUND(EI33/CAC*EF33,0)),0)</f>
        <v/>
      </c>
      <c r="EK33" s="12">
        <f>IF(EJ33&gt;0,ROUND(EJ33*ReferralMix/(1-ReferralMix),0),0)</f>
        <v/>
      </c>
      <c r="EL33" s="12">
        <f>EJ33+EK33</f>
        <v/>
      </c>
      <c r="EM33" s="12">
        <f>ROUND(EL33*(1-AnnualMix),0)</f>
        <v/>
      </c>
      <c r="EN33" s="12">
        <f>EL33-EM33</f>
        <v/>
      </c>
      <c r="EO33" s="12">
        <f>ROUND(EM33*EssentialMix,0)</f>
        <v/>
      </c>
      <c r="EP33" s="12">
        <f>EM33-EO33</f>
        <v/>
      </c>
      <c r="EQ33" s="12">
        <f>ROUND(EN33*EssentialMix,0)</f>
        <v/>
      </c>
      <c r="ER33" s="12">
        <f>EN33-EQ33</f>
        <v/>
      </c>
      <c r="ES33" s="12">
        <f>EO33+EO32+EO31+MAX(0,ES32-EO32-EO31)*(1-EH33)</f>
        <v/>
      </c>
      <c r="ET33" s="12">
        <f>EP33+EP32+EP31+MAX(0,ET32-EP32-EP31)*(1-EH33)</f>
        <v/>
      </c>
      <c r="EU33" s="12">
        <f>EU32+EQ33-EQ21*(AnnualChurn*VLOOKUP(ED33,ChurnSeasonTable,4,FALSE))*POWER(1-(AnnualChurn*VLOOKUP(ED33,ChurnSeasonTable,4,FALSE)),0)+EQ9*(AnnualChurn*VLOOKUP(ED33,ChurnSeasonTable,4,FALSE))*POWER(1-(AnnualChurn*VLOOKUP(ED33,ChurnSeasonTable,4,FALSE)),1)</f>
        <v/>
      </c>
      <c r="EV33" s="12">
        <f>EV32+ER33-ER21*(AnnualChurn*VLOOKUP(ED33,ChurnSeasonTable,4,FALSE))*POWER(1-(AnnualChurn*VLOOKUP(ED33,ChurnSeasonTable,4,FALSE)),0)+ER9*(AnnualChurn*VLOOKUP(ED33,ChurnSeasonTable,4,FALSE))*POWER(1-(AnnualChurn*VLOOKUP(ED33,ChurnSeasonTable,4,FALSE)),1)</f>
        <v/>
      </c>
      <c r="EW33" s="12">
        <f>ES33+ET33+EU33+EV33</f>
        <v/>
      </c>
      <c r="EX33" s="9">
        <f>ES33*PriceEssMonthly*EG33+ET33*PricePremMonthly*EG33+EU33*PriceEssAnnual*EG33/12+EV33*PricePremAnnual*EG33/12</f>
        <v/>
      </c>
      <c r="EY33" s="9">
        <f>EX33*12</f>
        <v/>
      </c>
      <c r="EZ33" s="12">
        <f>ES33*PriceEssMonthly*EG33+ET33*PricePremMonthly*EG33</f>
        <v/>
      </c>
      <c r="FA33" s="12">
        <f>EQ33*PriceEssAnnual*EG33+ER33*PricePremAnnual*EG33</f>
        <v/>
      </c>
      <c r="FB33" s="12">
        <f>EQ21*POWER(1-(AnnualChurn*VLOOKUP(ED33,ChurnSeasonTable,4,FALSE)),1)*PriceEssAnnual*EG33+EQ9*POWER(1-(AnnualChurn*VLOOKUP(ED33,ChurnSeasonTable,4,FALSE)),2)*PriceEssAnnual*EG33+ER21*POWER(1-(AnnualChurn*VLOOKUP(ED33,ChurnSeasonTable,4,FALSE)),1)*PricePremAnnual*EG33+ER9*POWER(1-(AnnualChurn*VLOOKUP(ED33,ChurnSeasonTable,4,FALSE)),2)*PricePremAnnual*EG33</f>
        <v/>
      </c>
      <c r="FC33" s="9">
        <f>EZ33+FA33+FB33</f>
        <v/>
      </c>
      <c r="FD33" s="12">
        <f>SUM(FC22:FC33)</f>
        <v/>
      </c>
      <c r="FE33" s="12">
        <f>OR(FE32,FD33&gt;=VATThreshold)</f>
        <v/>
      </c>
      <c r="FF33" s="9">
        <f>IF(FE33,FC33/(1+VATRate),FC33)</f>
        <v/>
      </c>
      <c r="FG33" s="12">
        <f>FC33-FF33</f>
        <v/>
      </c>
      <c r="FH33" s="12">
        <f>IF(FE33=0,0,IF(ED33=1,SUMPRODUCT(--(($EE$5:$EE33=$EE33-1)*($ED$5:$ED33&gt;=10)*($ED$5:$ED33&lt;=12)),$FG$5:$FG33),IF(ED33=4,SUMPRODUCT(--(($EE$5:$EE33=$EE33)*($ED$5:$ED33&gt;=1)*($ED$5:$ED33&lt;=3)),$FG$5:$FG33),IF(ED33=7,SUMPRODUCT(--(($EE$5:$EE33=$EE33)*($ED$5:$ED33&gt;=4)*($ED$5:$ED33&lt;=6)),$FG$5:$FG33),IF(ED33=10,SUMPRODUCT(--(($EE$5:$EE33=$EE33)*($ED$5:$ED33&gt;=7)*($ED$5:$ED33&lt;=9)),$FG$5:$FG33),0)))))</f>
        <v/>
      </c>
      <c r="FI33" s="12">
        <f>FI32+FG33-FH33</f>
        <v/>
      </c>
      <c r="FJ33" s="12">
        <f>IF(ProviderDelay&gt;=1,FF32*ProviderShare,FF33*ProviderShare)</f>
        <v/>
      </c>
      <c r="FK33" s="12">
        <f>FC33*PaymentFee</f>
        <v/>
      </c>
      <c r="FL33" s="12">
        <f>EW33*OpsAI</f>
        <v/>
      </c>
      <c r="FM33" s="12">
        <f>MonthlyFixed</f>
        <v/>
      </c>
      <c r="FN33" s="12">
        <f>EK33*ReferralReward</f>
        <v/>
      </c>
      <c r="FO33" s="12">
        <f>EI33</f>
        <v/>
      </c>
      <c r="FP33" s="9">
        <f>FF33-FJ33-FK33-FL33-FM33-FN33-FO33</f>
        <v/>
      </c>
      <c r="FQ33" s="9">
        <f>FQ32+FC33-(FJ33+FK33+FL33+FM33+FN33+FO33+FH33)</f>
        <v/>
      </c>
      <c r="FR33" s="12">
        <f>IF(EW33&gt;0,EX33/EW33,0)</f>
        <v/>
      </c>
      <c r="FS33" s="11">
        <f>IF(EW32&gt;0,MAX(0,(EW32+EL33-EW33)/EW32),0)</f>
        <v/>
      </c>
      <c r="FU33" s="12" t="n">
        <v>29</v>
      </c>
      <c r="FV33" s="12">
        <f>MOD(FU33-1+LaunchMonth-1,12)+1</f>
        <v/>
      </c>
      <c r="FW33" s="12">
        <f>INT((FU33-1+LaunchMonth-1)/12)+1</f>
        <v/>
      </c>
      <c r="FX33" s="12">
        <f>VLOOKUP(FV33,SeasonTable,2,FALSE)</f>
        <v/>
      </c>
      <c r="FY33" s="12">
        <f>(1+InflationRate)^INT((FU33-1)/12)</f>
        <v/>
      </c>
      <c r="FZ33" s="11">
        <f>'Sens - Churn'!$A$14*VLOOKUP(FV33,ChurnSeasonTable,4,FALSE)</f>
        <v/>
      </c>
      <c r="GA33" s="12">
        <f>MIN(MAX(MktMin19plus,GU32*MktPct19plus),MAX(0,HI32-CashBuffer))</f>
        <v/>
      </c>
      <c r="GB33" s="12">
        <f>IF(GA33&gt;0,MAX(1,ROUND(GA33/CAC*FX33,0)),0)</f>
        <v/>
      </c>
      <c r="GC33" s="12">
        <f>IF(GB33&gt;0,ROUND(GB33*ReferralMix/(1-ReferralMix),0),0)</f>
        <v/>
      </c>
      <c r="GD33" s="12">
        <f>GB33+GC33</f>
        <v/>
      </c>
      <c r="GE33" s="12">
        <f>ROUND(GD33*(1-AnnualMix),0)</f>
        <v/>
      </c>
      <c r="GF33" s="12">
        <f>GD33-GE33</f>
        <v/>
      </c>
      <c r="GG33" s="12">
        <f>ROUND(GE33*EssentialMix,0)</f>
        <v/>
      </c>
      <c r="GH33" s="12">
        <f>GE33-GG33</f>
        <v/>
      </c>
      <c r="GI33" s="12">
        <f>ROUND(GF33*EssentialMix,0)</f>
        <v/>
      </c>
      <c r="GJ33" s="12">
        <f>GF33-GI33</f>
        <v/>
      </c>
      <c r="GK33" s="12">
        <f>GG33+GG32+GG31+MAX(0,GK32-GG32-GG31)*(1-FZ33)</f>
        <v/>
      </c>
      <c r="GL33" s="12">
        <f>GH33+GH32+GH31+MAX(0,GL32-GH32-GH31)*(1-FZ33)</f>
        <v/>
      </c>
      <c r="GM33" s="12">
        <f>GM32+GI33-GI21*(AnnualChurn*VLOOKUP(FV33,ChurnSeasonTable,4,FALSE))*POWER(1-(AnnualChurn*VLOOKUP(FV33,ChurnSeasonTable,4,FALSE)),0)+GI9*(AnnualChurn*VLOOKUP(FV33,ChurnSeasonTable,4,FALSE))*POWER(1-(AnnualChurn*VLOOKUP(FV33,ChurnSeasonTable,4,FALSE)),1)</f>
        <v/>
      </c>
      <c r="GN33" s="12">
        <f>GN32+GJ33-GJ21*(AnnualChurn*VLOOKUP(FV33,ChurnSeasonTable,4,FALSE))*POWER(1-(AnnualChurn*VLOOKUP(FV33,ChurnSeasonTable,4,FALSE)),0)+GJ9*(AnnualChurn*VLOOKUP(FV33,ChurnSeasonTable,4,FALSE))*POWER(1-(AnnualChurn*VLOOKUP(FV33,ChurnSeasonTable,4,FALSE)),1)</f>
        <v/>
      </c>
      <c r="GO33" s="12">
        <f>GK33+GL33+GM33+GN33</f>
        <v/>
      </c>
      <c r="GP33" s="9">
        <f>GK33*PriceEssMonthly*FY33+GL33*PricePremMonthly*FY33+GM33*PriceEssAnnual*FY33/12+GN33*PricePremAnnual*FY33/12</f>
        <v/>
      </c>
      <c r="GQ33" s="9">
        <f>GP33*12</f>
        <v/>
      </c>
      <c r="GR33" s="12">
        <f>GK33*PriceEssMonthly*FY33+GL33*PricePremMonthly*FY33</f>
        <v/>
      </c>
      <c r="GS33" s="12">
        <f>GI33*PriceEssAnnual*FY33+GJ33*PricePremAnnual*FY33</f>
        <v/>
      </c>
      <c r="GT33" s="12">
        <f>GI21*POWER(1-(AnnualChurn*VLOOKUP(FV33,ChurnSeasonTable,4,FALSE)),1)*PriceEssAnnual*FY33+GI9*POWER(1-(AnnualChurn*VLOOKUP(FV33,ChurnSeasonTable,4,FALSE)),2)*PriceEssAnnual*FY33+GJ21*POWER(1-(AnnualChurn*VLOOKUP(FV33,ChurnSeasonTable,4,FALSE)),1)*PricePremAnnual*FY33+GJ9*POWER(1-(AnnualChurn*VLOOKUP(FV33,ChurnSeasonTable,4,FALSE)),2)*PricePremAnnual*FY33</f>
        <v/>
      </c>
      <c r="GU33" s="9">
        <f>GR33+GS33+GT33</f>
        <v/>
      </c>
      <c r="GV33" s="12">
        <f>SUM(GU22:GU33)</f>
        <v/>
      </c>
      <c r="GW33" s="12">
        <f>OR(GW32,GV33&gt;=VATThreshold)</f>
        <v/>
      </c>
      <c r="GX33" s="9">
        <f>IF(GW33,GU33/(1+VATRate),GU33)</f>
        <v/>
      </c>
      <c r="GY33" s="12">
        <f>GU33-GX33</f>
        <v/>
      </c>
      <c r="GZ33" s="12">
        <f>IF(GW33=0,0,IF(FV33=1,SUMPRODUCT(--(($FW$5:$FW33=$FW33-1)*($FV$5:$FV33&gt;=10)*($FV$5:$FV33&lt;=12)),$GY$5:$GY33),IF(FV33=4,SUMPRODUCT(--(($FW$5:$FW33=$FW33)*($FV$5:$FV33&gt;=1)*($FV$5:$FV33&lt;=3)),$GY$5:$GY33),IF(FV33=7,SUMPRODUCT(--(($FW$5:$FW33=$FW33)*($FV$5:$FV33&gt;=4)*($FV$5:$FV33&lt;=6)),$GY$5:$GY33),IF(FV33=10,SUMPRODUCT(--(($FW$5:$FW33=$FW33)*($FV$5:$FV33&gt;=7)*($FV$5:$FV33&lt;=9)),$GY$5:$GY33),0)))))</f>
        <v/>
      </c>
      <c r="HA33" s="12">
        <f>HA32+GY33-GZ33</f>
        <v/>
      </c>
      <c r="HB33" s="12">
        <f>IF(ProviderDelay&gt;=1,GX32*ProviderShare,GX33*ProviderShare)</f>
        <v/>
      </c>
      <c r="HC33" s="12">
        <f>GU33*PaymentFee</f>
        <v/>
      </c>
      <c r="HD33" s="12">
        <f>GO33*OpsAI</f>
        <v/>
      </c>
      <c r="HE33" s="12">
        <f>MonthlyFixed</f>
        <v/>
      </c>
      <c r="HF33" s="12">
        <f>GC33*ReferralReward</f>
        <v/>
      </c>
      <c r="HG33" s="12">
        <f>GA33</f>
        <v/>
      </c>
      <c r="HH33" s="9">
        <f>GX33-HB33-HC33-HD33-HE33-HF33-HG33</f>
        <v/>
      </c>
      <c r="HI33" s="9">
        <f>HI32+GU33-(HB33+HC33+HD33+HE33+HF33+HG33+GZ33)</f>
        <v/>
      </c>
      <c r="HJ33" s="12">
        <f>IF(GO33&gt;0,GP33/GO33,0)</f>
        <v/>
      </c>
      <c r="HK33" s="11">
        <f>IF(GO32&gt;0,MAX(0,(GO32+GD33-GO33)/GO32),0)</f>
        <v/>
      </c>
      <c r="HM33" s="12" t="n">
        <v>29</v>
      </c>
      <c r="HN33" s="12">
        <f>MOD(HM33-1+LaunchMonth-1,12)+1</f>
        <v/>
      </c>
      <c r="HO33" s="12">
        <f>INT((HM33-1+LaunchMonth-1)/12)+1</f>
        <v/>
      </c>
      <c r="HP33" s="12">
        <f>VLOOKUP(HN33,SeasonTable,2,FALSE)</f>
        <v/>
      </c>
      <c r="HQ33" s="12">
        <f>(1+InflationRate)^INT((HM33-1)/12)</f>
        <v/>
      </c>
      <c r="HR33" s="11">
        <f>'Sens - Churn'!$A$15*VLOOKUP(HN33,ChurnSeasonTable,4,FALSE)</f>
        <v/>
      </c>
      <c r="HS33" s="12">
        <f>MIN(MAX(MktMin19plus,IM32*MktPct19plus),MAX(0,JA32-CashBuffer))</f>
        <v/>
      </c>
      <c r="HT33" s="12">
        <f>IF(HS33&gt;0,MAX(1,ROUND(HS33/CAC*HP33,0)),0)</f>
        <v/>
      </c>
      <c r="HU33" s="12">
        <f>IF(HT33&gt;0,ROUND(HT33*ReferralMix/(1-ReferralMix),0),0)</f>
        <v/>
      </c>
      <c r="HV33" s="12">
        <f>HT33+HU33</f>
        <v/>
      </c>
      <c r="HW33" s="12">
        <f>ROUND(HV33*(1-AnnualMix),0)</f>
        <v/>
      </c>
      <c r="HX33" s="12">
        <f>HV33-HW33</f>
        <v/>
      </c>
      <c r="HY33" s="12">
        <f>ROUND(HW33*EssentialMix,0)</f>
        <v/>
      </c>
      <c r="HZ33" s="12">
        <f>HW33-HY33</f>
        <v/>
      </c>
      <c r="IA33" s="12">
        <f>ROUND(HX33*EssentialMix,0)</f>
        <v/>
      </c>
      <c r="IB33" s="12">
        <f>HX33-IA33</f>
        <v/>
      </c>
      <c r="IC33" s="12">
        <f>HY33+HY32+HY31+MAX(0,IC32-HY32-HY31)*(1-HR33)</f>
        <v/>
      </c>
      <c r="ID33" s="12">
        <f>HZ33+HZ32+HZ31+MAX(0,ID32-HZ32-HZ31)*(1-HR33)</f>
        <v/>
      </c>
      <c r="IE33" s="12">
        <f>IE32+IA33-IA21*(AnnualChurn*VLOOKUP(HN33,ChurnSeasonTable,4,FALSE))*POWER(1-(AnnualChurn*VLOOKUP(HN33,ChurnSeasonTable,4,FALSE)),0)+IA9*(AnnualChurn*VLOOKUP(HN33,ChurnSeasonTable,4,FALSE))*POWER(1-(AnnualChurn*VLOOKUP(HN33,ChurnSeasonTable,4,FALSE)),1)</f>
        <v/>
      </c>
      <c r="IF33" s="12">
        <f>IF32+IB33-IB21*(AnnualChurn*VLOOKUP(HN33,ChurnSeasonTable,4,FALSE))*POWER(1-(AnnualChurn*VLOOKUP(HN33,ChurnSeasonTable,4,FALSE)),0)+IB9*(AnnualChurn*VLOOKUP(HN33,ChurnSeasonTable,4,FALSE))*POWER(1-(AnnualChurn*VLOOKUP(HN33,ChurnSeasonTable,4,FALSE)),1)</f>
        <v/>
      </c>
      <c r="IG33" s="12">
        <f>IC33+ID33+IE33+IF33</f>
        <v/>
      </c>
      <c r="IH33" s="9">
        <f>IC33*PriceEssMonthly*HQ33+ID33*PricePremMonthly*HQ33+IE33*PriceEssAnnual*HQ33/12+IF33*PricePremAnnual*HQ33/12</f>
        <v/>
      </c>
      <c r="II33" s="9">
        <f>IH33*12</f>
        <v/>
      </c>
      <c r="IJ33" s="12">
        <f>IC33*PriceEssMonthly*HQ33+ID33*PricePremMonthly*HQ33</f>
        <v/>
      </c>
      <c r="IK33" s="12">
        <f>IA33*PriceEssAnnual*HQ33+IB33*PricePremAnnual*HQ33</f>
        <v/>
      </c>
      <c r="IL33" s="12">
        <f>IA21*POWER(1-(AnnualChurn*VLOOKUP(HN33,ChurnSeasonTable,4,FALSE)),1)*PriceEssAnnual*HQ33+IA9*POWER(1-(AnnualChurn*VLOOKUP(HN33,ChurnSeasonTable,4,FALSE)),2)*PriceEssAnnual*HQ33+IB21*POWER(1-(AnnualChurn*VLOOKUP(HN33,ChurnSeasonTable,4,FALSE)),1)*PricePremAnnual*HQ33+IB9*POWER(1-(AnnualChurn*VLOOKUP(HN33,ChurnSeasonTable,4,FALSE)),2)*PricePremAnnual*HQ33</f>
        <v/>
      </c>
      <c r="IM33" s="9">
        <f>IJ33+IK33+IL33</f>
        <v/>
      </c>
      <c r="IN33" s="12">
        <f>SUM(IM22:IM33)</f>
        <v/>
      </c>
      <c r="IO33" s="12">
        <f>OR(IO32,IN33&gt;=VATThreshold)</f>
        <v/>
      </c>
      <c r="IP33" s="9">
        <f>IF(IO33,IM33/(1+VATRate),IM33)</f>
        <v/>
      </c>
      <c r="IQ33" s="12">
        <f>IM33-IP33</f>
        <v/>
      </c>
      <c r="IR33" s="12">
        <f>IF(IO33=0,0,IF(HN33=1,SUMPRODUCT(--(($HO$5:$HO33=$HO33-1)*($HN$5:$HN33&gt;=10)*($HN$5:$HN33&lt;=12)),$IQ$5:$IQ33),IF(HN33=4,SUMPRODUCT(--(($HO$5:$HO33=$HO33)*($HN$5:$HN33&gt;=1)*($HN$5:$HN33&lt;=3)),$IQ$5:$IQ33),IF(HN33=7,SUMPRODUCT(--(($HO$5:$HO33=$HO33)*($HN$5:$HN33&gt;=4)*($HN$5:$HN33&lt;=6)),$IQ$5:$IQ33),IF(HN33=10,SUMPRODUCT(--(($HO$5:$HO33=$HO33)*($HN$5:$HN33&gt;=7)*($HN$5:$HN33&lt;=9)),$IQ$5:$IQ33),0)))))</f>
        <v/>
      </c>
      <c r="IS33" s="12">
        <f>IS32+IQ33-IR33</f>
        <v/>
      </c>
      <c r="IT33" s="12">
        <f>IF(ProviderDelay&gt;=1,IP32*ProviderShare,IP33*ProviderShare)</f>
        <v/>
      </c>
      <c r="IU33" s="12">
        <f>IM33*PaymentFee</f>
        <v/>
      </c>
      <c r="IV33" s="12">
        <f>IG33*OpsAI</f>
        <v/>
      </c>
      <c r="IW33" s="12">
        <f>MonthlyFixed</f>
        <v/>
      </c>
      <c r="IX33" s="12">
        <f>HU33*ReferralReward</f>
        <v/>
      </c>
      <c r="IY33" s="12">
        <f>HS33</f>
        <v/>
      </c>
      <c r="IZ33" s="9">
        <f>IP33-IT33-IU33-IV33-IW33-IX33-IY33</f>
        <v/>
      </c>
      <c r="JA33" s="9">
        <f>JA32+IM33-(IT33+IU33+IV33+IW33+IX33+IY33+IR33)</f>
        <v/>
      </c>
      <c r="JB33" s="12">
        <f>IF(IG33&gt;0,IH33/IG33,0)</f>
        <v/>
      </c>
      <c r="JC33" s="11">
        <f>IF(IG32&gt;0,MAX(0,(IG32+HV33-IG33)/IG32),0)</f>
        <v/>
      </c>
      <c r="JE33" s="12" t="n">
        <v>29</v>
      </c>
      <c r="JF33" s="12">
        <f>MOD(JE33-1+LaunchMonth-1,12)+1</f>
        <v/>
      </c>
      <c r="JG33" s="12">
        <f>INT((JE33-1+LaunchMonth-1)/12)+1</f>
        <v/>
      </c>
      <c r="JH33" s="12">
        <f>VLOOKUP(JF33,SeasonTable,2,FALSE)</f>
        <v/>
      </c>
      <c r="JI33" s="12">
        <f>(1+InflationRate)^INT((JE33-1)/12)</f>
        <v/>
      </c>
      <c r="JJ33" s="11">
        <f>'Sens - Churn'!$A$16*VLOOKUP(JF33,ChurnSeasonTable,4,FALSE)</f>
        <v/>
      </c>
      <c r="JK33" s="12">
        <f>MIN(MAX(MktMin19plus,KE32*MktPct19plus),MAX(0,KS32-CashBuffer))</f>
        <v/>
      </c>
      <c r="JL33" s="12">
        <f>IF(JK33&gt;0,MAX(1,ROUND(JK33/CAC*JH33,0)),0)</f>
        <v/>
      </c>
      <c r="JM33" s="12">
        <f>IF(JL33&gt;0,ROUND(JL33*ReferralMix/(1-ReferralMix),0),0)</f>
        <v/>
      </c>
      <c r="JN33" s="12">
        <f>JL33+JM33</f>
        <v/>
      </c>
      <c r="JO33" s="12">
        <f>ROUND(JN33*(1-AnnualMix),0)</f>
        <v/>
      </c>
      <c r="JP33" s="12">
        <f>JN33-JO33</f>
        <v/>
      </c>
      <c r="JQ33" s="12">
        <f>ROUND(JO33*EssentialMix,0)</f>
        <v/>
      </c>
      <c r="JR33" s="12">
        <f>JO33-JQ33</f>
        <v/>
      </c>
      <c r="JS33" s="12">
        <f>ROUND(JP33*EssentialMix,0)</f>
        <v/>
      </c>
      <c r="JT33" s="12">
        <f>JP33-JS33</f>
        <v/>
      </c>
      <c r="JU33" s="12">
        <f>JQ33+JQ32+JQ31+MAX(0,JU32-JQ32-JQ31)*(1-JJ33)</f>
        <v/>
      </c>
      <c r="JV33" s="12">
        <f>JR33+JR32+JR31+MAX(0,JV32-JR32-JR31)*(1-JJ33)</f>
        <v/>
      </c>
      <c r="JW33" s="12">
        <f>JW32+JS33-JS21*(AnnualChurn*VLOOKUP(JF33,ChurnSeasonTable,4,FALSE))*POWER(1-(AnnualChurn*VLOOKUP(JF33,ChurnSeasonTable,4,FALSE)),0)+JS9*(AnnualChurn*VLOOKUP(JF33,ChurnSeasonTable,4,FALSE))*POWER(1-(AnnualChurn*VLOOKUP(JF33,ChurnSeasonTable,4,FALSE)),1)</f>
        <v/>
      </c>
      <c r="JX33" s="12">
        <f>JX32+JT33-JT21*(AnnualChurn*VLOOKUP(JF33,ChurnSeasonTable,4,FALSE))*POWER(1-(AnnualChurn*VLOOKUP(JF33,ChurnSeasonTable,4,FALSE)),0)+JT9*(AnnualChurn*VLOOKUP(JF33,ChurnSeasonTable,4,FALSE))*POWER(1-(AnnualChurn*VLOOKUP(JF33,ChurnSeasonTable,4,FALSE)),1)</f>
        <v/>
      </c>
      <c r="JY33" s="12">
        <f>JU33+JV33+JW33+JX33</f>
        <v/>
      </c>
      <c r="JZ33" s="9">
        <f>JU33*PriceEssMonthly*JI33+JV33*PricePremMonthly*JI33+JW33*PriceEssAnnual*JI33/12+JX33*PricePremAnnual*JI33/12</f>
        <v/>
      </c>
      <c r="KA33" s="9">
        <f>JZ33*12</f>
        <v/>
      </c>
      <c r="KB33" s="12">
        <f>JU33*PriceEssMonthly*JI33+JV33*PricePremMonthly*JI33</f>
        <v/>
      </c>
      <c r="KC33" s="12">
        <f>JS33*PriceEssAnnual*JI33+JT33*PricePremAnnual*JI33</f>
        <v/>
      </c>
      <c r="KD33" s="12">
        <f>JS21*POWER(1-(AnnualChurn*VLOOKUP(JF33,ChurnSeasonTable,4,FALSE)),1)*PriceEssAnnual*JI33+JS9*POWER(1-(AnnualChurn*VLOOKUP(JF33,ChurnSeasonTable,4,FALSE)),2)*PriceEssAnnual*JI33+JT21*POWER(1-(AnnualChurn*VLOOKUP(JF33,ChurnSeasonTable,4,FALSE)),1)*PricePremAnnual*JI33+JT9*POWER(1-(AnnualChurn*VLOOKUP(JF33,ChurnSeasonTable,4,FALSE)),2)*PricePremAnnual*JI33</f>
        <v/>
      </c>
      <c r="KE33" s="9">
        <f>KB33+KC33+KD33</f>
        <v/>
      </c>
      <c r="KF33" s="12">
        <f>SUM(KE22:KE33)</f>
        <v/>
      </c>
      <c r="KG33" s="12">
        <f>OR(KG32,KF33&gt;=VATThreshold)</f>
        <v/>
      </c>
      <c r="KH33" s="9">
        <f>IF(KG33,KE33/(1+VATRate),KE33)</f>
        <v/>
      </c>
      <c r="KI33" s="12">
        <f>KE33-KH33</f>
        <v/>
      </c>
      <c r="KJ33" s="12">
        <f>IF(KG33=0,0,IF(JF33=1,SUMPRODUCT(--(($JG$5:$JG33=$JG33-1)*($JF$5:$JF33&gt;=10)*($JF$5:$JF33&lt;=12)),$KI$5:$KI33),IF(JF33=4,SUMPRODUCT(--(($JG$5:$JG33=$JG33)*($JF$5:$JF33&gt;=1)*($JF$5:$JF33&lt;=3)),$KI$5:$KI33),IF(JF33=7,SUMPRODUCT(--(($JG$5:$JG33=$JG33)*($JF$5:$JF33&gt;=4)*($JF$5:$JF33&lt;=6)),$KI$5:$KI33),IF(JF33=10,SUMPRODUCT(--(($JG$5:$JG33=$JG33)*($JF$5:$JF33&gt;=7)*($JF$5:$JF33&lt;=9)),$KI$5:$KI33),0)))))</f>
        <v/>
      </c>
      <c r="KK33" s="12">
        <f>KK32+KI33-KJ33</f>
        <v/>
      </c>
      <c r="KL33" s="12">
        <f>IF(ProviderDelay&gt;=1,KH32*ProviderShare,KH33*ProviderShare)</f>
        <v/>
      </c>
      <c r="KM33" s="12">
        <f>KE33*PaymentFee</f>
        <v/>
      </c>
      <c r="KN33" s="12">
        <f>JY33*OpsAI</f>
        <v/>
      </c>
      <c r="KO33" s="12">
        <f>MonthlyFixed</f>
        <v/>
      </c>
      <c r="KP33" s="12">
        <f>JM33*ReferralReward</f>
        <v/>
      </c>
      <c r="KQ33" s="12">
        <f>JK33</f>
        <v/>
      </c>
      <c r="KR33" s="9">
        <f>KH33-KL33-KM33-KN33-KO33-KP33-KQ33</f>
        <v/>
      </c>
      <c r="KS33" s="9">
        <f>KS32+KE33-(KL33+KM33+KN33+KO33+KP33+KQ33+KJ33)</f>
        <v/>
      </c>
      <c r="KT33" s="12">
        <f>IF(JY33&gt;0,JZ33/JY33,0)</f>
        <v/>
      </c>
      <c r="KU33" s="11">
        <f>IF(JY32&gt;0,MAX(0,(JY32+JN33-JY33)/JY32),0)</f>
        <v/>
      </c>
      <c r="KW33" s="12" t="n">
        <v>29</v>
      </c>
      <c r="KX33" s="12">
        <f>MOD(KW33-1+LaunchMonth-1,12)+1</f>
        <v/>
      </c>
      <c r="KY33" s="12">
        <f>INT((KW33-1+LaunchMonth-1)/12)+1</f>
        <v/>
      </c>
      <c r="KZ33" s="12">
        <f>VLOOKUP(KX33,SeasonTable,2,FALSE)</f>
        <v/>
      </c>
      <c r="LA33" s="12">
        <f>(1+InflationRate)^INT((KW33-1)/12)</f>
        <v/>
      </c>
      <c r="LB33" s="11">
        <f>'Sens - Churn'!$A$17*VLOOKUP(KX33,ChurnSeasonTable,4,FALSE)</f>
        <v/>
      </c>
      <c r="LC33" s="12">
        <f>MIN(MAX(MktMin19plus,LW32*MktPct19plus),MAX(0,MK32-CashBuffer))</f>
        <v/>
      </c>
      <c r="LD33" s="12">
        <f>IF(LC33&gt;0,MAX(1,ROUND(LC33/CAC*KZ33,0)),0)</f>
        <v/>
      </c>
      <c r="LE33" s="12">
        <f>IF(LD33&gt;0,ROUND(LD33*ReferralMix/(1-ReferralMix),0),0)</f>
        <v/>
      </c>
      <c r="LF33" s="12">
        <f>LD33+LE33</f>
        <v/>
      </c>
      <c r="LG33" s="12">
        <f>ROUND(LF33*(1-AnnualMix),0)</f>
        <v/>
      </c>
      <c r="LH33" s="12">
        <f>LF33-LG33</f>
        <v/>
      </c>
      <c r="LI33" s="12">
        <f>ROUND(LG33*EssentialMix,0)</f>
        <v/>
      </c>
      <c r="LJ33" s="12">
        <f>LG33-LI33</f>
        <v/>
      </c>
      <c r="LK33" s="12">
        <f>ROUND(LH33*EssentialMix,0)</f>
        <v/>
      </c>
      <c r="LL33" s="12">
        <f>LH33-LK33</f>
        <v/>
      </c>
      <c r="LM33" s="12">
        <f>LI33+LI32+LI31+MAX(0,LM32-LI32-LI31)*(1-LB33)</f>
        <v/>
      </c>
      <c r="LN33" s="12">
        <f>LJ33+LJ32+LJ31+MAX(0,LN32-LJ32-LJ31)*(1-LB33)</f>
        <v/>
      </c>
      <c r="LO33" s="12">
        <f>LO32+LK33-LK21*(AnnualChurn*VLOOKUP(KX33,ChurnSeasonTable,4,FALSE))*POWER(1-(AnnualChurn*VLOOKUP(KX33,ChurnSeasonTable,4,FALSE)),0)+LK9*(AnnualChurn*VLOOKUP(KX33,ChurnSeasonTable,4,FALSE))*POWER(1-(AnnualChurn*VLOOKUP(KX33,ChurnSeasonTable,4,FALSE)),1)</f>
        <v/>
      </c>
      <c r="LP33" s="12">
        <f>LP32+LL33-LL21*(AnnualChurn*VLOOKUP(KX33,ChurnSeasonTable,4,FALSE))*POWER(1-(AnnualChurn*VLOOKUP(KX33,ChurnSeasonTable,4,FALSE)),0)+LL9*(AnnualChurn*VLOOKUP(KX33,ChurnSeasonTable,4,FALSE))*POWER(1-(AnnualChurn*VLOOKUP(KX33,ChurnSeasonTable,4,FALSE)),1)</f>
        <v/>
      </c>
      <c r="LQ33" s="12">
        <f>LM33+LN33+LO33+LP33</f>
        <v/>
      </c>
      <c r="LR33" s="9">
        <f>LM33*PriceEssMonthly*LA33+LN33*PricePremMonthly*LA33+LO33*PriceEssAnnual*LA33/12+LP33*PricePremAnnual*LA33/12</f>
        <v/>
      </c>
      <c r="LS33" s="9">
        <f>LR33*12</f>
        <v/>
      </c>
      <c r="LT33" s="12">
        <f>LM33*PriceEssMonthly*LA33+LN33*PricePremMonthly*LA33</f>
        <v/>
      </c>
      <c r="LU33" s="12">
        <f>LK33*PriceEssAnnual*LA33+LL33*PricePremAnnual*LA33</f>
        <v/>
      </c>
      <c r="LV33" s="12">
        <f>LK21*POWER(1-(AnnualChurn*VLOOKUP(KX33,ChurnSeasonTable,4,FALSE)),1)*PriceEssAnnual*LA33+LK9*POWER(1-(AnnualChurn*VLOOKUP(KX33,ChurnSeasonTable,4,FALSE)),2)*PriceEssAnnual*LA33+LL21*POWER(1-(AnnualChurn*VLOOKUP(KX33,ChurnSeasonTable,4,FALSE)),1)*PricePremAnnual*LA33+LL9*POWER(1-(AnnualChurn*VLOOKUP(KX33,ChurnSeasonTable,4,FALSE)),2)*PricePremAnnual*LA33</f>
        <v/>
      </c>
      <c r="LW33" s="9">
        <f>LT33+LU33+LV33</f>
        <v/>
      </c>
      <c r="LX33" s="12">
        <f>SUM(LW22:LW33)</f>
        <v/>
      </c>
      <c r="LY33" s="12">
        <f>OR(LY32,LX33&gt;=VATThreshold)</f>
        <v/>
      </c>
      <c r="LZ33" s="9">
        <f>IF(LY33,LW33/(1+VATRate),LW33)</f>
        <v/>
      </c>
      <c r="MA33" s="12">
        <f>LW33-LZ33</f>
        <v/>
      </c>
      <c r="MB33" s="12">
        <f>IF(LY33=0,0,IF(KX33=1,SUMPRODUCT(--(($KY$5:$KY33=$KY33-1)*($KX$5:$KX33&gt;=10)*($KX$5:$KX33&lt;=12)),$MA$5:$MA33),IF(KX33=4,SUMPRODUCT(--(($KY$5:$KY33=$KY33)*($KX$5:$KX33&gt;=1)*($KX$5:$KX33&lt;=3)),$MA$5:$MA33),IF(KX33=7,SUMPRODUCT(--(($KY$5:$KY33=$KY33)*($KX$5:$KX33&gt;=4)*($KX$5:$KX33&lt;=6)),$MA$5:$MA33),IF(KX33=10,SUMPRODUCT(--(($KY$5:$KY33=$KY33)*($KX$5:$KX33&gt;=7)*($KX$5:$KX33&lt;=9)),$MA$5:$MA33),0)))))</f>
        <v/>
      </c>
      <c r="MC33" s="12">
        <f>MC32+MA33-MB33</f>
        <v/>
      </c>
      <c r="MD33" s="12">
        <f>IF(ProviderDelay&gt;=1,LZ32*ProviderShare,LZ33*ProviderShare)</f>
        <v/>
      </c>
      <c r="ME33" s="12">
        <f>LW33*PaymentFee</f>
        <v/>
      </c>
      <c r="MF33" s="12">
        <f>LQ33*OpsAI</f>
        <v/>
      </c>
      <c r="MG33" s="12">
        <f>MonthlyFixed</f>
        <v/>
      </c>
      <c r="MH33" s="12">
        <f>LE33*ReferralReward</f>
        <v/>
      </c>
      <c r="MI33" s="12">
        <f>LC33</f>
        <v/>
      </c>
      <c r="MJ33" s="9">
        <f>LZ33-MD33-ME33-MF33-MG33-MH33-MI33</f>
        <v/>
      </c>
      <c r="MK33" s="9">
        <f>MK32+LW33-(MD33+ME33+MF33+MG33+MH33+MI33+MB33)</f>
        <v/>
      </c>
      <c r="ML33" s="12">
        <f>IF(LQ33&gt;0,LR33/LQ33,0)</f>
        <v/>
      </c>
      <c r="MM33" s="11">
        <f>IF(LQ32&gt;0,MAX(0,(LQ32+LF33-LQ33)/LQ32),0)</f>
        <v/>
      </c>
      <c r="MO33" s="12" t="n">
        <v>29</v>
      </c>
      <c r="MP33" s="12">
        <f>MOD(MO33-1+LaunchMonth-1,12)+1</f>
        <v/>
      </c>
      <c r="MQ33" s="12">
        <f>INT((MO33-1+LaunchMonth-1)/12)+1</f>
        <v/>
      </c>
      <c r="MR33" s="12">
        <f>VLOOKUP(MP33,SeasonTable,2,FALSE)</f>
        <v/>
      </c>
      <c r="MS33" s="12">
        <f>(1+InflationRate)^INT((MO33-1)/12)</f>
        <v/>
      </c>
      <c r="MT33" s="11">
        <f>'Sens - Churn'!$A$18*VLOOKUP(MP33,ChurnSeasonTable,4,FALSE)</f>
        <v/>
      </c>
      <c r="MU33" s="12">
        <f>MIN(MAX(MktMin19plus,NO32*MktPct19plus),MAX(0,OC32-CashBuffer))</f>
        <v/>
      </c>
      <c r="MV33" s="12">
        <f>IF(MU33&gt;0,MAX(1,ROUND(MU33/CAC*MR33,0)),0)</f>
        <v/>
      </c>
      <c r="MW33" s="12">
        <f>IF(MV33&gt;0,ROUND(MV33*ReferralMix/(1-ReferralMix),0),0)</f>
        <v/>
      </c>
      <c r="MX33" s="12">
        <f>MV33+MW33</f>
        <v/>
      </c>
      <c r="MY33" s="12">
        <f>ROUND(MX33*(1-AnnualMix),0)</f>
        <v/>
      </c>
      <c r="MZ33" s="12">
        <f>MX33-MY33</f>
        <v/>
      </c>
      <c r="NA33" s="12">
        <f>ROUND(MY33*EssentialMix,0)</f>
        <v/>
      </c>
      <c r="NB33" s="12">
        <f>MY33-NA33</f>
        <v/>
      </c>
      <c r="NC33" s="12">
        <f>ROUND(MZ33*EssentialMix,0)</f>
        <v/>
      </c>
      <c r="ND33" s="12">
        <f>MZ33-NC33</f>
        <v/>
      </c>
      <c r="NE33" s="12">
        <f>NA33+NA32+NA31+MAX(0,NE32-NA32-NA31)*(1-MT33)</f>
        <v/>
      </c>
      <c r="NF33" s="12">
        <f>NB33+NB32+NB31+MAX(0,NF32-NB32-NB31)*(1-MT33)</f>
        <v/>
      </c>
      <c r="NG33" s="12">
        <f>NG32+NC33-NC21*(AnnualChurn*VLOOKUP(MP33,ChurnSeasonTable,4,FALSE))*POWER(1-(AnnualChurn*VLOOKUP(MP33,ChurnSeasonTable,4,FALSE)),0)+NC9*(AnnualChurn*VLOOKUP(MP33,ChurnSeasonTable,4,FALSE))*POWER(1-(AnnualChurn*VLOOKUP(MP33,ChurnSeasonTable,4,FALSE)),1)</f>
        <v/>
      </c>
      <c r="NH33" s="12">
        <f>NH32+ND33-ND21*(AnnualChurn*VLOOKUP(MP33,ChurnSeasonTable,4,FALSE))*POWER(1-(AnnualChurn*VLOOKUP(MP33,ChurnSeasonTable,4,FALSE)),0)+ND9*(AnnualChurn*VLOOKUP(MP33,ChurnSeasonTable,4,FALSE))*POWER(1-(AnnualChurn*VLOOKUP(MP33,ChurnSeasonTable,4,FALSE)),1)</f>
        <v/>
      </c>
      <c r="NI33" s="12">
        <f>NE33+NF33+NG33+NH33</f>
        <v/>
      </c>
      <c r="NJ33" s="9">
        <f>NE33*PriceEssMonthly*MS33+NF33*PricePremMonthly*MS33+NG33*PriceEssAnnual*MS33/12+NH33*PricePremAnnual*MS33/12</f>
        <v/>
      </c>
      <c r="NK33" s="9">
        <f>NJ33*12</f>
        <v/>
      </c>
      <c r="NL33" s="12">
        <f>NE33*PriceEssMonthly*MS33+NF33*PricePremMonthly*MS33</f>
        <v/>
      </c>
      <c r="NM33" s="12">
        <f>NC33*PriceEssAnnual*MS33+ND33*PricePremAnnual*MS33</f>
        <v/>
      </c>
      <c r="NN33" s="12">
        <f>NC21*POWER(1-(AnnualChurn*VLOOKUP(MP33,ChurnSeasonTable,4,FALSE)),1)*PriceEssAnnual*MS33+NC9*POWER(1-(AnnualChurn*VLOOKUP(MP33,ChurnSeasonTable,4,FALSE)),2)*PriceEssAnnual*MS33+ND21*POWER(1-(AnnualChurn*VLOOKUP(MP33,ChurnSeasonTable,4,FALSE)),1)*PricePremAnnual*MS33+ND9*POWER(1-(AnnualChurn*VLOOKUP(MP33,ChurnSeasonTable,4,FALSE)),2)*PricePremAnnual*MS33</f>
        <v/>
      </c>
      <c r="NO33" s="9">
        <f>NL33+NM33+NN33</f>
        <v/>
      </c>
      <c r="NP33" s="12">
        <f>SUM(NO22:NO33)</f>
        <v/>
      </c>
      <c r="NQ33" s="12">
        <f>OR(NQ32,NP33&gt;=VATThreshold)</f>
        <v/>
      </c>
      <c r="NR33" s="9">
        <f>IF(NQ33,NO33/(1+VATRate),NO33)</f>
        <v/>
      </c>
      <c r="NS33" s="12">
        <f>NO33-NR33</f>
        <v/>
      </c>
      <c r="NT33" s="12">
        <f>IF(NQ33=0,0,IF(MP33=1,SUMPRODUCT(--(($MQ$5:$MQ33=$MQ33-1)*($MP$5:$MP33&gt;=10)*($MP$5:$MP33&lt;=12)),$NS$5:$NS33),IF(MP33=4,SUMPRODUCT(--(($MQ$5:$MQ33=$MQ33)*($MP$5:$MP33&gt;=1)*($MP$5:$MP33&lt;=3)),$NS$5:$NS33),IF(MP33=7,SUMPRODUCT(--(($MQ$5:$MQ33=$MQ33)*($MP$5:$MP33&gt;=4)*($MP$5:$MP33&lt;=6)),$NS$5:$NS33),IF(MP33=10,SUMPRODUCT(--(($MQ$5:$MQ33=$MQ33)*($MP$5:$MP33&gt;=7)*($MP$5:$MP33&lt;=9)),$NS$5:$NS33),0)))))</f>
        <v/>
      </c>
      <c r="NU33" s="12">
        <f>NU32+NS33-NT33</f>
        <v/>
      </c>
      <c r="NV33" s="12">
        <f>IF(ProviderDelay&gt;=1,NR32*ProviderShare,NR33*ProviderShare)</f>
        <v/>
      </c>
      <c r="NW33" s="12">
        <f>NO33*PaymentFee</f>
        <v/>
      </c>
      <c r="NX33" s="12">
        <f>NI33*OpsAI</f>
        <v/>
      </c>
      <c r="NY33" s="12">
        <f>MonthlyFixed</f>
        <v/>
      </c>
      <c r="NZ33" s="12">
        <f>MW33*ReferralReward</f>
        <v/>
      </c>
      <c r="OA33" s="12">
        <f>MU33</f>
        <v/>
      </c>
      <c r="OB33" s="9">
        <f>NR33-NV33-NW33-NX33-NY33-NZ33-OA33</f>
        <v/>
      </c>
      <c r="OC33" s="9">
        <f>OC32+NO33-(NV33+NW33+NX33+NY33+NZ33+OA33+NT33)</f>
        <v/>
      </c>
      <c r="OD33" s="12">
        <f>IF(NI33&gt;0,NJ33/NI33,0)</f>
        <v/>
      </c>
      <c r="OE33" s="11">
        <f>IF(NI32&gt;0,MAX(0,(NI32+MX33-NI33)/NI32),0)</f>
        <v/>
      </c>
      <c r="OG33" s="12" t="n">
        <v>29</v>
      </c>
      <c r="OH33" s="12">
        <f>MOD(OG33-1+LaunchMonth-1,12)+1</f>
        <v/>
      </c>
      <c r="OI33" s="12">
        <f>INT((OG33-1+LaunchMonth-1)/12)+1</f>
        <v/>
      </c>
      <c r="OJ33" s="12">
        <f>VLOOKUP(OH33,SeasonTable,2,FALSE)</f>
        <v/>
      </c>
      <c r="OK33" s="12">
        <f>(1+InflationRate)^INT((OG33-1)/12)</f>
        <v/>
      </c>
      <c r="OL33" s="11">
        <f>'Sens - Churn'!$A$19*VLOOKUP(OH33,ChurnSeasonTable,4,FALSE)</f>
        <v/>
      </c>
      <c r="OM33" s="12">
        <f>MIN(MAX(MktMin19plus,PG32*MktPct19plus),MAX(0,PU32-CashBuffer))</f>
        <v/>
      </c>
      <c r="ON33" s="12">
        <f>IF(OM33&gt;0,MAX(1,ROUND(OM33/CAC*OJ33,0)),0)</f>
        <v/>
      </c>
      <c r="OO33" s="12">
        <f>IF(ON33&gt;0,ROUND(ON33*ReferralMix/(1-ReferralMix),0),0)</f>
        <v/>
      </c>
      <c r="OP33" s="12">
        <f>ON33+OO33</f>
        <v/>
      </c>
      <c r="OQ33" s="12">
        <f>ROUND(OP33*(1-AnnualMix),0)</f>
        <v/>
      </c>
      <c r="OR33" s="12">
        <f>OP33-OQ33</f>
        <v/>
      </c>
      <c r="OS33" s="12">
        <f>ROUND(OQ33*EssentialMix,0)</f>
        <v/>
      </c>
      <c r="OT33" s="12">
        <f>OQ33-OS33</f>
        <v/>
      </c>
      <c r="OU33" s="12">
        <f>ROUND(OR33*EssentialMix,0)</f>
        <v/>
      </c>
      <c r="OV33" s="12">
        <f>OR33-OU33</f>
        <v/>
      </c>
      <c r="OW33" s="12">
        <f>OS33+OS32+OS31+MAX(0,OW32-OS32-OS31)*(1-OL33)</f>
        <v/>
      </c>
      <c r="OX33" s="12">
        <f>OT33+OT32+OT31+MAX(0,OX32-OT32-OT31)*(1-OL33)</f>
        <v/>
      </c>
      <c r="OY33" s="12">
        <f>OY32+OU33-OU21*(AnnualChurn*VLOOKUP(OH33,ChurnSeasonTable,4,FALSE))*POWER(1-(AnnualChurn*VLOOKUP(OH33,ChurnSeasonTable,4,FALSE)),0)+OU9*(AnnualChurn*VLOOKUP(OH33,ChurnSeasonTable,4,FALSE))*POWER(1-(AnnualChurn*VLOOKUP(OH33,ChurnSeasonTable,4,FALSE)),1)</f>
        <v/>
      </c>
      <c r="OZ33" s="12">
        <f>OZ32+OV33-OV21*(AnnualChurn*VLOOKUP(OH33,ChurnSeasonTable,4,FALSE))*POWER(1-(AnnualChurn*VLOOKUP(OH33,ChurnSeasonTable,4,FALSE)),0)+OV9*(AnnualChurn*VLOOKUP(OH33,ChurnSeasonTable,4,FALSE))*POWER(1-(AnnualChurn*VLOOKUP(OH33,ChurnSeasonTable,4,FALSE)),1)</f>
        <v/>
      </c>
      <c r="PA33" s="12">
        <f>OW33+OX33+OY33+OZ33</f>
        <v/>
      </c>
      <c r="PB33" s="9">
        <f>OW33*PriceEssMonthly*OK33+OX33*PricePremMonthly*OK33+OY33*PriceEssAnnual*OK33/12+OZ33*PricePremAnnual*OK33/12</f>
        <v/>
      </c>
      <c r="PC33" s="9">
        <f>PB33*12</f>
        <v/>
      </c>
      <c r="PD33" s="12">
        <f>OW33*PriceEssMonthly*OK33+OX33*PricePremMonthly*OK33</f>
        <v/>
      </c>
      <c r="PE33" s="12">
        <f>OU33*PriceEssAnnual*OK33+OV33*PricePremAnnual*OK33</f>
        <v/>
      </c>
      <c r="PF33" s="12">
        <f>OU21*POWER(1-(AnnualChurn*VLOOKUP(OH33,ChurnSeasonTable,4,FALSE)),1)*PriceEssAnnual*OK33+OU9*POWER(1-(AnnualChurn*VLOOKUP(OH33,ChurnSeasonTable,4,FALSE)),2)*PriceEssAnnual*OK33+OV21*POWER(1-(AnnualChurn*VLOOKUP(OH33,ChurnSeasonTable,4,FALSE)),1)*PricePremAnnual*OK33+OV9*POWER(1-(AnnualChurn*VLOOKUP(OH33,ChurnSeasonTable,4,FALSE)),2)*PricePremAnnual*OK33</f>
        <v/>
      </c>
      <c r="PG33" s="9">
        <f>PD33+PE33+PF33</f>
        <v/>
      </c>
      <c r="PH33" s="12">
        <f>SUM(PG22:PG33)</f>
        <v/>
      </c>
      <c r="PI33" s="12">
        <f>OR(PI32,PH33&gt;=VATThreshold)</f>
        <v/>
      </c>
      <c r="PJ33" s="9">
        <f>IF(PI33,PG33/(1+VATRate),PG33)</f>
        <v/>
      </c>
      <c r="PK33" s="12">
        <f>PG33-PJ33</f>
        <v/>
      </c>
      <c r="PL33" s="12">
        <f>IF(PI33=0,0,IF(OH33=1,SUMPRODUCT(--(($OI$5:$OI33=$OI33-1)*($OH$5:$OH33&gt;=10)*($OH$5:$OH33&lt;=12)),$PK$5:$PK33),IF(OH33=4,SUMPRODUCT(--(($OI$5:$OI33=$OI33)*($OH$5:$OH33&gt;=1)*($OH$5:$OH33&lt;=3)),$PK$5:$PK33),IF(OH33=7,SUMPRODUCT(--(($OI$5:$OI33=$OI33)*($OH$5:$OH33&gt;=4)*($OH$5:$OH33&lt;=6)),$PK$5:$PK33),IF(OH33=10,SUMPRODUCT(--(($OI$5:$OI33=$OI33)*($OH$5:$OH33&gt;=7)*($OH$5:$OH33&lt;=9)),$PK$5:$PK33),0)))))</f>
        <v/>
      </c>
      <c r="PM33" s="12">
        <f>PM32+PK33-PL33</f>
        <v/>
      </c>
      <c r="PN33" s="12">
        <f>IF(ProviderDelay&gt;=1,PJ32*ProviderShare,PJ33*ProviderShare)</f>
        <v/>
      </c>
      <c r="PO33" s="12">
        <f>PG33*PaymentFee</f>
        <v/>
      </c>
      <c r="PP33" s="12">
        <f>PA33*OpsAI</f>
        <v/>
      </c>
      <c r="PQ33" s="12">
        <f>MonthlyFixed</f>
        <v/>
      </c>
      <c r="PR33" s="12">
        <f>OO33*ReferralReward</f>
        <v/>
      </c>
      <c r="PS33" s="12">
        <f>OM33</f>
        <v/>
      </c>
      <c r="PT33" s="9">
        <f>PJ33-PN33-PO33-PP33-PQ33-PR33-PS33</f>
        <v/>
      </c>
      <c r="PU33" s="9">
        <f>PU32+PG33-(PN33+PO33+PP33+PQ33+PR33+PS33+PL33)</f>
        <v/>
      </c>
      <c r="PV33" s="12">
        <f>IF(PA33&gt;0,PB33/PA33,0)</f>
        <v/>
      </c>
      <c r="PW33" s="11">
        <f>IF(PA32&gt;0,MAX(0,(PA32+OP33-PA33)/PA32),0)</f>
        <v/>
      </c>
      <c r="PY33" s="12" t="n">
        <v>29</v>
      </c>
      <c r="PZ33" s="12">
        <f>MOD(PY33-1+LaunchMonth-1,12)+1</f>
        <v/>
      </c>
      <c r="QA33" s="12">
        <f>INT((PY33-1+LaunchMonth-1)/12)+1</f>
        <v/>
      </c>
      <c r="QB33" s="12">
        <f>VLOOKUP(PZ33,SeasonTable,2,FALSE)</f>
        <v/>
      </c>
      <c r="QC33" s="12">
        <f>(1+InflationRate)^INT((PY33-1)/12)</f>
        <v/>
      </c>
      <c r="QD33" s="11">
        <f>'Sens - Churn'!$A$20*VLOOKUP(PZ33,ChurnSeasonTable,4,FALSE)</f>
        <v/>
      </c>
      <c r="QE33" s="12">
        <f>MIN(MAX(MktMin19plus,QY32*MktPct19plus),MAX(0,RM32-CashBuffer))</f>
        <v/>
      </c>
      <c r="QF33" s="12">
        <f>IF(QE33&gt;0,MAX(1,ROUND(QE33/CAC*QB33,0)),0)</f>
        <v/>
      </c>
      <c r="QG33" s="12">
        <f>IF(QF33&gt;0,ROUND(QF33*ReferralMix/(1-ReferralMix),0),0)</f>
        <v/>
      </c>
      <c r="QH33" s="12">
        <f>QF33+QG33</f>
        <v/>
      </c>
      <c r="QI33" s="12">
        <f>ROUND(QH33*(1-AnnualMix),0)</f>
        <v/>
      </c>
      <c r="QJ33" s="12">
        <f>QH33-QI33</f>
        <v/>
      </c>
      <c r="QK33" s="12">
        <f>ROUND(QI33*EssentialMix,0)</f>
        <v/>
      </c>
      <c r="QL33" s="12">
        <f>QI33-QK33</f>
        <v/>
      </c>
      <c r="QM33" s="12">
        <f>ROUND(QJ33*EssentialMix,0)</f>
        <v/>
      </c>
      <c r="QN33" s="12">
        <f>QJ33-QM33</f>
        <v/>
      </c>
      <c r="QO33" s="12">
        <f>QK33+QK32+QK31+MAX(0,QO32-QK32-QK31)*(1-QD33)</f>
        <v/>
      </c>
      <c r="QP33" s="12">
        <f>QL33+QL32+QL31+MAX(0,QP32-QL32-QL31)*(1-QD33)</f>
        <v/>
      </c>
      <c r="QQ33" s="12">
        <f>QQ32+QM33-QM21*(AnnualChurn*VLOOKUP(PZ33,ChurnSeasonTable,4,FALSE))*POWER(1-(AnnualChurn*VLOOKUP(PZ33,ChurnSeasonTable,4,FALSE)),0)+QM9*(AnnualChurn*VLOOKUP(PZ33,ChurnSeasonTable,4,FALSE))*POWER(1-(AnnualChurn*VLOOKUP(PZ33,ChurnSeasonTable,4,FALSE)),1)</f>
        <v/>
      </c>
      <c r="QR33" s="12">
        <f>QR32+QN33-QN21*(AnnualChurn*VLOOKUP(PZ33,ChurnSeasonTable,4,FALSE))*POWER(1-(AnnualChurn*VLOOKUP(PZ33,ChurnSeasonTable,4,FALSE)),0)+QN9*(AnnualChurn*VLOOKUP(PZ33,ChurnSeasonTable,4,FALSE))*POWER(1-(AnnualChurn*VLOOKUP(PZ33,ChurnSeasonTable,4,FALSE)),1)</f>
        <v/>
      </c>
      <c r="QS33" s="12">
        <f>QO33+QP33+QQ33+QR33</f>
        <v/>
      </c>
      <c r="QT33" s="9">
        <f>QO33*PriceEssMonthly*QC33+QP33*PricePremMonthly*QC33+QQ33*PriceEssAnnual*QC33/12+QR33*PricePremAnnual*QC33/12</f>
        <v/>
      </c>
      <c r="QU33" s="9">
        <f>QT33*12</f>
        <v/>
      </c>
      <c r="QV33" s="12">
        <f>QO33*PriceEssMonthly*QC33+QP33*PricePremMonthly*QC33</f>
        <v/>
      </c>
      <c r="QW33" s="12">
        <f>QM33*PriceEssAnnual*QC33+QN33*PricePremAnnual*QC33</f>
        <v/>
      </c>
      <c r="QX33" s="12">
        <f>QM21*POWER(1-(AnnualChurn*VLOOKUP(PZ33,ChurnSeasonTable,4,FALSE)),1)*PriceEssAnnual*QC33+QM9*POWER(1-(AnnualChurn*VLOOKUP(PZ33,ChurnSeasonTable,4,FALSE)),2)*PriceEssAnnual*QC33+QN21*POWER(1-(AnnualChurn*VLOOKUP(PZ33,ChurnSeasonTable,4,FALSE)),1)*PricePremAnnual*QC33+QN9*POWER(1-(AnnualChurn*VLOOKUP(PZ33,ChurnSeasonTable,4,FALSE)),2)*PricePremAnnual*QC33</f>
        <v/>
      </c>
      <c r="QY33" s="9">
        <f>QV33+QW33+QX33</f>
        <v/>
      </c>
      <c r="QZ33" s="12">
        <f>SUM(QY22:QY33)</f>
        <v/>
      </c>
      <c r="RA33" s="12">
        <f>OR(RA32,QZ33&gt;=VATThreshold)</f>
        <v/>
      </c>
      <c r="RB33" s="9">
        <f>IF(RA33,QY33/(1+VATRate),QY33)</f>
        <v/>
      </c>
      <c r="RC33" s="12">
        <f>QY33-RB33</f>
        <v/>
      </c>
      <c r="RD33" s="12">
        <f>IF(RA33=0,0,IF(PZ33=1,SUMPRODUCT(--(($QA$5:$QA33=$QA33-1)*($PZ$5:$PZ33&gt;=10)*($PZ$5:$PZ33&lt;=12)),$RC$5:$RC33),IF(PZ33=4,SUMPRODUCT(--(($QA$5:$QA33=$QA33)*($PZ$5:$PZ33&gt;=1)*($PZ$5:$PZ33&lt;=3)),$RC$5:$RC33),IF(PZ33=7,SUMPRODUCT(--(($QA$5:$QA33=$QA33)*($PZ$5:$PZ33&gt;=4)*($PZ$5:$PZ33&lt;=6)),$RC$5:$RC33),IF(PZ33=10,SUMPRODUCT(--(($QA$5:$QA33=$QA33)*($PZ$5:$PZ33&gt;=7)*($PZ$5:$PZ33&lt;=9)),$RC$5:$RC33),0)))))</f>
        <v/>
      </c>
      <c r="RE33" s="12">
        <f>RE32+RC33-RD33</f>
        <v/>
      </c>
      <c r="RF33" s="12">
        <f>IF(ProviderDelay&gt;=1,RB32*ProviderShare,RB33*ProviderShare)</f>
        <v/>
      </c>
      <c r="RG33" s="12">
        <f>QY33*PaymentFee</f>
        <v/>
      </c>
      <c r="RH33" s="12">
        <f>QS33*OpsAI</f>
        <v/>
      </c>
      <c r="RI33" s="12">
        <f>MonthlyFixed</f>
        <v/>
      </c>
      <c r="RJ33" s="12">
        <f>QG33*ReferralReward</f>
        <v/>
      </c>
      <c r="RK33" s="12">
        <f>QE33</f>
        <v/>
      </c>
      <c r="RL33" s="9">
        <f>RB33-RF33-RG33-RH33-RI33-RJ33-RK33</f>
        <v/>
      </c>
      <c r="RM33" s="9">
        <f>RM32+QY33-(RF33+RG33+RH33+RI33+RJ33+RK33+RD33)</f>
        <v/>
      </c>
      <c r="RN33" s="12">
        <f>IF(QS33&gt;0,QT33/QS33,0)</f>
        <v/>
      </c>
      <c r="RO33" s="11">
        <f>IF(QS32&gt;0,MAX(0,(QS32+QH33-QS33)/QS32),0)</f>
        <v/>
      </c>
      <c r="RQ33" s="12" t="n">
        <v>29</v>
      </c>
      <c r="RR33" s="12">
        <f>MOD(RQ33-1+LaunchMonth-1,12)+1</f>
        <v/>
      </c>
      <c r="RS33" s="12">
        <f>INT((RQ33-1+LaunchMonth-1)/12)+1</f>
        <v/>
      </c>
      <c r="RT33" s="12">
        <f>VLOOKUP(RR33,SeasonTable,2,FALSE)</f>
        <v/>
      </c>
      <c r="RU33" s="12">
        <f>(1+InflationRate)^INT((RQ33-1)/12)</f>
        <v/>
      </c>
      <c r="RV33" s="11">
        <f>'Sens - Churn'!$A$21*VLOOKUP(RR33,ChurnSeasonTable,4,FALSE)</f>
        <v/>
      </c>
      <c r="RW33" s="12">
        <f>MIN(MAX(MktMin19plus,SQ32*MktPct19plus),MAX(0,TE32-CashBuffer))</f>
        <v/>
      </c>
      <c r="RX33" s="12">
        <f>IF(RW33&gt;0,MAX(1,ROUND(RW33/CAC*RT33,0)),0)</f>
        <v/>
      </c>
      <c r="RY33" s="12">
        <f>IF(RX33&gt;0,ROUND(RX33*ReferralMix/(1-ReferralMix),0),0)</f>
        <v/>
      </c>
      <c r="RZ33" s="12">
        <f>RX33+RY33</f>
        <v/>
      </c>
      <c r="SA33" s="12">
        <f>ROUND(RZ33*(1-AnnualMix),0)</f>
        <v/>
      </c>
      <c r="SB33" s="12">
        <f>RZ33-SA33</f>
        <v/>
      </c>
      <c r="SC33" s="12">
        <f>ROUND(SA33*EssentialMix,0)</f>
        <v/>
      </c>
      <c r="SD33" s="12">
        <f>SA33-SC33</f>
        <v/>
      </c>
      <c r="SE33" s="12">
        <f>ROUND(SB33*EssentialMix,0)</f>
        <v/>
      </c>
      <c r="SF33" s="12">
        <f>SB33-SE33</f>
        <v/>
      </c>
      <c r="SG33" s="12">
        <f>SC33+SC32+SC31+MAX(0,SG32-SC32-SC31)*(1-RV33)</f>
        <v/>
      </c>
      <c r="SH33" s="12">
        <f>SD33+SD32+SD31+MAX(0,SH32-SD32-SD31)*(1-RV33)</f>
        <v/>
      </c>
      <c r="SI33" s="12">
        <f>SI32+SE33-SE21*(AnnualChurn*VLOOKUP(RR33,ChurnSeasonTable,4,FALSE))*POWER(1-(AnnualChurn*VLOOKUP(RR33,ChurnSeasonTable,4,FALSE)),0)+SE9*(AnnualChurn*VLOOKUP(RR33,ChurnSeasonTable,4,FALSE))*POWER(1-(AnnualChurn*VLOOKUP(RR33,ChurnSeasonTable,4,FALSE)),1)</f>
        <v/>
      </c>
      <c r="SJ33" s="12">
        <f>SJ32+SF33-SF21*(AnnualChurn*VLOOKUP(RR33,ChurnSeasonTable,4,FALSE))*POWER(1-(AnnualChurn*VLOOKUP(RR33,ChurnSeasonTable,4,FALSE)),0)+SF9*(AnnualChurn*VLOOKUP(RR33,ChurnSeasonTable,4,FALSE))*POWER(1-(AnnualChurn*VLOOKUP(RR33,ChurnSeasonTable,4,FALSE)),1)</f>
        <v/>
      </c>
      <c r="SK33" s="12">
        <f>SG33+SH33+SI33+SJ33</f>
        <v/>
      </c>
      <c r="SL33" s="9">
        <f>SG33*PriceEssMonthly*RU33+SH33*PricePremMonthly*RU33+SI33*PriceEssAnnual*RU33/12+SJ33*PricePremAnnual*RU33/12</f>
        <v/>
      </c>
      <c r="SM33" s="9">
        <f>SL33*12</f>
        <v/>
      </c>
      <c r="SN33" s="12">
        <f>SG33*PriceEssMonthly*RU33+SH33*PricePremMonthly*RU33</f>
        <v/>
      </c>
      <c r="SO33" s="12">
        <f>SE33*PriceEssAnnual*RU33+SF33*PricePremAnnual*RU33</f>
        <v/>
      </c>
      <c r="SP33" s="12">
        <f>SE21*POWER(1-(AnnualChurn*VLOOKUP(RR33,ChurnSeasonTable,4,FALSE)),1)*PriceEssAnnual*RU33+SE9*POWER(1-(AnnualChurn*VLOOKUP(RR33,ChurnSeasonTable,4,FALSE)),2)*PriceEssAnnual*RU33+SF21*POWER(1-(AnnualChurn*VLOOKUP(RR33,ChurnSeasonTable,4,FALSE)),1)*PricePremAnnual*RU33+SF9*POWER(1-(AnnualChurn*VLOOKUP(RR33,ChurnSeasonTable,4,FALSE)),2)*PricePremAnnual*RU33</f>
        <v/>
      </c>
      <c r="SQ33" s="9">
        <f>SN33+SO33+SP33</f>
        <v/>
      </c>
      <c r="SR33" s="12">
        <f>SUM(SQ22:SQ33)</f>
        <v/>
      </c>
      <c r="SS33" s="12">
        <f>OR(SS32,SR33&gt;=VATThreshold)</f>
        <v/>
      </c>
      <c r="ST33" s="9">
        <f>IF(SS33,SQ33/(1+VATRate),SQ33)</f>
        <v/>
      </c>
      <c r="SU33" s="12">
        <f>SQ33-ST33</f>
        <v/>
      </c>
      <c r="SV33" s="12">
        <f>IF(SS33=0,0,IF(RR33=1,SUMPRODUCT(--(($RS$5:$RS33=$RS33-1)*($RR$5:$RR33&gt;=10)*($RR$5:$RR33&lt;=12)),$SU$5:$SU33),IF(RR33=4,SUMPRODUCT(--(($RS$5:$RS33=$RS33)*($RR$5:$RR33&gt;=1)*($RR$5:$RR33&lt;=3)),$SU$5:$SU33),IF(RR33=7,SUMPRODUCT(--(($RS$5:$RS33=$RS33)*($RR$5:$RR33&gt;=4)*($RR$5:$RR33&lt;=6)),$SU$5:$SU33),IF(RR33=10,SUMPRODUCT(--(($RS$5:$RS33=$RS33)*($RR$5:$RR33&gt;=7)*($RR$5:$RR33&lt;=9)),$SU$5:$SU33),0)))))</f>
        <v/>
      </c>
      <c r="SW33" s="12">
        <f>SW32+SU33-SV33</f>
        <v/>
      </c>
      <c r="SX33" s="12">
        <f>IF(ProviderDelay&gt;=1,ST32*ProviderShare,ST33*ProviderShare)</f>
        <v/>
      </c>
      <c r="SY33" s="12">
        <f>SQ33*PaymentFee</f>
        <v/>
      </c>
      <c r="SZ33" s="12">
        <f>SK33*OpsAI</f>
        <v/>
      </c>
      <c r="TA33" s="12">
        <f>MonthlyFixed</f>
        <v/>
      </c>
      <c r="TB33" s="12">
        <f>RY33*ReferralReward</f>
        <v/>
      </c>
      <c r="TC33" s="12">
        <f>RW33</f>
        <v/>
      </c>
      <c r="TD33" s="9">
        <f>ST33-SX33-SY33-SZ33-TA33-TB33-TC33</f>
        <v/>
      </c>
      <c r="TE33" s="9">
        <f>TE32+SQ33-(SX33+SY33+SZ33+TA33+TB33+TC33+SV33)</f>
        <v/>
      </c>
      <c r="TF33" s="12">
        <f>IF(SK33&gt;0,SL33/SK33,0)</f>
        <v/>
      </c>
      <c r="TG33" s="11">
        <f>IF(SK32&gt;0,MAX(0,(SK32+RZ33-SK33)/SK32),0)</f>
        <v/>
      </c>
      <c r="TI33" s="12" t="n">
        <v>29</v>
      </c>
      <c r="TJ33" s="12">
        <f>MOD(TI33-1+LaunchMonth-1,12)+1</f>
        <v/>
      </c>
      <c r="TK33" s="12">
        <f>INT((TI33-1+LaunchMonth-1)/12)+1</f>
        <v/>
      </c>
      <c r="TL33" s="12">
        <f>VLOOKUP(TJ33,SeasonTable,2,FALSE)</f>
        <v/>
      </c>
      <c r="TM33" s="12">
        <f>(1+InflationRate)^INT((TI33-1)/12)</f>
        <v/>
      </c>
      <c r="TN33" s="11">
        <f>MonthlyChurn*VLOOKUP(TJ33,ChurnSeasonTable,4,FALSE)</f>
        <v/>
      </c>
      <c r="TO33" s="12">
        <f>MIN(MAX(MktMin19plus,UI32*MktPct19plus),MAX(0,UW32-CashBuffer))</f>
        <v/>
      </c>
      <c r="TP33" s="12">
        <f>IF(TO33&gt;0,MAX(1,ROUND(TO33/CAC*TL33,0)),0)</f>
        <v/>
      </c>
      <c r="TQ33" s="12">
        <f>IF(TP33&gt;0,ROUND(TP33*ReferralMix/(1-ReferralMix),0),0)</f>
        <v/>
      </c>
      <c r="TR33" s="12">
        <f>TP33+TQ33</f>
        <v/>
      </c>
      <c r="TS33" s="12">
        <f>ROUND(TR33*(1-'Sens - Annual Mix'!$A$9),0)</f>
        <v/>
      </c>
      <c r="TT33" s="12">
        <f>TR33-TS33</f>
        <v/>
      </c>
      <c r="TU33" s="12">
        <f>ROUND(TS33*EssentialMix,0)</f>
        <v/>
      </c>
      <c r="TV33" s="12">
        <f>TS33-TU33</f>
        <v/>
      </c>
      <c r="TW33" s="12">
        <f>ROUND(TT33*EssentialMix,0)</f>
        <v/>
      </c>
      <c r="TX33" s="12">
        <f>TT33-TW33</f>
        <v/>
      </c>
      <c r="TY33" s="12">
        <f>TU33+TU32+TU31+MAX(0,TY32-TU32-TU31)*(1-TN33)</f>
        <v/>
      </c>
      <c r="TZ33" s="12">
        <f>TV33+TV32+TV31+MAX(0,TZ32-TV32-TV31)*(1-TN33)</f>
        <v/>
      </c>
      <c r="UA33" s="12">
        <f>UA32+TW33-TW21*(AnnualChurn*VLOOKUP(TJ33,ChurnSeasonTable,4,FALSE))*POWER(1-(AnnualChurn*VLOOKUP(TJ33,ChurnSeasonTable,4,FALSE)),0)+TW9*(AnnualChurn*VLOOKUP(TJ33,ChurnSeasonTable,4,FALSE))*POWER(1-(AnnualChurn*VLOOKUP(TJ33,ChurnSeasonTable,4,FALSE)),1)</f>
        <v/>
      </c>
      <c r="UB33" s="12">
        <f>UB32+TX33-TX21*(AnnualChurn*VLOOKUP(TJ33,ChurnSeasonTable,4,FALSE))*POWER(1-(AnnualChurn*VLOOKUP(TJ33,ChurnSeasonTable,4,FALSE)),0)+TX9*(AnnualChurn*VLOOKUP(TJ33,ChurnSeasonTable,4,FALSE))*POWER(1-(AnnualChurn*VLOOKUP(TJ33,ChurnSeasonTable,4,FALSE)),1)</f>
        <v/>
      </c>
      <c r="UC33" s="12">
        <f>TY33+TZ33+UA33+UB33</f>
        <v/>
      </c>
      <c r="UD33" s="9">
        <f>TY33*PriceEssMonthly*TM33+TZ33*PricePremMonthly*TM33+UA33*PriceEssAnnual*TM33/12+UB33*PricePremAnnual*TM33/12</f>
        <v/>
      </c>
      <c r="UE33" s="9">
        <f>UD33*12</f>
        <v/>
      </c>
      <c r="UF33" s="12">
        <f>TY33*PriceEssMonthly*TM33+TZ33*PricePremMonthly*TM33</f>
        <v/>
      </c>
      <c r="UG33" s="12">
        <f>TW33*PriceEssAnnual*TM33+TX33*PricePremAnnual*TM33</f>
        <v/>
      </c>
      <c r="UH33" s="12">
        <f>TW21*POWER(1-(AnnualChurn*VLOOKUP(TJ33,ChurnSeasonTable,4,FALSE)),1)*PriceEssAnnual*TM33+TW9*POWER(1-(AnnualChurn*VLOOKUP(TJ33,ChurnSeasonTable,4,FALSE)),2)*PriceEssAnnual*TM33+TX21*POWER(1-(AnnualChurn*VLOOKUP(TJ33,ChurnSeasonTable,4,FALSE)),1)*PricePremAnnual*TM33+TX9*POWER(1-(AnnualChurn*VLOOKUP(TJ33,ChurnSeasonTable,4,FALSE)),2)*PricePremAnnual*TM33</f>
        <v/>
      </c>
      <c r="UI33" s="9">
        <f>UF33+UG33+UH33</f>
        <v/>
      </c>
      <c r="UJ33" s="12">
        <f>SUM(UI22:UI33)</f>
        <v/>
      </c>
      <c r="UK33" s="12">
        <f>OR(UK32,UJ33&gt;=VATThreshold)</f>
        <v/>
      </c>
      <c r="UL33" s="9">
        <f>IF(UK33,UI33/(1+VATRate),UI33)</f>
        <v/>
      </c>
      <c r="UM33" s="12">
        <f>UI33-UL33</f>
        <v/>
      </c>
      <c r="UN33" s="12">
        <f>IF(UK33=0,0,IF(TJ33=1,SUMPRODUCT(--(($TK$5:$TK33=$TK33-1)*($TJ$5:$TJ33&gt;=10)*($TJ$5:$TJ33&lt;=12)),$UM$5:$UM33),IF(TJ33=4,SUMPRODUCT(--(($TK$5:$TK33=$TK33)*($TJ$5:$TJ33&gt;=1)*($TJ$5:$TJ33&lt;=3)),$UM$5:$UM33),IF(TJ33=7,SUMPRODUCT(--(($TK$5:$TK33=$TK33)*($TJ$5:$TJ33&gt;=4)*($TJ$5:$TJ33&lt;=6)),$UM$5:$UM33),IF(TJ33=10,SUMPRODUCT(--(($TK$5:$TK33=$TK33)*($TJ$5:$TJ33&gt;=7)*($TJ$5:$TJ33&lt;=9)),$UM$5:$UM33),0)))))</f>
        <v/>
      </c>
      <c r="UO33" s="12">
        <f>UO32+UM33-UN33</f>
        <v/>
      </c>
      <c r="UP33" s="12">
        <f>IF(ProviderDelay&gt;=1,UL32*ProviderShare,UL33*ProviderShare)</f>
        <v/>
      </c>
      <c r="UQ33" s="12">
        <f>UI33*PaymentFee</f>
        <v/>
      </c>
      <c r="UR33" s="12">
        <f>UC33*OpsAI</f>
        <v/>
      </c>
      <c r="US33" s="12">
        <f>MonthlyFixed</f>
        <v/>
      </c>
      <c r="UT33" s="12">
        <f>TQ33*ReferralReward</f>
        <v/>
      </c>
      <c r="UU33" s="12">
        <f>TO33</f>
        <v/>
      </c>
      <c r="UV33" s="9">
        <f>UL33-UP33-UQ33-UR33-US33-UT33-UU33</f>
        <v/>
      </c>
      <c r="UW33" s="9">
        <f>UW32+UI33-(UP33+UQ33+UR33+US33+UT33+UU33+UN33)</f>
        <v/>
      </c>
      <c r="UX33" s="12">
        <f>IF(UC33&gt;0,UD33/UC33,0)</f>
        <v/>
      </c>
      <c r="UY33" s="11">
        <f>IF(UC32&gt;0,MAX(0,(UC32+TR33-UC33)/UC32),0)</f>
        <v/>
      </c>
      <c r="VA33" s="12" t="n">
        <v>29</v>
      </c>
      <c r="VB33" s="12">
        <f>MOD(VA33-1+LaunchMonth-1,12)+1</f>
        <v/>
      </c>
      <c r="VC33" s="12">
        <f>INT((VA33-1+LaunchMonth-1)/12)+1</f>
        <v/>
      </c>
      <c r="VD33" s="12">
        <f>VLOOKUP(VB33,SeasonTable,2,FALSE)</f>
        <v/>
      </c>
      <c r="VE33" s="12">
        <f>(1+InflationRate)^INT((VA33-1)/12)</f>
        <v/>
      </c>
      <c r="VF33" s="11">
        <f>MonthlyChurn*VLOOKUP(VB33,ChurnSeasonTable,4,FALSE)</f>
        <v/>
      </c>
      <c r="VG33" s="12">
        <f>MIN(MAX(MktMin19plus,WA32*MktPct19plus),MAX(0,WO32-CashBuffer))</f>
        <v/>
      </c>
      <c r="VH33" s="12">
        <f>IF(VG33&gt;0,MAX(1,ROUND(VG33/CAC*VD33,0)),0)</f>
        <v/>
      </c>
      <c r="VI33" s="12">
        <f>IF(VH33&gt;0,ROUND(VH33*ReferralMix/(1-ReferralMix),0),0)</f>
        <v/>
      </c>
      <c r="VJ33" s="12">
        <f>VH33+VI33</f>
        <v/>
      </c>
      <c r="VK33" s="12">
        <f>ROUND(VJ33*(1-'Sens - Annual Mix'!$A$10),0)</f>
        <v/>
      </c>
      <c r="VL33" s="12">
        <f>VJ33-VK33</f>
        <v/>
      </c>
      <c r="VM33" s="12">
        <f>ROUND(VK33*EssentialMix,0)</f>
        <v/>
      </c>
      <c r="VN33" s="12">
        <f>VK33-VM33</f>
        <v/>
      </c>
      <c r="VO33" s="12">
        <f>ROUND(VL33*EssentialMix,0)</f>
        <v/>
      </c>
      <c r="VP33" s="12">
        <f>VL33-VO33</f>
        <v/>
      </c>
      <c r="VQ33" s="12">
        <f>VM33+VM32+VM31+MAX(0,VQ32-VM32-VM31)*(1-VF33)</f>
        <v/>
      </c>
      <c r="VR33" s="12">
        <f>VN33+VN32+VN31+MAX(0,VR32-VN32-VN31)*(1-VF33)</f>
        <v/>
      </c>
      <c r="VS33" s="12">
        <f>VS32+VO33-VO21*(AnnualChurn*VLOOKUP(VB33,ChurnSeasonTable,4,FALSE))*POWER(1-(AnnualChurn*VLOOKUP(VB33,ChurnSeasonTable,4,FALSE)),0)+VO9*(AnnualChurn*VLOOKUP(VB33,ChurnSeasonTable,4,FALSE))*POWER(1-(AnnualChurn*VLOOKUP(VB33,ChurnSeasonTable,4,FALSE)),1)</f>
        <v/>
      </c>
      <c r="VT33" s="12">
        <f>VT32+VP33-VP21*(AnnualChurn*VLOOKUP(VB33,ChurnSeasonTable,4,FALSE))*POWER(1-(AnnualChurn*VLOOKUP(VB33,ChurnSeasonTable,4,FALSE)),0)+VP9*(AnnualChurn*VLOOKUP(VB33,ChurnSeasonTable,4,FALSE))*POWER(1-(AnnualChurn*VLOOKUP(VB33,ChurnSeasonTable,4,FALSE)),1)</f>
        <v/>
      </c>
      <c r="VU33" s="12">
        <f>VQ33+VR33+VS33+VT33</f>
        <v/>
      </c>
      <c r="VV33" s="9">
        <f>VQ33*PriceEssMonthly*VE33+VR33*PricePremMonthly*VE33+VS33*PriceEssAnnual*VE33/12+VT33*PricePremAnnual*VE33/12</f>
        <v/>
      </c>
      <c r="VW33" s="9">
        <f>VV33*12</f>
        <v/>
      </c>
      <c r="VX33" s="12">
        <f>VQ33*PriceEssMonthly*VE33+VR33*PricePremMonthly*VE33</f>
        <v/>
      </c>
      <c r="VY33" s="12">
        <f>VO33*PriceEssAnnual*VE33+VP33*PricePremAnnual*VE33</f>
        <v/>
      </c>
      <c r="VZ33" s="12">
        <f>VO21*POWER(1-(AnnualChurn*VLOOKUP(VB33,ChurnSeasonTable,4,FALSE)),1)*PriceEssAnnual*VE33+VO9*POWER(1-(AnnualChurn*VLOOKUP(VB33,ChurnSeasonTable,4,FALSE)),2)*PriceEssAnnual*VE33+VP21*POWER(1-(AnnualChurn*VLOOKUP(VB33,ChurnSeasonTable,4,FALSE)),1)*PricePremAnnual*VE33+VP9*POWER(1-(AnnualChurn*VLOOKUP(VB33,ChurnSeasonTable,4,FALSE)),2)*PricePremAnnual*VE33</f>
        <v/>
      </c>
      <c r="WA33" s="9">
        <f>VX33+VY33+VZ33</f>
        <v/>
      </c>
      <c r="WB33" s="12">
        <f>SUM(WA22:WA33)</f>
        <v/>
      </c>
      <c r="WC33" s="12">
        <f>OR(WC32,WB33&gt;=VATThreshold)</f>
        <v/>
      </c>
      <c r="WD33" s="9">
        <f>IF(WC33,WA33/(1+VATRate),WA33)</f>
        <v/>
      </c>
      <c r="WE33" s="12">
        <f>WA33-WD33</f>
        <v/>
      </c>
      <c r="WF33" s="12">
        <f>IF(WC33=0,0,IF(VB33=1,SUMPRODUCT(--(($VC$5:$VC33=$VC33-1)*($VB$5:$VB33&gt;=10)*($VB$5:$VB33&lt;=12)),$WE$5:$WE33),IF(VB33=4,SUMPRODUCT(--(($VC$5:$VC33=$VC33)*($VB$5:$VB33&gt;=1)*($VB$5:$VB33&lt;=3)),$WE$5:$WE33),IF(VB33=7,SUMPRODUCT(--(($VC$5:$VC33=$VC33)*($VB$5:$VB33&gt;=4)*($VB$5:$VB33&lt;=6)),$WE$5:$WE33),IF(VB33=10,SUMPRODUCT(--(($VC$5:$VC33=$VC33)*($VB$5:$VB33&gt;=7)*($VB$5:$VB33&lt;=9)),$WE$5:$WE33),0)))))</f>
        <v/>
      </c>
      <c r="WG33" s="12">
        <f>WG32+WE33-WF33</f>
        <v/>
      </c>
      <c r="WH33" s="12">
        <f>IF(ProviderDelay&gt;=1,WD32*ProviderShare,WD33*ProviderShare)</f>
        <v/>
      </c>
      <c r="WI33" s="12">
        <f>WA33*PaymentFee</f>
        <v/>
      </c>
      <c r="WJ33" s="12">
        <f>VU33*OpsAI</f>
        <v/>
      </c>
      <c r="WK33" s="12">
        <f>MonthlyFixed</f>
        <v/>
      </c>
      <c r="WL33" s="12">
        <f>VI33*ReferralReward</f>
        <v/>
      </c>
      <c r="WM33" s="12">
        <f>VG33</f>
        <v/>
      </c>
      <c r="WN33" s="9">
        <f>WD33-WH33-WI33-WJ33-WK33-WL33-WM33</f>
        <v/>
      </c>
      <c r="WO33" s="9">
        <f>WO32+WA33-(WH33+WI33+WJ33+WK33+WL33+WM33+WF33)</f>
        <v/>
      </c>
      <c r="WP33" s="12">
        <f>IF(VU33&gt;0,VV33/VU33,0)</f>
        <v/>
      </c>
      <c r="WQ33" s="11">
        <f>IF(VU32&gt;0,MAX(0,(VU32+VJ33-VU33)/VU32),0)</f>
        <v/>
      </c>
      <c r="WS33" s="12" t="n">
        <v>29</v>
      </c>
      <c r="WT33" s="12">
        <f>MOD(WS33-1+LaunchMonth-1,12)+1</f>
        <v/>
      </c>
      <c r="WU33" s="12">
        <f>INT((WS33-1+LaunchMonth-1)/12)+1</f>
        <v/>
      </c>
      <c r="WV33" s="12">
        <f>VLOOKUP(WT33,SeasonTable,2,FALSE)</f>
        <v/>
      </c>
      <c r="WW33" s="12">
        <f>(1+InflationRate)^INT((WS33-1)/12)</f>
        <v/>
      </c>
      <c r="WX33" s="11">
        <f>MonthlyChurn*VLOOKUP(WT33,ChurnSeasonTable,4,FALSE)</f>
        <v/>
      </c>
      <c r="WY33" s="12">
        <f>MIN(MAX(MktMin19plus,XS32*MktPct19plus),MAX(0,YG32-CashBuffer))</f>
        <v/>
      </c>
      <c r="WZ33" s="12">
        <f>IF(WY33&gt;0,MAX(1,ROUND(WY33/CAC*WV33,0)),0)</f>
        <v/>
      </c>
      <c r="XA33" s="12">
        <f>IF(WZ33&gt;0,ROUND(WZ33*ReferralMix/(1-ReferralMix),0),0)</f>
        <v/>
      </c>
      <c r="XB33" s="12">
        <f>WZ33+XA33</f>
        <v/>
      </c>
      <c r="XC33" s="12">
        <f>ROUND(XB33*(1-'Sens - Annual Mix'!$A$11),0)</f>
        <v/>
      </c>
      <c r="XD33" s="12">
        <f>XB33-XC33</f>
        <v/>
      </c>
      <c r="XE33" s="12">
        <f>ROUND(XC33*EssentialMix,0)</f>
        <v/>
      </c>
      <c r="XF33" s="12">
        <f>XC33-XE33</f>
        <v/>
      </c>
      <c r="XG33" s="12">
        <f>ROUND(XD33*EssentialMix,0)</f>
        <v/>
      </c>
      <c r="XH33" s="12">
        <f>XD33-XG33</f>
        <v/>
      </c>
      <c r="XI33" s="12">
        <f>XE33+XE32+XE31+MAX(0,XI32-XE32-XE31)*(1-WX33)</f>
        <v/>
      </c>
      <c r="XJ33" s="12">
        <f>XF33+XF32+XF31+MAX(0,XJ32-XF32-XF31)*(1-WX33)</f>
        <v/>
      </c>
      <c r="XK33" s="12">
        <f>XK32+XG33-XG21*(AnnualChurn*VLOOKUP(WT33,ChurnSeasonTable,4,FALSE))*POWER(1-(AnnualChurn*VLOOKUP(WT33,ChurnSeasonTable,4,FALSE)),0)+XG9*(AnnualChurn*VLOOKUP(WT33,ChurnSeasonTable,4,FALSE))*POWER(1-(AnnualChurn*VLOOKUP(WT33,ChurnSeasonTable,4,FALSE)),1)</f>
        <v/>
      </c>
      <c r="XL33" s="12">
        <f>XL32+XH33-XH21*(AnnualChurn*VLOOKUP(WT33,ChurnSeasonTable,4,FALSE))*POWER(1-(AnnualChurn*VLOOKUP(WT33,ChurnSeasonTable,4,FALSE)),0)+XH9*(AnnualChurn*VLOOKUP(WT33,ChurnSeasonTable,4,FALSE))*POWER(1-(AnnualChurn*VLOOKUP(WT33,ChurnSeasonTable,4,FALSE)),1)</f>
        <v/>
      </c>
      <c r="XM33" s="12">
        <f>XI33+XJ33+XK33+XL33</f>
        <v/>
      </c>
      <c r="XN33" s="9">
        <f>XI33*PriceEssMonthly*WW33+XJ33*PricePremMonthly*WW33+XK33*PriceEssAnnual*WW33/12+XL33*PricePremAnnual*WW33/12</f>
        <v/>
      </c>
      <c r="XO33" s="9">
        <f>XN33*12</f>
        <v/>
      </c>
      <c r="XP33" s="12">
        <f>XI33*PriceEssMonthly*WW33+XJ33*PricePremMonthly*WW33</f>
        <v/>
      </c>
      <c r="XQ33" s="12">
        <f>XG33*PriceEssAnnual*WW33+XH33*PricePremAnnual*WW33</f>
        <v/>
      </c>
      <c r="XR33" s="12">
        <f>XG21*POWER(1-(AnnualChurn*VLOOKUP(WT33,ChurnSeasonTable,4,FALSE)),1)*PriceEssAnnual*WW33+XG9*POWER(1-(AnnualChurn*VLOOKUP(WT33,ChurnSeasonTable,4,FALSE)),2)*PriceEssAnnual*WW33+XH21*POWER(1-(AnnualChurn*VLOOKUP(WT33,ChurnSeasonTable,4,FALSE)),1)*PricePremAnnual*WW33+XH9*POWER(1-(AnnualChurn*VLOOKUP(WT33,ChurnSeasonTable,4,FALSE)),2)*PricePremAnnual*WW33</f>
        <v/>
      </c>
      <c r="XS33" s="9">
        <f>XP33+XQ33+XR33</f>
        <v/>
      </c>
      <c r="XT33" s="12">
        <f>SUM(XS22:XS33)</f>
        <v/>
      </c>
      <c r="XU33" s="12">
        <f>OR(XU32,XT33&gt;=VATThreshold)</f>
        <v/>
      </c>
      <c r="XV33" s="9">
        <f>IF(XU33,XS33/(1+VATRate),XS33)</f>
        <v/>
      </c>
      <c r="XW33" s="12">
        <f>XS33-XV33</f>
        <v/>
      </c>
      <c r="XX33" s="12">
        <f>IF(XU33=0,0,IF(WT33=1,SUMPRODUCT(--(($WU$5:$WU33=$WU33-1)*($WT$5:$WT33&gt;=10)*($WT$5:$WT33&lt;=12)),$XW$5:$XW33),IF(WT33=4,SUMPRODUCT(--(($WU$5:$WU33=$WU33)*($WT$5:$WT33&gt;=1)*($WT$5:$WT33&lt;=3)),$XW$5:$XW33),IF(WT33=7,SUMPRODUCT(--(($WU$5:$WU33=$WU33)*($WT$5:$WT33&gt;=4)*($WT$5:$WT33&lt;=6)),$XW$5:$XW33),IF(WT33=10,SUMPRODUCT(--(($WU$5:$WU33=$WU33)*($WT$5:$WT33&gt;=7)*($WT$5:$WT33&lt;=9)),$XW$5:$XW33),0)))))</f>
        <v/>
      </c>
      <c r="XY33" s="12">
        <f>XY32+XW33-XX33</f>
        <v/>
      </c>
      <c r="XZ33" s="12">
        <f>IF(ProviderDelay&gt;=1,XV32*ProviderShare,XV33*ProviderShare)</f>
        <v/>
      </c>
      <c r="YA33" s="12">
        <f>XS33*PaymentFee</f>
        <v/>
      </c>
      <c r="YB33" s="12">
        <f>XM33*OpsAI</f>
        <v/>
      </c>
      <c r="YC33" s="12">
        <f>MonthlyFixed</f>
        <v/>
      </c>
      <c r="YD33" s="12">
        <f>XA33*ReferralReward</f>
        <v/>
      </c>
      <c r="YE33" s="12">
        <f>WY33</f>
        <v/>
      </c>
      <c r="YF33" s="9">
        <f>XV33-XZ33-YA33-YB33-YC33-YD33-YE33</f>
        <v/>
      </c>
      <c r="YG33" s="9">
        <f>YG32+XS33-(XZ33+YA33+YB33+YC33+YD33+YE33+XX33)</f>
        <v/>
      </c>
      <c r="YH33" s="12">
        <f>IF(XM33&gt;0,XN33/XM33,0)</f>
        <v/>
      </c>
      <c r="YI33" s="11">
        <f>IF(XM32&gt;0,MAX(0,(XM32+XB33-XM33)/XM32),0)</f>
        <v/>
      </c>
      <c r="YK33" s="12" t="n">
        <v>29</v>
      </c>
      <c r="YL33" s="12">
        <f>MOD(YK33-1+LaunchMonth-1,12)+1</f>
        <v/>
      </c>
      <c r="YM33" s="12">
        <f>INT((YK33-1+LaunchMonth-1)/12)+1</f>
        <v/>
      </c>
      <c r="YN33" s="12">
        <f>VLOOKUP(YL33,SeasonTable,2,FALSE)</f>
        <v/>
      </c>
      <c r="YO33" s="12">
        <f>(1+InflationRate)^INT((YK33-1)/12)</f>
        <v/>
      </c>
      <c r="YP33" s="11">
        <f>MonthlyChurn*VLOOKUP(YL33,ChurnSeasonTable,4,FALSE)</f>
        <v/>
      </c>
      <c r="YQ33" s="12">
        <f>MIN(MAX(MktMin19plus,ZK32*MktPct19plus),MAX(0,ZY32-CashBuffer))</f>
        <v/>
      </c>
      <c r="YR33" s="12">
        <f>IF(YQ33&gt;0,MAX(1,ROUND(YQ33/CAC*YN33,0)),0)</f>
        <v/>
      </c>
      <c r="YS33" s="12">
        <f>IF(YR33&gt;0,ROUND(YR33*ReferralMix/(1-ReferralMix),0),0)</f>
        <v/>
      </c>
      <c r="YT33" s="12">
        <f>YR33+YS33</f>
        <v/>
      </c>
      <c r="YU33" s="12">
        <f>ROUND(YT33*(1-'Sens - Annual Mix'!$A$12),0)</f>
        <v/>
      </c>
      <c r="YV33" s="12">
        <f>YT33-YU33</f>
        <v/>
      </c>
      <c r="YW33" s="12">
        <f>ROUND(YU33*EssentialMix,0)</f>
        <v/>
      </c>
      <c r="YX33" s="12">
        <f>YU33-YW33</f>
        <v/>
      </c>
      <c r="YY33" s="12">
        <f>ROUND(YV33*EssentialMix,0)</f>
        <v/>
      </c>
      <c r="YZ33" s="12">
        <f>YV33-YY33</f>
        <v/>
      </c>
      <c r="ZA33" s="12">
        <f>YW33+YW32+YW31+MAX(0,ZA32-YW32-YW31)*(1-YP33)</f>
        <v/>
      </c>
      <c r="ZB33" s="12">
        <f>YX33+YX32+YX31+MAX(0,ZB32-YX32-YX31)*(1-YP33)</f>
        <v/>
      </c>
      <c r="ZC33" s="12">
        <f>ZC32+YY33-YY21*(AnnualChurn*VLOOKUP(YL33,ChurnSeasonTable,4,FALSE))*POWER(1-(AnnualChurn*VLOOKUP(YL33,ChurnSeasonTable,4,FALSE)),0)+YY9*(AnnualChurn*VLOOKUP(YL33,ChurnSeasonTable,4,FALSE))*POWER(1-(AnnualChurn*VLOOKUP(YL33,ChurnSeasonTable,4,FALSE)),1)</f>
        <v/>
      </c>
      <c r="ZD33" s="12">
        <f>ZD32+YZ33-YZ21*(AnnualChurn*VLOOKUP(YL33,ChurnSeasonTable,4,FALSE))*POWER(1-(AnnualChurn*VLOOKUP(YL33,ChurnSeasonTable,4,FALSE)),0)+YZ9*(AnnualChurn*VLOOKUP(YL33,ChurnSeasonTable,4,FALSE))*POWER(1-(AnnualChurn*VLOOKUP(YL33,ChurnSeasonTable,4,FALSE)),1)</f>
        <v/>
      </c>
      <c r="ZE33" s="12">
        <f>ZA33+ZB33+ZC33+ZD33</f>
        <v/>
      </c>
      <c r="ZF33" s="9">
        <f>ZA33*PriceEssMonthly*YO33+ZB33*PricePremMonthly*YO33+ZC33*PriceEssAnnual*YO33/12+ZD33*PricePremAnnual*YO33/12</f>
        <v/>
      </c>
      <c r="ZG33" s="9">
        <f>ZF33*12</f>
        <v/>
      </c>
      <c r="ZH33" s="12">
        <f>ZA33*PriceEssMonthly*YO33+ZB33*PricePremMonthly*YO33</f>
        <v/>
      </c>
      <c r="ZI33" s="12">
        <f>YY33*PriceEssAnnual*YO33+YZ33*PricePremAnnual*YO33</f>
        <v/>
      </c>
      <c r="ZJ33" s="12">
        <f>YY21*POWER(1-(AnnualChurn*VLOOKUP(YL33,ChurnSeasonTable,4,FALSE)),1)*PriceEssAnnual*YO33+YY9*POWER(1-(AnnualChurn*VLOOKUP(YL33,ChurnSeasonTable,4,FALSE)),2)*PriceEssAnnual*YO33+YZ21*POWER(1-(AnnualChurn*VLOOKUP(YL33,ChurnSeasonTable,4,FALSE)),1)*PricePremAnnual*YO33+YZ9*POWER(1-(AnnualChurn*VLOOKUP(YL33,ChurnSeasonTable,4,FALSE)),2)*PricePremAnnual*YO33</f>
        <v/>
      </c>
      <c r="ZK33" s="9">
        <f>ZH33+ZI33+ZJ33</f>
        <v/>
      </c>
      <c r="ZL33" s="12">
        <f>SUM(ZK22:ZK33)</f>
        <v/>
      </c>
      <c r="ZM33" s="12">
        <f>OR(ZM32,ZL33&gt;=VATThreshold)</f>
        <v/>
      </c>
      <c r="ZN33" s="9">
        <f>IF(ZM33,ZK33/(1+VATRate),ZK33)</f>
        <v/>
      </c>
      <c r="ZO33" s="12">
        <f>ZK33-ZN33</f>
        <v/>
      </c>
      <c r="ZP33" s="12">
        <f>IF(ZM33=0,0,IF(YL33=1,SUMPRODUCT(--(($YM$5:$YM33=$YM33-1)*($YL$5:$YL33&gt;=10)*($YL$5:$YL33&lt;=12)),$ZO$5:$ZO33),IF(YL33=4,SUMPRODUCT(--(($YM$5:$YM33=$YM33)*($YL$5:$YL33&gt;=1)*($YL$5:$YL33&lt;=3)),$ZO$5:$ZO33),IF(YL33=7,SUMPRODUCT(--(($YM$5:$YM33=$YM33)*($YL$5:$YL33&gt;=4)*($YL$5:$YL33&lt;=6)),$ZO$5:$ZO33),IF(YL33=10,SUMPRODUCT(--(($YM$5:$YM33=$YM33)*($YL$5:$YL33&gt;=7)*($YL$5:$YL33&lt;=9)),$ZO$5:$ZO33),0)))))</f>
        <v/>
      </c>
      <c r="ZQ33" s="12">
        <f>ZQ32+ZO33-ZP33</f>
        <v/>
      </c>
      <c r="ZR33" s="12">
        <f>IF(ProviderDelay&gt;=1,ZN32*ProviderShare,ZN33*ProviderShare)</f>
        <v/>
      </c>
      <c r="ZS33" s="12">
        <f>ZK33*PaymentFee</f>
        <v/>
      </c>
      <c r="ZT33" s="12">
        <f>ZE33*OpsAI</f>
        <v/>
      </c>
      <c r="ZU33" s="12">
        <f>MonthlyFixed</f>
        <v/>
      </c>
      <c r="ZV33" s="12">
        <f>YS33*ReferralReward</f>
        <v/>
      </c>
      <c r="ZW33" s="12">
        <f>YQ33</f>
        <v/>
      </c>
      <c r="ZX33" s="9">
        <f>ZN33-ZR33-ZS33-ZT33-ZU33-ZV33-ZW33</f>
        <v/>
      </c>
      <c r="ZY33" s="9">
        <f>ZY32+ZK33-(ZR33+ZS33+ZT33+ZU33+ZV33+ZW33+ZP33)</f>
        <v/>
      </c>
      <c r="ZZ33" s="12">
        <f>IF(ZE33&gt;0,ZF33/ZE33,0)</f>
        <v/>
      </c>
      <c r="AAA33" s="11">
        <f>IF(ZE32&gt;0,MAX(0,(ZE32+YT33-ZE33)/ZE32),0)</f>
        <v/>
      </c>
      <c r="AAC33" s="12" t="n">
        <v>29</v>
      </c>
      <c r="AAD33" s="12">
        <f>MOD(AAC33-1+LaunchMonth-1,12)+1</f>
        <v/>
      </c>
      <c r="AAE33" s="12">
        <f>INT((AAC33-1+LaunchMonth-1)/12)+1</f>
        <v/>
      </c>
      <c r="AAF33" s="12">
        <f>VLOOKUP(AAD33,SeasonTable,2,FALSE)</f>
        <v/>
      </c>
      <c r="AAG33" s="12">
        <f>(1+InflationRate)^INT((AAC33-1)/12)</f>
        <v/>
      </c>
      <c r="AAH33" s="11">
        <f>MonthlyChurn*VLOOKUP(AAD33,ChurnSeasonTable,4,FALSE)</f>
        <v/>
      </c>
      <c r="AAI33" s="12">
        <f>MIN(MAX(MktMin19plus,ABC32*MktPct19plus),MAX(0,ABQ32-CashBuffer))</f>
        <v/>
      </c>
      <c r="AAJ33" s="12">
        <f>IF(AAI33&gt;0,MAX(1,ROUND(AAI33/CAC*AAF33,0)),0)</f>
        <v/>
      </c>
      <c r="AAK33" s="12">
        <f>IF(AAJ33&gt;0,ROUND(AAJ33*ReferralMix/(1-ReferralMix),0),0)</f>
        <v/>
      </c>
      <c r="AAL33" s="12">
        <f>AAJ33+AAK33</f>
        <v/>
      </c>
      <c r="AAM33" s="12">
        <f>ROUND(AAL33*(1-'Sens - Annual Mix'!$A$13),0)</f>
        <v/>
      </c>
      <c r="AAN33" s="12">
        <f>AAL33-AAM33</f>
        <v/>
      </c>
      <c r="AAO33" s="12">
        <f>ROUND(AAM33*EssentialMix,0)</f>
        <v/>
      </c>
      <c r="AAP33" s="12">
        <f>AAM33-AAO33</f>
        <v/>
      </c>
      <c r="AAQ33" s="12">
        <f>ROUND(AAN33*EssentialMix,0)</f>
        <v/>
      </c>
      <c r="AAR33" s="12">
        <f>AAN33-AAQ33</f>
        <v/>
      </c>
      <c r="AAS33" s="12">
        <f>AAO33+AAO32+AAO31+MAX(0,AAS32-AAO32-AAO31)*(1-AAH33)</f>
        <v/>
      </c>
      <c r="AAT33" s="12">
        <f>AAP33+AAP32+AAP31+MAX(0,AAT32-AAP32-AAP31)*(1-AAH33)</f>
        <v/>
      </c>
      <c r="AAU33" s="12">
        <f>AAU32+AAQ33-AAQ21*(AnnualChurn*VLOOKUP(AAD33,ChurnSeasonTable,4,FALSE))*POWER(1-(AnnualChurn*VLOOKUP(AAD33,ChurnSeasonTable,4,FALSE)),0)+AAQ9*(AnnualChurn*VLOOKUP(AAD33,ChurnSeasonTable,4,FALSE))*POWER(1-(AnnualChurn*VLOOKUP(AAD33,ChurnSeasonTable,4,FALSE)),1)</f>
        <v/>
      </c>
      <c r="AAV33" s="12">
        <f>AAV32+AAR33-AAR21*(AnnualChurn*VLOOKUP(AAD33,ChurnSeasonTable,4,FALSE))*POWER(1-(AnnualChurn*VLOOKUP(AAD33,ChurnSeasonTable,4,FALSE)),0)+AAR9*(AnnualChurn*VLOOKUP(AAD33,ChurnSeasonTable,4,FALSE))*POWER(1-(AnnualChurn*VLOOKUP(AAD33,ChurnSeasonTable,4,FALSE)),1)</f>
        <v/>
      </c>
      <c r="AAW33" s="12">
        <f>AAS33+AAT33+AAU33+AAV33</f>
        <v/>
      </c>
      <c r="AAX33" s="9">
        <f>AAS33*PriceEssMonthly*AAG33+AAT33*PricePremMonthly*AAG33+AAU33*PriceEssAnnual*AAG33/12+AAV33*PricePremAnnual*AAG33/12</f>
        <v/>
      </c>
      <c r="AAY33" s="9">
        <f>AAX33*12</f>
        <v/>
      </c>
      <c r="AAZ33" s="12">
        <f>AAS33*PriceEssMonthly*AAG33+AAT33*PricePremMonthly*AAG33</f>
        <v/>
      </c>
      <c r="ABA33" s="12">
        <f>AAQ33*PriceEssAnnual*AAG33+AAR33*PricePremAnnual*AAG33</f>
        <v/>
      </c>
      <c r="ABB33" s="12">
        <f>AAQ21*POWER(1-(AnnualChurn*VLOOKUP(AAD33,ChurnSeasonTable,4,FALSE)),1)*PriceEssAnnual*AAG33+AAQ9*POWER(1-(AnnualChurn*VLOOKUP(AAD33,ChurnSeasonTable,4,FALSE)),2)*PriceEssAnnual*AAG33+AAR21*POWER(1-(AnnualChurn*VLOOKUP(AAD33,ChurnSeasonTable,4,FALSE)),1)*PricePremAnnual*AAG33+AAR9*POWER(1-(AnnualChurn*VLOOKUP(AAD33,ChurnSeasonTable,4,FALSE)),2)*PricePremAnnual*AAG33</f>
        <v/>
      </c>
      <c r="ABC33" s="9">
        <f>AAZ33+ABA33+ABB33</f>
        <v/>
      </c>
      <c r="ABD33" s="12">
        <f>SUM(ABC22:ABC33)</f>
        <v/>
      </c>
      <c r="ABE33" s="12">
        <f>OR(ABE32,ABD33&gt;=VATThreshold)</f>
        <v/>
      </c>
      <c r="ABF33" s="9">
        <f>IF(ABE33,ABC33/(1+VATRate),ABC33)</f>
        <v/>
      </c>
      <c r="ABG33" s="12">
        <f>ABC33-ABF33</f>
        <v/>
      </c>
      <c r="ABH33" s="12">
        <f>IF(ABE33=0,0,IF(AAD33=1,SUMPRODUCT(--(($AAE$5:$AAE33=$AAE33-1)*($AAD$5:$AAD33&gt;=10)*($AAD$5:$AAD33&lt;=12)),$ABG$5:$ABG33),IF(AAD33=4,SUMPRODUCT(--(($AAE$5:$AAE33=$AAE33)*($AAD$5:$AAD33&gt;=1)*($AAD$5:$AAD33&lt;=3)),$ABG$5:$ABG33),IF(AAD33=7,SUMPRODUCT(--(($AAE$5:$AAE33=$AAE33)*($AAD$5:$AAD33&gt;=4)*($AAD$5:$AAD33&lt;=6)),$ABG$5:$ABG33),IF(AAD33=10,SUMPRODUCT(--(($AAE$5:$AAE33=$AAE33)*($AAD$5:$AAD33&gt;=7)*($AAD$5:$AAD33&lt;=9)),$ABG$5:$ABG33),0)))))</f>
        <v/>
      </c>
      <c r="ABI33" s="12">
        <f>ABI32+ABG33-ABH33</f>
        <v/>
      </c>
      <c r="ABJ33" s="12">
        <f>IF(ProviderDelay&gt;=1,ABF32*ProviderShare,ABF33*ProviderShare)</f>
        <v/>
      </c>
      <c r="ABK33" s="12">
        <f>ABC33*PaymentFee</f>
        <v/>
      </c>
      <c r="ABL33" s="12">
        <f>AAW33*OpsAI</f>
        <v/>
      </c>
      <c r="ABM33" s="12">
        <f>MonthlyFixed</f>
        <v/>
      </c>
      <c r="ABN33" s="12">
        <f>AAK33*ReferralReward</f>
        <v/>
      </c>
      <c r="ABO33" s="12">
        <f>AAI33</f>
        <v/>
      </c>
      <c r="ABP33" s="9">
        <f>ABF33-ABJ33-ABK33-ABL33-ABM33-ABN33-ABO33</f>
        <v/>
      </c>
      <c r="ABQ33" s="9">
        <f>ABQ32+ABC33-(ABJ33+ABK33+ABL33+ABM33+ABN33+ABO33+ABH33)</f>
        <v/>
      </c>
      <c r="ABR33" s="12">
        <f>IF(AAW33&gt;0,AAX33/AAW33,0)</f>
        <v/>
      </c>
      <c r="ABS33" s="11">
        <f>IF(AAW32&gt;0,MAX(0,(AAW32+AAL33-AAW33)/AAW32),0)</f>
        <v/>
      </c>
      <c r="ABU33" s="12" t="n">
        <v>29</v>
      </c>
      <c r="ABV33" s="12">
        <f>MOD(ABU33-1+LaunchMonth-1,12)+1</f>
        <v/>
      </c>
      <c r="ABW33" s="12">
        <f>INT((ABU33-1+LaunchMonth-1)/12)+1</f>
        <v/>
      </c>
      <c r="ABX33" s="12">
        <f>VLOOKUP(ABV33,SeasonTable,2,FALSE)</f>
        <v/>
      </c>
      <c r="ABY33" s="12">
        <f>(1+InflationRate)^INT((ABU33-1)/12)</f>
        <v/>
      </c>
      <c r="ABZ33" s="11">
        <f>MonthlyChurn*VLOOKUP(ABV33,ChurnSeasonTable,4,FALSE)</f>
        <v/>
      </c>
      <c r="ACA33" s="12">
        <f>MIN(MAX(MktMin19plus,ACU32*MktPct19plus),MAX(0,ADI32-CashBuffer))</f>
        <v/>
      </c>
      <c r="ACB33" s="12">
        <f>IF(ACA33&gt;0,MAX(1,ROUND(ACA33/CAC*ABX33,0)),0)</f>
        <v/>
      </c>
      <c r="ACC33" s="12">
        <f>IF(ACB33&gt;0,ROUND(ACB33*ReferralMix/(1-ReferralMix),0),0)</f>
        <v/>
      </c>
      <c r="ACD33" s="12">
        <f>ACB33+ACC33</f>
        <v/>
      </c>
      <c r="ACE33" s="12">
        <f>ROUND(ACD33*(1-'Sens - Annual Mix'!$A$14),0)</f>
        <v/>
      </c>
      <c r="ACF33" s="12">
        <f>ACD33-ACE33</f>
        <v/>
      </c>
      <c r="ACG33" s="12">
        <f>ROUND(ACE33*EssentialMix,0)</f>
        <v/>
      </c>
      <c r="ACH33" s="12">
        <f>ACE33-ACG33</f>
        <v/>
      </c>
      <c r="ACI33" s="12">
        <f>ROUND(ACF33*EssentialMix,0)</f>
        <v/>
      </c>
      <c r="ACJ33" s="12">
        <f>ACF33-ACI33</f>
        <v/>
      </c>
      <c r="ACK33" s="12">
        <f>ACG33+ACG32+ACG31+MAX(0,ACK32-ACG32-ACG31)*(1-ABZ33)</f>
        <v/>
      </c>
      <c r="ACL33" s="12">
        <f>ACH33+ACH32+ACH31+MAX(0,ACL32-ACH32-ACH31)*(1-ABZ33)</f>
        <v/>
      </c>
      <c r="ACM33" s="12">
        <f>ACM32+ACI33-ACI21*(AnnualChurn*VLOOKUP(ABV33,ChurnSeasonTable,4,FALSE))*POWER(1-(AnnualChurn*VLOOKUP(ABV33,ChurnSeasonTable,4,FALSE)),0)+ACI9*(AnnualChurn*VLOOKUP(ABV33,ChurnSeasonTable,4,FALSE))*POWER(1-(AnnualChurn*VLOOKUP(ABV33,ChurnSeasonTable,4,FALSE)),1)</f>
        <v/>
      </c>
      <c r="ACN33" s="12">
        <f>ACN32+ACJ33-ACJ21*(AnnualChurn*VLOOKUP(ABV33,ChurnSeasonTable,4,FALSE))*POWER(1-(AnnualChurn*VLOOKUP(ABV33,ChurnSeasonTable,4,FALSE)),0)+ACJ9*(AnnualChurn*VLOOKUP(ABV33,ChurnSeasonTable,4,FALSE))*POWER(1-(AnnualChurn*VLOOKUP(ABV33,ChurnSeasonTable,4,FALSE)),1)</f>
        <v/>
      </c>
      <c r="ACO33" s="12">
        <f>ACK33+ACL33+ACM33+ACN33</f>
        <v/>
      </c>
      <c r="ACP33" s="9">
        <f>ACK33*PriceEssMonthly*ABY33+ACL33*PricePremMonthly*ABY33+ACM33*PriceEssAnnual*ABY33/12+ACN33*PricePremAnnual*ABY33/12</f>
        <v/>
      </c>
      <c r="ACQ33" s="9">
        <f>ACP33*12</f>
        <v/>
      </c>
      <c r="ACR33" s="12">
        <f>ACK33*PriceEssMonthly*ABY33+ACL33*PricePremMonthly*ABY33</f>
        <v/>
      </c>
      <c r="ACS33" s="12">
        <f>ACI33*PriceEssAnnual*ABY33+ACJ33*PricePremAnnual*ABY33</f>
        <v/>
      </c>
      <c r="ACT33" s="12">
        <f>ACI21*POWER(1-(AnnualChurn*VLOOKUP(ABV33,ChurnSeasonTable,4,FALSE)),1)*PriceEssAnnual*ABY33+ACI9*POWER(1-(AnnualChurn*VLOOKUP(ABV33,ChurnSeasonTable,4,FALSE)),2)*PriceEssAnnual*ABY33+ACJ21*POWER(1-(AnnualChurn*VLOOKUP(ABV33,ChurnSeasonTable,4,FALSE)),1)*PricePremAnnual*ABY33+ACJ9*POWER(1-(AnnualChurn*VLOOKUP(ABV33,ChurnSeasonTable,4,FALSE)),2)*PricePremAnnual*ABY33</f>
        <v/>
      </c>
      <c r="ACU33" s="9">
        <f>ACR33+ACS33+ACT33</f>
        <v/>
      </c>
      <c r="ACV33" s="12">
        <f>SUM(ACU22:ACU33)</f>
        <v/>
      </c>
      <c r="ACW33" s="12">
        <f>OR(ACW32,ACV33&gt;=VATThreshold)</f>
        <v/>
      </c>
      <c r="ACX33" s="9">
        <f>IF(ACW33,ACU33/(1+VATRate),ACU33)</f>
        <v/>
      </c>
      <c r="ACY33" s="12">
        <f>ACU33-ACX33</f>
        <v/>
      </c>
      <c r="ACZ33" s="12">
        <f>IF(ACW33=0,0,IF(ABV33=1,SUMPRODUCT(--(($ABW$5:$ABW33=$ABW33-1)*($ABV$5:$ABV33&gt;=10)*($ABV$5:$ABV33&lt;=12)),$ACY$5:$ACY33),IF(ABV33=4,SUMPRODUCT(--(($ABW$5:$ABW33=$ABW33)*($ABV$5:$ABV33&gt;=1)*($ABV$5:$ABV33&lt;=3)),$ACY$5:$ACY33),IF(ABV33=7,SUMPRODUCT(--(($ABW$5:$ABW33=$ABW33)*($ABV$5:$ABV33&gt;=4)*($ABV$5:$ABV33&lt;=6)),$ACY$5:$ACY33),IF(ABV33=10,SUMPRODUCT(--(($ABW$5:$ABW33=$ABW33)*($ABV$5:$ABV33&gt;=7)*($ABV$5:$ABV33&lt;=9)),$ACY$5:$ACY33),0)))))</f>
        <v/>
      </c>
      <c r="ADA33" s="12">
        <f>ADA32+ACY33-ACZ33</f>
        <v/>
      </c>
      <c r="ADB33" s="12">
        <f>IF(ProviderDelay&gt;=1,ACX32*ProviderShare,ACX33*ProviderShare)</f>
        <v/>
      </c>
      <c r="ADC33" s="12">
        <f>ACU33*PaymentFee</f>
        <v/>
      </c>
      <c r="ADD33" s="12">
        <f>ACO33*OpsAI</f>
        <v/>
      </c>
      <c r="ADE33" s="12">
        <f>MonthlyFixed</f>
        <v/>
      </c>
      <c r="ADF33" s="12">
        <f>ACC33*ReferralReward</f>
        <v/>
      </c>
      <c r="ADG33" s="12">
        <f>ACA33</f>
        <v/>
      </c>
      <c r="ADH33" s="9">
        <f>ACX33-ADB33-ADC33-ADD33-ADE33-ADF33-ADG33</f>
        <v/>
      </c>
      <c r="ADI33" s="9">
        <f>ADI32+ACU33-(ADB33+ADC33+ADD33+ADE33+ADF33+ADG33+ACZ33)</f>
        <v/>
      </c>
      <c r="ADJ33" s="12">
        <f>IF(ACO33&gt;0,ACP33/ACO33,0)</f>
        <v/>
      </c>
      <c r="ADK33" s="11">
        <f>IF(ACO32&gt;0,MAX(0,(ACO32+ACD33-ACO33)/ACO32),0)</f>
        <v/>
      </c>
      <c r="ADM33" s="12" t="n">
        <v>29</v>
      </c>
      <c r="ADN33" s="12">
        <f>MOD(ADM33-1+LaunchMonth-1,12)+1</f>
        <v/>
      </c>
      <c r="ADO33" s="12">
        <f>INT((ADM33-1+LaunchMonth-1)/12)+1</f>
        <v/>
      </c>
      <c r="ADP33" s="12">
        <f>VLOOKUP(ADN33,SeasonTable,2,FALSE)</f>
        <v/>
      </c>
      <c r="ADQ33" s="12">
        <f>(1+InflationRate)^INT((ADM33-1)/12)</f>
        <v/>
      </c>
      <c r="ADR33" s="11">
        <f>MonthlyChurn*VLOOKUP(ADN33,ChurnSeasonTable,4,FALSE)</f>
        <v/>
      </c>
      <c r="ADS33" s="12">
        <f>MIN(MAX(MktMin19plus,AEM32*MktPct19plus),MAX(0,AFA32-CashBuffer))</f>
        <v/>
      </c>
      <c r="ADT33" s="12">
        <f>IF(ADS33&gt;0,MAX(1,ROUND(ADS33/CAC*ADP33,0)),0)</f>
        <v/>
      </c>
      <c r="ADU33" s="12">
        <f>IF(ADT33&gt;0,ROUND(ADT33*ReferralMix/(1-ReferralMix),0),0)</f>
        <v/>
      </c>
      <c r="ADV33" s="12">
        <f>ADT33+ADU33</f>
        <v/>
      </c>
      <c r="ADW33" s="12">
        <f>ROUND(ADV33*(1-'Sens - Annual Mix'!$A$15),0)</f>
        <v/>
      </c>
      <c r="ADX33" s="12">
        <f>ADV33-ADW33</f>
        <v/>
      </c>
      <c r="ADY33" s="12">
        <f>ROUND(ADW33*EssentialMix,0)</f>
        <v/>
      </c>
      <c r="ADZ33" s="12">
        <f>ADW33-ADY33</f>
        <v/>
      </c>
      <c r="AEA33" s="12">
        <f>ROUND(ADX33*EssentialMix,0)</f>
        <v/>
      </c>
      <c r="AEB33" s="12">
        <f>ADX33-AEA33</f>
        <v/>
      </c>
      <c r="AEC33" s="12">
        <f>ADY33+ADY32+ADY31+MAX(0,AEC32-ADY32-ADY31)*(1-ADR33)</f>
        <v/>
      </c>
      <c r="AED33" s="12">
        <f>ADZ33+ADZ32+ADZ31+MAX(0,AED32-ADZ32-ADZ31)*(1-ADR33)</f>
        <v/>
      </c>
      <c r="AEE33" s="12">
        <f>AEE32+AEA33-AEA21*(AnnualChurn*VLOOKUP(ADN33,ChurnSeasonTable,4,FALSE))*POWER(1-(AnnualChurn*VLOOKUP(ADN33,ChurnSeasonTable,4,FALSE)),0)+AEA9*(AnnualChurn*VLOOKUP(ADN33,ChurnSeasonTable,4,FALSE))*POWER(1-(AnnualChurn*VLOOKUP(ADN33,ChurnSeasonTable,4,FALSE)),1)</f>
        <v/>
      </c>
      <c r="AEF33" s="12">
        <f>AEF32+AEB33-AEB21*(AnnualChurn*VLOOKUP(ADN33,ChurnSeasonTable,4,FALSE))*POWER(1-(AnnualChurn*VLOOKUP(ADN33,ChurnSeasonTable,4,FALSE)),0)+AEB9*(AnnualChurn*VLOOKUP(ADN33,ChurnSeasonTable,4,FALSE))*POWER(1-(AnnualChurn*VLOOKUP(ADN33,ChurnSeasonTable,4,FALSE)),1)</f>
        <v/>
      </c>
      <c r="AEG33" s="12">
        <f>AEC33+AED33+AEE33+AEF33</f>
        <v/>
      </c>
      <c r="AEH33" s="9">
        <f>AEC33*PriceEssMonthly*ADQ33+AED33*PricePremMonthly*ADQ33+AEE33*PriceEssAnnual*ADQ33/12+AEF33*PricePremAnnual*ADQ33/12</f>
        <v/>
      </c>
      <c r="AEI33" s="9">
        <f>AEH33*12</f>
        <v/>
      </c>
      <c r="AEJ33" s="12">
        <f>AEC33*PriceEssMonthly*ADQ33+AED33*PricePremMonthly*ADQ33</f>
        <v/>
      </c>
      <c r="AEK33" s="12">
        <f>AEA33*PriceEssAnnual*ADQ33+AEB33*PricePremAnnual*ADQ33</f>
        <v/>
      </c>
      <c r="AEL33" s="12">
        <f>AEA21*POWER(1-(AnnualChurn*VLOOKUP(ADN33,ChurnSeasonTable,4,FALSE)),1)*PriceEssAnnual*ADQ33+AEA9*POWER(1-(AnnualChurn*VLOOKUP(ADN33,ChurnSeasonTable,4,FALSE)),2)*PriceEssAnnual*ADQ33+AEB21*POWER(1-(AnnualChurn*VLOOKUP(ADN33,ChurnSeasonTable,4,FALSE)),1)*PricePremAnnual*ADQ33+AEB9*POWER(1-(AnnualChurn*VLOOKUP(ADN33,ChurnSeasonTable,4,FALSE)),2)*PricePremAnnual*ADQ33</f>
        <v/>
      </c>
      <c r="AEM33" s="9">
        <f>AEJ33+AEK33+AEL33</f>
        <v/>
      </c>
      <c r="AEN33" s="12">
        <f>SUM(AEM22:AEM33)</f>
        <v/>
      </c>
      <c r="AEO33" s="12">
        <f>OR(AEO32,AEN33&gt;=VATThreshold)</f>
        <v/>
      </c>
      <c r="AEP33" s="9">
        <f>IF(AEO33,AEM33/(1+VATRate),AEM33)</f>
        <v/>
      </c>
      <c r="AEQ33" s="12">
        <f>AEM33-AEP33</f>
        <v/>
      </c>
      <c r="AER33" s="12">
        <f>IF(AEO33=0,0,IF(ADN33=1,SUMPRODUCT(--(($ADO$5:$ADO33=$ADO33-1)*($ADN$5:$ADN33&gt;=10)*($ADN$5:$ADN33&lt;=12)),$AEQ$5:$AEQ33),IF(ADN33=4,SUMPRODUCT(--(($ADO$5:$ADO33=$ADO33)*($ADN$5:$ADN33&gt;=1)*($ADN$5:$ADN33&lt;=3)),$AEQ$5:$AEQ33),IF(ADN33=7,SUMPRODUCT(--(($ADO$5:$ADO33=$ADO33)*($ADN$5:$ADN33&gt;=4)*($ADN$5:$ADN33&lt;=6)),$AEQ$5:$AEQ33),IF(ADN33=10,SUMPRODUCT(--(($ADO$5:$ADO33=$ADO33)*($ADN$5:$ADN33&gt;=7)*($ADN$5:$ADN33&lt;=9)),$AEQ$5:$AEQ33),0)))))</f>
        <v/>
      </c>
      <c r="AES33" s="12">
        <f>AES32+AEQ33-AER33</f>
        <v/>
      </c>
      <c r="AET33" s="12">
        <f>IF(ProviderDelay&gt;=1,AEP32*ProviderShare,AEP33*ProviderShare)</f>
        <v/>
      </c>
      <c r="AEU33" s="12">
        <f>AEM33*PaymentFee</f>
        <v/>
      </c>
      <c r="AEV33" s="12">
        <f>AEG33*OpsAI</f>
        <v/>
      </c>
      <c r="AEW33" s="12">
        <f>MonthlyFixed</f>
        <v/>
      </c>
      <c r="AEX33" s="12">
        <f>ADU33*ReferralReward</f>
        <v/>
      </c>
      <c r="AEY33" s="12">
        <f>ADS33</f>
        <v/>
      </c>
      <c r="AEZ33" s="9">
        <f>AEP33-AET33-AEU33-AEV33-AEW33-AEX33-AEY33</f>
        <v/>
      </c>
      <c r="AFA33" s="9">
        <f>AFA32+AEM33-(AET33+AEU33+AEV33+AEW33+AEX33+AEY33+AER33)</f>
        <v/>
      </c>
      <c r="AFB33" s="12">
        <f>IF(AEG33&gt;0,AEH33/AEG33,0)</f>
        <v/>
      </c>
      <c r="AFC33" s="11">
        <f>IF(AEG32&gt;0,MAX(0,(AEG32+ADV33-AEG33)/AEG32),0)</f>
        <v/>
      </c>
      <c r="AFE33" s="12" t="n">
        <v>29</v>
      </c>
      <c r="AFF33" s="12">
        <f>MOD(AFE33-1+LaunchMonth-1,12)+1</f>
        <v/>
      </c>
      <c r="AFG33" s="12">
        <f>INT((AFE33-1+LaunchMonth-1)/12)+1</f>
        <v/>
      </c>
      <c r="AFH33" s="12">
        <f>VLOOKUP(AFF33,SeasonTable,2,FALSE)</f>
        <v/>
      </c>
      <c r="AFI33" s="12">
        <f>(1+InflationRate)^INT((AFE33-1)/12)</f>
        <v/>
      </c>
      <c r="AFJ33" s="11">
        <f>MonthlyChurn*VLOOKUP(AFF33,ChurnSeasonTable,4,FALSE)</f>
        <v/>
      </c>
      <c r="AFK33" s="12">
        <f>MIN(MAX(MktMin19plus,AGE32*MktPct19plus),MAX(0,AGS32-CashBuffer))</f>
        <v/>
      </c>
      <c r="AFL33" s="12">
        <f>IF(AFK33&gt;0,MAX(1,ROUND(AFK33/'Sens - CAC &amp; Marketing'!$A$9*AFH33,0)),0)</f>
        <v/>
      </c>
      <c r="AFM33" s="12">
        <f>IF(AFL33&gt;0,ROUND(AFL33*ReferralMix/(1-ReferralMix),0),0)</f>
        <v/>
      </c>
      <c r="AFN33" s="12">
        <f>AFL33+AFM33</f>
        <v/>
      </c>
      <c r="AFO33" s="12">
        <f>ROUND(AFN33*(1-AnnualMix),0)</f>
        <v/>
      </c>
      <c r="AFP33" s="12">
        <f>AFN33-AFO33</f>
        <v/>
      </c>
      <c r="AFQ33" s="12">
        <f>ROUND(AFO33*EssentialMix,0)</f>
        <v/>
      </c>
      <c r="AFR33" s="12">
        <f>AFO33-AFQ33</f>
        <v/>
      </c>
      <c r="AFS33" s="12">
        <f>ROUND(AFP33*EssentialMix,0)</f>
        <v/>
      </c>
      <c r="AFT33" s="12">
        <f>AFP33-AFS33</f>
        <v/>
      </c>
      <c r="AFU33" s="12">
        <f>AFQ33+AFQ32+AFQ31+MAX(0,AFU32-AFQ32-AFQ31)*(1-AFJ33)</f>
        <v/>
      </c>
      <c r="AFV33" s="12">
        <f>AFR33+AFR32+AFR31+MAX(0,AFV32-AFR32-AFR31)*(1-AFJ33)</f>
        <v/>
      </c>
      <c r="AFW33" s="12">
        <f>AFW32+AFS33-AFS21*(AnnualChurn*VLOOKUP(AFF33,ChurnSeasonTable,4,FALSE))*POWER(1-(AnnualChurn*VLOOKUP(AFF33,ChurnSeasonTable,4,FALSE)),0)+AFS9*(AnnualChurn*VLOOKUP(AFF33,ChurnSeasonTable,4,FALSE))*POWER(1-(AnnualChurn*VLOOKUP(AFF33,ChurnSeasonTable,4,FALSE)),1)</f>
        <v/>
      </c>
      <c r="AFX33" s="12">
        <f>AFX32+AFT33-AFT21*(AnnualChurn*VLOOKUP(AFF33,ChurnSeasonTable,4,FALSE))*POWER(1-(AnnualChurn*VLOOKUP(AFF33,ChurnSeasonTable,4,FALSE)),0)+AFT9*(AnnualChurn*VLOOKUP(AFF33,ChurnSeasonTable,4,FALSE))*POWER(1-(AnnualChurn*VLOOKUP(AFF33,ChurnSeasonTable,4,FALSE)),1)</f>
        <v/>
      </c>
      <c r="AFY33" s="12">
        <f>AFU33+AFV33+AFW33+AFX33</f>
        <v/>
      </c>
      <c r="AFZ33" s="9">
        <f>AFU33*PriceEssMonthly*AFI33+AFV33*PricePremMonthly*AFI33+AFW33*PriceEssAnnual*AFI33/12+AFX33*PricePremAnnual*AFI33/12</f>
        <v/>
      </c>
      <c r="AGA33" s="9">
        <f>AFZ33*12</f>
        <v/>
      </c>
      <c r="AGB33" s="12">
        <f>AFU33*PriceEssMonthly*AFI33+AFV33*PricePremMonthly*AFI33</f>
        <v/>
      </c>
      <c r="AGC33" s="12">
        <f>AFS33*PriceEssAnnual*AFI33+AFT33*PricePremAnnual*AFI33</f>
        <v/>
      </c>
      <c r="AGD33" s="12">
        <f>AFS21*POWER(1-(AnnualChurn*VLOOKUP(AFF33,ChurnSeasonTable,4,FALSE)),1)*PriceEssAnnual*AFI33+AFS9*POWER(1-(AnnualChurn*VLOOKUP(AFF33,ChurnSeasonTable,4,FALSE)),2)*PriceEssAnnual*AFI33+AFT21*POWER(1-(AnnualChurn*VLOOKUP(AFF33,ChurnSeasonTable,4,FALSE)),1)*PricePremAnnual*AFI33+AFT9*POWER(1-(AnnualChurn*VLOOKUP(AFF33,ChurnSeasonTable,4,FALSE)),2)*PricePremAnnual*AFI33</f>
        <v/>
      </c>
      <c r="AGE33" s="9">
        <f>AGB33+AGC33+AGD33</f>
        <v/>
      </c>
      <c r="AGF33" s="12">
        <f>SUM(AGE22:AGE33)</f>
        <v/>
      </c>
      <c r="AGG33" s="12">
        <f>OR(AGG32,AGF33&gt;=VATThreshold)</f>
        <v/>
      </c>
      <c r="AGH33" s="9">
        <f>IF(AGG33,AGE33/(1+VATRate),AGE33)</f>
        <v/>
      </c>
      <c r="AGI33" s="12">
        <f>AGE33-AGH33</f>
        <v/>
      </c>
      <c r="AGJ33" s="12">
        <f>IF(AGG33=0,0,IF(AFF33=1,SUMPRODUCT(--(($AFG$5:$AFG33=$AFG33-1)*($AFF$5:$AFF33&gt;=10)*($AFF$5:$AFF33&lt;=12)),$AGI$5:$AGI33),IF(AFF33=4,SUMPRODUCT(--(($AFG$5:$AFG33=$AFG33)*($AFF$5:$AFF33&gt;=1)*($AFF$5:$AFF33&lt;=3)),$AGI$5:$AGI33),IF(AFF33=7,SUMPRODUCT(--(($AFG$5:$AFG33=$AFG33)*($AFF$5:$AFF33&gt;=4)*($AFF$5:$AFF33&lt;=6)),$AGI$5:$AGI33),IF(AFF33=10,SUMPRODUCT(--(($AFG$5:$AFG33=$AFG33)*($AFF$5:$AFF33&gt;=7)*($AFF$5:$AFF33&lt;=9)),$AGI$5:$AGI33),0)))))</f>
        <v/>
      </c>
      <c r="AGK33" s="12">
        <f>AGK32+AGI33-AGJ33</f>
        <v/>
      </c>
      <c r="AGL33" s="12">
        <f>IF(ProviderDelay&gt;=1,AGH32*ProviderShare,AGH33*ProviderShare)</f>
        <v/>
      </c>
      <c r="AGM33" s="12">
        <f>AGE33*PaymentFee</f>
        <v/>
      </c>
      <c r="AGN33" s="12">
        <f>AFY33*OpsAI</f>
        <v/>
      </c>
      <c r="AGO33" s="12">
        <f>MonthlyFixed</f>
        <v/>
      </c>
      <c r="AGP33" s="12">
        <f>AFM33*ReferralReward</f>
        <v/>
      </c>
      <c r="AGQ33" s="12">
        <f>AFK33</f>
        <v/>
      </c>
      <c r="AGR33" s="9">
        <f>AGH33-AGL33-AGM33-AGN33-AGO33-AGP33-AGQ33</f>
        <v/>
      </c>
      <c r="AGS33" s="9">
        <f>AGS32+AGE33-(AGL33+AGM33+AGN33+AGO33+AGP33+AGQ33+AGJ33)</f>
        <v/>
      </c>
      <c r="AGT33" s="12">
        <f>IF(AFY33&gt;0,AFZ33/AFY33,0)</f>
        <v/>
      </c>
      <c r="AGU33" s="11">
        <f>IF(AFY32&gt;0,MAX(0,(AFY32+AFN33-AFY33)/AFY32),0)</f>
        <v/>
      </c>
      <c r="AGW33" s="12" t="n">
        <v>29</v>
      </c>
      <c r="AGX33" s="12">
        <f>MOD(AGW33-1+LaunchMonth-1,12)+1</f>
        <v/>
      </c>
      <c r="AGY33" s="12">
        <f>INT((AGW33-1+LaunchMonth-1)/12)+1</f>
        <v/>
      </c>
      <c r="AGZ33" s="12">
        <f>VLOOKUP(AGX33,SeasonTable,2,FALSE)</f>
        <v/>
      </c>
      <c r="AHA33" s="12">
        <f>(1+InflationRate)^INT((AGW33-1)/12)</f>
        <v/>
      </c>
      <c r="AHB33" s="11">
        <f>MonthlyChurn*VLOOKUP(AGX33,ChurnSeasonTable,4,FALSE)</f>
        <v/>
      </c>
      <c r="AHC33" s="12">
        <f>MIN(MAX(MktMin19plus,AHW32*MktPct19plus),MAX(0,AIK32-CashBuffer))</f>
        <v/>
      </c>
      <c r="AHD33" s="12">
        <f>IF(AHC33&gt;0,MAX(1,ROUND(AHC33/'Sens - CAC &amp; Marketing'!$A$10*AGZ33,0)),0)</f>
        <v/>
      </c>
      <c r="AHE33" s="12">
        <f>IF(AHD33&gt;0,ROUND(AHD33*ReferralMix/(1-ReferralMix),0),0)</f>
        <v/>
      </c>
      <c r="AHF33" s="12">
        <f>AHD33+AHE33</f>
        <v/>
      </c>
      <c r="AHG33" s="12">
        <f>ROUND(AHF33*(1-AnnualMix),0)</f>
        <v/>
      </c>
      <c r="AHH33" s="12">
        <f>AHF33-AHG33</f>
        <v/>
      </c>
      <c r="AHI33" s="12">
        <f>ROUND(AHG33*EssentialMix,0)</f>
        <v/>
      </c>
      <c r="AHJ33" s="12">
        <f>AHG33-AHI33</f>
        <v/>
      </c>
      <c r="AHK33" s="12">
        <f>ROUND(AHH33*EssentialMix,0)</f>
        <v/>
      </c>
      <c r="AHL33" s="12">
        <f>AHH33-AHK33</f>
        <v/>
      </c>
      <c r="AHM33" s="12">
        <f>AHI33+AHI32+AHI31+MAX(0,AHM32-AHI32-AHI31)*(1-AHB33)</f>
        <v/>
      </c>
      <c r="AHN33" s="12">
        <f>AHJ33+AHJ32+AHJ31+MAX(0,AHN32-AHJ32-AHJ31)*(1-AHB33)</f>
        <v/>
      </c>
      <c r="AHO33" s="12">
        <f>AHO32+AHK33-AHK21*(AnnualChurn*VLOOKUP(AGX33,ChurnSeasonTable,4,FALSE))*POWER(1-(AnnualChurn*VLOOKUP(AGX33,ChurnSeasonTable,4,FALSE)),0)+AHK9*(AnnualChurn*VLOOKUP(AGX33,ChurnSeasonTable,4,FALSE))*POWER(1-(AnnualChurn*VLOOKUP(AGX33,ChurnSeasonTable,4,FALSE)),1)</f>
        <v/>
      </c>
      <c r="AHP33" s="12">
        <f>AHP32+AHL33-AHL21*(AnnualChurn*VLOOKUP(AGX33,ChurnSeasonTable,4,FALSE))*POWER(1-(AnnualChurn*VLOOKUP(AGX33,ChurnSeasonTable,4,FALSE)),0)+AHL9*(AnnualChurn*VLOOKUP(AGX33,ChurnSeasonTable,4,FALSE))*POWER(1-(AnnualChurn*VLOOKUP(AGX33,ChurnSeasonTable,4,FALSE)),1)</f>
        <v/>
      </c>
      <c r="AHQ33" s="12">
        <f>AHM33+AHN33+AHO33+AHP33</f>
        <v/>
      </c>
      <c r="AHR33" s="9">
        <f>AHM33*PriceEssMonthly*AHA33+AHN33*PricePremMonthly*AHA33+AHO33*PriceEssAnnual*AHA33/12+AHP33*PricePremAnnual*AHA33/12</f>
        <v/>
      </c>
      <c r="AHS33" s="9">
        <f>AHR33*12</f>
        <v/>
      </c>
      <c r="AHT33" s="12">
        <f>AHM33*PriceEssMonthly*AHA33+AHN33*PricePremMonthly*AHA33</f>
        <v/>
      </c>
      <c r="AHU33" s="12">
        <f>AHK33*PriceEssAnnual*AHA33+AHL33*PricePremAnnual*AHA33</f>
        <v/>
      </c>
      <c r="AHV33" s="12">
        <f>AHK21*POWER(1-(AnnualChurn*VLOOKUP(AGX33,ChurnSeasonTable,4,FALSE)),1)*PriceEssAnnual*AHA33+AHK9*POWER(1-(AnnualChurn*VLOOKUP(AGX33,ChurnSeasonTable,4,FALSE)),2)*PriceEssAnnual*AHA33+AHL21*POWER(1-(AnnualChurn*VLOOKUP(AGX33,ChurnSeasonTable,4,FALSE)),1)*PricePremAnnual*AHA33+AHL9*POWER(1-(AnnualChurn*VLOOKUP(AGX33,ChurnSeasonTable,4,FALSE)),2)*PricePremAnnual*AHA33</f>
        <v/>
      </c>
      <c r="AHW33" s="9">
        <f>AHT33+AHU33+AHV33</f>
        <v/>
      </c>
      <c r="AHX33" s="12">
        <f>SUM(AHW22:AHW33)</f>
        <v/>
      </c>
      <c r="AHY33" s="12">
        <f>OR(AHY32,AHX33&gt;=VATThreshold)</f>
        <v/>
      </c>
      <c r="AHZ33" s="9">
        <f>IF(AHY33,AHW33/(1+VATRate),AHW33)</f>
        <v/>
      </c>
      <c r="AIA33" s="12">
        <f>AHW33-AHZ33</f>
        <v/>
      </c>
      <c r="AIB33" s="12">
        <f>IF(AHY33=0,0,IF(AGX33=1,SUMPRODUCT(--(($AGY$5:$AGY33=$AGY33-1)*($AGX$5:$AGX33&gt;=10)*($AGX$5:$AGX33&lt;=12)),$AIA$5:$AIA33),IF(AGX33=4,SUMPRODUCT(--(($AGY$5:$AGY33=$AGY33)*($AGX$5:$AGX33&gt;=1)*($AGX$5:$AGX33&lt;=3)),$AIA$5:$AIA33),IF(AGX33=7,SUMPRODUCT(--(($AGY$5:$AGY33=$AGY33)*($AGX$5:$AGX33&gt;=4)*($AGX$5:$AGX33&lt;=6)),$AIA$5:$AIA33),IF(AGX33=10,SUMPRODUCT(--(($AGY$5:$AGY33=$AGY33)*($AGX$5:$AGX33&gt;=7)*($AGX$5:$AGX33&lt;=9)),$AIA$5:$AIA33),0)))))</f>
        <v/>
      </c>
      <c r="AIC33" s="12">
        <f>AIC32+AIA33-AIB33</f>
        <v/>
      </c>
      <c r="AID33" s="12">
        <f>IF(ProviderDelay&gt;=1,AHZ32*ProviderShare,AHZ33*ProviderShare)</f>
        <v/>
      </c>
      <c r="AIE33" s="12">
        <f>AHW33*PaymentFee</f>
        <v/>
      </c>
      <c r="AIF33" s="12">
        <f>AHQ33*OpsAI</f>
        <v/>
      </c>
      <c r="AIG33" s="12">
        <f>MonthlyFixed</f>
        <v/>
      </c>
      <c r="AIH33" s="12">
        <f>AHE33*ReferralReward</f>
        <v/>
      </c>
      <c r="AII33" s="12">
        <f>AHC33</f>
        <v/>
      </c>
      <c r="AIJ33" s="9">
        <f>AHZ33-AID33-AIE33-AIF33-AIG33-AIH33-AII33</f>
        <v/>
      </c>
      <c r="AIK33" s="9">
        <f>AIK32+AHW33-(AID33+AIE33+AIF33+AIG33+AIH33+AII33+AIB33)</f>
        <v/>
      </c>
      <c r="AIL33" s="12">
        <f>IF(AHQ33&gt;0,AHR33/AHQ33,0)</f>
        <v/>
      </c>
      <c r="AIM33" s="11">
        <f>IF(AHQ32&gt;0,MAX(0,(AHQ32+AHF33-AHQ33)/AHQ32),0)</f>
        <v/>
      </c>
      <c r="AIO33" s="12" t="n">
        <v>29</v>
      </c>
      <c r="AIP33" s="12">
        <f>MOD(AIO33-1+LaunchMonth-1,12)+1</f>
        <v/>
      </c>
      <c r="AIQ33" s="12">
        <f>INT((AIO33-1+LaunchMonth-1)/12)+1</f>
        <v/>
      </c>
      <c r="AIR33" s="12">
        <f>VLOOKUP(AIP33,SeasonTable,2,FALSE)</f>
        <v/>
      </c>
      <c r="AIS33" s="12">
        <f>(1+InflationRate)^INT((AIO33-1)/12)</f>
        <v/>
      </c>
      <c r="AIT33" s="11">
        <f>MonthlyChurn*VLOOKUP(AIP33,ChurnSeasonTable,4,FALSE)</f>
        <v/>
      </c>
      <c r="AIU33" s="12">
        <f>MIN(MAX(MktMin19plus,AJO32*MktPct19plus),MAX(0,AKC32-CashBuffer))</f>
        <v/>
      </c>
      <c r="AIV33" s="12">
        <f>IF(AIU33&gt;0,MAX(1,ROUND(AIU33/'Sens - CAC &amp; Marketing'!$A$11*AIR33,0)),0)</f>
        <v/>
      </c>
      <c r="AIW33" s="12">
        <f>IF(AIV33&gt;0,ROUND(AIV33*ReferralMix/(1-ReferralMix),0),0)</f>
        <v/>
      </c>
      <c r="AIX33" s="12">
        <f>AIV33+AIW33</f>
        <v/>
      </c>
      <c r="AIY33" s="12">
        <f>ROUND(AIX33*(1-AnnualMix),0)</f>
        <v/>
      </c>
      <c r="AIZ33" s="12">
        <f>AIX33-AIY33</f>
        <v/>
      </c>
      <c r="AJA33" s="12">
        <f>ROUND(AIY33*EssentialMix,0)</f>
        <v/>
      </c>
      <c r="AJB33" s="12">
        <f>AIY33-AJA33</f>
        <v/>
      </c>
      <c r="AJC33" s="12">
        <f>ROUND(AIZ33*EssentialMix,0)</f>
        <v/>
      </c>
      <c r="AJD33" s="12">
        <f>AIZ33-AJC33</f>
        <v/>
      </c>
      <c r="AJE33" s="12">
        <f>AJA33+AJA32+AJA31+MAX(0,AJE32-AJA32-AJA31)*(1-AIT33)</f>
        <v/>
      </c>
      <c r="AJF33" s="12">
        <f>AJB33+AJB32+AJB31+MAX(0,AJF32-AJB32-AJB31)*(1-AIT33)</f>
        <v/>
      </c>
      <c r="AJG33" s="12">
        <f>AJG32+AJC33-AJC21*(AnnualChurn*VLOOKUP(AIP33,ChurnSeasonTable,4,FALSE))*POWER(1-(AnnualChurn*VLOOKUP(AIP33,ChurnSeasonTable,4,FALSE)),0)+AJC9*(AnnualChurn*VLOOKUP(AIP33,ChurnSeasonTable,4,FALSE))*POWER(1-(AnnualChurn*VLOOKUP(AIP33,ChurnSeasonTable,4,FALSE)),1)</f>
        <v/>
      </c>
      <c r="AJH33" s="12">
        <f>AJH32+AJD33-AJD21*(AnnualChurn*VLOOKUP(AIP33,ChurnSeasonTable,4,FALSE))*POWER(1-(AnnualChurn*VLOOKUP(AIP33,ChurnSeasonTable,4,FALSE)),0)+AJD9*(AnnualChurn*VLOOKUP(AIP33,ChurnSeasonTable,4,FALSE))*POWER(1-(AnnualChurn*VLOOKUP(AIP33,ChurnSeasonTable,4,FALSE)),1)</f>
        <v/>
      </c>
      <c r="AJI33" s="12">
        <f>AJE33+AJF33+AJG33+AJH33</f>
        <v/>
      </c>
      <c r="AJJ33" s="9">
        <f>AJE33*PriceEssMonthly*AIS33+AJF33*PricePremMonthly*AIS33+AJG33*PriceEssAnnual*AIS33/12+AJH33*PricePremAnnual*AIS33/12</f>
        <v/>
      </c>
      <c r="AJK33" s="9">
        <f>AJJ33*12</f>
        <v/>
      </c>
      <c r="AJL33" s="12">
        <f>AJE33*PriceEssMonthly*AIS33+AJF33*PricePremMonthly*AIS33</f>
        <v/>
      </c>
      <c r="AJM33" s="12">
        <f>AJC33*PriceEssAnnual*AIS33+AJD33*PricePremAnnual*AIS33</f>
        <v/>
      </c>
      <c r="AJN33" s="12">
        <f>AJC21*POWER(1-(AnnualChurn*VLOOKUP(AIP33,ChurnSeasonTable,4,FALSE)),1)*PriceEssAnnual*AIS33+AJC9*POWER(1-(AnnualChurn*VLOOKUP(AIP33,ChurnSeasonTable,4,FALSE)),2)*PriceEssAnnual*AIS33+AJD21*POWER(1-(AnnualChurn*VLOOKUP(AIP33,ChurnSeasonTable,4,FALSE)),1)*PricePremAnnual*AIS33+AJD9*POWER(1-(AnnualChurn*VLOOKUP(AIP33,ChurnSeasonTable,4,FALSE)),2)*PricePremAnnual*AIS33</f>
        <v/>
      </c>
      <c r="AJO33" s="9">
        <f>AJL33+AJM33+AJN33</f>
        <v/>
      </c>
      <c r="AJP33" s="12">
        <f>SUM(AJO22:AJO33)</f>
        <v/>
      </c>
      <c r="AJQ33" s="12">
        <f>OR(AJQ32,AJP33&gt;=VATThreshold)</f>
        <v/>
      </c>
      <c r="AJR33" s="9">
        <f>IF(AJQ33,AJO33/(1+VATRate),AJO33)</f>
        <v/>
      </c>
      <c r="AJS33" s="12">
        <f>AJO33-AJR33</f>
        <v/>
      </c>
      <c r="AJT33" s="12">
        <f>IF(AJQ33=0,0,IF(AIP33=1,SUMPRODUCT(--(($AIQ$5:$AIQ33=$AIQ33-1)*($AIP$5:$AIP33&gt;=10)*($AIP$5:$AIP33&lt;=12)),$AJS$5:$AJS33),IF(AIP33=4,SUMPRODUCT(--(($AIQ$5:$AIQ33=$AIQ33)*($AIP$5:$AIP33&gt;=1)*($AIP$5:$AIP33&lt;=3)),$AJS$5:$AJS33),IF(AIP33=7,SUMPRODUCT(--(($AIQ$5:$AIQ33=$AIQ33)*($AIP$5:$AIP33&gt;=4)*($AIP$5:$AIP33&lt;=6)),$AJS$5:$AJS33),IF(AIP33=10,SUMPRODUCT(--(($AIQ$5:$AIQ33=$AIQ33)*($AIP$5:$AIP33&gt;=7)*($AIP$5:$AIP33&lt;=9)),$AJS$5:$AJS33),0)))))</f>
        <v/>
      </c>
      <c r="AJU33" s="12">
        <f>AJU32+AJS33-AJT33</f>
        <v/>
      </c>
      <c r="AJV33" s="12">
        <f>IF(ProviderDelay&gt;=1,AJR32*ProviderShare,AJR33*ProviderShare)</f>
        <v/>
      </c>
      <c r="AJW33" s="12">
        <f>AJO33*PaymentFee</f>
        <v/>
      </c>
      <c r="AJX33" s="12">
        <f>AJI33*OpsAI</f>
        <v/>
      </c>
      <c r="AJY33" s="12">
        <f>MonthlyFixed</f>
        <v/>
      </c>
      <c r="AJZ33" s="12">
        <f>AIW33*ReferralReward</f>
        <v/>
      </c>
      <c r="AKA33" s="12">
        <f>AIU33</f>
        <v/>
      </c>
      <c r="AKB33" s="9">
        <f>AJR33-AJV33-AJW33-AJX33-AJY33-AJZ33-AKA33</f>
        <v/>
      </c>
      <c r="AKC33" s="9">
        <f>AKC32+AJO33-(AJV33+AJW33+AJX33+AJY33+AJZ33+AKA33+AJT33)</f>
        <v/>
      </c>
      <c r="AKD33" s="12">
        <f>IF(AJI33&gt;0,AJJ33/AJI33,0)</f>
        <v/>
      </c>
      <c r="AKE33" s="11">
        <f>IF(AJI32&gt;0,MAX(0,(AJI32+AIX33-AJI33)/AJI32),0)</f>
        <v/>
      </c>
      <c r="AKG33" s="12" t="n">
        <v>29</v>
      </c>
      <c r="AKH33" s="12">
        <f>MOD(AKG33-1+LaunchMonth-1,12)+1</f>
        <v/>
      </c>
      <c r="AKI33" s="12">
        <f>INT((AKG33-1+LaunchMonth-1)/12)+1</f>
        <v/>
      </c>
      <c r="AKJ33" s="12">
        <f>VLOOKUP(AKH33,SeasonTable,2,FALSE)</f>
        <v/>
      </c>
      <c r="AKK33" s="12">
        <f>(1+InflationRate)^INT((AKG33-1)/12)</f>
        <v/>
      </c>
      <c r="AKL33" s="11">
        <f>MonthlyChurn*VLOOKUP(AKH33,ChurnSeasonTable,4,FALSE)</f>
        <v/>
      </c>
      <c r="AKM33" s="12">
        <f>MIN(MAX(MktMin19plus,ALG32*MktPct19plus),MAX(0,ALU32-CashBuffer))</f>
        <v/>
      </c>
      <c r="AKN33" s="12">
        <f>IF(AKM33&gt;0,MAX(1,ROUND(AKM33/'Sens - CAC &amp; Marketing'!$A$12*AKJ33,0)),0)</f>
        <v/>
      </c>
      <c r="AKO33" s="12">
        <f>IF(AKN33&gt;0,ROUND(AKN33*ReferralMix/(1-ReferralMix),0),0)</f>
        <v/>
      </c>
      <c r="AKP33" s="12">
        <f>AKN33+AKO33</f>
        <v/>
      </c>
      <c r="AKQ33" s="12">
        <f>ROUND(AKP33*(1-AnnualMix),0)</f>
        <v/>
      </c>
      <c r="AKR33" s="12">
        <f>AKP33-AKQ33</f>
        <v/>
      </c>
      <c r="AKS33" s="12">
        <f>ROUND(AKQ33*EssentialMix,0)</f>
        <v/>
      </c>
      <c r="AKT33" s="12">
        <f>AKQ33-AKS33</f>
        <v/>
      </c>
      <c r="AKU33" s="12">
        <f>ROUND(AKR33*EssentialMix,0)</f>
        <v/>
      </c>
      <c r="AKV33" s="12">
        <f>AKR33-AKU33</f>
        <v/>
      </c>
      <c r="AKW33" s="12">
        <f>AKS33+AKS32+AKS31+MAX(0,AKW32-AKS32-AKS31)*(1-AKL33)</f>
        <v/>
      </c>
      <c r="AKX33" s="12">
        <f>AKT33+AKT32+AKT31+MAX(0,AKX32-AKT32-AKT31)*(1-AKL33)</f>
        <v/>
      </c>
      <c r="AKY33" s="12">
        <f>AKY32+AKU33-AKU21*(AnnualChurn*VLOOKUP(AKH33,ChurnSeasonTable,4,FALSE))*POWER(1-(AnnualChurn*VLOOKUP(AKH33,ChurnSeasonTable,4,FALSE)),0)+AKU9*(AnnualChurn*VLOOKUP(AKH33,ChurnSeasonTable,4,FALSE))*POWER(1-(AnnualChurn*VLOOKUP(AKH33,ChurnSeasonTable,4,FALSE)),1)</f>
        <v/>
      </c>
      <c r="AKZ33" s="12">
        <f>AKZ32+AKV33-AKV21*(AnnualChurn*VLOOKUP(AKH33,ChurnSeasonTable,4,FALSE))*POWER(1-(AnnualChurn*VLOOKUP(AKH33,ChurnSeasonTable,4,FALSE)),0)+AKV9*(AnnualChurn*VLOOKUP(AKH33,ChurnSeasonTable,4,FALSE))*POWER(1-(AnnualChurn*VLOOKUP(AKH33,ChurnSeasonTable,4,FALSE)),1)</f>
        <v/>
      </c>
      <c r="ALA33" s="12">
        <f>AKW33+AKX33+AKY33+AKZ33</f>
        <v/>
      </c>
      <c r="ALB33" s="9">
        <f>AKW33*PriceEssMonthly*AKK33+AKX33*PricePremMonthly*AKK33+AKY33*PriceEssAnnual*AKK33/12+AKZ33*PricePremAnnual*AKK33/12</f>
        <v/>
      </c>
      <c r="ALC33" s="9">
        <f>ALB33*12</f>
        <v/>
      </c>
      <c r="ALD33" s="12">
        <f>AKW33*PriceEssMonthly*AKK33+AKX33*PricePremMonthly*AKK33</f>
        <v/>
      </c>
      <c r="ALE33" s="12">
        <f>AKU33*PriceEssAnnual*AKK33+AKV33*PricePremAnnual*AKK33</f>
        <v/>
      </c>
      <c r="ALF33" s="12">
        <f>AKU21*POWER(1-(AnnualChurn*VLOOKUP(AKH33,ChurnSeasonTable,4,FALSE)),1)*PriceEssAnnual*AKK33+AKU9*POWER(1-(AnnualChurn*VLOOKUP(AKH33,ChurnSeasonTable,4,FALSE)),2)*PriceEssAnnual*AKK33+AKV21*POWER(1-(AnnualChurn*VLOOKUP(AKH33,ChurnSeasonTable,4,FALSE)),1)*PricePremAnnual*AKK33+AKV9*POWER(1-(AnnualChurn*VLOOKUP(AKH33,ChurnSeasonTable,4,FALSE)),2)*PricePremAnnual*AKK33</f>
        <v/>
      </c>
      <c r="ALG33" s="9">
        <f>ALD33+ALE33+ALF33</f>
        <v/>
      </c>
      <c r="ALH33" s="12">
        <f>SUM(ALG22:ALG33)</f>
        <v/>
      </c>
      <c r="ALI33" s="12">
        <f>OR(ALI32,ALH33&gt;=VATThreshold)</f>
        <v/>
      </c>
      <c r="ALJ33" s="9">
        <f>IF(ALI33,ALG33/(1+VATRate),ALG33)</f>
        <v/>
      </c>
      <c r="ALK33" s="12">
        <f>ALG33-ALJ33</f>
        <v/>
      </c>
      <c r="ALL33" s="12">
        <f>IF(ALI33=0,0,IF(AKH33=1,SUMPRODUCT(--(($AKI$5:$AKI33=$AKI33-1)*($AKH$5:$AKH33&gt;=10)*($AKH$5:$AKH33&lt;=12)),$ALK$5:$ALK33),IF(AKH33=4,SUMPRODUCT(--(($AKI$5:$AKI33=$AKI33)*($AKH$5:$AKH33&gt;=1)*($AKH$5:$AKH33&lt;=3)),$ALK$5:$ALK33),IF(AKH33=7,SUMPRODUCT(--(($AKI$5:$AKI33=$AKI33)*($AKH$5:$AKH33&gt;=4)*($AKH$5:$AKH33&lt;=6)),$ALK$5:$ALK33),IF(AKH33=10,SUMPRODUCT(--(($AKI$5:$AKI33=$AKI33)*($AKH$5:$AKH33&gt;=7)*($AKH$5:$AKH33&lt;=9)),$ALK$5:$ALK33),0)))))</f>
        <v/>
      </c>
      <c r="ALM33" s="12">
        <f>ALM32+ALK33-ALL33</f>
        <v/>
      </c>
      <c r="ALN33" s="12">
        <f>IF(ProviderDelay&gt;=1,ALJ32*ProviderShare,ALJ33*ProviderShare)</f>
        <v/>
      </c>
      <c r="ALO33" s="12">
        <f>ALG33*PaymentFee</f>
        <v/>
      </c>
      <c r="ALP33" s="12">
        <f>ALA33*OpsAI</f>
        <v/>
      </c>
      <c r="ALQ33" s="12">
        <f>MonthlyFixed</f>
        <v/>
      </c>
      <c r="ALR33" s="12">
        <f>AKO33*ReferralReward</f>
        <v/>
      </c>
      <c r="ALS33" s="12">
        <f>AKM33</f>
        <v/>
      </c>
      <c r="ALT33" s="9">
        <f>ALJ33-ALN33-ALO33-ALP33-ALQ33-ALR33-ALS33</f>
        <v/>
      </c>
      <c r="ALU33" s="9">
        <f>ALU32+ALG33-(ALN33+ALO33+ALP33+ALQ33+ALR33+ALS33+ALL33)</f>
        <v/>
      </c>
      <c r="ALV33" s="12">
        <f>IF(ALA33&gt;0,ALB33/ALA33,0)</f>
        <v/>
      </c>
      <c r="ALW33" s="11">
        <f>IF(ALA32&gt;0,MAX(0,(ALA32+AKP33-ALA33)/ALA32),0)</f>
        <v/>
      </c>
      <c r="ALY33" s="12" t="n">
        <v>29</v>
      </c>
      <c r="ALZ33" s="12">
        <f>MOD(ALY33-1+LaunchMonth-1,12)+1</f>
        <v/>
      </c>
      <c r="AMA33" s="12">
        <f>INT((ALY33-1+LaunchMonth-1)/12)+1</f>
        <v/>
      </c>
      <c r="AMB33" s="12">
        <f>VLOOKUP(ALZ33,SeasonTable,2,FALSE)</f>
        <v/>
      </c>
      <c r="AMC33" s="12">
        <f>(1+InflationRate)^INT((ALY33-1)/12)</f>
        <v/>
      </c>
      <c r="AMD33" s="11">
        <f>MonthlyChurn*VLOOKUP(ALZ33,ChurnSeasonTable,4,FALSE)</f>
        <v/>
      </c>
      <c r="AME33" s="12">
        <f>MIN(MAX(MktMin19plus,AMY32*MktPct19plus),MAX(0,ANM32-CashBuffer))</f>
        <v/>
      </c>
      <c r="AMF33" s="12">
        <f>IF(AME33&gt;0,MAX(1,ROUND(AME33/'Sens - CAC &amp; Marketing'!$A$13*AMB33,0)),0)</f>
        <v/>
      </c>
      <c r="AMG33" s="12">
        <f>IF(AMF33&gt;0,ROUND(AMF33*ReferralMix/(1-ReferralMix),0),0)</f>
        <v/>
      </c>
      <c r="AMH33" s="12">
        <f>AMF33+AMG33</f>
        <v/>
      </c>
      <c r="AMI33" s="12">
        <f>ROUND(AMH33*(1-AnnualMix),0)</f>
        <v/>
      </c>
      <c r="AMJ33" s="12">
        <f>AMH33-AMI33</f>
        <v/>
      </c>
      <c r="AMK33" s="12">
        <f>ROUND(AMI33*EssentialMix,0)</f>
        <v/>
      </c>
      <c r="AML33" s="12">
        <f>AMI33-AMK33</f>
        <v/>
      </c>
      <c r="AMM33" s="12">
        <f>ROUND(AMJ33*EssentialMix,0)</f>
        <v/>
      </c>
      <c r="AMN33" s="12">
        <f>AMJ33-AMM33</f>
        <v/>
      </c>
      <c r="AMO33" s="12">
        <f>AMK33+AMK32+AMK31+MAX(0,AMO32-AMK32-AMK31)*(1-AMD33)</f>
        <v/>
      </c>
      <c r="AMP33" s="12">
        <f>AML33+AML32+AML31+MAX(0,AMP32-AML32-AML31)*(1-AMD33)</f>
        <v/>
      </c>
      <c r="AMQ33" s="12">
        <f>AMQ32+AMM33-AMM21*(AnnualChurn*VLOOKUP(ALZ33,ChurnSeasonTable,4,FALSE))*POWER(1-(AnnualChurn*VLOOKUP(ALZ33,ChurnSeasonTable,4,FALSE)),0)+AMM9*(AnnualChurn*VLOOKUP(ALZ33,ChurnSeasonTable,4,FALSE))*POWER(1-(AnnualChurn*VLOOKUP(ALZ33,ChurnSeasonTable,4,FALSE)),1)</f>
        <v/>
      </c>
      <c r="AMR33" s="12">
        <f>AMR32+AMN33-AMN21*(AnnualChurn*VLOOKUP(ALZ33,ChurnSeasonTable,4,FALSE))*POWER(1-(AnnualChurn*VLOOKUP(ALZ33,ChurnSeasonTable,4,FALSE)),0)+AMN9*(AnnualChurn*VLOOKUP(ALZ33,ChurnSeasonTable,4,FALSE))*POWER(1-(AnnualChurn*VLOOKUP(ALZ33,ChurnSeasonTable,4,FALSE)),1)</f>
        <v/>
      </c>
      <c r="AMS33" s="12">
        <f>AMO33+AMP33+AMQ33+AMR33</f>
        <v/>
      </c>
      <c r="AMT33" s="9">
        <f>AMO33*PriceEssMonthly*AMC33+AMP33*PricePremMonthly*AMC33+AMQ33*PriceEssAnnual*AMC33/12+AMR33*PricePremAnnual*AMC33/12</f>
        <v/>
      </c>
      <c r="AMU33" s="9">
        <f>AMT33*12</f>
        <v/>
      </c>
      <c r="AMV33" s="12">
        <f>AMO33*PriceEssMonthly*AMC33+AMP33*PricePremMonthly*AMC33</f>
        <v/>
      </c>
      <c r="AMW33" s="12">
        <f>AMM33*PriceEssAnnual*AMC33+AMN33*PricePremAnnual*AMC33</f>
        <v/>
      </c>
      <c r="AMX33" s="12">
        <f>AMM21*POWER(1-(AnnualChurn*VLOOKUP(ALZ33,ChurnSeasonTable,4,FALSE)),1)*PriceEssAnnual*AMC33+AMM9*POWER(1-(AnnualChurn*VLOOKUP(ALZ33,ChurnSeasonTable,4,FALSE)),2)*PriceEssAnnual*AMC33+AMN21*POWER(1-(AnnualChurn*VLOOKUP(ALZ33,ChurnSeasonTable,4,FALSE)),1)*PricePremAnnual*AMC33+AMN9*POWER(1-(AnnualChurn*VLOOKUP(ALZ33,ChurnSeasonTable,4,FALSE)),2)*PricePremAnnual*AMC33</f>
        <v/>
      </c>
      <c r="AMY33" s="9">
        <f>AMV33+AMW33+AMX33</f>
        <v/>
      </c>
      <c r="AMZ33" s="12">
        <f>SUM(AMY22:AMY33)</f>
        <v/>
      </c>
      <c r="ANA33" s="12">
        <f>OR(ANA32,AMZ33&gt;=VATThreshold)</f>
        <v/>
      </c>
      <c r="ANB33" s="9">
        <f>IF(ANA33,AMY33/(1+VATRate),AMY33)</f>
        <v/>
      </c>
      <c r="ANC33" s="12">
        <f>AMY33-ANB33</f>
        <v/>
      </c>
      <c r="AND33" s="12">
        <f>IF(ANA33=0,0,IF(ALZ33=1,SUMPRODUCT(--(($AMA$5:$AMA33=$AMA33-1)*($ALZ$5:$ALZ33&gt;=10)*($ALZ$5:$ALZ33&lt;=12)),$ANC$5:$ANC33),IF(ALZ33=4,SUMPRODUCT(--(($AMA$5:$AMA33=$AMA33)*($ALZ$5:$ALZ33&gt;=1)*($ALZ$5:$ALZ33&lt;=3)),$ANC$5:$ANC33),IF(ALZ33=7,SUMPRODUCT(--(($AMA$5:$AMA33=$AMA33)*($ALZ$5:$ALZ33&gt;=4)*($ALZ$5:$ALZ33&lt;=6)),$ANC$5:$ANC33),IF(ALZ33=10,SUMPRODUCT(--(($AMA$5:$AMA33=$AMA33)*($ALZ$5:$ALZ33&gt;=7)*($ALZ$5:$ALZ33&lt;=9)),$ANC$5:$ANC33),0)))))</f>
        <v/>
      </c>
      <c r="ANE33" s="12">
        <f>ANE32+ANC33-AND33</f>
        <v/>
      </c>
      <c r="ANF33" s="12">
        <f>IF(ProviderDelay&gt;=1,ANB32*ProviderShare,ANB33*ProviderShare)</f>
        <v/>
      </c>
      <c r="ANG33" s="12">
        <f>AMY33*PaymentFee</f>
        <v/>
      </c>
      <c r="ANH33" s="12">
        <f>AMS33*OpsAI</f>
        <v/>
      </c>
      <c r="ANI33" s="12">
        <f>MonthlyFixed</f>
        <v/>
      </c>
      <c r="ANJ33" s="12">
        <f>AMG33*ReferralReward</f>
        <v/>
      </c>
      <c r="ANK33" s="12">
        <f>AME33</f>
        <v/>
      </c>
      <c r="ANL33" s="9">
        <f>ANB33-ANF33-ANG33-ANH33-ANI33-ANJ33-ANK33</f>
        <v/>
      </c>
      <c r="ANM33" s="9">
        <f>ANM32+AMY33-(ANF33+ANG33+ANH33+ANI33+ANJ33+ANK33+AND33)</f>
        <v/>
      </c>
      <c r="ANN33" s="12">
        <f>IF(AMS33&gt;0,AMT33/AMS33,0)</f>
        <v/>
      </c>
      <c r="ANO33" s="11">
        <f>IF(AMS32&gt;0,MAX(0,(AMS32+AMH33-AMS33)/AMS32),0)</f>
        <v/>
      </c>
      <c r="ANQ33" s="12" t="n">
        <v>29</v>
      </c>
      <c r="ANR33" s="12">
        <f>MOD(ANQ33-1+LaunchMonth-1,12)+1</f>
        <v/>
      </c>
      <c r="ANS33" s="12">
        <f>INT((ANQ33-1+LaunchMonth-1)/12)+1</f>
        <v/>
      </c>
      <c r="ANT33" s="12">
        <f>VLOOKUP(ANR33,SeasonTable,2,FALSE)</f>
        <v/>
      </c>
      <c r="ANU33" s="12">
        <f>(1+InflationRate)^INT((ANQ33-1)/12)</f>
        <v/>
      </c>
      <c r="ANV33" s="11">
        <f>MonthlyChurn*VLOOKUP(ANR33,ChurnSeasonTable,4,FALSE)</f>
        <v/>
      </c>
      <c r="ANW33" s="12">
        <f>MIN(MAX(MktMin19plus,AOQ32*MktPct19plus),MAX(0,APE32-CashBuffer))</f>
        <v/>
      </c>
      <c r="ANX33" s="12">
        <f>IF(ANW33&gt;0,MAX(1,ROUND(ANW33/'Sens - CAC &amp; Marketing'!$A$14*ANT33,0)),0)</f>
        <v/>
      </c>
      <c r="ANY33" s="12">
        <f>IF(ANX33&gt;0,ROUND(ANX33*ReferralMix/(1-ReferralMix),0),0)</f>
        <v/>
      </c>
      <c r="ANZ33" s="12">
        <f>ANX33+ANY33</f>
        <v/>
      </c>
      <c r="AOA33" s="12">
        <f>ROUND(ANZ33*(1-AnnualMix),0)</f>
        <v/>
      </c>
      <c r="AOB33" s="12">
        <f>ANZ33-AOA33</f>
        <v/>
      </c>
      <c r="AOC33" s="12">
        <f>ROUND(AOA33*EssentialMix,0)</f>
        <v/>
      </c>
      <c r="AOD33" s="12">
        <f>AOA33-AOC33</f>
        <v/>
      </c>
      <c r="AOE33" s="12">
        <f>ROUND(AOB33*EssentialMix,0)</f>
        <v/>
      </c>
      <c r="AOF33" s="12">
        <f>AOB33-AOE33</f>
        <v/>
      </c>
      <c r="AOG33" s="12">
        <f>AOC33+AOC32+AOC31+MAX(0,AOG32-AOC32-AOC31)*(1-ANV33)</f>
        <v/>
      </c>
      <c r="AOH33" s="12">
        <f>AOD33+AOD32+AOD31+MAX(0,AOH32-AOD32-AOD31)*(1-ANV33)</f>
        <v/>
      </c>
      <c r="AOI33" s="12">
        <f>AOI32+AOE33-AOE21*(AnnualChurn*VLOOKUP(ANR33,ChurnSeasonTable,4,FALSE))*POWER(1-(AnnualChurn*VLOOKUP(ANR33,ChurnSeasonTable,4,FALSE)),0)+AOE9*(AnnualChurn*VLOOKUP(ANR33,ChurnSeasonTable,4,FALSE))*POWER(1-(AnnualChurn*VLOOKUP(ANR33,ChurnSeasonTable,4,FALSE)),1)</f>
        <v/>
      </c>
      <c r="AOJ33" s="12">
        <f>AOJ32+AOF33-AOF21*(AnnualChurn*VLOOKUP(ANR33,ChurnSeasonTable,4,FALSE))*POWER(1-(AnnualChurn*VLOOKUP(ANR33,ChurnSeasonTable,4,FALSE)),0)+AOF9*(AnnualChurn*VLOOKUP(ANR33,ChurnSeasonTable,4,FALSE))*POWER(1-(AnnualChurn*VLOOKUP(ANR33,ChurnSeasonTable,4,FALSE)),1)</f>
        <v/>
      </c>
      <c r="AOK33" s="12">
        <f>AOG33+AOH33+AOI33+AOJ33</f>
        <v/>
      </c>
      <c r="AOL33" s="9">
        <f>AOG33*PriceEssMonthly*ANU33+AOH33*PricePremMonthly*ANU33+AOI33*PriceEssAnnual*ANU33/12+AOJ33*PricePremAnnual*ANU33/12</f>
        <v/>
      </c>
      <c r="AOM33" s="9">
        <f>AOL33*12</f>
        <v/>
      </c>
      <c r="AON33" s="12">
        <f>AOG33*PriceEssMonthly*ANU33+AOH33*PricePremMonthly*ANU33</f>
        <v/>
      </c>
      <c r="AOO33" s="12">
        <f>AOE33*PriceEssAnnual*ANU33+AOF33*PricePremAnnual*ANU33</f>
        <v/>
      </c>
      <c r="AOP33" s="12">
        <f>AOE21*POWER(1-(AnnualChurn*VLOOKUP(ANR33,ChurnSeasonTable,4,FALSE)),1)*PriceEssAnnual*ANU33+AOE9*POWER(1-(AnnualChurn*VLOOKUP(ANR33,ChurnSeasonTable,4,FALSE)),2)*PriceEssAnnual*ANU33+AOF21*POWER(1-(AnnualChurn*VLOOKUP(ANR33,ChurnSeasonTable,4,FALSE)),1)*PricePremAnnual*ANU33+AOF9*POWER(1-(AnnualChurn*VLOOKUP(ANR33,ChurnSeasonTable,4,FALSE)),2)*PricePremAnnual*ANU33</f>
        <v/>
      </c>
      <c r="AOQ33" s="9">
        <f>AON33+AOO33+AOP33</f>
        <v/>
      </c>
      <c r="AOR33" s="12">
        <f>SUM(AOQ22:AOQ33)</f>
        <v/>
      </c>
      <c r="AOS33" s="12">
        <f>OR(AOS32,AOR33&gt;=VATThreshold)</f>
        <v/>
      </c>
      <c r="AOT33" s="9">
        <f>IF(AOS33,AOQ33/(1+VATRate),AOQ33)</f>
        <v/>
      </c>
      <c r="AOU33" s="12">
        <f>AOQ33-AOT33</f>
        <v/>
      </c>
      <c r="AOV33" s="12">
        <f>IF(AOS33=0,0,IF(ANR33=1,SUMPRODUCT(--(($ANS$5:$ANS33=$ANS33-1)*($ANR$5:$ANR33&gt;=10)*($ANR$5:$ANR33&lt;=12)),$AOU$5:$AOU33),IF(ANR33=4,SUMPRODUCT(--(($ANS$5:$ANS33=$ANS33)*($ANR$5:$ANR33&gt;=1)*($ANR$5:$ANR33&lt;=3)),$AOU$5:$AOU33),IF(ANR33=7,SUMPRODUCT(--(($ANS$5:$ANS33=$ANS33)*($ANR$5:$ANR33&gt;=4)*($ANR$5:$ANR33&lt;=6)),$AOU$5:$AOU33),IF(ANR33=10,SUMPRODUCT(--(($ANS$5:$ANS33=$ANS33)*($ANR$5:$ANR33&gt;=7)*($ANR$5:$ANR33&lt;=9)),$AOU$5:$AOU33),0)))))</f>
        <v/>
      </c>
      <c r="AOW33" s="12">
        <f>AOW32+AOU33-AOV33</f>
        <v/>
      </c>
      <c r="AOX33" s="12">
        <f>IF(ProviderDelay&gt;=1,AOT32*ProviderShare,AOT33*ProviderShare)</f>
        <v/>
      </c>
      <c r="AOY33" s="12">
        <f>AOQ33*PaymentFee</f>
        <v/>
      </c>
      <c r="AOZ33" s="12">
        <f>AOK33*OpsAI</f>
        <v/>
      </c>
      <c r="APA33" s="12">
        <f>MonthlyFixed</f>
        <v/>
      </c>
      <c r="APB33" s="12">
        <f>ANY33*ReferralReward</f>
        <v/>
      </c>
      <c r="APC33" s="12">
        <f>ANW33</f>
        <v/>
      </c>
      <c r="APD33" s="9">
        <f>AOT33-AOX33-AOY33-AOZ33-APA33-APB33-APC33</f>
        <v/>
      </c>
      <c r="APE33" s="9">
        <f>APE32+AOQ33-(AOX33+AOY33+AOZ33+APA33+APB33+APC33+AOV33)</f>
        <v/>
      </c>
      <c r="APF33" s="12">
        <f>IF(AOK33&gt;0,AOL33/AOK33,0)</f>
        <v/>
      </c>
      <c r="APG33" s="11">
        <f>IF(AOK32&gt;0,MAX(0,(AOK32+ANZ33-AOK33)/AOK32),0)</f>
        <v/>
      </c>
      <c r="API33" s="12" t="n">
        <v>29</v>
      </c>
      <c r="APJ33" s="12">
        <f>MOD(API33-1+LaunchMonth-1,12)+1</f>
        <v/>
      </c>
      <c r="APK33" s="12">
        <f>INT((API33-1+LaunchMonth-1)/12)+1</f>
        <v/>
      </c>
      <c r="APL33" s="12">
        <f>VLOOKUP(APJ33,SeasonTable,2,FALSE)</f>
        <v/>
      </c>
      <c r="APM33" s="12">
        <f>(1+InflationRate)^INT((API33-1)/12)</f>
        <v/>
      </c>
      <c r="APN33" s="11">
        <f>MonthlyChurn*VLOOKUP(APJ33,ChurnSeasonTable,4,FALSE)</f>
        <v/>
      </c>
      <c r="APO33" s="12">
        <f>MIN(MAX(MktMin19plus,AQI32*MktPct19plus),MAX(0,AQW32-CashBuffer))</f>
        <v/>
      </c>
      <c r="APP33" s="12">
        <f>IF(APO33&gt;0,MAX(1,ROUND(APO33/'Sens - CAC &amp; Marketing'!$A$15*APL33,0)),0)</f>
        <v/>
      </c>
      <c r="APQ33" s="12">
        <f>IF(APP33&gt;0,ROUND(APP33*ReferralMix/(1-ReferralMix),0),0)</f>
        <v/>
      </c>
      <c r="APR33" s="12">
        <f>APP33+APQ33</f>
        <v/>
      </c>
      <c r="APS33" s="12">
        <f>ROUND(APR33*(1-AnnualMix),0)</f>
        <v/>
      </c>
      <c r="APT33" s="12">
        <f>APR33-APS33</f>
        <v/>
      </c>
      <c r="APU33" s="12">
        <f>ROUND(APS33*EssentialMix,0)</f>
        <v/>
      </c>
      <c r="APV33" s="12">
        <f>APS33-APU33</f>
        <v/>
      </c>
      <c r="APW33" s="12">
        <f>ROUND(APT33*EssentialMix,0)</f>
        <v/>
      </c>
      <c r="APX33" s="12">
        <f>APT33-APW33</f>
        <v/>
      </c>
      <c r="APY33" s="12">
        <f>APU33+APU32+APU31+MAX(0,APY32-APU32-APU31)*(1-APN33)</f>
        <v/>
      </c>
      <c r="APZ33" s="12">
        <f>APV33+APV32+APV31+MAX(0,APZ32-APV32-APV31)*(1-APN33)</f>
        <v/>
      </c>
      <c r="AQA33" s="12">
        <f>AQA32+APW33-APW21*(AnnualChurn*VLOOKUP(APJ33,ChurnSeasonTable,4,FALSE))*POWER(1-(AnnualChurn*VLOOKUP(APJ33,ChurnSeasonTable,4,FALSE)),0)+APW9*(AnnualChurn*VLOOKUP(APJ33,ChurnSeasonTable,4,FALSE))*POWER(1-(AnnualChurn*VLOOKUP(APJ33,ChurnSeasonTable,4,FALSE)),1)</f>
        <v/>
      </c>
      <c r="AQB33" s="12">
        <f>AQB32+APX33-APX21*(AnnualChurn*VLOOKUP(APJ33,ChurnSeasonTable,4,FALSE))*POWER(1-(AnnualChurn*VLOOKUP(APJ33,ChurnSeasonTable,4,FALSE)),0)+APX9*(AnnualChurn*VLOOKUP(APJ33,ChurnSeasonTable,4,FALSE))*POWER(1-(AnnualChurn*VLOOKUP(APJ33,ChurnSeasonTable,4,FALSE)),1)</f>
        <v/>
      </c>
      <c r="AQC33" s="12">
        <f>APY33+APZ33+AQA33+AQB33</f>
        <v/>
      </c>
      <c r="AQD33" s="9">
        <f>APY33*PriceEssMonthly*APM33+APZ33*PricePremMonthly*APM33+AQA33*PriceEssAnnual*APM33/12+AQB33*PricePremAnnual*APM33/12</f>
        <v/>
      </c>
      <c r="AQE33" s="9">
        <f>AQD33*12</f>
        <v/>
      </c>
      <c r="AQF33" s="12">
        <f>APY33*PriceEssMonthly*APM33+APZ33*PricePremMonthly*APM33</f>
        <v/>
      </c>
      <c r="AQG33" s="12">
        <f>APW33*PriceEssAnnual*APM33+APX33*PricePremAnnual*APM33</f>
        <v/>
      </c>
      <c r="AQH33" s="12">
        <f>APW21*POWER(1-(AnnualChurn*VLOOKUP(APJ33,ChurnSeasonTable,4,FALSE)),1)*PriceEssAnnual*APM33+APW9*POWER(1-(AnnualChurn*VLOOKUP(APJ33,ChurnSeasonTable,4,FALSE)),2)*PriceEssAnnual*APM33+APX21*POWER(1-(AnnualChurn*VLOOKUP(APJ33,ChurnSeasonTable,4,FALSE)),1)*PricePremAnnual*APM33+APX9*POWER(1-(AnnualChurn*VLOOKUP(APJ33,ChurnSeasonTable,4,FALSE)),2)*PricePremAnnual*APM33</f>
        <v/>
      </c>
      <c r="AQI33" s="9">
        <f>AQF33+AQG33+AQH33</f>
        <v/>
      </c>
      <c r="AQJ33" s="12">
        <f>SUM(AQI22:AQI33)</f>
        <v/>
      </c>
      <c r="AQK33" s="12">
        <f>OR(AQK32,AQJ33&gt;=VATThreshold)</f>
        <v/>
      </c>
      <c r="AQL33" s="9">
        <f>IF(AQK33,AQI33/(1+VATRate),AQI33)</f>
        <v/>
      </c>
      <c r="AQM33" s="12">
        <f>AQI33-AQL33</f>
        <v/>
      </c>
      <c r="AQN33" s="12">
        <f>IF(AQK33=0,0,IF(APJ33=1,SUMPRODUCT(--(($APK$5:$APK33=$APK33-1)*($APJ$5:$APJ33&gt;=10)*($APJ$5:$APJ33&lt;=12)),$AQM$5:$AQM33),IF(APJ33=4,SUMPRODUCT(--(($APK$5:$APK33=$APK33)*($APJ$5:$APJ33&gt;=1)*($APJ$5:$APJ33&lt;=3)),$AQM$5:$AQM33),IF(APJ33=7,SUMPRODUCT(--(($APK$5:$APK33=$APK33)*($APJ$5:$APJ33&gt;=4)*($APJ$5:$APJ33&lt;=6)),$AQM$5:$AQM33),IF(APJ33=10,SUMPRODUCT(--(($APK$5:$APK33=$APK33)*($APJ$5:$APJ33&gt;=7)*($APJ$5:$APJ33&lt;=9)),$AQM$5:$AQM33),0)))))</f>
        <v/>
      </c>
      <c r="AQO33" s="12">
        <f>AQO32+AQM33-AQN33</f>
        <v/>
      </c>
      <c r="AQP33" s="12">
        <f>IF(ProviderDelay&gt;=1,AQL32*ProviderShare,AQL33*ProviderShare)</f>
        <v/>
      </c>
      <c r="AQQ33" s="12">
        <f>AQI33*PaymentFee</f>
        <v/>
      </c>
      <c r="AQR33" s="12">
        <f>AQC33*OpsAI</f>
        <v/>
      </c>
      <c r="AQS33" s="12">
        <f>MonthlyFixed</f>
        <v/>
      </c>
      <c r="AQT33" s="12">
        <f>APQ33*ReferralReward</f>
        <v/>
      </c>
      <c r="AQU33" s="12">
        <f>APO33</f>
        <v/>
      </c>
      <c r="AQV33" s="9">
        <f>AQL33-AQP33-AQQ33-AQR33-AQS33-AQT33-AQU33</f>
        <v/>
      </c>
      <c r="AQW33" s="9">
        <f>AQW32+AQI33-(AQP33+AQQ33+AQR33+AQS33+AQT33+AQU33+AQN33)</f>
        <v/>
      </c>
      <c r="AQX33" s="12">
        <f>IF(AQC33&gt;0,AQD33/AQC33,0)</f>
        <v/>
      </c>
      <c r="AQY33" s="11">
        <f>IF(AQC32&gt;0,MAX(0,(AQC32+APR33-AQC33)/AQC32),0)</f>
        <v/>
      </c>
      <c r="ARA33" s="12" t="n">
        <v>29</v>
      </c>
      <c r="ARB33" s="12">
        <f>MOD(ARA33-1+LaunchMonth-1,12)+1</f>
        <v/>
      </c>
      <c r="ARC33" s="12">
        <f>INT((ARA33-1+LaunchMonth-1)/12)+1</f>
        <v/>
      </c>
      <c r="ARD33" s="12">
        <f>VLOOKUP(ARB33,WinterPivotSeasonTable,5,FALSE)</f>
        <v/>
      </c>
      <c r="ARE33" s="12">
        <f>(1+InflationRate)^INT((ARA33-1)/12)</f>
        <v/>
      </c>
      <c r="ARF33" s="11">
        <f>MonthlyChurn*VLOOKUP(ARB33,WinterPivotChurnTable,6,FALSE)</f>
        <v/>
      </c>
      <c r="ARG33" s="12">
        <f>MIN(MAX(MktMin19plus,ASA32*MktPct19plus),MAX(0,ASO32-CashBuffer))</f>
        <v/>
      </c>
      <c r="ARH33" s="12">
        <f>IF(ARG33&gt;0,MAX(1,ROUND(ARG33/CAC*ARD33,0)),0)</f>
        <v/>
      </c>
      <c r="ARI33" s="12">
        <f>IF(ARH33&gt;0,ROUND(ARH33*ReferralMix/(1-ReferralMix),0),0)</f>
        <v/>
      </c>
      <c r="ARJ33" s="12">
        <f>ARH33+ARI33</f>
        <v/>
      </c>
      <c r="ARK33" s="12">
        <f>ROUND(ARJ33*(1-AnnualMix),0)</f>
        <v/>
      </c>
      <c r="ARL33" s="12">
        <f>ARJ33-ARK33</f>
        <v/>
      </c>
      <c r="ARM33" s="12">
        <f>ROUND(ARK33*'Sens - Winter Pivot'!$B$6,0)</f>
        <v/>
      </c>
      <c r="ARN33" s="12">
        <f>ARK33-ARM33</f>
        <v/>
      </c>
      <c r="ARO33" s="12">
        <f>ROUND(ARL33*'Sens - Winter Pivot'!$B$6,0)</f>
        <v/>
      </c>
      <c r="ARP33" s="12">
        <f>ARL33-ARO33</f>
        <v/>
      </c>
      <c r="ARQ33" s="12">
        <f>ARM33+ARM32+ARM31+MAX(0,ARQ32-ARM32-ARM31)*(1-ARF33)</f>
        <v/>
      </c>
      <c r="ARR33" s="12">
        <f>ARN33+ARN32+ARN31+MAX(0,ARR32-ARN32-ARN31)*(1-ARF33)</f>
        <v/>
      </c>
      <c r="ARS33" s="12">
        <f>ARS32+ARO33-ARO21*(AnnualChurn*VLOOKUP(ARB33,WinterPivotChurnTable,6,FALSE))*POWER(1-(AnnualChurn*VLOOKUP(ARB33,WinterPivotChurnTable,6,FALSE)),0)+ARO9*(AnnualChurn*VLOOKUP(ARB33,WinterPivotChurnTable,6,FALSE))*POWER(1-(AnnualChurn*VLOOKUP(ARB33,WinterPivotChurnTable,6,FALSE)),1)</f>
        <v/>
      </c>
      <c r="ART33" s="12">
        <f>ART32+ARP33-ARP21*(AnnualChurn*VLOOKUP(ARB33,WinterPivotChurnTable,6,FALSE))*POWER(1-(AnnualChurn*VLOOKUP(ARB33,WinterPivotChurnTable,6,FALSE)),0)+ARP9*(AnnualChurn*VLOOKUP(ARB33,WinterPivotChurnTable,6,FALSE))*POWER(1-(AnnualChurn*VLOOKUP(ARB33,WinterPivotChurnTable,6,FALSE)),1)</f>
        <v/>
      </c>
      <c r="ARU33" s="12">
        <f>ARQ33+ARR33+ARS33+ART33</f>
        <v/>
      </c>
      <c r="ARV33" s="9">
        <f>ARQ33*PriceEssMonthly*ARE33+ARR33*(PricePremMonthly+'Sens - Winter Pivot'!$B$7)*ARE33+ARS33*PriceEssAnnual*ARE33/12+ART33*(PricePremAnnual+'Sens - Winter Pivot'!$B$7*12)*ARE33/12</f>
        <v/>
      </c>
      <c r="ARW33" s="9">
        <f>ARV33*12</f>
        <v/>
      </c>
      <c r="ARX33" s="12">
        <f>ARQ33*PriceEssMonthly*ARE33+ARR33*(PricePremMonthly+'Sens - Winter Pivot'!$B$7)*ARE33</f>
        <v/>
      </c>
      <c r="ARY33" s="12">
        <f>ARO33*PriceEssAnnual*ARE33+ARP33*(PricePremAnnual+'Sens - Winter Pivot'!$B$7*12)*ARE33</f>
        <v/>
      </c>
      <c r="ARZ33" s="12">
        <f>ARO21*POWER(1-(AnnualChurn*VLOOKUP(ARB33,WinterPivotChurnTable,6,FALSE)),1)*PriceEssAnnual*ARE33+ARO9*POWER(1-(AnnualChurn*VLOOKUP(ARB33,WinterPivotChurnTable,6,FALSE)),2)*PriceEssAnnual*ARE33+ARP21*POWER(1-(AnnualChurn*VLOOKUP(ARB33,WinterPivotChurnTable,6,FALSE)),1)*PricePremAnnual*ARE33+ARP9*POWER(1-(AnnualChurn*VLOOKUP(ARB33,WinterPivotChurnTable,6,FALSE)),2)*PricePremAnnual*ARE33</f>
        <v/>
      </c>
      <c r="ASA33" s="9">
        <f>ARX33+ARY33+ARZ33</f>
        <v/>
      </c>
      <c r="ASB33" s="12">
        <f>SUM(ASA22:ASA33)</f>
        <v/>
      </c>
      <c r="ASC33" s="12">
        <f>OR(ASC32,ASB33&gt;=VATThreshold)</f>
        <v/>
      </c>
      <c r="ASD33" s="9">
        <f>IF(ASC33,ASA33/(1+VATRate),ASA33)</f>
        <v/>
      </c>
      <c r="ASE33" s="12">
        <f>ASA33-ASD33</f>
        <v/>
      </c>
      <c r="ASF33" s="12">
        <f>IF(ASC33=0,0,IF(ARB33=1,SUMPRODUCT(--(($ARC$5:$ARC33=$ARC33-1)*($ARB$5:$ARB33&gt;=10)*($ARB$5:$ARB33&lt;=12)),$ASE$5:$ASE33),IF(ARB33=4,SUMPRODUCT(--(($ARC$5:$ARC33=$ARC33)*($ARB$5:$ARB33&gt;=1)*($ARB$5:$ARB33&lt;=3)),$ASE$5:$ASE33),IF(ARB33=7,SUMPRODUCT(--(($ARC$5:$ARC33=$ARC33)*($ARB$5:$ARB33&gt;=4)*($ARB$5:$ARB33&lt;=6)),$ASE$5:$ASE33),IF(ARB33=10,SUMPRODUCT(--(($ARC$5:$ARC33=$ARC33)*($ARB$5:$ARB33&gt;=7)*($ARB$5:$ARB33&lt;=9)),$ASE$5:$ASE33),0)))))</f>
        <v/>
      </c>
      <c r="ASG33" s="12">
        <f>ASG32+ASE33-ASF33</f>
        <v/>
      </c>
      <c r="ASH33" s="12">
        <f>IF(ProviderDelay&gt;=1,ASD32*ProviderShare,ASD33*ProviderShare)</f>
        <v/>
      </c>
      <c r="ASI33" s="12">
        <f>ASA33*PaymentFee</f>
        <v/>
      </c>
      <c r="ASJ33" s="12">
        <f>ARU33*OpsAI</f>
        <v/>
      </c>
      <c r="ASK33" s="12">
        <f>MonthlyFixed</f>
        <v/>
      </c>
      <c r="ASL33" s="12">
        <f>ARI33*ReferralReward</f>
        <v/>
      </c>
      <c r="ASM33" s="12">
        <f>ARG33</f>
        <v/>
      </c>
      <c r="ASN33" s="9">
        <f>ASD33-ASH33-ASI33-ASJ33-ASK33-ASL33-ASM33</f>
        <v/>
      </c>
      <c r="ASO33" s="9">
        <f>ASO32+ASA33-(ASH33+ASI33+ASJ33+ASK33+ASL33+ASM33+ASF33)</f>
        <v/>
      </c>
      <c r="ASP33" s="12">
        <f>IF(ARU33&gt;0,ARV33/ARU33,0)</f>
        <v/>
      </c>
      <c r="ASQ33" s="11">
        <f>IF(ARU32&gt;0,MAX(0,(ARU32+ARJ33-ARU33)/ARU32),0)</f>
        <v/>
      </c>
    </row>
    <row r="34">
      <c r="A34" s="12" t="n">
        <v>30</v>
      </c>
      <c r="B34" s="12">
        <f>MOD(A34-1+LaunchMonth-1,12)+1</f>
        <v/>
      </c>
      <c r="C34" s="12">
        <f>INT((A34-1+LaunchMonth-1)/12)+1</f>
        <v/>
      </c>
      <c r="D34" s="12">
        <f>VLOOKUP(B34,SeasonTable,2,FALSE)</f>
        <v/>
      </c>
      <c r="E34" s="12">
        <f>(1+InflationRate)^INT((A34-1)/12)</f>
        <v/>
      </c>
      <c r="F34" s="11">
        <f>'Sens - Scenarios'!$B$5*VLOOKUP(B34,ChurnSeasonTable,4,FALSE)</f>
        <v/>
      </c>
      <c r="G34" s="12">
        <f>MIN(MAX(MktMin19plus,AA33*MktPct19plus),MAX(0,AO33-CashBuffer))</f>
        <v/>
      </c>
      <c r="H34" s="12">
        <f>IF(G34&gt;0,MAX(1,ROUND(G34/'Sens - Scenarios'!$B$8*D34,0)),0)</f>
        <v/>
      </c>
      <c r="I34" s="12">
        <f>IF(H34&gt;0,ROUND(H34*ReferralMix/(1-ReferralMix),0),0)</f>
        <v/>
      </c>
      <c r="J34" s="12">
        <f>H34+I34</f>
        <v/>
      </c>
      <c r="K34" s="12">
        <f>ROUND(J34*(1-'Sens - Scenarios'!$B$7),0)</f>
        <v/>
      </c>
      <c r="L34" s="12">
        <f>J34-K34</f>
        <v/>
      </c>
      <c r="M34" s="12">
        <f>ROUND(K34*EssentialMix,0)</f>
        <v/>
      </c>
      <c r="N34" s="12">
        <f>K34-M34</f>
        <v/>
      </c>
      <c r="O34" s="12">
        <f>ROUND(L34*EssentialMix,0)</f>
        <v/>
      </c>
      <c r="P34" s="12">
        <f>L34-O34</f>
        <v/>
      </c>
      <c r="Q34" s="12">
        <f>M34+M33+M32+MAX(0,Q33-M33-M32)*(1-F34)</f>
        <v/>
      </c>
      <c r="R34" s="12">
        <f>N34+N33+N32+MAX(0,R33-N33-N32)*(1-F34)</f>
        <v/>
      </c>
      <c r="S34" s="12">
        <f>S33+O34-O22*('Sens - Scenarios'!$B$6*VLOOKUP(B34,ChurnSeasonTable,4,FALSE))*POWER(1-('Sens - Scenarios'!$B$6*VLOOKUP(B34,ChurnSeasonTable,4,FALSE)),0)+O10*('Sens - Scenarios'!$B$6*VLOOKUP(B34,ChurnSeasonTable,4,FALSE))*POWER(1-('Sens - Scenarios'!$B$6*VLOOKUP(B34,ChurnSeasonTable,4,FALSE)),1)</f>
        <v/>
      </c>
      <c r="T34" s="12">
        <f>T33+P34-P22*('Sens - Scenarios'!$B$6*VLOOKUP(B34,ChurnSeasonTable,4,FALSE))*POWER(1-('Sens - Scenarios'!$B$6*VLOOKUP(B34,ChurnSeasonTable,4,FALSE)),0)+P10*('Sens - Scenarios'!$B$6*VLOOKUP(B34,ChurnSeasonTable,4,FALSE))*POWER(1-('Sens - Scenarios'!$B$6*VLOOKUP(B34,ChurnSeasonTable,4,FALSE)),1)</f>
        <v/>
      </c>
      <c r="U34" s="12">
        <f>Q34+R34+S34+T34</f>
        <v/>
      </c>
      <c r="V34" s="9">
        <f>Q34*PriceEssMonthly*E34+R34*PricePremMonthly*E34+S34*PriceEssAnnual*E34/12+T34*PricePremAnnual*E34/12</f>
        <v/>
      </c>
      <c r="W34" s="9">
        <f>V34*12</f>
        <v/>
      </c>
      <c r="X34" s="12">
        <f>Q34*PriceEssMonthly*E34+R34*PricePremMonthly*E34</f>
        <v/>
      </c>
      <c r="Y34" s="12">
        <f>O34*PriceEssAnnual*E34+P34*PricePremAnnual*E34</f>
        <v/>
      </c>
      <c r="Z34" s="12">
        <f>O22*POWER(1-('Sens - Scenarios'!$B$6*VLOOKUP(B34,ChurnSeasonTable,4,FALSE)),1)*PriceEssAnnual*E34+O10*POWER(1-('Sens - Scenarios'!$B$6*VLOOKUP(B34,ChurnSeasonTable,4,FALSE)),2)*PriceEssAnnual*E34+P22*POWER(1-('Sens - Scenarios'!$B$6*VLOOKUP(B34,ChurnSeasonTable,4,FALSE)),1)*PricePremAnnual*E34+P10*POWER(1-('Sens - Scenarios'!$B$6*VLOOKUP(B34,ChurnSeasonTable,4,FALSE)),2)*PricePremAnnual*E34</f>
        <v/>
      </c>
      <c r="AA34" s="9">
        <f>X34+Y34+Z34</f>
        <v/>
      </c>
      <c r="AB34" s="12">
        <f>SUM(AA23:AA34)</f>
        <v/>
      </c>
      <c r="AC34" s="12">
        <f>OR(AC33,AB34&gt;=VATThreshold)</f>
        <v/>
      </c>
      <c r="AD34" s="9">
        <f>IF(AC34,AA34/(1+VATRate),AA34)</f>
        <v/>
      </c>
      <c r="AE34" s="12">
        <f>AA34-AD34</f>
        <v/>
      </c>
      <c r="AF34" s="12">
        <f>IF(AC34=0,0,IF(B34=1,SUMPRODUCT(--(($C$5:$C34=$C34-1)*($B$5:$B34&gt;=10)*($B$5:$B34&lt;=12)),$AE$5:$AE34),IF(B34=4,SUMPRODUCT(--(($C$5:$C34=$C34)*($B$5:$B34&gt;=1)*($B$5:$B34&lt;=3)),$AE$5:$AE34),IF(B34=7,SUMPRODUCT(--(($C$5:$C34=$C34)*($B$5:$B34&gt;=4)*($B$5:$B34&lt;=6)),$AE$5:$AE34),IF(B34=10,SUMPRODUCT(--(($C$5:$C34=$C34)*($B$5:$B34&gt;=7)*($B$5:$B34&lt;=9)),$AE$5:$AE34),0)))))</f>
        <v/>
      </c>
      <c r="AG34" s="12">
        <f>AG33+AE34-AF34</f>
        <v/>
      </c>
      <c r="AH34" s="12">
        <f>IF(ProviderDelay&gt;=1,AD33*ProviderShare,AD34*ProviderShare)</f>
        <v/>
      </c>
      <c r="AI34" s="12">
        <f>AA34*PaymentFee</f>
        <v/>
      </c>
      <c r="AJ34" s="12">
        <f>U34*OpsAI</f>
        <v/>
      </c>
      <c r="AK34" s="12">
        <f>MonthlyFixed</f>
        <v/>
      </c>
      <c r="AL34" s="12">
        <f>I34*ReferralReward</f>
        <v/>
      </c>
      <c r="AM34" s="12">
        <f>G34</f>
        <v/>
      </c>
      <c r="AN34" s="9">
        <f>AD34-AH34-AI34-AJ34-AK34-AL34-AM34</f>
        <v/>
      </c>
      <c r="AO34" s="9">
        <f>AO33+AA34-(AH34+AI34+AJ34+AK34+AL34+AM34+AF34)</f>
        <v/>
      </c>
      <c r="AP34" s="12">
        <f>IF(U34&gt;0,V34/U34,0)</f>
        <v/>
      </c>
      <c r="AQ34" s="11">
        <f>IF(U33&gt;0,MAX(0,(U33+J34-U34)/U33),0)</f>
        <v/>
      </c>
      <c r="AS34" s="12" t="n">
        <v>30</v>
      </c>
      <c r="AT34" s="12">
        <f>MOD(AS34-1+LaunchMonth-1,12)+1</f>
        <v/>
      </c>
      <c r="AU34" s="12">
        <f>INT((AS34-1+LaunchMonth-1)/12)+1</f>
        <v/>
      </c>
      <c r="AV34" s="12">
        <f>VLOOKUP(AT34,SeasonTable,2,FALSE)</f>
        <v/>
      </c>
      <c r="AW34" s="12">
        <f>(1+InflationRate)^INT((AS34-1)/12)</f>
        <v/>
      </c>
      <c r="AX34" s="11">
        <f>MonthlyChurn*VLOOKUP(AT34,ChurnSeasonTable,4,FALSE)</f>
        <v/>
      </c>
      <c r="AY34" s="12">
        <f>MIN(MAX(MktMin19plus,BS33*MktPct19plus),MAX(0,CG33-CashBuffer))</f>
        <v/>
      </c>
      <c r="AZ34" s="12">
        <f>IF(AY34&gt;0,MAX(1,ROUND(AY34/CAC*AV34,0)),0)</f>
        <v/>
      </c>
      <c r="BA34" s="12">
        <f>IF(AZ34&gt;0,ROUND(AZ34*ReferralMix/(1-ReferralMix),0),0)</f>
        <v/>
      </c>
      <c r="BB34" s="12">
        <f>AZ34+BA34</f>
        <v/>
      </c>
      <c r="BC34" s="12">
        <f>ROUND(BB34*(1-AnnualMix),0)</f>
        <v/>
      </c>
      <c r="BD34" s="12">
        <f>BB34-BC34</f>
        <v/>
      </c>
      <c r="BE34" s="12">
        <f>ROUND(BC34*EssentialMix,0)</f>
        <v/>
      </c>
      <c r="BF34" s="12">
        <f>BC34-BE34</f>
        <v/>
      </c>
      <c r="BG34" s="12">
        <f>ROUND(BD34*EssentialMix,0)</f>
        <v/>
      </c>
      <c r="BH34" s="12">
        <f>BD34-BG34</f>
        <v/>
      </c>
      <c r="BI34" s="12">
        <f>BE34+BE33+BE32+MAX(0,BI33-BE33-BE32)*(1-AX34)</f>
        <v/>
      </c>
      <c r="BJ34" s="12">
        <f>BF34+BF33+BF32+MAX(0,BJ33-BF33-BF32)*(1-AX34)</f>
        <v/>
      </c>
      <c r="BK34" s="12">
        <f>BK33+BG34-BG22*(AnnualChurn*VLOOKUP(AT34,ChurnSeasonTable,4,FALSE))*POWER(1-(AnnualChurn*VLOOKUP(AT34,ChurnSeasonTable,4,FALSE)),0)+BG10*(AnnualChurn*VLOOKUP(AT34,ChurnSeasonTable,4,FALSE))*POWER(1-(AnnualChurn*VLOOKUP(AT34,ChurnSeasonTable,4,FALSE)),1)</f>
        <v/>
      </c>
      <c r="BL34" s="12">
        <f>BL33+BH34-BH22*(AnnualChurn*VLOOKUP(AT34,ChurnSeasonTable,4,FALSE))*POWER(1-(AnnualChurn*VLOOKUP(AT34,ChurnSeasonTable,4,FALSE)),0)+BH10*(AnnualChurn*VLOOKUP(AT34,ChurnSeasonTable,4,FALSE))*POWER(1-(AnnualChurn*VLOOKUP(AT34,ChurnSeasonTable,4,FALSE)),1)</f>
        <v/>
      </c>
      <c r="BM34" s="12">
        <f>BI34+BJ34+BK34+BL34</f>
        <v/>
      </c>
      <c r="BN34" s="9">
        <f>BI34*PriceEssMonthly*AW34+BJ34*PricePremMonthly*AW34+BK34*PriceEssAnnual*AW34/12+BL34*PricePremAnnual*AW34/12</f>
        <v/>
      </c>
      <c r="BO34" s="9">
        <f>BN34*12</f>
        <v/>
      </c>
      <c r="BP34" s="12">
        <f>BI34*PriceEssMonthly*AW34+BJ34*PricePremMonthly*AW34</f>
        <v/>
      </c>
      <c r="BQ34" s="12">
        <f>BG34*PriceEssAnnual*AW34+BH34*PricePremAnnual*AW34</f>
        <v/>
      </c>
      <c r="BR34" s="12">
        <f>BG22*POWER(1-(AnnualChurn*VLOOKUP(AT34,ChurnSeasonTable,4,FALSE)),1)*PriceEssAnnual*AW34+BG10*POWER(1-(AnnualChurn*VLOOKUP(AT34,ChurnSeasonTable,4,FALSE)),2)*PriceEssAnnual*AW34+BH22*POWER(1-(AnnualChurn*VLOOKUP(AT34,ChurnSeasonTable,4,FALSE)),1)*PricePremAnnual*AW34+BH10*POWER(1-(AnnualChurn*VLOOKUP(AT34,ChurnSeasonTable,4,FALSE)),2)*PricePremAnnual*AW34</f>
        <v/>
      </c>
      <c r="BS34" s="9">
        <f>BP34+BQ34+BR34</f>
        <v/>
      </c>
      <c r="BT34" s="12">
        <f>SUM(BS23:BS34)</f>
        <v/>
      </c>
      <c r="BU34" s="12">
        <f>OR(BU33,BT34&gt;=VATThreshold)</f>
        <v/>
      </c>
      <c r="BV34" s="9">
        <f>IF(BU34,BS34/(1+VATRate),BS34)</f>
        <v/>
      </c>
      <c r="BW34" s="12">
        <f>BS34-BV34</f>
        <v/>
      </c>
      <c r="BX34" s="12">
        <f>IF(BU34=0,0,IF(AT34=1,SUMPRODUCT(--(($AU$5:$AU34=$AU34-1)*($AT$5:$AT34&gt;=10)*($AT$5:$AT34&lt;=12)),$BW$5:$BW34),IF(AT34=4,SUMPRODUCT(--(($AU$5:$AU34=$AU34)*($AT$5:$AT34&gt;=1)*($AT$5:$AT34&lt;=3)),$BW$5:$BW34),IF(AT34=7,SUMPRODUCT(--(($AU$5:$AU34=$AU34)*($AT$5:$AT34&gt;=4)*($AT$5:$AT34&lt;=6)),$BW$5:$BW34),IF(AT34=10,SUMPRODUCT(--(($AU$5:$AU34=$AU34)*($AT$5:$AT34&gt;=7)*($AT$5:$AT34&lt;=9)),$BW$5:$BW34),0)))))</f>
        <v/>
      </c>
      <c r="BY34" s="12">
        <f>BY33+BW34-BX34</f>
        <v/>
      </c>
      <c r="BZ34" s="12">
        <f>IF(ProviderDelay&gt;=1,BV33*ProviderShare,BV34*ProviderShare)</f>
        <v/>
      </c>
      <c r="CA34" s="12">
        <f>BS34*PaymentFee</f>
        <v/>
      </c>
      <c r="CB34" s="12">
        <f>BM34*OpsAI</f>
        <v/>
      </c>
      <c r="CC34" s="12">
        <f>MonthlyFixed</f>
        <v/>
      </c>
      <c r="CD34" s="12">
        <f>BA34*ReferralReward</f>
        <v/>
      </c>
      <c r="CE34" s="12">
        <f>AY34</f>
        <v/>
      </c>
      <c r="CF34" s="9">
        <f>BV34-BZ34-CA34-CB34-CC34-CD34-CE34</f>
        <v/>
      </c>
      <c r="CG34" s="9">
        <f>CG33+BS34-(BZ34+CA34+CB34+CC34+CD34+CE34+BX34)</f>
        <v/>
      </c>
      <c r="CH34" s="12">
        <f>IF(BM34&gt;0,BN34/BM34,0)</f>
        <v/>
      </c>
      <c r="CI34" s="11">
        <f>IF(BM33&gt;0,MAX(0,(BM33+BB34-BM34)/BM33),0)</f>
        <v/>
      </c>
      <c r="CK34" s="12" t="n">
        <v>30</v>
      </c>
      <c r="CL34" s="12">
        <f>MOD(CK34-1+LaunchMonth-1,12)+1</f>
        <v/>
      </c>
      <c r="CM34" s="12">
        <f>INT((CK34-1+LaunchMonth-1)/12)+1</f>
        <v/>
      </c>
      <c r="CN34" s="12">
        <f>VLOOKUP(CL34,SeasonTable,2,FALSE)</f>
        <v/>
      </c>
      <c r="CO34" s="12">
        <f>(1+InflationRate)^INT((CK34-1)/12)</f>
        <v/>
      </c>
      <c r="CP34" s="11">
        <f>'Sens - Scenarios'!$D$5*VLOOKUP(CL34,ChurnSeasonTable,4,FALSE)</f>
        <v/>
      </c>
      <c r="CQ34" s="12">
        <f>MIN(MAX(MktMin19plus,DK33*MktPct19plus),MAX(0,DY33-CashBuffer))</f>
        <v/>
      </c>
      <c r="CR34" s="12">
        <f>IF(CQ34&gt;0,MAX(1,ROUND(CQ34/'Sens - Scenarios'!$D$8*CN34,0)),0)</f>
        <v/>
      </c>
      <c r="CS34" s="12">
        <f>IF(CR34&gt;0,ROUND(CR34*ReferralMix/(1-ReferralMix),0),0)</f>
        <v/>
      </c>
      <c r="CT34" s="12">
        <f>CR34+CS34</f>
        <v/>
      </c>
      <c r="CU34" s="12">
        <f>ROUND(CT34*(1-'Sens - Scenarios'!$D$7),0)</f>
        <v/>
      </c>
      <c r="CV34" s="12">
        <f>CT34-CU34</f>
        <v/>
      </c>
      <c r="CW34" s="12">
        <f>ROUND(CU34*EssentialMix,0)</f>
        <v/>
      </c>
      <c r="CX34" s="12">
        <f>CU34-CW34</f>
        <v/>
      </c>
      <c r="CY34" s="12">
        <f>ROUND(CV34*EssentialMix,0)</f>
        <v/>
      </c>
      <c r="CZ34" s="12">
        <f>CV34-CY34</f>
        <v/>
      </c>
      <c r="DA34" s="12">
        <f>CW34+CW33+CW32+MAX(0,DA33-CW33-CW32)*(1-CP34)</f>
        <v/>
      </c>
      <c r="DB34" s="12">
        <f>CX34+CX33+CX32+MAX(0,DB33-CX33-CX32)*(1-CP34)</f>
        <v/>
      </c>
      <c r="DC34" s="12">
        <f>DC33+CY34-CY22*('Sens - Scenarios'!$D$6*VLOOKUP(CL34,ChurnSeasonTable,4,FALSE))*POWER(1-('Sens - Scenarios'!$D$6*VLOOKUP(CL34,ChurnSeasonTable,4,FALSE)),0)+CY10*('Sens - Scenarios'!$D$6*VLOOKUP(CL34,ChurnSeasonTable,4,FALSE))*POWER(1-('Sens - Scenarios'!$D$6*VLOOKUP(CL34,ChurnSeasonTable,4,FALSE)),1)</f>
        <v/>
      </c>
      <c r="DD34" s="12">
        <f>DD33+CZ34-CZ22*('Sens - Scenarios'!$D$6*VLOOKUP(CL34,ChurnSeasonTable,4,FALSE))*POWER(1-('Sens - Scenarios'!$D$6*VLOOKUP(CL34,ChurnSeasonTable,4,FALSE)),0)+CZ10*('Sens - Scenarios'!$D$6*VLOOKUP(CL34,ChurnSeasonTable,4,FALSE))*POWER(1-('Sens - Scenarios'!$D$6*VLOOKUP(CL34,ChurnSeasonTable,4,FALSE)),1)</f>
        <v/>
      </c>
      <c r="DE34" s="12">
        <f>DA34+DB34+DC34+DD34</f>
        <v/>
      </c>
      <c r="DF34" s="9">
        <f>DA34*PriceEssMonthly*CO34+DB34*PricePremMonthly*CO34+DC34*PriceEssAnnual*CO34/12+DD34*PricePremAnnual*CO34/12</f>
        <v/>
      </c>
      <c r="DG34" s="9">
        <f>DF34*12</f>
        <v/>
      </c>
      <c r="DH34" s="12">
        <f>DA34*PriceEssMonthly*CO34+DB34*PricePremMonthly*CO34</f>
        <v/>
      </c>
      <c r="DI34" s="12">
        <f>CY34*PriceEssAnnual*CO34+CZ34*PricePremAnnual*CO34</f>
        <v/>
      </c>
      <c r="DJ34" s="12">
        <f>CY22*POWER(1-('Sens - Scenarios'!$D$6*VLOOKUP(CL34,ChurnSeasonTable,4,FALSE)),1)*PriceEssAnnual*CO34+CY10*POWER(1-('Sens - Scenarios'!$D$6*VLOOKUP(CL34,ChurnSeasonTable,4,FALSE)),2)*PriceEssAnnual*CO34+CZ22*POWER(1-('Sens - Scenarios'!$D$6*VLOOKUP(CL34,ChurnSeasonTable,4,FALSE)),1)*PricePremAnnual*CO34+CZ10*POWER(1-('Sens - Scenarios'!$D$6*VLOOKUP(CL34,ChurnSeasonTable,4,FALSE)),2)*PricePremAnnual*CO34</f>
        <v/>
      </c>
      <c r="DK34" s="9">
        <f>DH34+DI34+DJ34</f>
        <v/>
      </c>
      <c r="DL34" s="12">
        <f>SUM(DK23:DK34)</f>
        <v/>
      </c>
      <c r="DM34" s="12">
        <f>OR(DM33,DL34&gt;=VATThreshold)</f>
        <v/>
      </c>
      <c r="DN34" s="9">
        <f>IF(DM34,DK34/(1+VATRate),DK34)</f>
        <v/>
      </c>
      <c r="DO34" s="12">
        <f>DK34-DN34</f>
        <v/>
      </c>
      <c r="DP34" s="12">
        <f>IF(DM34=0,0,IF(CL34=1,SUMPRODUCT(--(($CM$5:$CM34=$CM34-1)*($CL$5:$CL34&gt;=10)*($CL$5:$CL34&lt;=12)),$DO$5:$DO34),IF(CL34=4,SUMPRODUCT(--(($CM$5:$CM34=$CM34)*($CL$5:$CL34&gt;=1)*($CL$5:$CL34&lt;=3)),$DO$5:$DO34),IF(CL34=7,SUMPRODUCT(--(($CM$5:$CM34=$CM34)*($CL$5:$CL34&gt;=4)*($CL$5:$CL34&lt;=6)),$DO$5:$DO34),IF(CL34=10,SUMPRODUCT(--(($CM$5:$CM34=$CM34)*($CL$5:$CL34&gt;=7)*($CL$5:$CL34&lt;=9)),$DO$5:$DO34),0)))))</f>
        <v/>
      </c>
      <c r="DQ34" s="12">
        <f>DQ33+DO34-DP34</f>
        <v/>
      </c>
      <c r="DR34" s="12">
        <f>IF(ProviderDelay&gt;=1,DN33*ProviderShare,DN34*ProviderShare)</f>
        <v/>
      </c>
      <c r="DS34" s="12">
        <f>DK34*PaymentFee</f>
        <v/>
      </c>
      <c r="DT34" s="12">
        <f>DE34*OpsAI</f>
        <v/>
      </c>
      <c r="DU34" s="12">
        <f>MonthlyFixed</f>
        <v/>
      </c>
      <c r="DV34" s="12">
        <f>CS34*ReferralReward</f>
        <v/>
      </c>
      <c r="DW34" s="12">
        <f>CQ34</f>
        <v/>
      </c>
      <c r="DX34" s="9">
        <f>DN34-DR34-DS34-DT34-DU34-DV34-DW34</f>
        <v/>
      </c>
      <c r="DY34" s="9">
        <f>DY33+DK34-(DR34+DS34+DT34+DU34+DV34+DW34+DP34)</f>
        <v/>
      </c>
      <c r="DZ34" s="12">
        <f>IF(DE34&gt;0,DF34/DE34,0)</f>
        <v/>
      </c>
      <c r="EA34" s="11">
        <f>IF(DE33&gt;0,MAX(0,(DE33+CT34-DE34)/DE33),0)</f>
        <v/>
      </c>
      <c r="EC34" s="12" t="n">
        <v>30</v>
      </c>
      <c r="ED34" s="12">
        <f>MOD(EC34-1+LaunchMonth-1,12)+1</f>
        <v/>
      </c>
      <c r="EE34" s="12">
        <f>INT((EC34-1+LaunchMonth-1)/12)+1</f>
        <v/>
      </c>
      <c r="EF34" s="12">
        <f>VLOOKUP(ED34,SeasonTable,2,FALSE)</f>
        <v/>
      </c>
      <c r="EG34" s="12">
        <f>(1+InflationRate)^INT((EC34-1)/12)</f>
        <v/>
      </c>
      <c r="EH34" s="11">
        <f>'Sens - Churn'!$A$13*VLOOKUP(ED34,ChurnSeasonTable,4,FALSE)</f>
        <v/>
      </c>
      <c r="EI34" s="12">
        <f>MIN(MAX(MktMin19plus,FC33*MktPct19plus),MAX(0,FQ33-CashBuffer))</f>
        <v/>
      </c>
      <c r="EJ34" s="12">
        <f>IF(EI34&gt;0,MAX(1,ROUND(EI34/CAC*EF34,0)),0)</f>
        <v/>
      </c>
      <c r="EK34" s="12">
        <f>IF(EJ34&gt;0,ROUND(EJ34*ReferralMix/(1-ReferralMix),0),0)</f>
        <v/>
      </c>
      <c r="EL34" s="12">
        <f>EJ34+EK34</f>
        <v/>
      </c>
      <c r="EM34" s="12">
        <f>ROUND(EL34*(1-AnnualMix),0)</f>
        <v/>
      </c>
      <c r="EN34" s="12">
        <f>EL34-EM34</f>
        <v/>
      </c>
      <c r="EO34" s="12">
        <f>ROUND(EM34*EssentialMix,0)</f>
        <v/>
      </c>
      <c r="EP34" s="12">
        <f>EM34-EO34</f>
        <v/>
      </c>
      <c r="EQ34" s="12">
        <f>ROUND(EN34*EssentialMix,0)</f>
        <v/>
      </c>
      <c r="ER34" s="12">
        <f>EN34-EQ34</f>
        <v/>
      </c>
      <c r="ES34" s="12">
        <f>EO34+EO33+EO32+MAX(0,ES33-EO33-EO32)*(1-EH34)</f>
        <v/>
      </c>
      <c r="ET34" s="12">
        <f>EP34+EP33+EP32+MAX(0,ET33-EP33-EP32)*(1-EH34)</f>
        <v/>
      </c>
      <c r="EU34" s="12">
        <f>EU33+EQ34-EQ22*(AnnualChurn*VLOOKUP(ED34,ChurnSeasonTable,4,FALSE))*POWER(1-(AnnualChurn*VLOOKUP(ED34,ChurnSeasonTable,4,FALSE)),0)+EQ10*(AnnualChurn*VLOOKUP(ED34,ChurnSeasonTable,4,FALSE))*POWER(1-(AnnualChurn*VLOOKUP(ED34,ChurnSeasonTable,4,FALSE)),1)</f>
        <v/>
      </c>
      <c r="EV34" s="12">
        <f>EV33+ER34-ER22*(AnnualChurn*VLOOKUP(ED34,ChurnSeasonTable,4,FALSE))*POWER(1-(AnnualChurn*VLOOKUP(ED34,ChurnSeasonTable,4,FALSE)),0)+ER10*(AnnualChurn*VLOOKUP(ED34,ChurnSeasonTable,4,FALSE))*POWER(1-(AnnualChurn*VLOOKUP(ED34,ChurnSeasonTable,4,FALSE)),1)</f>
        <v/>
      </c>
      <c r="EW34" s="12">
        <f>ES34+ET34+EU34+EV34</f>
        <v/>
      </c>
      <c r="EX34" s="9">
        <f>ES34*PriceEssMonthly*EG34+ET34*PricePremMonthly*EG34+EU34*PriceEssAnnual*EG34/12+EV34*PricePremAnnual*EG34/12</f>
        <v/>
      </c>
      <c r="EY34" s="9">
        <f>EX34*12</f>
        <v/>
      </c>
      <c r="EZ34" s="12">
        <f>ES34*PriceEssMonthly*EG34+ET34*PricePremMonthly*EG34</f>
        <v/>
      </c>
      <c r="FA34" s="12">
        <f>EQ34*PriceEssAnnual*EG34+ER34*PricePremAnnual*EG34</f>
        <v/>
      </c>
      <c r="FB34" s="12">
        <f>EQ22*POWER(1-(AnnualChurn*VLOOKUP(ED34,ChurnSeasonTable,4,FALSE)),1)*PriceEssAnnual*EG34+EQ10*POWER(1-(AnnualChurn*VLOOKUP(ED34,ChurnSeasonTable,4,FALSE)),2)*PriceEssAnnual*EG34+ER22*POWER(1-(AnnualChurn*VLOOKUP(ED34,ChurnSeasonTable,4,FALSE)),1)*PricePremAnnual*EG34+ER10*POWER(1-(AnnualChurn*VLOOKUP(ED34,ChurnSeasonTable,4,FALSE)),2)*PricePremAnnual*EG34</f>
        <v/>
      </c>
      <c r="FC34" s="9">
        <f>EZ34+FA34+FB34</f>
        <v/>
      </c>
      <c r="FD34" s="12">
        <f>SUM(FC23:FC34)</f>
        <v/>
      </c>
      <c r="FE34" s="12">
        <f>OR(FE33,FD34&gt;=VATThreshold)</f>
        <v/>
      </c>
      <c r="FF34" s="9">
        <f>IF(FE34,FC34/(1+VATRate),FC34)</f>
        <v/>
      </c>
      <c r="FG34" s="12">
        <f>FC34-FF34</f>
        <v/>
      </c>
      <c r="FH34" s="12">
        <f>IF(FE34=0,0,IF(ED34=1,SUMPRODUCT(--(($EE$5:$EE34=$EE34-1)*($ED$5:$ED34&gt;=10)*($ED$5:$ED34&lt;=12)),$FG$5:$FG34),IF(ED34=4,SUMPRODUCT(--(($EE$5:$EE34=$EE34)*($ED$5:$ED34&gt;=1)*($ED$5:$ED34&lt;=3)),$FG$5:$FG34),IF(ED34=7,SUMPRODUCT(--(($EE$5:$EE34=$EE34)*($ED$5:$ED34&gt;=4)*($ED$5:$ED34&lt;=6)),$FG$5:$FG34),IF(ED34=10,SUMPRODUCT(--(($EE$5:$EE34=$EE34)*($ED$5:$ED34&gt;=7)*($ED$5:$ED34&lt;=9)),$FG$5:$FG34),0)))))</f>
        <v/>
      </c>
      <c r="FI34" s="12">
        <f>FI33+FG34-FH34</f>
        <v/>
      </c>
      <c r="FJ34" s="12">
        <f>IF(ProviderDelay&gt;=1,FF33*ProviderShare,FF34*ProviderShare)</f>
        <v/>
      </c>
      <c r="FK34" s="12">
        <f>FC34*PaymentFee</f>
        <v/>
      </c>
      <c r="FL34" s="12">
        <f>EW34*OpsAI</f>
        <v/>
      </c>
      <c r="FM34" s="12">
        <f>MonthlyFixed</f>
        <v/>
      </c>
      <c r="FN34" s="12">
        <f>EK34*ReferralReward</f>
        <v/>
      </c>
      <c r="FO34" s="12">
        <f>EI34</f>
        <v/>
      </c>
      <c r="FP34" s="9">
        <f>FF34-FJ34-FK34-FL34-FM34-FN34-FO34</f>
        <v/>
      </c>
      <c r="FQ34" s="9">
        <f>FQ33+FC34-(FJ34+FK34+FL34+FM34+FN34+FO34+FH34)</f>
        <v/>
      </c>
      <c r="FR34" s="12">
        <f>IF(EW34&gt;0,EX34/EW34,0)</f>
        <v/>
      </c>
      <c r="FS34" s="11">
        <f>IF(EW33&gt;0,MAX(0,(EW33+EL34-EW34)/EW33),0)</f>
        <v/>
      </c>
      <c r="FU34" s="12" t="n">
        <v>30</v>
      </c>
      <c r="FV34" s="12">
        <f>MOD(FU34-1+LaunchMonth-1,12)+1</f>
        <v/>
      </c>
      <c r="FW34" s="12">
        <f>INT((FU34-1+LaunchMonth-1)/12)+1</f>
        <v/>
      </c>
      <c r="FX34" s="12">
        <f>VLOOKUP(FV34,SeasonTable,2,FALSE)</f>
        <v/>
      </c>
      <c r="FY34" s="12">
        <f>(1+InflationRate)^INT((FU34-1)/12)</f>
        <v/>
      </c>
      <c r="FZ34" s="11">
        <f>'Sens - Churn'!$A$14*VLOOKUP(FV34,ChurnSeasonTable,4,FALSE)</f>
        <v/>
      </c>
      <c r="GA34" s="12">
        <f>MIN(MAX(MktMin19plus,GU33*MktPct19plus),MAX(0,HI33-CashBuffer))</f>
        <v/>
      </c>
      <c r="GB34" s="12">
        <f>IF(GA34&gt;0,MAX(1,ROUND(GA34/CAC*FX34,0)),0)</f>
        <v/>
      </c>
      <c r="GC34" s="12">
        <f>IF(GB34&gt;0,ROUND(GB34*ReferralMix/(1-ReferralMix),0),0)</f>
        <v/>
      </c>
      <c r="GD34" s="12">
        <f>GB34+GC34</f>
        <v/>
      </c>
      <c r="GE34" s="12">
        <f>ROUND(GD34*(1-AnnualMix),0)</f>
        <v/>
      </c>
      <c r="GF34" s="12">
        <f>GD34-GE34</f>
        <v/>
      </c>
      <c r="GG34" s="12">
        <f>ROUND(GE34*EssentialMix,0)</f>
        <v/>
      </c>
      <c r="GH34" s="12">
        <f>GE34-GG34</f>
        <v/>
      </c>
      <c r="GI34" s="12">
        <f>ROUND(GF34*EssentialMix,0)</f>
        <v/>
      </c>
      <c r="GJ34" s="12">
        <f>GF34-GI34</f>
        <v/>
      </c>
      <c r="GK34" s="12">
        <f>GG34+GG33+GG32+MAX(0,GK33-GG33-GG32)*(1-FZ34)</f>
        <v/>
      </c>
      <c r="GL34" s="12">
        <f>GH34+GH33+GH32+MAX(0,GL33-GH33-GH32)*(1-FZ34)</f>
        <v/>
      </c>
      <c r="GM34" s="12">
        <f>GM33+GI34-GI22*(AnnualChurn*VLOOKUP(FV34,ChurnSeasonTable,4,FALSE))*POWER(1-(AnnualChurn*VLOOKUP(FV34,ChurnSeasonTable,4,FALSE)),0)+GI10*(AnnualChurn*VLOOKUP(FV34,ChurnSeasonTable,4,FALSE))*POWER(1-(AnnualChurn*VLOOKUP(FV34,ChurnSeasonTable,4,FALSE)),1)</f>
        <v/>
      </c>
      <c r="GN34" s="12">
        <f>GN33+GJ34-GJ22*(AnnualChurn*VLOOKUP(FV34,ChurnSeasonTable,4,FALSE))*POWER(1-(AnnualChurn*VLOOKUP(FV34,ChurnSeasonTable,4,FALSE)),0)+GJ10*(AnnualChurn*VLOOKUP(FV34,ChurnSeasonTable,4,FALSE))*POWER(1-(AnnualChurn*VLOOKUP(FV34,ChurnSeasonTable,4,FALSE)),1)</f>
        <v/>
      </c>
      <c r="GO34" s="12">
        <f>GK34+GL34+GM34+GN34</f>
        <v/>
      </c>
      <c r="GP34" s="9">
        <f>GK34*PriceEssMonthly*FY34+GL34*PricePremMonthly*FY34+GM34*PriceEssAnnual*FY34/12+GN34*PricePremAnnual*FY34/12</f>
        <v/>
      </c>
      <c r="GQ34" s="9">
        <f>GP34*12</f>
        <v/>
      </c>
      <c r="GR34" s="12">
        <f>GK34*PriceEssMonthly*FY34+GL34*PricePremMonthly*FY34</f>
        <v/>
      </c>
      <c r="GS34" s="12">
        <f>GI34*PriceEssAnnual*FY34+GJ34*PricePremAnnual*FY34</f>
        <v/>
      </c>
      <c r="GT34" s="12">
        <f>GI22*POWER(1-(AnnualChurn*VLOOKUP(FV34,ChurnSeasonTable,4,FALSE)),1)*PriceEssAnnual*FY34+GI10*POWER(1-(AnnualChurn*VLOOKUP(FV34,ChurnSeasonTable,4,FALSE)),2)*PriceEssAnnual*FY34+GJ22*POWER(1-(AnnualChurn*VLOOKUP(FV34,ChurnSeasonTable,4,FALSE)),1)*PricePremAnnual*FY34+GJ10*POWER(1-(AnnualChurn*VLOOKUP(FV34,ChurnSeasonTable,4,FALSE)),2)*PricePremAnnual*FY34</f>
        <v/>
      </c>
      <c r="GU34" s="9">
        <f>GR34+GS34+GT34</f>
        <v/>
      </c>
      <c r="GV34" s="12">
        <f>SUM(GU23:GU34)</f>
        <v/>
      </c>
      <c r="GW34" s="12">
        <f>OR(GW33,GV34&gt;=VATThreshold)</f>
        <v/>
      </c>
      <c r="GX34" s="9">
        <f>IF(GW34,GU34/(1+VATRate),GU34)</f>
        <v/>
      </c>
      <c r="GY34" s="12">
        <f>GU34-GX34</f>
        <v/>
      </c>
      <c r="GZ34" s="12">
        <f>IF(GW34=0,0,IF(FV34=1,SUMPRODUCT(--(($FW$5:$FW34=$FW34-1)*($FV$5:$FV34&gt;=10)*($FV$5:$FV34&lt;=12)),$GY$5:$GY34),IF(FV34=4,SUMPRODUCT(--(($FW$5:$FW34=$FW34)*($FV$5:$FV34&gt;=1)*($FV$5:$FV34&lt;=3)),$GY$5:$GY34),IF(FV34=7,SUMPRODUCT(--(($FW$5:$FW34=$FW34)*($FV$5:$FV34&gt;=4)*($FV$5:$FV34&lt;=6)),$GY$5:$GY34),IF(FV34=10,SUMPRODUCT(--(($FW$5:$FW34=$FW34)*($FV$5:$FV34&gt;=7)*($FV$5:$FV34&lt;=9)),$GY$5:$GY34),0)))))</f>
        <v/>
      </c>
      <c r="HA34" s="12">
        <f>HA33+GY34-GZ34</f>
        <v/>
      </c>
      <c r="HB34" s="12">
        <f>IF(ProviderDelay&gt;=1,GX33*ProviderShare,GX34*ProviderShare)</f>
        <v/>
      </c>
      <c r="HC34" s="12">
        <f>GU34*PaymentFee</f>
        <v/>
      </c>
      <c r="HD34" s="12">
        <f>GO34*OpsAI</f>
        <v/>
      </c>
      <c r="HE34" s="12">
        <f>MonthlyFixed</f>
        <v/>
      </c>
      <c r="HF34" s="12">
        <f>GC34*ReferralReward</f>
        <v/>
      </c>
      <c r="HG34" s="12">
        <f>GA34</f>
        <v/>
      </c>
      <c r="HH34" s="9">
        <f>GX34-HB34-HC34-HD34-HE34-HF34-HG34</f>
        <v/>
      </c>
      <c r="HI34" s="9">
        <f>HI33+GU34-(HB34+HC34+HD34+HE34+HF34+HG34+GZ34)</f>
        <v/>
      </c>
      <c r="HJ34" s="12">
        <f>IF(GO34&gt;0,GP34/GO34,0)</f>
        <v/>
      </c>
      <c r="HK34" s="11">
        <f>IF(GO33&gt;0,MAX(0,(GO33+GD34-GO34)/GO33),0)</f>
        <v/>
      </c>
      <c r="HM34" s="12" t="n">
        <v>30</v>
      </c>
      <c r="HN34" s="12">
        <f>MOD(HM34-1+LaunchMonth-1,12)+1</f>
        <v/>
      </c>
      <c r="HO34" s="12">
        <f>INT((HM34-1+LaunchMonth-1)/12)+1</f>
        <v/>
      </c>
      <c r="HP34" s="12">
        <f>VLOOKUP(HN34,SeasonTable,2,FALSE)</f>
        <v/>
      </c>
      <c r="HQ34" s="12">
        <f>(1+InflationRate)^INT((HM34-1)/12)</f>
        <v/>
      </c>
      <c r="HR34" s="11">
        <f>'Sens - Churn'!$A$15*VLOOKUP(HN34,ChurnSeasonTable,4,FALSE)</f>
        <v/>
      </c>
      <c r="HS34" s="12">
        <f>MIN(MAX(MktMin19plus,IM33*MktPct19plus),MAX(0,JA33-CashBuffer))</f>
        <v/>
      </c>
      <c r="HT34" s="12">
        <f>IF(HS34&gt;0,MAX(1,ROUND(HS34/CAC*HP34,0)),0)</f>
        <v/>
      </c>
      <c r="HU34" s="12">
        <f>IF(HT34&gt;0,ROUND(HT34*ReferralMix/(1-ReferralMix),0),0)</f>
        <v/>
      </c>
      <c r="HV34" s="12">
        <f>HT34+HU34</f>
        <v/>
      </c>
      <c r="HW34" s="12">
        <f>ROUND(HV34*(1-AnnualMix),0)</f>
        <v/>
      </c>
      <c r="HX34" s="12">
        <f>HV34-HW34</f>
        <v/>
      </c>
      <c r="HY34" s="12">
        <f>ROUND(HW34*EssentialMix,0)</f>
        <v/>
      </c>
      <c r="HZ34" s="12">
        <f>HW34-HY34</f>
        <v/>
      </c>
      <c r="IA34" s="12">
        <f>ROUND(HX34*EssentialMix,0)</f>
        <v/>
      </c>
      <c r="IB34" s="12">
        <f>HX34-IA34</f>
        <v/>
      </c>
      <c r="IC34" s="12">
        <f>HY34+HY33+HY32+MAX(0,IC33-HY33-HY32)*(1-HR34)</f>
        <v/>
      </c>
      <c r="ID34" s="12">
        <f>HZ34+HZ33+HZ32+MAX(0,ID33-HZ33-HZ32)*(1-HR34)</f>
        <v/>
      </c>
      <c r="IE34" s="12">
        <f>IE33+IA34-IA22*(AnnualChurn*VLOOKUP(HN34,ChurnSeasonTable,4,FALSE))*POWER(1-(AnnualChurn*VLOOKUP(HN34,ChurnSeasonTable,4,FALSE)),0)+IA10*(AnnualChurn*VLOOKUP(HN34,ChurnSeasonTable,4,FALSE))*POWER(1-(AnnualChurn*VLOOKUP(HN34,ChurnSeasonTable,4,FALSE)),1)</f>
        <v/>
      </c>
      <c r="IF34" s="12">
        <f>IF33+IB34-IB22*(AnnualChurn*VLOOKUP(HN34,ChurnSeasonTable,4,FALSE))*POWER(1-(AnnualChurn*VLOOKUP(HN34,ChurnSeasonTable,4,FALSE)),0)+IB10*(AnnualChurn*VLOOKUP(HN34,ChurnSeasonTable,4,FALSE))*POWER(1-(AnnualChurn*VLOOKUP(HN34,ChurnSeasonTable,4,FALSE)),1)</f>
        <v/>
      </c>
      <c r="IG34" s="12">
        <f>IC34+ID34+IE34+IF34</f>
        <v/>
      </c>
      <c r="IH34" s="9">
        <f>IC34*PriceEssMonthly*HQ34+ID34*PricePremMonthly*HQ34+IE34*PriceEssAnnual*HQ34/12+IF34*PricePremAnnual*HQ34/12</f>
        <v/>
      </c>
      <c r="II34" s="9">
        <f>IH34*12</f>
        <v/>
      </c>
      <c r="IJ34" s="12">
        <f>IC34*PriceEssMonthly*HQ34+ID34*PricePremMonthly*HQ34</f>
        <v/>
      </c>
      <c r="IK34" s="12">
        <f>IA34*PriceEssAnnual*HQ34+IB34*PricePremAnnual*HQ34</f>
        <v/>
      </c>
      <c r="IL34" s="12">
        <f>IA22*POWER(1-(AnnualChurn*VLOOKUP(HN34,ChurnSeasonTable,4,FALSE)),1)*PriceEssAnnual*HQ34+IA10*POWER(1-(AnnualChurn*VLOOKUP(HN34,ChurnSeasonTable,4,FALSE)),2)*PriceEssAnnual*HQ34+IB22*POWER(1-(AnnualChurn*VLOOKUP(HN34,ChurnSeasonTable,4,FALSE)),1)*PricePremAnnual*HQ34+IB10*POWER(1-(AnnualChurn*VLOOKUP(HN34,ChurnSeasonTable,4,FALSE)),2)*PricePremAnnual*HQ34</f>
        <v/>
      </c>
      <c r="IM34" s="9">
        <f>IJ34+IK34+IL34</f>
        <v/>
      </c>
      <c r="IN34" s="12">
        <f>SUM(IM23:IM34)</f>
        <v/>
      </c>
      <c r="IO34" s="12">
        <f>OR(IO33,IN34&gt;=VATThreshold)</f>
        <v/>
      </c>
      <c r="IP34" s="9">
        <f>IF(IO34,IM34/(1+VATRate),IM34)</f>
        <v/>
      </c>
      <c r="IQ34" s="12">
        <f>IM34-IP34</f>
        <v/>
      </c>
      <c r="IR34" s="12">
        <f>IF(IO34=0,0,IF(HN34=1,SUMPRODUCT(--(($HO$5:$HO34=$HO34-1)*($HN$5:$HN34&gt;=10)*($HN$5:$HN34&lt;=12)),$IQ$5:$IQ34),IF(HN34=4,SUMPRODUCT(--(($HO$5:$HO34=$HO34)*($HN$5:$HN34&gt;=1)*($HN$5:$HN34&lt;=3)),$IQ$5:$IQ34),IF(HN34=7,SUMPRODUCT(--(($HO$5:$HO34=$HO34)*($HN$5:$HN34&gt;=4)*($HN$5:$HN34&lt;=6)),$IQ$5:$IQ34),IF(HN34=10,SUMPRODUCT(--(($HO$5:$HO34=$HO34)*($HN$5:$HN34&gt;=7)*($HN$5:$HN34&lt;=9)),$IQ$5:$IQ34),0)))))</f>
        <v/>
      </c>
      <c r="IS34" s="12">
        <f>IS33+IQ34-IR34</f>
        <v/>
      </c>
      <c r="IT34" s="12">
        <f>IF(ProviderDelay&gt;=1,IP33*ProviderShare,IP34*ProviderShare)</f>
        <v/>
      </c>
      <c r="IU34" s="12">
        <f>IM34*PaymentFee</f>
        <v/>
      </c>
      <c r="IV34" s="12">
        <f>IG34*OpsAI</f>
        <v/>
      </c>
      <c r="IW34" s="12">
        <f>MonthlyFixed</f>
        <v/>
      </c>
      <c r="IX34" s="12">
        <f>HU34*ReferralReward</f>
        <v/>
      </c>
      <c r="IY34" s="12">
        <f>HS34</f>
        <v/>
      </c>
      <c r="IZ34" s="9">
        <f>IP34-IT34-IU34-IV34-IW34-IX34-IY34</f>
        <v/>
      </c>
      <c r="JA34" s="9">
        <f>JA33+IM34-(IT34+IU34+IV34+IW34+IX34+IY34+IR34)</f>
        <v/>
      </c>
      <c r="JB34" s="12">
        <f>IF(IG34&gt;0,IH34/IG34,0)</f>
        <v/>
      </c>
      <c r="JC34" s="11">
        <f>IF(IG33&gt;0,MAX(0,(IG33+HV34-IG34)/IG33),0)</f>
        <v/>
      </c>
      <c r="JE34" s="12" t="n">
        <v>30</v>
      </c>
      <c r="JF34" s="12">
        <f>MOD(JE34-1+LaunchMonth-1,12)+1</f>
        <v/>
      </c>
      <c r="JG34" s="12">
        <f>INT((JE34-1+LaunchMonth-1)/12)+1</f>
        <v/>
      </c>
      <c r="JH34" s="12">
        <f>VLOOKUP(JF34,SeasonTable,2,FALSE)</f>
        <v/>
      </c>
      <c r="JI34" s="12">
        <f>(1+InflationRate)^INT((JE34-1)/12)</f>
        <v/>
      </c>
      <c r="JJ34" s="11">
        <f>'Sens - Churn'!$A$16*VLOOKUP(JF34,ChurnSeasonTable,4,FALSE)</f>
        <v/>
      </c>
      <c r="JK34" s="12">
        <f>MIN(MAX(MktMin19plus,KE33*MktPct19plus),MAX(0,KS33-CashBuffer))</f>
        <v/>
      </c>
      <c r="JL34" s="12">
        <f>IF(JK34&gt;0,MAX(1,ROUND(JK34/CAC*JH34,0)),0)</f>
        <v/>
      </c>
      <c r="JM34" s="12">
        <f>IF(JL34&gt;0,ROUND(JL34*ReferralMix/(1-ReferralMix),0),0)</f>
        <v/>
      </c>
      <c r="JN34" s="12">
        <f>JL34+JM34</f>
        <v/>
      </c>
      <c r="JO34" s="12">
        <f>ROUND(JN34*(1-AnnualMix),0)</f>
        <v/>
      </c>
      <c r="JP34" s="12">
        <f>JN34-JO34</f>
        <v/>
      </c>
      <c r="JQ34" s="12">
        <f>ROUND(JO34*EssentialMix,0)</f>
        <v/>
      </c>
      <c r="JR34" s="12">
        <f>JO34-JQ34</f>
        <v/>
      </c>
      <c r="JS34" s="12">
        <f>ROUND(JP34*EssentialMix,0)</f>
        <v/>
      </c>
      <c r="JT34" s="12">
        <f>JP34-JS34</f>
        <v/>
      </c>
      <c r="JU34" s="12">
        <f>JQ34+JQ33+JQ32+MAX(0,JU33-JQ33-JQ32)*(1-JJ34)</f>
        <v/>
      </c>
      <c r="JV34" s="12">
        <f>JR34+JR33+JR32+MAX(0,JV33-JR33-JR32)*(1-JJ34)</f>
        <v/>
      </c>
      <c r="JW34" s="12">
        <f>JW33+JS34-JS22*(AnnualChurn*VLOOKUP(JF34,ChurnSeasonTable,4,FALSE))*POWER(1-(AnnualChurn*VLOOKUP(JF34,ChurnSeasonTable,4,FALSE)),0)+JS10*(AnnualChurn*VLOOKUP(JF34,ChurnSeasonTable,4,FALSE))*POWER(1-(AnnualChurn*VLOOKUP(JF34,ChurnSeasonTable,4,FALSE)),1)</f>
        <v/>
      </c>
      <c r="JX34" s="12">
        <f>JX33+JT34-JT22*(AnnualChurn*VLOOKUP(JF34,ChurnSeasonTable,4,FALSE))*POWER(1-(AnnualChurn*VLOOKUP(JF34,ChurnSeasonTable,4,FALSE)),0)+JT10*(AnnualChurn*VLOOKUP(JF34,ChurnSeasonTable,4,FALSE))*POWER(1-(AnnualChurn*VLOOKUP(JF34,ChurnSeasonTable,4,FALSE)),1)</f>
        <v/>
      </c>
      <c r="JY34" s="12">
        <f>JU34+JV34+JW34+JX34</f>
        <v/>
      </c>
      <c r="JZ34" s="9">
        <f>JU34*PriceEssMonthly*JI34+JV34*PricePremMonthly*JI34+JW34*PriceEssAnnual*JI34/12+JX34*PricePremAnnual*JI34/12</f>
        <v/>
      </c>
      <c r="KA34" s="9">
        <f>JZ34*12</f>
        <v/>
      </c>
      <c r="KB34" s="12">
        <f>JU34*PriceEssMonthly*JI34+JV34*PricePremMonthly*JI34</f>
        <v/>
      </c>
      <c r="KC34" s="12">
        <f>JS34*PriceEssAnnual*JI34+JT34*PricePremAnnual*JI34</f>
        <v/>
      </c>
      <c r="KD34" s="12">
        <f>JS22*POWER(1-(AnnualChurn*VLOOKUP(JF34,ChurnSeasonTable,4,FALSE)),1)*PriceEssAnnual*JI34+JS10*POWER(1-(AnnualChurn*VLOOKUP(JF34,ChurnSeasonTable,4,FALSE)),2)*PriceEssAnnual*JI34+JT22*POWER(1-(AnnualChurn*VLOOKUP(JF34,ChurnSeasonTable,4,FALSE)),1)*PricePremAnnual*JI34+JT10*POWER(1-(AnnualChurn*VLOOKUP(JF34,ChurnSeasonTable,4,FALSE)),2)*PricePremAnnual*JI34</f>
        <v/>
      </c>
      <c r="KE34" s="9">
        <f>KB34+KC34+KD34</f>
        <v/>
      </c>
      <c r="KF34" s="12">
        <f>SUM(KE23:KE34)</f>
        <v/>
      </c>
      <c r="KG34" s="12">
        <f>OR(KG33,KF34&gt;=VATThreshold)</f>
        <v/>
      </c>
      <c r="KH34" s="9">
        <f>IF(KG34,KE34/(1+VATRate),KE34)</f>
        <v/>
      </c>
      <c r="KI34" s="12">
        <f>KE34-KH34</f>
        <v/>
      </c>
      <c r="KJ34" s="12">
        <f>IF(KG34=0,0,IF(JF34=1,SUMPRODUCT(--(($JG$5:$JG34=$JG34-1)*($JF$5:$JF34&gt;=10)*($JF$5:$JF34&lt;=12)),$KI$5:$KI34),IF(JF34=4,SUMPRODUCT(--(($JG$5:$JG34=$JG34)*($JF$5:$JF34&gt;=1)*($JF$5:$JF34&lt;=3)),$KI$5:$KI34),IF(JF34=7,SUMPRODUCT(--(($JG$5:$JG34=$JG34)*($JF$5:$JF34&gt;=4)*($JF$5:$JF34&lt;=6)),$KI$5:$KI34),IF(JF34=10,SUMPRODUCT(--(($JG$5:$JG34=$JG34)*($JF$5:$JF34&gt;=7)*($JF$5:$JF34&lt;=9)),$KI$5:$KI34),0)))))</f>
        <v/>
      </c>
      <c r="KK34" s="12">
        <f>KK33+KI34-KJ34</f>
        <v/>
      </c>
      <c r="KL34" s="12">
        <f>IF(ProviderDelay&gt;=1,KH33*ProviderShare,KH34*ProviderShare)</f>
        <v/>
      </c>
      <c r="KM34" s="12">
        <f>KE34*PaymentFee</f>
        <v/>
      </c>
      <c r="KN34" s="12">
        <f>JY34*OpsAI</f>
        <v/>
      </c>
      <c r="KO34" s="12">
        <f>MonthlyFixed</f>
        <v/>
      </c>
      <c r="KP34" s="12">
        <f>JM34*ReferralReward</f>
        <v/>
      </c>
      <c r="KQ34" s="12">
        <f>JK34</f>
        <v/>
      </c>
      <c r="KR34" s="9">
        <f>KH34-KL34-KM34-KN34-KO34-KP34-KQ34</f>
        <v/>
      </c>
      <c r="KS34" s="9">
        <f>KS33+KE34-(KL34+KM34+KN34+KO34+KP34+KQ34+KJ34)</f>
        <v/>
      </c>
      <c r="KT34" s="12">
        <f>IF(JY34&gt;0,JZ34/JY34,0)</f>
        <v/>
      </c>
      <c r="KU34" s="11">
        <f>IF(JY33&gt;0,MAX(0,(JY33+JN34-JY34)/JY33),0)</f>
        <v/>
      </c>
      <c r="KW34" s="12" t="n">
        <v>30</v>
      </c>
      <c r="KX34" s="12">
        <f>MOD(KW34-1+LaunchMonth-1,12)+1</f>
        <v/>
      </c>
      <c r="KY34" s="12">
        <f>INT((KW34-1+LaunchMonth-1)/12)+1</f>
        <v/>
      </c>
      <c r="KZ34" s="12">
        <f>VLOOKUP(KX34,SeasonTable,2,FALSE)</f>
        <v/>
      </c>
      <c r="LA34" s="12">
        <f>(1+InflationRate)^INT((KW34-1)/12)</f>
        <v/>
      </c>
      <c r="LB34" s="11">
        <f>'Sens - Churn'!$A$17*VLOOKUP(KX34,ChurnSeasonTable,4,FALSE)</f>
        <v/>
      </c>
      <c r="LC34" s="12">
        <f>MIN(MAX(MktMin19plus,LW33*MktPct19plus),MAX(0,MK33-CashBuffer))</f>
        <v/>
      </c>
      <c r="LD34" s="12">
        <f>IF(LC34&gt;0,MAX(1,ROUND(LC34/CAC*KZ34,0)),0)</f>
        <v/>
      </c>
      <c r="LE34" s="12">
        <f>IF(LD34&gt;0,ROUND(LD34*ReferralMix/(1-ReferralMix),0),0)</f>
        <v/>
      </c>
      <c r="LF34" s="12">
        <f>LD34+LE34</f>
        <v/>
      </c>
      <c r="LG34" s="12">
        <f>ROUND(LF34*(1-AnnualMix),0)</f>
        <v/>
      </c>
      <c r="LH34" s="12">
        <f>LF34-LG34</f>
        <v/>
      </c>
      <c r="LI34" s="12">
        <f>ROUND(LG34*EssentialMix,0)</f>
        <v/>
      </c>
      <c r="LJ34" s="12">
        <f>LG34-LI34</f>
        <v/>
      </c>
      <c r="LK34" s="12">
        <f>ROUND(LH34*EssentialMix,0)</f>
        <v/>
      </c>
      <c r="LL34" s="12">
        <f>LH34-LK34</f>
        <v/>
      </c>
      <c r="LM34" s="12">
        <f>LI34+LI33+LI32+MAX(0,LM33-LI33-LI32)*(1-LB34)</f>
        <v/>
      </c>
      <c r="LN34" s="12">
        <f>LJ34+LJ33+LJ32+MAX(0,LN33-LJ33-LJ32)*(1-LB34)</f>
        <v/>
      </c>
      <c r="LO34" s="12">
        <f>LO33+LK34-LK22*(AnnualChurn*VLOOKUP(KX34,ChurnSeasonTable,4,FALSE))*POWER(1-(AnnualChurn*VLOOKUP(KX34,ChurnSeasonTable,4,FALSE)),0)+LK10*(AnnualChurn*VLOOKUP(KX34,ChurnSeasonTable,4,FALSE))*POWER(1-(AnnualChurn*VLOOKUP(KX34,ChurnSeasonTable,4,FALSE)),1)</f>
        <v/>
      </c>
      <c r="LP34" s="12">
        <f>LP33+LL34-LL22*(AnnualChurn*VLOOKUP(KX34,ChurnSeasonTable,4,FALSE))*POWER(1-(AnnualChurn*VLOOKUP(KX34,ChurnSeasonTable,4,FALSE)),0)+LL10*(AnnualChurn*VLOOKUP(KX34,ChurnSeasonTable,4,FALSE))*POWER(1-(AnnualChurn*VLOOKUP(KX34,ChurnSeasonTable,4,FALSE)),1)</f>
        <v/>
      </c>
      <c r="LQ34" s="12">
        <f>LM34+LN34+LO34+LP34</f>
        <v/>
      </c>
      <c r="LR34" s="9">
        <f>LM34*PriceEssMonthly*LA34+LN34*PricePremMonthly*LA34+LO34*PriceEssAnnual*LA34/12+LP34*PricePremAnnual*LA34/12</f>
        <v/>
      </c>
      <c r="LS34" s="9">
        <f>LR34*12</f>
        <v/>
      </c>
      <c r="LT34" s="12">
        <f>LM34*PriceEssMonthly*LA34+LN34*PricePremMonthly*LA34</f>
        <v/>
      </c>
      <c r="LU34" s="12">
        <f>LK34*PriceEssAnnual*LA34+LL34*PricePremAnnual*LA34</f>
        <v/>
      </c>
      <c r="LV34" s="12">
        <f>LK22*POWER(1-(AnnualChurn*VLOOKUP(KX34,ChurnSeasonTable,4,FALSE)),1)*PriceEssAnnual*LA34+LK10*POWER(1-(AnnualChurn*VLOOKUP(KX34,ChurnSeasonTable,4,FALSE)),2)*PriceEssAnnual*LA34+LL22*POWER(1-(AnnualChurn*VLOOKUP(KX34,ChurnSeasonTable,4,FALSE)),1)*PricePremAnnual*LA34+LL10*POWER(1-(AnnualChurn*VLOOKUP(KX34,ChurnSeasonTable,4,FALSE)),2)*PricePremAnnual*LA34</f>
        <v/>
      </c>
      <c r="LW34" s="9">
        <f>LT34+LU34+LV34</f>
        <v/>
      </c>
      <c r="LX34" s="12">
        <f>SUM(LW23:LW34)</f>
        <v/>
      </c>
      <c r="LY34" s="12">
        <f>OR(LY33,LX34&gt;=VATThreshold)</f>
        <v/>
      </c>
      <c r="LZ34" s="9">
        <f>IF(LY34,LW34/(1+VATRate),LW34)</f>
        <v/>
      </c>
      <c r="MA34" s="12">
        <f>LW34-LZ34</f>
        <v/>
      </c>
      <c r="MB34" s="12">
        <f>IF(LY34=0,0,IF(KX34=1,SUMPRODUCT(--(($KY$5:$KY34=$KY34-1)*($KX$5:$KX34&gt;=10)*($KX$5:$KX34&lt;=12)),$MA$5:$MA34),IF(KX34=4,SUMPRODUCT(--(($KY$5:$KY34=$KY34)*($KX$5:$KX34&gt;=1)*($KX$5:$KX34&lt;=3)),$MA$5:$MA34),IF(KX34=7,SUMPRODUCT(--(($KY$5:$KY34=$KY34)*($KX$5:$KX34&gt;=4)*($KX$5:$KX34&lt;=6)),$MA$5:$MA34),IF(KX34=10,SUMPRODUCT(--(($KY$5:$KY34=$KY34)*($KX$5:$KX34&gt;=7)*($KX$5:$KX34&lt;=9)),$MA$5:$MA34),0)))))</f>
        <v/>
      </c>
      <c r="MC34" s="12">
        <f>MC33+MA34-MB34</f>
        <v/>
      </c>
      <c r="MD34" s="12">
        <f>IF(ProviderDelay&gt;=1,LZ33*ProviderShare,LZ34*ProviderShare)</f>
        <v/>
      </c>
      <c r="ME34" s="12">
        <f>LW34*PaymentFee</f>
        <v/>
      </c>
      <c r="MF34" s="12">
        <f>LQ34*OpsAI</f>
        <v/>
      </c>
      <c r="MG34" s="12">
        <f>MonthlyFixed</f>
        <v/>
      </c>
      <c r="MH34" s="12">
        <f>LE34*ReferralReward</f>
        <v/>
      </c>
      <c r="MI34" s="12">
        <f>LC34</f>
        <v/>
      </c>
      <c r="MJ34" s="9">
        <f>LZ34-MD34-ME34-MF34-MG34-MH34-MI34</f>
        <v/>
      </c>
      <c r="MK34" s="9">
        <f>MK33+LW34-(MD34+ME34+MF34+MG34+MH34+MI34+MB34)</f>
        <v/>
      </c>
      <c r="ML34" s="12">
        <f>IF(LQ34&gt;0,LR34/LQ34,0)</f>
        <v/>
      </c>
      <c r="MM34" s="11">
        <f>IF(LQ33&gt;0,MAX(0,(LQ33+LF34-LQ34)/LQ33),0)</f>
        <v/>
      </c>
      <c r="MO34" s="12" t="n">
        <v>30</v>
      </c>
      <c r="MP34" s="12">
        <f>MOD(MO34-1+LaunchMonth-1,12)+1</f>
        <v/>
      </c>
      <c r="MQ34" s="12">
        <f>INT((MO34-1+LaunchMonth-1)/12)+1</f>
        <v/>
      </c>
      <c r="MR34" s="12">
        <f>VLOOKUP(MP34,SeasonTable,2,FALSE)</f>
        <v/>
      </c>
      <c r="MS34" s="12">
        <f>(1+InflationRate)^INT((MO34-1)/12)</f>
        <v/>
      </c>
      <c r="MT34" s="11">
        <f>'Sens - Churn'!$A$18*VLOOKUP(MP34,ChurnSeasonTable,4,FALSE)</f>
        <v/>
      </c>
      <c r="MU34" s="12">
        <f>MIN(MAX(MktMin19plus,NO33*MktPct19plus),MAX(0,OC33-CashBuffer))</f>
        <v/>
      </c>
      <c r="MV34" s="12">
        <f>IF(MU34&gt;0,MAX(1,ROUND(MU34/CAC*MR34,0)),0)</f>
        <v/>
      </c>
      <c r="MW34" s="12">
        <f>IF(MV34&gt;0,ROUND(MV34*ReferralMix/(1-ReferralMix),0),0)</f>
        <v/>
      </c>
      <c r="MX34" s="12">
        <f>MV34+MW34</f>
        <v/>
      </c>
      <c r="MY34" s="12">
        <f>ROUND(MX34*(1-AnnualMix),0)</f>
        <v/>
      </c>
      <c r="MZ34" s="12">
        <f>MX34-MY34</f>
        <v/>
      </c>
      <c r="NA34" s="12">
        <f>ROUND(MY34*EssentialMix,0)</f>
        <v/>
      </c>
      <c r="NB34" s="12">
        <f>MY34-NA34</f>
        <v/>
      </c>
      <c r="NC34" s="12">
        <f>ROUND(MZ34*EssentialMix,0)</f>
        <v/>
      </c>
      <c r="ND34" s="12">
        <f>MZ34-NC34</f>
        <v/>
      </c>
      <c r="NE34" s="12">
        <f>NA34+NA33+NA32+MAX(0,NE33-NA33-NA32)*(1-MT34)</f>
        <v/>
      </c>
      <c r="NF34" s="12">
        <f>NB34+NB33+NB32+MAX(0,NF33-NB33-NB32)*(1-MT34)</f>
        <v/>
      </c>
      <c r="NG34" s="12">
        <f>NG33+NC34-NC22*(AnnualChurn*VLOOKUP(MP34,ChurnSeasonTable,4,FALSE))*POWER(1-(AnnualChurn*VLOOKUP(MP34,ChurnSeasonTable,4,FALSE)),0)+NC10*(AnnualChurn*VLOOKUP(MP34,ChurnSeasonTable,4,FALSE))*POWER(1-(AnnualChurn*VLOOKUP(MP34,ChurnSeasonTable,4,FALSE)),1)</f>
        <v/>
      </c>
      <c r="NH34" s="12">
        <f>NH33+ND34-ND22*(AnnualChurn*VLOOKUP(MP34,ChurnSeasonTable,4,FALSE))*POWER(1-(AnnualChurn*VLOOKUP(MP34,ChurnSeasonTable,4,FALSE)),0)+ND10*(AnnualChurn*VLOOKUP(MP34,ChurnSeasonTable,4,FALSE))*POWER(1-(AnnualChurn*VLOOKUP(MP34,ChurnSeasonTable,4,FALSE)),1)</f>
        <v/>
      </c>
      <c r="NI34" s="12">
        <f>NE34+NF34+NG34+NH34</f>
        <v/>
      </c>
      <c r="NJ34" s="9">
        <f>NE34*PriceEssMonthly*MS34+NF34*PricePremMonthly*MS34+NG34*PriceEssAnnual*MS34/12+NH34*PricePremAnnual*MS34/12</f>
        <v/>
      </c>
      <c r="NK34" s="9">
        <f>NJ34*12</f>
        <v/>
      </c>
      <c r="NL34" s="12">
        <f>NE34*PriceEssMonthly*MS34+NF34*PricePremMonthly*MS34</f>
        <v/>
      </c>
      <c r="NM34" s="12">
        <f>NC34*PriceEssAnnual*MS34+ND34*PricePremAnnual*MS34</f>
        <v/>
      </c>
      <c r="NN34" s="12">
        <f>NC22*POWER(1-(AnnualChurn*VLOOKUP(MP34,ChurnSeasonTable,4,FALSE)),1)*PriceEssAnnual*MS34+NC10*POWER(1-(AnnualChurn*VLOOKUP(MP34,ChurnSeasonTable,4,FALSE)),2)*PriceEssAnnual*MS34+ND22*POWER(1-(AnnualChurn*VLOOKUP(MP34,ChurnSeasonTable,4,FALSE)),1)*PricePremAnnual*MS34+ND10*POWER(1-(AnnualChurn*VLOOKUP(MP34,ChurnSeasonTable,4,FALSE)),2)*PricePremAnnual*MS34</f>
        <v/>
      </c>
      <c r="NO34" s="9">
        <f>NL34+NM34+NN34</f>
        <v/>
      </c>
      <c r="NP34" s="12">
        <f>SUM(NO23:NO34)</f>
        <v/>
      </c>
      <c r="NQ34" s="12">
        <f>OR(NQ33,NP34&gt;=VATThreshold)</f>
        <v/>
      </c>
      <c r="NR34" s="9">
        <f>IF(NQ34,NO34/(1+VATRate),NO34)</f>
        <v/>
      </c>
      <c r="NS34" s="12">
        <f>NO34-NR34</f>
        <v/>
      </c>
      <c r="NT34" s="12">
        <f>IF(NQ34=0,0,IF(MP34=1,SUMPRODUCT(--(($MQ$5:$MQ34=$MQ34-1)*($MP$5:$MP34&gt;=10)*($MP$5:$MP34&lt;=12)),$NS$5:$NS34),IF(MP34=4,SUMPRODUCT(--(($MQ$5:$MQ34=$MQ34)*($MP$5:$MP34&gt;=1)*($MP$5:$MP34&lt;=3)),$NS$5:$NS34),IF(MP34=7,SUMPRODUCT(--(($MQ$5:$MQ34=$MQ34)*($MP$5:$MP34&gt;=4)*($MP$5:$MP34&lt;=6)),$NS$5:$NS34),IF(MP34=10,SUMPRODUCT(--(($MQ$5:$MQ34=$MQ34)*($MP$5:$MP34&gt;=7)*($MP$5:$MP34&lt;=9)),$NS$5:$NS34),0)))))</f>
        <v/>
      </c>
      <c r="NU34" s="12">
        <f>NU33+NS34-NT34</f>
        <v/>
      </c>
      <c r="NV34" s="12">
        <f>IF(ProviderDelay&gt;=1,NR33*ProviderShare,NR34*ProviderShare)</f>
        <v/>
      </c>
      <c r="NW34" s="12">
        <f>NO34*PaymentFee</f>
        <v/>
      </c>
      <c r="NX34" s="12">
        <f>NI34*OpsAI</f>
        <v/>
      </c>
      <c r="NY34" s="12">
        <f>MonthlyFixed</f>
        <v/>
      </c>
      <c r="NZ34" s="12">
        <f>MW34*ReferralReward</f>
        <v/>
      </c>
      <c r="OA34" s="12">
        <f>MU34</f>
        <v/>
      </c>
      <c r="OB34" s="9">
        <f>NR34-NV34-NW34-NX34-NY34-NZ34-OA34</f>
        <v/>
      </c>
      <c r="OC34" s="9">
        <f>OC33+NO34-(NV34+NW34+NX34+NY34+NZ34+OA34+NT34)</f>
        <v/>
      </c>
      <c r="OD34" s="12">
        <f>IF(NI34&gt;0,NJ34/NI34,0)</f>
        <v/>
      </c>
      <c r="OE34" s="11">
        <f>IF(NI33&gt;0,MAX(0,(NI33+MX34-NI34)/NI33),0)</f>
        <v/>
      </c>
      <c r="OG34" s="12" t="n">
        <v>30</v>
      </c>
      <c r="OH34" s="12">
        <f>MOD(OG34-1+LaunchMonth-1,12)+1</f>
        <v/>
      </c>
      <c r="OI34" s="12">
        <f>INT((OG34-1+LaunchMonth-1)/12)+1</f>
        <v/>
      </c>
      <c r="OJ34" s="12">
        <f>VLOOKUP(OH34,SeasonTable,2,FALSE)</f>
        <v/>
      </c>
      <c r="OK34" s="12">
        <f>(1+InflationRate)^INT((OG34-1)/12)</f>
        <v/>
      </c>
      <c r="OL34" s="11">
        <f>'Sens - Churn'!$A$19*VLOOKUP(OH34,ChurnSeasonTable,4,FALSE)</f>
        <v/>
      </c>
      <c r="OM34" s="12">
        <f>MIN(MAX(MktMin19plus,PG33*MktPct19plus),MAX(0,PU33-CashBuffer))</f>
        <v/>
      </c>
      <c r="ON34" s="12">
        <f>IF(OM34&gt;0,MAX(1,ROUND(OM34/CAC*OJ34,0)),0)</f>
        <v/>
      </c>
      <c r="OO34" s="12">
        <f>IF(ON34&gt;0,ROUND(ON34*ReferralMix/(1-ReferralMix),0),0)</f>
        <v/>
      </c>
      <c r="OP34" s="12">
        <f>ON34+OO34</f>
        <v/>
      </c>
      <c r="OQ34" s="12">
        <f>ROUND(OP34*(1-AnnualMix),0)</f>
        <v/>
      </c>
      <c r="OR34" s="12">
        <f>OP34-OQ34</f>
        <v/>
      </c>
      <c r="OS34" s="12">
        <f>ROUND(OQ34*EssentialMix,0)</f>
        <v/>
      </c>
      <c r="OT34" s="12">
        <f>OQ34-OS34</f>
        <v/>
      </c>
      <c r="OU34" s="12">
        <f>ROUND(OR34*EssentialMix,0)</f>
        <v/>
      </c>
      <c r="OV34" s="12">
        <f>OR34-OU34</f>
        <v/>
      </c>
      <c r="OW34" s="12">
        <f>OS34+OS33+OS32+MAX(0,OW33-OS33-OS32)*(1-OL34)</f>
        <v/>
      </c>
      <c r="OX34" s="12">
        <f>OT34+OT33+OT32+MAX(0,OX33-OT33-OT32)*(1-OL34)</f>
        <v/>
      </c>
      <c r="OY34" s="12">
        <f>OY33+OU34-OU22*(AnnualChurn*VLOOKUP(OH34,ChurnSeasonTable,4,FALSE))*POWER(1-(AnnualChurn*VLOOKUP(OH34,ChurnSeasonTable,4,FALSE)),0)+OU10*(AnnualChurn*VLOOKUP(OH34,ChurnSeasonTable,4,FALSE))*POWER(1-(AnnualChurn*VLOOKUP(OH34,ChurnSeasonTable,4,FALSE)),1)</f>
        <v/>
      </c>
      <c r="OZ34" s="12">
        <f>OZ33+OV34-OV22*(AnnualChurn*VLOOKUP(OH34,ChurnSeasonTable,4,FALSE))*POWER(1-(AnnualChurn*VLOOKUP(OH34,ChurnSeasonTable,4,FALSE)),0)+OV10*(AnnualChurn*VLOOKUP(OH34,ChurnSeasonTable,4,FALSE))*POWER(1-(AnnualChurn*VLOOKUP(OH34,ChurnSeasonTable,4,FALSE)),1)</f>
        <v/>
      </c>
      <c r="PA34" s="12">
        <f>OW34+OX34+OY34+OZ34</f>
        <v/>
      </c>
      <c r="PB34" s="9">
        <f>OW34*PriceEssMonthly*OK34+OX34*PricePremMonthly*OK34+OY34*PriceEssAnnual*OK34/12+OZ34*PricePremAnnual*OK34/12</f>
        <v/>
      </c>
      <c r="PC34" s="9">
        <f>PB34*12</f>
        <v/>
      </c>
      <c r="PD34" s="12">
        <f>OW34*PriceEssMonthly*OK34+OX34*PricePremMonthly*OK34</f>
        <v/>
      </c>
      <c r="PE34" s="12">
        <f>OU34*PriceEssAnnual*OK34+OV34*PricePremAnnual*OK34</f>
        <v/>
      </c>
      <c r="PF34" s="12">
        <f>OU22*POWER(1-(AnnualChurn*VLOOKUP(OH34,ChurnSeasonTable,4,FALSE)),1)*PriceEssAnnual*OK34+OU10*POWER(1-(AnnualChurn*VLOOKUP(OH34,ChurnSeasonTable,4,FALSE)),2)*PriceEssAnnual*OK34+OV22*POWER(1-(AnnualChurn*VLOOKUP(OH34,ChurnSeasonTable,4,FALSE)),1)*PricePremAnnual*OK34+OV10*POWER(1-(AnnualChurn*VLOOKUP(OH34,ChurnSeasonTable,4,FALSE)),2)*PricePremAnnual*OK34</f>
        <v/>
      </c>
      <c r="PG34" s="9">
        <f>PD34+PE34+PF34</f>
        <v/>
      </c>
      <c r="PH34" s="12">
        <f>SUM(PG23:PG34)</f>
        <v/>
      </c>
      <c r="PI34" s="12">
        <f>OR(PI33,PH34&gt;=VATThreshold)</f>
        <v/>
      </c>
      <c r="PJ34" s="9">
        <f>IF(PI34,PG34/(1+VATRate),PG34)</f>
        <v/>
      </c>
      <c r="PK34" s="12">
        <f>PG34-PJ34</f>
        <v/>
      </c>
      <c r="PL34" s="12">
        <f>IF(PI34=0,0,IF(OH34=1,SUMPRODUCT(--(($OI$5:$OI34=$OI34-1)*($OH$5:$OH34&gt;=10)*($OH$5:$OH34&lt;=12)),$PK$5:$PK34),IF(OH34=4,SUMPRODUCT(--(($OI$5:$OI34=$OI34)*($OH$5:$OH34&gt;=1)*($OH$5:$OH34&lt;=3)),$PK$5:$PK34),IF(OH34=7,SUMPRODUCT(--(($OI$5:$OI34=$OI34)*($OH$5:$OH34&gt;=4)*($OH$5:$OH34&lt;=6)),$PK$5:$PK34),IF(OH34=10,SUMPRODUCT(--(($OI$5:$OI34=$OI34)*($OH$5:$OH34&gt;=7)*($OH$5:$OH34&lt;=9)),$PK$5:$PK34),0)))))</f>
        <v/>
      </c>
      <c r="PM34" s="12">
        <f>PM33+PK34-PL34</f>
        <v/>
      </c>
      <c r="PN34" s="12">
        <f>IF(ProviderDelay&gt;=1,PJ33*ProviderShare,PJ34*ProviderShare)</f>
        <v/>
      </c>
      <c r="PO34" s="12">
        <f>PG34*PaymentFee</f>
        <v/>
      </c>
      <c r="PP34" s="12">
        <f>PA34*OpsAI</f>
        <v/>
      </c>
      <c r="PQ34" s="12">
        <f>MonthlyFixed</f>
        <v/>
      </c>
      <c r="PR34" s="12">
        <f>OO34*ReferralReward</f>
        <v/>
      </c>
      <c r="PS34" s="12">
        <f>OM34</f>
        <v/>
      </c>
      <c r="PT34" s="9">
        <f>PJ34-PN34-PO34-PP34-PQ34-PR34-PS34</f>
        <v/>
      </c>
      <c r="PU34" s="9">
        <f>PU33+PG34-(PN34+PO34+PP34+PQ34+PR34+PS34+PL34)</f>
        <v/>
      </c>
      <c r="PV34" s="12">
        <f>IF(PA34&gt;0,PB34/PA34,0)</f>
        <v/>
      </c>
      <c r="PW34" s="11">
        <f>IF(PA33&gt;0,MAX(0,(PA33+OP34-PA34)/PA33),0)</f>
        <v/>
      </c>
      <c r="PY34" s="12" t="n">
        <v>30</v>
      </c>
      <c r="PZ34" s="12">
        <f>MOD(PY34-1+LaunchMonth-1,12)+1</f>
        <v/>
      </c>
      <c r="QA34" s="12">
        <f>INT((PY34-1+LaunchMonth-1)/12)+1</f>
        <v/>
      </c>
      <c r="QB34" s="12">
        <f>VLOOKUP(PZ34,SeasonTable,2,FALSE)</f>
        <v/>
      </c>
      <c r="QC34" s="12">
        <f>(1+InflationRate)^INT((PY34-1)/12)</f>
        <v/>
      </c>
      <c r="QD34" s="11">
        <f>'Sens - Churn'!$A$20*VLOOKUP(PZ34,ChurnSeasonTable,4,FALSE)</f>
        <v/>
      </c>
      <c r="QE34" s="12">
        <f>MIN(MAX(MktMin19plus,QY33*MktPct19plus),MAX(0,RM33-CashBuffer))</f>
        <v/>
      </c>
      <c r="QF34" s="12">
        <f>IF(QE34&gt;0,MAX(1,ROUND(QE34/CAC*QB34,0)),0)</f>
        <v/>
      </c>
      <c r="QG34" s="12">
        <f>IF(QF34&gt;0,ROUND(QF34*ReferralMix/(1-ReferralMix),0),0)</f>
        <v/>
      </c>
      <c r="QH34" s="12">
        <f>QF34+QG34</f>
        <v/>
      </c>
      <c r="QI34" s="12">
        <f>ROUND(QH34*(1-AnnualMix),0)</f>
        <v/>
      </c>
      <c r="QJ34" s="12">
        <f>QH34-QI34</f>
        <v/>
      </c>
      <c r="QK34" s="12">
        <f>ROUND(QI34*EssentialMix,0)</f>
        <v/>
      </c>
      <c r="QL34" s="12">
        <f>QI34-QK34</f>
        <v/>
      </c>
      <c r="QM34" s="12">
        <f>ROUND(QJ34*EssentialMix,0)</f>
        <v/>
      </c>
      <c r="QN34" s="12">
        <f>QJ34-QM34</f>
        <v/>
      </c>
      <c r="QO34" s="12">
        <f>QK34+QK33+QK32+MAX(0,QO33-QK33-QK32)*(1-QD34)</f>
        <v/>
      </c>
      <c r="QP34" s="12">
        <f>QL34+QL33+QL32+MAX(0,QP33-QL33-QL32)*(1-QD34)</f>
        <v/>
      </c>
      <c r="QQ34" s="12">
        <f>QQ33+QM34-QM22*(AnnualChurn*VLOOKUP(PZ34,ChurnSeasonTable,4,FALSE))*POWER(1-(AnnualChurn*VLOOKUP(PZ34,ChurnSeasonTable,4,FALSE)),0)+QM10*(AnnualChurn*VLOOKUP(PZ34,ChurnSeasonTable,4,FALSE))*POWER(1-(AnnualChurn*VLOOKUP(PZ34,ChurnSeasonTable,4,FALSE)),1)</f>
        <v/>
      </c>
      <c r="QR34" s="12">
        <f>QR33+QN34-QN22*(AnnualChurn*VLOOKUP(PZ34,ChurnSeasonTable,4,FALSE))*POWER(1-(AnnualChurn*VLOOKUP(PZ34,ChurnSeasonTable,4,FALSE)),0)+QN10*(AnnualChurn*VLOOKUP(PZ34,ChurnSeasonTable,4,FALSE))*POWER(1-(AnnualChurn*VLOOKUP(PZ34,ChurnSeasonTable,4,FALSE)),1)</f>
        <v/>
      </c>
      <c r="QS34" s="12">
        <f>QO34+QP34+QQ34+QR34</f>
        <v/>
      </c>
      <c r="QT34" s="9">
        <f>QO34*PriceEssMonthly*QC34+QP34*PricePremMonthly*QC34+QQ34*PriceEssAnnual*QC34/12+QR34*PricePremAnnual*QC34/12</f>
        <v/>
      </c>
      <c r="QU34" s="9">
        <f>QT34*12</f>
        <v/>
      </c>
      <c r="QV34" s="12">
        <f>QO34*PriceEssMonthly*QC34+QP34*PricePremMonthly*QC34</f>
        <v/>
      </c>
      <c r="QW34" s="12">
        <f>QM34*PriceEssAnnual*QC34+QN34*PricePremAnnual*QC34</f>
        <v/>
      </c>
      <c r="QX34" s="12">
        <f>QM22*POWER(1-(AnnualChurn*VLOOKUP(PZ34,ChurnSeasonTable,4,FALSE)),1)*PriceEssAnnual*QC34+QM10*POWER(1-(AnnualChurn*VLOOKUP(PZ34,ChurnSeasonTable,4,FALSE)),2)*PriceEssAnnual*QC34+QN22*POWER(1-(AnnualChurn*VLOOKUP(PZ34,ChurnSeasonTable,4,FALSE)),1)*PricePremAnnual*QC34+QN10*POWER(1-(AnnualChurn*VLOOKUP(PZ34,ChurnSeasonTable,4,FALSE)),2)*PricePremAnnual*QC34</f>
        <v/>
      </c>
      <c r="QY34" s="9">
        <f>QV34+QW34+QX34</f>
        <v/>
      </c>
      <c r="QZ34" s="12">
        <f>SUM(QY23:QY34)</f>
        <v/>
      </c>
      <c r="RA34" s="12">
        <f>OR(RA33,QZ34&gt;=VATThreshold)</f>
        <v/>
      </c>
      <c r="RB34" s="9">
        <f>IF(RA34,QY34/(1+VATRate),QY34)</f>
        <v/>
      </c>
      <c r="RC34" s="12">
        <f>QY34-RB34</f>
        <v/>
      </c>
      <c r="RD34" s="12">
        <f>IF(RA34=0,0,IF(PZ34=1,SUMPRODUCT(--(($QA$5:$QA34=$QA34-1)*($PZ$5:$PZ34&gt;=10)*($PZ$5:$PZ34&lt;=12)),$RC$5:$RC34),IF(PZ34=4,SUMPRODUCT(--(($QA$5:$QA34=$QA34)*($PZ$5:$PZ34&gt;=1)*($PZ$5:$PZ34&lt;=3)),$RC$5:$RC34),IF(PZ34=7,SUMPRODUCT(--(($QA$5:$QA34=$QA34)*($PZ$5:$PZ34&gt;=4)*($PZ$5:$PZ34&lt;=6)),$RC$5:$RC34),IF(PZ34=10,SUMPRODUCT(--(($QA$5:$QA34=$QA34)*($PZ$5:$PZ34&gt;=7)*($PZ$5:$PZ34&lt;=9)),$RC$5:$RC34),0)))))</f>
        <v/>
      </c>
      <c r="RE34" s="12">
        <f>RE33+RC34-RD34</f>
        <v/>
      </c>
      <c r="RF34" s="12">
        <f>IF(ProviderDelay&gt;=1,RB33*ProviderShare,RB34*ProviderShare)</f>
        <v/>
      </c>
      <c r="RG34" s="12">
        <f>QY34*PaymentFee</f>
        <v/>
      </c>
      <c r="RH34" s="12">
        <f>QS34*OpsAI</f>
        <v/>
      </c>
      <c r="RI34" s="12">
        <f>MonthlyFixed</f>
        <v/>
      </c>
      <c r="RJ34" s="12">
        <f>QG34*ReferralReward</f>
        <v/>
      </c>
      <c r="RK34" s="12">
        <f>QE34</f>
        <v/>
      </c>
      <c r="RL34" s="9">
        <f>RB34-RF34-RG34-RH34-RI34-RJ34-RK34</f>
        <v/>
      </c>
      <c r="RM34" s="9">
        <f>RM33+QY34-(RF34+RG34+RH34+RI34+RJ34+RK34+RD34)</f>
        <v/>
      </c>
      <c r="RN34" s="12">
        <f>IF(QS34&gt;0,QT34/QS34,0)</f>
        <v/>
      </c>
      <c r="RO34" s="11">
        <f>IF(QS33&gt;0,MAX(0,(QS33+QH34-QS34)/QS33),0)</f>
        <v/>
      </c>
      <c r="RQ34" s="12" t="n">
        <v>30</v>
      </c>
      <c r="RR34" s="12">
        <f>MOD(RQ34-1+LaunchMonth-1,12)+1</f>
        <v/>
      </c>
      <c r="RS34" s="12">
        <f>INT((RQ34-1+LaunchMonth-1)/12)+1</f>
        <v/>
      </c>
      <c r="RT34" s="12">
        <f>VLOOKUP(RR34,SeasonTable,2,FALSE)</f>
        <v/>
      </c>
      <c r="RU34" s="12">
        <f>(1+InflationRate)^INT((RQ34-1)/12)</f>
        <v/>
      </c>
      <c r="RV34" s="11">
        <f>'Sens - Churn'!$A$21*VLOOKUP(RR34,ChurnSeasonTable,4,FALSE)</f>
        <v/>
      </c>
      <c r="RW34" s="12">
        <f>MIN(MAX(MktMin19plus,SQ33*MktPct19plus),MAX(0,TE33-CashBuffer))</f>
        <v/>
      </c>
      <c r="RX34" s="12">
        <f>IF(RW34&gt;0,MAX(1,ROUND(RW34/CAC*RT34,0)),0)</f>
        <v/>
      </c>
      <c r="RY34" s="12">
        <f>IF(RX34&gt;0,ROUND(RX34*ReferralMix/(1-ReferralMix),0),0)</f>
        <v/>
      </c>
      <c r="RZ34" s="12">
        <f>RX34+RY34</f>
        <v/>
      </c>
      <c r="SA34" s="12">
        <f>ROUND(RZ34*(1-AnnualMix),0)</f>
        <v/>
      </c>
      <c r="SB34" s="12">
        <f>RZ34-SA34</f>
        <v/>
      </c>
      <c r="SC34" s="12">
        <f>ROUND(SA34*EssentialMix,0)</f>
        <v/>
      </c>
      <c r="SD34" s="12">
        <f>SA34-SC34</f>
        <v/>
      </c>
      <c r="SE34" s="12">
        <f>ROUND(SB34*EssentialMix,0)</f>
        <v/>
      </c>
      <c r="SF34" s="12">
        <f>SB34-SE34</f>
        <v/>
      </c>
      <c r="SG34" s="12">
        <f>SC34+SC33+SC32+MAX(0,SG33-SC33-SC32)*(1-RV34)</f>
        <v/>
      </c>
      <c r="SH34" s="12">
        <f>SD34+SD33+SD32+MAX(0,SH33-SD33-SD32)*(1-RV34)</f>
        <v/>
      </c>
      <c r="SI34" s="12">
        <f>SI33+SE34-SE22*(AnnualChurn*VLOOKUP(RR34,ChurnSeasonTable,4,FALSE))*POWER(1-(AnnualChurn*VLOOKUP(RR34,ChurnSeasonTable,4,FALSE)),0)+SE10*(AnnualChurn*VLOOKUP(RR34,ChurnSeasonTable,4,FALSE))*POWER(1-(AnnualChurn*VLOOKUP(RR34,ChurnSeasonTable,4,FALSE)),1)</f>
        <v/>
      </c>
      <c r="SJ34" s="12">
        <f>SJ33+SF34-SF22*(AnnualChurn*VLOOKUP(RR34,ChurnSeasonTable,4,FALSE))*POWER(1-(AnnualChurn*VLOOKUP(RR34,ChurnSeasonTable,4,FALSE)),0)+SF10*(AnnualChurn*VLOOKUP(RR34,ChurnSeasonTable,4,FALSE))*POWER(1-(AnnualChurn*VLOOKUP(RR34,ChurnSeasonTable,4,FALSE)),1)</f>
        <v/>
      </c>
      <c r="SK34" s="12">
        <f>SG34+SH34+SI34+SJ34</f>
        <v/>
      </c>
      <c r="SL34" s="9">
        <f>SG34*PriceEssMonthly*RU34+SH34*PricePremMonthly*RU34+SI34*PriceEssAnnual*RU34/12+SJ34*PricePremAnnual*RU34/12</f>
        <v/>
      </c>
      <c r="SM34" s="9">
        <f>SL34*12</f>
        <v/>
      </c>
      <c r="SN34" s="12">
        <f>SG34*PriceEssMonthly*RU34+SH34*PricePremMonthly*RU34</f>
        <v/>
      </c>
      <c r="SO34" s="12">
        <f>SE34*PriceEssAnnual*RU34+SF34*PricePremAnnual*RU34</f>
        <v/>
      </c>
      <c r="SP34" s="12">
        <f>SE22*POWER(1-(AnnualChurn*VLOOKUP(RR34,ChurnSeasonTable,4,FALSE)),1)*PriceEssAnnual*RU34+SE10*POWER(1-(AnnualChurn*VLOOKUP(RR34,ChurnSeasonTable,4,FALSE)),2)*PriceEssAnnual*RU34+SF22*POWER(1-(AnnualChurn*VLOOKUP(RR34,ChurnSeasonTable,4,FALSE)),1)*PricePremAnnual*RU34+SF10*POWER(1-(AnnualChurn*VLOOKUP(RR34,ChurnSeasonTable,4,FALSE)),2)*PricePremAnnual*RU34</f>
        <v/>
      </c>
      <c r="SQ34" s="9">
        <f>SN34+SO34+SP34</f>
        <v/>
      </c>
      <c r="SR34" s="12">
        <f>SUM(SQ23:SQ34)</f>
        <v/>
      </c>
      <c r="SS34" s="12">
        <f>OR(SS33,SR34&gt;=VATThreshold)</f>
        <v/>
      </c>
      <c r="ST34" s="9">
        <f>IF(SS34,SQ34/(1+VATRate),SQ34)</f>
        <v/>
      </c>
      <c r="SU34" s="12">
        <f>SQ34-ST34</f>
        <v/>
      </c>
      <c r="SV34" s="12">
        <f>IF(SS34=0,0,IF(RR34=1,SUMPRODUCT(--(($RS$5:$RS34=$RS34-1)*($RR$5:$RR34&gt;=10)*($RR$5:$RR34&lt;=12)),$SU$5:$SU34),IF(RR34=4,SUMPRODUCT(--(($RS$5:$RS34=$RS34)*($RR$5:$RR34&gt;=1)*($RR$5:$RR34&lt;=3)),$SU$5:$SU34),IF(RR34=7,SUMPRODUCT(--(($RS$5:$RS34=$RS34)*($RR$5:$RR34&gt;=4)*($RR$5:$RR34&lt;=6)),$SU$5:$SU34),IF(RR34=10,SUMPRODUCT(--(($RS$5:$RS34=$RS34)*($RR$5:$RR34&gt;=7)*($RR$5:$RR34&lt;=9)),$SU$5:$SU34),0)))))</f>
        <v/>
      </c>
      <c r="SW34" s="12">
        <f>SW33+SU34-SV34</f>
        <v/>
      </c>
      <c r="SX34" s="12">
        <f>IF(ProviderDelay&gt;=1,ST33*ProviderShare,ST34*ProviderShare)</f>
        <v/>
      </c>
      <c r="SY34" s="12">
        <f>SQ34*PaymentFee</f>
        <v/>
      </c>
      <c r="SZ34" s="12">
        <f>SK34*OpsAI</f>
        <v/>
      </c>
      <c r="TA34" s="12">
        <f>MonthlyFixed</f>
        <v/>
      </c>
      <c r="TB34" s="12">
        <f>RY34*ReferralReward</f>
        <v/>
      </c>
      <c r="TC34" s="12">
        <f>RW34</f>
        <v/>
      </c>
      <c r="TD34" s="9">
        <f>ST34-SX34-SY34-SZ34-TA34-TB34-TC34</f>
        <v/>
      </c>
      <c r="TE34" s="9">
        <f>TE33+SQ34-(SX34+SY34+SZ34+TA34+TB34+TC34+SV34)</f>
        <v/>
      </c>
      <c r="TF34" s="12">
        <f>IF(SK34&gt;0,SL34/SK34,0)</f>
        <v/>
      </c>
      <c r="TG34" s="11">
        <f>IF(SK33&gt;0,MAX(0,(SK33+RZ34-SK34)/SK33),0)</f>
        <v/>
      </c>
      <c r="TI34" s="12" t="n">
        <v>30</v>
      </c>
      <c r="TJ34" s="12">
        <f>MOD(TI34-1+LaunchMonth-1,12)+1</f>
        <v/>
      </c>
      <c r="TK34" s="12">
        <f>INT((TI34-1+LaunchMonth-1)/12)+1</f>
        <v/>
      </c>
      <c r="TL34" s="12">
        <f>VLOOKUP(TJ34,SeasonTable,2,FALSE)</f>
        <v/>
      </c>
      <c r="TM34" s="12">
        <f>(1+InflationRate)^INT((TI34-1)/12)</f>
        <v/>
      </c>
      <c r="TN34" s="11">
        <f>MonthlyChurn*VLOOKUP(TJ34,ChurnSeasonTable,4,FALSE)</f>
        <v/>
      </c>
      <c r="TO34" s="12">
        <f>MIN(MAX(MktMin19plus,UI33*MktPct19plus),MAX(0,UW33-CashBuffer))</f>
        <v/>
      </c>
      <c r="TP34" s="12">
        <f>IF(TO34&gt;0,MAX(1,ROUND(TO34/CAC*TL34,0)),0)</f>
        <v/>
      </c>
      <c r="TQ34" s="12">
        <f>IF(TP34&gt;0,ROUND(TP34*ReferralMix/(1-ReferralMix),0),0)</f>
        <v/>
      </c>
      <c r="TR34" s="12">
        <f>TP34+TQ34</f>
        <v/>
      </c>
      <c r="TS34" s="12">
        <f>ROUND(TR34*(1-'Sens - Annual Mix'!$A$9),0)</f>
        <v/>
      </c>
      <c r="TT34" s="12">
        <f>TR34-TS34</f>
        <v/>
      </c>
      <c r="TU34" s="12">
        <f>ROUND(TS34*EssentialMix,0)</f>
        <v/>
      </c>
      <c r="TV34" s="12">
        <f>TS34-TU34</f>
        <v/>
      </c>
      <c r="TW34" s="12">
        <f>ROUND(TT34*EssentialMix,0)</f>
        <v/>
      </c>
      <c r="TX34" s="12">
        <f>TT34-TW34</f>
        <v/>
      </c>
      <c r="TY34" s="12">
        <f>TU34+TU33+TU32+MAX(0,TY33-TU33-TU32)*(1-TN34)</f>
        <v/>
      </c>
      <c r="TZ34" s="12">
        <f>TV34+TV33+TV32+MAX(0,TZ33-TV33-TV32)*(1-TN34)</f>
        <v/>
      </c>
      <c r="UA34" s="12">
        <f>UA33+TW34-TW22*(AnnualChurn*VLOOKUP(TJ34,ChurnSeasonTable,4,FALSE))*POWER(1-(AnnualChurn*VLOOKUP(TJ34,ChurnSeasonTable,4,FALSE)),0)+TW10*(AnnualChurn*VLOOKUP(TJ34,ChurnSeasonTable,4,FALSE))*POWER(1-(AnnualChurn*VLOOKUP(TJ34,ChurnSeasonTable,4,FALSE)),1)</f>
        <v/>
      </c>
      <c r="UB34" s="12">
        <f>UB33+TX34-TX22*(AnnualChurn*VLOOKUP(TJ34,ChurnSeasonTable,4,FALSE))*POWER(1-(AnnualChurn*VLOOKUP(TJ34,ChurnSeasonTable,4,FALSE)),0)+TX10*(AnnualChurn*VLOOKUP(TJ34,ChurnSeasonTable,4,FALSE))*POWER(1-(AnnualChurn*VLOOKUP(TJ34,ChurnSeasonTable,4,FALSE)),1)</f>
        <v/>
      </c>
      <c r="UC34" s="12">
        <f>TY34+TZ34+UA34+UB34</f>
        <v/>
      </c>
      <c r="UD34" s="9">
        <f>TY34*PriceEssMonthly*TM34+TZ34*PricePremMonthly*TM34+UA34*PriceEssAnnual*TM34/12+UB34*PricePremAnnual*TM34/12</f>
        <v/>
      </c>
      <c r="UE34" s="9">
        <f>UD34*12</f>
        <v/>
      </c>
      <c r="UF34" s="12">
        <f>TY34*PriceEssMonthly*TM34+TZ34*PricePremMonthly*TM34</f>
        <v/>
      </c>
      <c r="UG34" s="12">
        <f>TW34*PriceEssAnnual*TM34+TX34*PricePremAnnual*TM34</f>
        <v/>
      </c>
      <c r="UH34" s="12">
        <f>TW22*POWER(1-(AnnualChurn*VLOOKUP(TJ34,ChurnSeasonTable,4,FALSE)),1)*PriceEssAnnual*TM34+TW10*POWER(1-(AnnualChurn*VLOOKUP(TJ34,ChurnSeasonTable,4,FALSE)),2)*PriceEssAnnual*TM34+TX22*POWER(1-(AnnualChurn*VLOOKUP(TJ34,ChurnSeasonTable,4,FALSE)),1)*PricePremAnnual*TM34+TX10*POWER(1-(AnnualChurn*VLOOKUP(TJ34,ChurnSeasonTable,4,FALSE)),2)*PricePremAnnual*TM34</f>
        <v/>
      </c>
      <c r="UI34" s="9">
        <f>UF34+UG34+UH34</f>
        <v/>
      </c>
      <c r="UJ34" s="12">
        <f>SUM(UI23:UI34)</f>
        <v/>
      </c>
      <c r="UK34" s="12">
        <f>OR(UK33,UJ34&gt;=VATThreshold)</f>
        <v/>
      </c>
      <c r="UL34" s="9">
        <f>IF(UK34,UI34/(1+VATRate),UI34)</f>
        <v/>
      </c>
      <c r="UM34" s="12">
        <f>UI34-UL34</f>
        <v/>
      </c>
      <c r="UN34" s="12">
        <f>IF(UK34=0,0,IF(TJ34=1,SUMPRODUCT(--(($TK$5:$TK34=$TK34-1)*($TJ$5:$TJ34&gt;=10)*($TJ$5:$TJ34&lt;=12)),$UM$5:$UM34),IF(TJ34=4,SUMPRODUCT(--(($TK$5:$TK34=$TK34)*($TJ$5:$TJ34&gt;=1)*($TJ$5:$TJ34&lt;=3)),$UM$5:$UM34),IF(TJ34=7,SUMPRODUCT(--(($TK$5:$TK34=$TK34)*($TJ$5:$TJ34&gt;=4)*($TJ$5:$TJ34&lt;=6)),$UM$5:$UM34),IF(TJ34=10,SUMPRODUCT(--(($TK$5:$TK34=$TK34)*($TJ$5:$TJ34&gt;=7)*($TJ$5:$TJ34&lt;=9)),$UM$5:$UM34),0)))))</f>
        <v/>
      </c>
      <c r="UO34" s="12">
        <f>UO33+UM34-UN34</f>
        <v/>
      </c>
      <c r="UP34" s="12">
        <f>IF(ProviderDelay&gt;=1,UL33*ProviderShare,UL34*ProviderShare)</f>
        <v/>
      </c>
      <c r="UQ34" s="12">
        <f>UI34*PaymentFee</f>
        <v/>
      </c>
      <c r="UR34" s="12">
        <f>UC34*OpsAI</f>
        <v/>
      </c>
      <c r="US34" s="12">
        <f>MonthlyFixed</f>
        <v/>
      </c>
      <c r="UT34" s="12">
        <f>TQ34*ReferralReward</f>
        <v/>
      </c>
      <c r="UU34" s="12">
        <f>TO34</f>
        <v/>
      </c>
      <c r="UV34" s="9">
        <f>UL34-UP34-UQ34-UR34-US34-UT34-UU34</f>
        <v/>
      </c>
      <c r="UW34" s="9">
        <f>UW33+UI34-(UP34+UQ34+UR34+US34+UT34+UU34+UN34)</f>
        <v/>
      </c>
      <c r="UX34" s="12">
        <f>IF(UC34&gt;0,UD34/UC34,0)</f>
        <v/>
      </c>
      <c r="UY34" s="11">
        <f>IF(UC33&gt;0,MAX(0,(UC33+TR34-UC34)/UC33),0)</f>
        <v/>
      </c>
      <c r="VA34" s="12" t="n">
        <v>30</v>
      </c>
      <c r="VB34" s="12">
        <f>MOD(VA34-1+LaunchMonth-1,12)+1</f>
        <v/>
      </c>
      <c r="VC34" s="12">
        <f>INT((VA34-1+LaunchMonth-1)/12)+1</f>
        <v/>
      </c>
      <c r="VD34" s="12">
        <f>VLOOKUP(VB34,SeasonTable,2,FALSE)</f>
        <v/>
      </c>
      <c r="VE34" s="12">
        <f>(1+InflationRate)^INT((VA34-1)/12)</f>
        <v/>
      </c>
      <c r="VF34" s="11">
        <f>MonthlyChurn*VLOOKUP(VB34,ChurnSeasonTable,4,FALSE)</f>
        <v/>
      </c>
      <c r="VG34" s="12">
        <f>MIN(MAX(MktMin19plus,WA33*MktPct19plus),MAX(0,WO33-CashBuffer))</f>
        <v/>
      </c>
      <c r="VH34" s="12">
        <f>IF(VG34&gt;0,MAX(1,ROUND(VG34/CAC*VD34,0)),0)</f>
        <v/>
      </c>
      <c r="VI34" s="12">
        <f>IF(VH34&gt;0,ROUND(VH34*ReferralMix/(1-ReferralMix),0),0)</f>
        <v/>
      </c>
      <c r="VJ34" s="12">
        <f>VH34+VI34</f>
        <v/>
      </c>
      <c r="VK34" s="12">
        <f>ROUND(VJ34*(1-'Sens - Annual Mix'!$A$10),0)</f>
        <v/>
      </c>
      <c r="VL34" s="12">
        <f>VJ34-VK34</f>
        <v/>
      </c>
      <c r="VM34" s="12">
        <f>ROUND(VK34*EssentialMix,0)</f>
        <v/>
      </c>
      <c r="VN34" s="12">
        <f>VK34-VM34</f>
        <v/>
      </c>
      <c r="VO34" s="12">
        <f>ROUND(VL34*EssentialMix,0)</f>
        <v/>
      </c>
      <c r="VP34" s="12">
        <f>VL34-VO34</f>
        <v/>
      </c>
      <c r="VQ34" s="12">
        <f>VM34+VM33+VM32+MAX(0,VQ33-VM33-VM32)*(1-VF34)</f>
        <v/>
      </c>
      <c r="VR34" s="12">
        <f>VN34+VN33+VN32+MAX(0,VR33-VN33-VN32)*(1-VF34)</f>
        <v/>
      </c>
      <c r="VS34" s="12">
        <f>VS33+VO34-VO22*(AnnualChurn*VLOOKUP(VB34,ChurnSeasonTable,4,FALSE))*POWER(1-(AnnualChurn*VLOOKUP(VB34,ChurnSeasonTable,4,FALSE)),0)+VO10*(AnnualChurn*VLOOKUP(VB34,ChurnSeasonTable,4,FALSE))*POWER(1-(AnnualChurn*VLOOKUP(VB34,ChurnSeasonTable,4,FALSE)),1)</f>
        <v/>
      </c>
      <c r="VT34" s="12">
        <f>VT33+VP34-VP22*(AnnualChurn*VLOOKUP(VB34,ChurnSeasonTable,4,FALSE))*POWER(1-(AnnualChurn*VLOOKUP(VB34,ChurnSeasonTable,4,FALSE)),0)+VP10*(AnnualChurn*VLOOKUP(VB34,ChurnSeasonTable,4,FALSE))*POWER(1-(AnnualChurn*VLOOKUP(VB34,ChurnSeasonTable,4,FALSE)),1)</f>
        <v/>
      </c>
      <c r="VU34" s="12">
        <f>VQ34+VR34+VS34+VT34</f>
        <v/>
      </c>
      <c r="VV34" s="9">
        <f>VQ34*PriceEssMonthly*VE34+VR34*PricePremMonthly*VE34+VS34*PriceEssAnnual*VE34/12+VT34*PricePremAnnual*VE34/12</f>
        <v/>
      </c>
      <c r="VW34" s="9">
        <f>VV34*12</f>
        <v/>
      </c>
      <c r="VX34" s="12">
        <f>VQ34*PriceEssMonthly*VE34+VR34*PricePremMonthly*VE34</f>
        <v/>
      </c>
      <c r="VY34" s="12">
        <f>VO34*PriceEssAnnual*VE34+VP34*PricePremAnnual*VE34</f>
        <v/>
      </c>
      <c r="VZ34" s="12">
        <f>VO22*POWER(1-(AnnualChurn*VLOOKUP(VB34,ChurnSeasonTable,4,FALSE)),1)*PriceEssAnnual*VE34+VO10*POWER(1-(AnnualChurn*VLOOKUP(VB34,ChurnSeasonTable,4,FALSE)),2)*PriceEssAnnual*VE34+VP22*POWER(1-(AnnualChurn*VLOOKUP(VB34,ChurnSeasonTable,4,FALSE)),1)*PricePremAnnual*VE34+VP10*POWER(1-(AnnualChurn*VLOOKUP(VB34,ChurnSeasonTable,4,FALSE)),2)*PricePremAnnual*VE34</f>
        <v/>
      </c>
      <c r="WA34" s="9">
        <f>VX34+VY34+VZ34</f>
        <v/>
      </c>
      <c r="WB34" s="12">
        <f>SUM(WA23:WA34)</f>
        <v/>
      </c>
      <c r="WC34" s="12">
        <f>OR(WC33,WB34&gt;=VATThreshold)</f>
        <v/>
      </c>
      <c r="WD34" s="9">
        <f>IF(WC34,WA34/(1+VATRate),WA34)</f>
        <v/>
      </c>
      <c r="WE34" s="12">
        <f>WA34-WD34</f>
        <v/>
      </c>
      <c r="WF34" s="12">
        <f>IF(WC34=0,0,IF(VB34=1,SUMPRODUCT(--(($VC$5:$VC34=$VC34-1)*($VB$5:$VB34&gt;=10)*($VB$5:$VB34&lt;=12)),$WE$5:$WE34),IF(VB34=4,SUMPRODUCT(--(($VC$5:$VC34=$VC34)*($VB$5:$VB34&gt;=1)*($VB$5:$VB34&lt;=3)),$WE$5:$WE34),IF(VB34=7,SUMPRODUCT(--(($VC$5:$VC34=$VC34)*($VB$5:$VB34&gt;=4)*($VB$5:$VB34&lt;=6)),$WE$5:$WE34),IF(VB34=10,SUMPRODUCT(--(($VC$5:$VC34=$VC34)*($VB$5:$VB34&gt;=7)*($VB$5:$VB34&lt;=9)),$WE$5:$WE34),0)))))</f>
        <v/>
      </c>
      <c r="WG34" s="12">
        <f>WG33+WE34-WF34</f>
        <v/>
      </c>
      <c r="WH34" s="12">
        <f>IF(ProviderDelay&gt;=1,WD33*ProviderShare,WD34*ProviderShare)</f>
        <v/>
      </c>
      <c r="WI34" s="12">
        <f>WA34*PaymentFee</f>
        <v/>
      </c>
      <c r="WJ34" s="12">
        <f>VU34*OpsAI</f>
        <v/>
      </c>
      <c r="WK34" s="12">
        <f>MonthlyFixed</f>
        <v/>
      </c>
      <c r="WL34" s="12">
        <f>VI34*ReferralReward</f>
        <v/>
      </c>
      <c r="WM34" s="12">
        <f>VG34</f>
        <v/>
      </c>
      <c r="WN34" s="9">
        <f>WD34-WH34-WI34-WJ34-WK34-WL34-WM34</f>
        <v/>
      </c>
      <c r="WO34" s="9">
        <f>WO33+WA34-(WH34+WI34+WJ34+WK34+WL34+WM34+WF34)</f>
        <v/>
      </c>
      <c r="WP34" s="12">
        <f>IF(VU34&gt;0,VV34/VU34,0)</f>
        <v/>
      </c>
      <c r="WQ34" s="11">
        <f>IF(VU33&gt;0,MAX(0,(VU33+VJ34-VU34)/VU33),0)</f>
        <v/>
      </c>
      <c r="WS34" s="12" t="n">
        <v>30</v>
      </c>
      <c r="WT34" s="12">
        <f>MOD(WS34-1+LaunchMonth-1,12)+1</f>
        <v/>
      </c>
      <c r="WU34" s="12">
        <f>INT((WS34-1+LaunchMonth-1)/12)+1</f>
        <v/>
      </c>
      <c r="WV34" s="12">
        <f>VLOOKUP(WT34,SeasonTable,2,FALSE)</f>
        <v/>
      </c>
      <c r="WW34" s="12">
        <f>(1+InflationRate)^INT((WS34-1)/12)</f>
        <v/>
      </c>
      <c r="WX34" s="11">
        <f>MonthlyChurn*VLOOKUP(WT34,ChurnSeasonTable,4,FALSE)</f>
        <v/>
      </c>
      <c r="WY34" s="12">
        <f>MIN(MAX(MktMin19plus,XS33*MktPct19plus),MAX(0,YG33-CashBuffer))</f>
        <v/>
      </c>
      <c r="WZ34" s="12">
        <f>IF(WY34&gt;0,MAX(1,ROUND(WY34/CAC*WV34,0)),0)</f>
        <v/>
      </c>
      <c r="XA34" s="12">
        <f>IF(WZ34&gt;0,ROUND(WZ34*ReferralMix/(1-ReferralMix),0),0)</f>
        <v/>
      </c>
      <c r="XB34" s="12">
        <f>WZ34+XA34</f>
        <v/>
      </c>
      <c r="XC34" s="12">
        <f>ROUND(XB34*(1-'Sens - Annual Mix'!$A$11),0)</f>
        <v/>
      </c>
      <c r="XD34" s="12">
        <f>XB34-XC34</f>
        <v/>
      </c>
      <c r="XE34" s="12">
        <f>ROUND(XC34*EssentialMix,0)</f>
        <v/>
      </c>
      <c r="XF34" s="12">
        <f>XC34-XE34</f>
        <v/>
      </c>
      <c r="XG34" s="12">
        <f>ROUND(XD34*EssentialMix,0)</f>
        <v/>
      </c>
      <c r="XH34" s="12">
        <f>XD34-XG34</f>
        <v/>
      </c>
      <c r="XI34" s="12">
        <f>XE34+XE33+XE32+MAX(0,XI33-XE33-XE32)*(1-WX34)</f>
        <v/>
      </c>
      <c r="XJ34" s="12">
        <f>XF34+XF33+XF32+MAX(0,XJ33-XF33-XF32)*(1-WX34)</f>
        <v/>
      </c>
      <c r="XK34" s="12">
        <f>XK33+XG34-XG22*(AnnualChurn*VLOOKUP(WT34,ChurnSeasonTable,4,FALSE))*POWER(1-(AnnualChurn*VLOOKUP(WT34,ChurnSeasonTable,4,FALSE)),0)+XG10*(AnnualChurn*VLOOKUP(WT34,ChurnSeasonTable,4,FALSE))*POWER(1-(AnnualChurn*VLOOKUP(WT34,ChurnSeasonTable,4,FALSE)),1)</f>
        <v/>
      </c>
      <c r="XL34" s="12">
        <f>XL33+XH34-XH22*(AnnualChurn*VLOOKUP(WT34,ChurnSeasonTable,4,FALSE))*POWER(1-(AnnualChurn*VLOOKUP(WT34,ChurnSeasonTable,4,FALSE)),0)+XH10*(AnnualChurn*VLOOKUP(WT34,ChurnSeasonTable,4,FALSE))*POWER(1-(AnnualChurn*VLOOKUP(WT34,ChurnSeasonTable,4,FALSE)),1)</f>
        <v/>
      </c>
      <c r="XM34" s="12">
        <f>XI34+XJ34+XK34+XL34</f>
        <v/>
      </c>
      <c r="XN34" s="9">
        <f>XI34*PriceEssMonthly*WW34+XJ34*PricePremMonthly*WW34+XK34*PriceEssAnnual*WW34/12+XL34*PricePremAnnual*WW34/12</f>
        <v/>
      </c>
      <c r="XO34" s="9">
        <f>XN34*12</f>
        <v/>
      </c>
      <c r="XP34" s="12">
        <f>XI34*PriceEssMonthly*WW34+XJ34*PricePremMonthly*WW34</f>
        <v/>
      </c>
      <c r="XQ34" s="12">
        <f>XG34*PriceEssAnnual*WW34+XH34*PricePremAnnual*WW34</f>
        <v/>
      </c>
      <c r="XR34" s="12">
        <f>XG22*POWER(1-(AnnualChurn*VLOOKUP(WT34,ChurnSeasonTable,4,FALSE)),1)*PriceEssAnnual*WW34+XG10*POWER(1-(AnnualChurn*VLOOKUP(WT34,ChurnSeasonTable,4,FALSE)),2)*PriceEssAnnual*WW34+XH22*POWER(1-(AnnualChurn*VLOOKUP(WT34,ChurnSeasonTable,4,FALSE)),1)*PricePremAnnual*WW34+XH10*POWER(1-(AnnualChurn*VLOOKUP(WT34,ChurnSeasonTable,4,FALSE)),2)*PricePremAnnual*WW34</f>
        <v/>
      </c>
      <c r="XS34" s="9">
        <f>XP34+XQ34+XR34</f>
        <v/>
      </c>
      <c r="XT34" s="12">
        <f>SUM(XS23:XS34)</f>
        <v/>
      </c>
      <c r="XU34" s="12">
        <f>OR(XU33,XT34&gt;=VATThreshold)</f>
        <v/>
      </c>
      <c r="XV34" s="9">
        <f>IF(XU34,XS34/(1+VATRate),XS34)</f>
        <v/>
      </c>
      <c r="XW34" s="12">
        <f>XS34-XV34</f>
        <v/>
      </c>
      <c r="XX34" s="12">
        <f>IF(XU34=0,0,IF(WT34=1,SUMPRODUCT(--(($WU$5:$WU34=$WU34-1)*($WT$5:$WT34&gt;=10)*($WT$5:$WT34&lt;=12)),$XW$5:$XW34),IF(WT34=4,SUMPRODUCT(--(($WU$5:$WU34=$WU34)*($WT$5:$WT34&gt;=1)*($WT$5:$WT34&lt;=3)),$XW$5:$XW34),IF(WT34=7,SUMPRODUCT(--(($WU$5:$WU34=$WU34)*($WT$5:$WT34&gt;=4)*($WT$5:$WT34&lt;=6)),$XW$5:$XW34),IF(WT34=10,SUMPRODUCT(--(($WU$5:$WU34=$WU34)*($WT$5:$WT34&gt;=7)*($WT$5:$WT34&lt;=9)),$XW$5:$XW34),0)))))</f>
        <v/>
      </c>
      <c r="XY34" s="12">
        <f>XY33+XW34-XX34</f>
        <v/>
      </c>
      <c r="XZ34" s="12">
        <f>IF(ProviderDelay&gt;=1,XV33*ProviderShare,XV34*ProviderShare)</f>
        <v/>
      </c>
      <c r="YA34" s="12">
        <f>XS34*PaymentFee</f>
        <v/>
      </c>
      <c r="YB34" s="12">
        <f>XM34*OpsAI</f>
        <v/>
      </c>
      <c r="YC34" s="12">
        <f>MonthlyFixed</f>
        <v/>
      </c>
      <c r="YD34" s="12">
        <f>XA34*ReferralReward</f>
        <v/>
      </c>
      <c r="YE34" s="12">
        <f>WY34</f>
        <v/>
      </c>
      <c r="YF34" s="9">
        <f>XV34-XZ34-YA34-YB34-YC34-YD34-YE34</f>
        <v/>
      </c>
      <c r="YG34" s="9">
        <f>YG33+XS34-(XZ34+YA34+YB34+YC34+YD34+YE34+XX34)</f>
        <v/>
      </c>
      <c r="YH34" s="12">
        <f>IF(XM34&gt;0,XN34/XM34,0)</f>
        <v/>
      </c>
      <c r="YI34" s="11">
        <f>IF(XM33&gt;0,MAX(0,(XM33+XB34-XM34)/XM33),0)</f>
        <v/>
      </c>
      <c r="YK34" s="12" t="n">
        <v>30</v>
      </c>
      <c r="YL34" s="12">
        <f>MOD(YK34-1+LaunchMonth-1,12)+1</f>
        <v/>
      </c>
      <c r="YM34" s="12">
        <f>INT((YK34-1+LaunchMonth-1)/12)+1</f>
        <v/>
      </c>
      <c r="YN34" s="12">
        <f>VLOOKUP(YL34,SeasonTable,2,FALSE)</f>
        <v/>
      </c>
      <c r="YO34" s="12">
        <f>(1+InflationRate)^INT((YK34-1)/12)</f>
        <v/>
      </c>
      <c r="YP34" s="11">
        <f>MonthlyChurn*VLOOKUP(YL34,ChurnSeasonTable,4,FALSE)</f>
        <v/>
      </c>
      <c r="YQ34" s="12">
        <f>MIN(MAX(MktMin19plus,ZK33*MktPct19plus),MAX(0,ZY33-CashBuffer))</f>
        <v/>
      </c>
      <c r="YR34" s="12">
        <f>IF(YQ34&gt;0,MAX(1,ROUND(YQ34/CAC*YN34,0)),0)</f>
        <v/>
      </c>
      <c r="YS34" s="12">
        <f>IF(YR34&gt;0,ROUND(YR34*ReferralMix/(1-ReferralMix),0),0)</f>
        <v/>
      </c>
      <c r="YT34" s="12">
        <f>YR34+YS34</f>
        <v/>
      </c>
      <c r="YU34" s="12">
        <f>ROUND(YT34*(1-'Sens - Annual Mix'!$A$12),0)</f>
        <v/>
      </c>
      <c r="YV34" s="12">
        <f>YT34-YU34</f>
        <v/>
      </c>
      <c r="YW34" s="12">
        <f>ROUND(YU34*EssentialMix,0)</f>
        <v/>
      </c>
      <c r="YX34" s="12">
        <f>YU34-YW34</f>
        <v/>
      </c>
      <c r="YY34" s="12">
        <f>ROUND(YV34*EssentialMix,0)</f>
        <v/>
      </c>
      <c r="YZ34" s="12">
        <f>YV34-YY34</f>
        <v/>
      </c>
      <c r="ZA34" s="12">
        <f>YW34+YW33+YW32+MAX(0,ZA33-YW33-YW32)*(1-YP34)</f>
        <v/>
      </c>
      <c r="ZB34" s="12">
        <f>YX34+YX33+YX32+MAX(0,ZB33-YX33-YX32)*(1-YP34)</f>
        <v/>
      </c>
      <c r="ZC34" s="12">
        <f>ZC33+YY34-YY22*(AnnualChurn*VLOOKUP(YL34,ChurnSeasonTable,4,FALSE))*POWER(1-(AnnualChurn*VLOOKUP(YL34,ChurnSeasonTable,4,FALSE)),0)+YY10*(AnnualChurn*VLOOKUP(YL34,ChurnSeasonTable,4,FALSE))*POWER(1-(AnnualChurn*VLOOKUP(YL34,ChurnSeasonTable,4,FALSE)),1)</f>
        <v/>
      </c>
      <c r="ZD34" s="12">
        <f>ZD33+YZ34-YZ22*(AnnualChurn*VLOOKUP(YL34,ChurnSeasonTable,4,FALSE))*POWER(1-(AnnualChurn*VLOOKUP(YL34,ChurnSeasonTable,4,FALSE)),0)+YZ10*(AnnualChurn*VLOOKUP(YL34,ChurnSeasonTable,4,FALSE))*POWER(1-(AnnualChurn*VLOOKUP(YL34,ChurnSeasonTable,4,FALSE)),1)</f>
        <v/>
      </c>
      <c r="ZE34" s="12">
        <f>ZA34+ZB34+ZC34+ZD34</f>
        <v/>
      </c>
      <c r="ZF34" s="9">
        <f>ZA34*PriceEssMonthly*YO34+ZB34*PricePremMonthly*YO34+ZC34*PriceEssAnnual*YO34/12+ZD34*PricePremAnnual*YO34/12</f>
        <v/>
      </c>
      <c r="ZG34" s="9">
        <f>ZF34*12</f>
        <v/>
      </c>
      <c r="ZH34" s="12">
        <f>ZA34*PriceEssMonthly*YO34+ZB34*PricePremMonthly*YO34</f>
        <v/>
      </c>
      <c r="ZI34" s="12">
        <f>YY34*PriceEssAnnual*YO34+YZ34*PricePremAnnual*YO34</f>
        <v/>
      </c>
      <c r="ZJ34" s="12">
        <f>YY22*POWER(1-(AnnualChurn*VLOOKUP(YL34,ChurnSeasonTable,4,FALSE)),1)*PriceEssAnnual*YO34+YY10*POWER(1-(AnnualChurn*VLOOKUP(YL34,ChurnSeasonTable,4,FALSE)),2)*PriceEssAnnual*YO34+YZ22*POWER(1-(AnnualChurn*VLOOKUP(YL34,ChurnSeasonTable,4,FALSE)),1)*PricePremAnnual*YO34+YZ10*POWER(1-(AnnualChurn*VLOOKUP(YL34,ChurnSeasonTable,4,FALSE)),2)*PricePremAnnual*YO34</f>
        <v/>
      </c>
      <c r="ZK34" s="9">
        <f>ZH34+ZI34+ZJ34</f>
        <v/>
      </c>
      <c r="ZL34" s="12">
        <f>SUM(ZK23:ZK34)</f>
        <v/>
      </c>
      <c r="ZM34" s="12">
        <f>OR(ZM33,ZL34&gt;=VATThreshold)</f>
        <v/>
      </c>
      <c r="ZN34" s="9">
        <f>IF(ZM34,ZK34/(1+VATRate),ZK34)</f>
        <v/>
      </c>
      <c r="ZO34" s="12">
        <f>ZK34-ZN34</f>
        <v/>
      </c>
      <c r="ZP34" s="12">
        <f>IF(ZM34=0,0,IF(YL34=1,SUMPRODUCT(--(($YM$5:$YM34=$YM34-1)*($YL$5:$YL34&gt;=10)*($YL$5:$YL34&lt;=12)),$ZO$5:$ZO34),IF(YL34=4,SUMPRODUCT(--(($YM$5:$YM34=$YM34)*($YL$5:$YL34&gt;=1)*($YL$5:$YL34&lt;=3)),$ZO$5:$ZO34),IF(YL34=7,SUMPRODUCT(--(($YM$5:$YM34=$YM34)*($YL$5:$YL34&gt;=4)*($YL$5:$YL34&lt;=6)),$ZO$5:$ZO34),IF(YL34=10,SUMPRODUCT(--(($YM$5:$YM34=$YM34)*($YL$5:$YL34&gt;=7)*($YL$5:$YL34&lt;=9)),$ZO$5:$ZO34),0)))))</f>
        <v/>
      </c>
      <c r="ZQ34" s="12">
        <f>ZQ33+ZO34-ZP34</f>
        <v/>
      </c>
      <c r="ZR34" s="12">
        <f>IF(ProviderDelay&gt;=1,ZN33*ProviderShare,ZN34*ProviderShare)</f>
        <v/>
      </c>
      <c r="ZS34" s="12">
        <f>ZK34*PaymentFee</f>
        <v/>
      </c>
      <c r="ZT34" s="12">
        <f>ZE34*OpsAI</f>
        <v/>
      </c>
      <c r="ZU34" s="12">
        <f>MonthlyFixed</f>
        <v/>
      </c>
      <c r="ZV34" s="12">
        <f>YS34*ReferralReward</f>
        <v/>
      </c>
      <c r="ZW34" s="12">
        <f>YQ34</f>
        <v/>
      </c>
      <c r="ZX34" s="9">
        <f>ZN34-ZR34-ZS34-ZT34-ZU34-ZV34-ZW34</f>
        <v/>
      </c>
      <c r="ZY34" s="9">
        <f>ZY33+ZK34-(ZR34+ZS34+ZT34+ZU34+ZV34+ZW34+ZP34)</f>
        <v/>
      </c>
      <c r="ZZ34" s="12">
        <f>IF(ZE34&gt;0,ZF34/ZE34,0)</f>
        <v/>
      </c>
      <c r="AAA34" s="11">
        <f>IF(ZE33&gt;0,MAX(0,(ZE33+YT34-ZE34)/ZE33),0)</f>
        <v/>
      </c>
      <c r="AAC34" s="12" t="n">
        <v>30</v>
      </c>
      <c r="AAD34" s="12">
        <f>MOD(AAC34-1+LaunchMonth-1,12)+1</f>
        <v/>
      </c>
      <c r="AAE34" s="12">
        <f>INT((AAC34-1+LaunchMonth-1)/12)+1</f>
        <v/>
      </c>
      <c r="AAF34" s="12">
        <f>VLOOKUP(AAD34,SeasonTable,2,FALSE)</f>
        <v/>
      </c>
      <c r="AAG34" s="12">
        <f>(1+InflationRate)^INT((AAC34-1)/12)</f>
        <v/>
      </c>
      <c r="AAH34" s="11">
        <f>MonthlyChurn*VLOOKUP(AAD34,ChurnSeasonTable,4,FALSE)</f>
        <v/>
      </c>
      <c r="AAI34" s="12">
        <f>MIN(MAX(MktMin19plus,ABC33*MktPct19plus),MAX(0,ABQ33-CashBuffer))</f>
        <v/>
      </c>
      <c r="AAJ34" s="12">
        <f>IF(AAI34&gt;0,MAX(1,ROUND(AAI34/CAC*AAF34,0)),0)</f>
        <v/>
      </c>
      <c r="AAK34" s="12">
        <f>IF(AAJ34&gt;0,ROUND(AAJ34*ReferralMix/(1-ReferralMix),0),0)</f>
        <v/>
      </c>
      <c r="AAL34" s="12">
        <f>AAJ34+AAK34</f>
        <v/>
      </c>
      <c r="AAM34" s="12">
        <f>ROUND(AAL34*(1-'Sens - Annual Mix'!$A$13),0)</f>
        <v/>
      </c>
      <c r="AAN34" s="12">
        <f>AAL34-AAM34</f>
        <v/>
      </c>
      <c r="AAO34" s="12">
        <f>ROUND(AAM34*EssentialMix,0)</f>
        <v/>
      </c>
      <c r="AAP34" s="12">
        <f>AAM34-AAO34</f>
        <v/>
      </c>
      <c r="AAQ34" s="12">
        <f>ROUND(AAN34*EssentialMix,0)</f>
        <v/>
      </c>
      <c r="AAR34" s="12">
        <f>AAN34-AAQ34</f>
        <v/>
      </c>
      <c r="AAS34" s="12">
        <f>AAO34+AAO33+AAO32+MAX(0,AAS33-AAO33-AAO32)*(1-AAH34)</f>
        <v/>
      </c>
      <c r="AAT34" s="12">
        <f>AAP34+AAP33+AAP32+MAX(0,AAT33-AAP33-AAP32)*(1-AAH34)</f>
        <v/>
      </c>
      <c r="AAU34" s="12">
        <f>AAU33+AAQ34-AAQ22*(AnnualChurn*VLOOKUP(AAD34,ChurnSeasonTable,4,FALSE))*POWER(1-(AnnualChurn*VLOOKUP(AAD34,ChurnSeasonTable,4,FALSE)),0)+AAQ10*(AnnualChurn*VLOOKUP(AAD34,ChurnSeasonTable,4,FALSE))*POWER(1-(AnnualChurn*VLOOKUP(AAD34,ChurnSeasonTable,4,FALSE)),1)</f>
        <v/>
      </c>
      <c r="AAV34" s="12">
        <f>AAV33+AAR34-AAR22*(AnnualChurn*VLOOKUP(AAD34,ChurnSeasonTable,4,FALSE))*POWER(1-(AnnualChurn*VLOOKUP(AAD34,ChurnSeasonTable,4,FALSE)),0)+AAR10*(AnnualChurn*VLOOKUP(AAD34,ChurnSeasonTable,4,FALSE))*POWER(1-(AnnualChurn*VLOOKUP(AAD34,ChurnSeasonTable,4,FALSE)),1)</f>
        <v/>
      </c>
      <c r="AAW34" s="12">
        <f>AAS34+AAT34+AAU34+AAV34</f>
        <v/>
      </c>
      <c r="AAX34" s="9">
        <f>AAS34*PriceEssMonthly*AAG34+AAT34*PricePremMonthly*AAG34+AAU34*PriceEssAnnual*AAG34/12+AAV34*PricePremAnnual*AAG34/12</f>
        <v/>
      </c>
      <c r="AAY34" s="9">
        <f>AAX34*12</f>
        <v/>
      </c>
      <c r="AAZ34" s="12">
        <f>AAS34*PriceEssMonthly*AAG34+AAT34*PricePremMonthly*AAG34</f>
        <v/>
      </c>
      <c r="ABA34" s="12">
        <f>AAQ34*PriceEssAnnual*AAG34+AAR34*PricePremAnnual*AAG34</f>
        <v/>
      </c>
      <c r="ABB34" s="12">
        <f>AAQ22*POWER(1-(AnnualChurn*VLOOKUP(AAD34,ChurnSeasonTable,4,FALSE)),1)*PriceEssAnnual*AAG34+AAQ10*POWER(1-(AnnualChurn*VLOOKUP(AAD34,ChurnSeasonTable,4,FALSE)),2)*PriceEssAnnual*AAG34+AAR22*POWER(1-(AnnualChurn*VLOOKUP(AAD34,ChurnSeasonTable,4,FALSE)),1)*PricePremAnnual*AAG34+AAR10*POWER(1-(AnnualChurn*VLOOKUP(AAD34,ChurnSeasonTable,4,FALSE)),2)*PricePremAnnual*AAG34</f>
        <v/>
      </c>
      <c r="ABC34" s="9">
        <f>AAZ34+ABA34+ABB34</f>
        <v/>
      </c>
      <c r="ABD34" s="12">
        <f>SUM(ABC23:ABC34)</f>
        <v/>
      </c>
      <c r="ABE34" s="12">
        <f>OR(ABE33,ABD34&gt;=VATThreshold)</f>
        <v/>
      </c>
      <c r="ABF34" s="9">
        <f>IF(ABE34,ABC34/(1+VATRate),ABC34)</f>
        <v/>
      </c>
      <c r="ABG34" s="12">
        <f>ABC34-ABF34</f>
        <v/>
      </c>
      <c r="ABH34" s="12">
        <f>IF(ABE34=0,0,IF(AAD34=1,SUMPRODUCT(--(($AAE$5:$AAE34=$AAE34-1)*($AAD$5:$AAD34&gt;=10)*($AAD$5:$AAD34&lt;=12)),$ABG$5:$ABG34),IF(AAD34=4,SUMPRODUCT(--(($AAE$5:$AAE34=$AAE34)*($AAD$5:$AAD34&gt;=1)*($AAD$5:$AAD34&lt;=3)),$ABG$5:$ABG34),IF(AAD34=7,SUMPRODUCT(--(($AAE$5:$AAE34=$AAE34)*($AAD$5:$AAD34&gt;=4)*($AAD$5:$AAD34&lt;=6)),$ABG$5:$ABG34),IF(AAD34=10,SUMPRODUCT(--(($AAE$5:$AAE34=$AAE34)*($AAD$5:$AAD34&gt;=7)*($AAD$5:$AAD34&lt;=9)),$ABG$5:$ABG34),0)))))</f>
        <v/>
      </c>
      <c r="ABI34" s="12">
        <f>ABI33+ABG34-ABH34</f>
        <v/>
      </c>
      <c r="ABJ34" s="12">
        <f>IF(ProviderDelay&gt;=1,ABF33*ProviderShare,ABF34*ProviderShare)</f>
        <v/>
      </c>
      <c r="ABK34" s="12">
        <f>ABC34*PaymentFee</f>
        <v/>
      </c>
      <c r="ABL34" s="12">
        <f>AAW34*OpsAI</f>
        <v/>
      </c>
      <c r="ABM34" s="12">
        <f>MonthlyFixed</f>
        <v/>
      </c>
      <c r="ABN34" s="12">
        <f>AAK34*ReferralReward</f>
        <v/>
      </c>
      <c r="ABO34" s="12">
        <f>AAI34</f>
        <v/>
      </c>
      <c r="ABP34" s="9">
        <f>ABF34-ABJ34-ABK34-ABL34-ABM34-ABN34-ABO34</f>
        <v/>
      </c>
      <c r="ABQ34" s="9">
        <f>ABQ33+ABC34-(ABJ34+ABK34+ABL34+ABM34+ABN34+ABO34+ABH34)</f>
        <v/>
      </c>
      <c r="ABR34" s="12">
        <f>IF(AAW34&gt;0,AAX34/AAW34,0)</f>
        <v/>
      </c>
      <c r="ABS34" s="11">
        <f>IF(AAW33&gt;0,MAX(0,(AAW33+AAL34-AAW34)/AAW33),0)</f>
        <v/>
      </c>
      <c r="ABU34" s="12" t="n">
        <v>30</v>
      </c>
      <c r="ABV34" s="12">
        <f>MOD(ABU34-1+LaunchMonth-1,12)+1</f>
        <v/>
      </c>
      <c r="ABW34" s="12">
        <f>INT((ABU34-1+LaunchMonth-1)/12)+1</f>
        <v/>
      </c>
      <c r="ABX34" s="12">
        <f>VLOOKUP(ABV34,SeasonTable,2,FALSE)</f>
        <v/>
      </c>
      <c r="ABY34" s="12">
        <f>(1+InflationRate)^INT((ABU34-1)/12)</f>
        <v/>
      </c>
      <c r="ABZ34" s="11">
        <f>MonthlyChurn*VLOOKUP(ABV34,ChurnSeasonTable,4,FALSE)</f>
        <v/>
      </c>
      <c r="ACA34" s="12">
        <f>MIN(MAX(MktMin19plus,ACU33*MktPct19plus),MAX(0,ADI33-CashBuffer))</f>
        <v/>
      </c>
      <c r="ACB34" s="12">
        <f>IF(ACA34&gt;0,MAX(1,ROUND(ACA34/CAC*ABX34,0)),0)</f>
        <v/>
      </c>
      <c r="ACC34" s="12">
        <f>IF(ACB34&gt;0,ROUND(ACB34*ReferralMix/(1-ReferralMix),0),0)</f>
        <v/>
      </c>
      <c r="ACD34" s="12">
        <f>ACB34+ACC34</f>
        <v/>
      </c>
      <c r="ACE34" s="12">
        <f>ROUND(ACD34*(1-'Sens - Annual Mix'!$A$14),0)</f>
        <v/>
      </c>
      <c r="ACF34" s="12">
        <f>ACD34-ACE34</f>
        <v/>
      </c>
      <c r="ACG34" s="12">
        <f>ROUND(ACE34*EssentialMix,0)</f>
        <v/>
      </c>
      <c r="ACH34" s="12">
        <f>ACE34-ACG34</f>
        <v/>
      </c>
      <c r="ACI34" s="12">
        <f>ROUND(ACF34*EssentialMix,0)</f>
        <v/>
      </c>
      <c r="ACJ34" s="12">
        <f>ACF34-ACI34</f>
        <v/>
      </c>
      <c r="ACK34" s="12">
        <f>ACG34+ACG33+ACG32+MAX(0,ACK33-ACG33-ACG32)*(1-ABZ34)</f>
        <v/>
      </c>
      <c r="ACL34" s="12">
        <f>ACH34+ACH33+ACH32+MAX(0,ACL33-ACH33-ACH32)*(1-ABZ34)</f>
        <v/>
      </c>
      <c r="ACM34" s="12">
        <f>ACM33+ACI34-ACI22*(AnnualChurn*VLOOKUP(ABV34,ChurnSeasonTable,4,FALSE))*POWER(1-(AnnualChurn*VLOOKUP(ABV34,ChurnSeasonTable,4,FALSE)),0)+ACI10*(AnnualChurn*VLOOKUP(ABV34,ChurnSeasonTable,4,FALSE))*POWER(1-(AnnualChurn*VLOOKUP(ABV34,ChurnSeasonTable,4,FALSE)),1)</f>
        <v/>
      </c>
      <c r="ACN34" s="12">
        <f>ACN33+ACJ34-ACJ22*(AnnualChurn*VLOOKUP(ABV34,ChurnSeasonTable,4,FALSE))*POWER(1-(AnnualChurn*VLOOKUP(ABV34,ChurnSeasonTable,4,FALSE)),0)+ACJ10*(AnnualChurn*VLOOKUP(ABV34,ChurnSeasonTable,4,FALSE))*POWER(1-(AnnualChurn*VLOOKUP(ABV34,ChurnSeasonTable,4,FALSE)),1)</f>
        <v/>
      </c>
      <c r="ACO34" s="12">
        <f>ACK34+ACL34+ACM34+ACN34</f>
        <v/>
      </c>
      <c r="ACP34" s="9">
        <f>ACK34*PriceEssMonthly*ABY34+ACL34*PricePremMonthly*ABY34+ACM34*PriceEssAnnual*ABY34/12+ACN34*PricePremAnnual*ABY34/12</f>
        <v/>
      </c>
      <c r="ACQ34" s="9">
        <f>ACP34*12</f>
        <v/>
      </c>
      <c r="ACR34" s="12">
        <f>ACK34*PriceEssMonthly*ABY34+ACL34*PricePremMonthly*ABY34</f>
        <v/>
      </c>
      <c r="ACS34" s="12">
        <f>ACI34*PriceEssAnnual*ABY34+ACJ34*PricePremAnnual*ABY34</f>
        <v/>
      </c>
      <c r="ACT34" s="12">
        <f>ACI22*POWER(1-(AnnualChurn*VLOOKUP(ABV34,ChurnSeasonTable,4,FALSE)),1)*PriceEssAnnual*ABY34+ACI10*POWER(1-(AnnualChurn*VLOOKUP(ABV34,ChurnSeasonTable,4,FALSE)),2)*PriceEssAnnual*ABY34+ACJ22*POWER(1-(AnnualChurn*VLOOKUP(ABV34,ChurnSeasonTable,4,FALSE)),1)*PricePremAnnual*ABY34+ACJ10*POWER(1-(AnnualChurn*VLOOKUP(ABV34,ChurnSeasonTable,4,FALSE)),2)*PricePremAnnual*ABY34</f>
        <v/>
      </c>
      <c r="ACU34" s="9">
        <f>ACR34+ACS34+ACT34</f>
        <v/>
      </c>
      <c r="ACV34" s="12">
        <f>SUM(ACU23:ACU34)</f>
        <v/>
      </c>
      <c r="ACW34" s="12">
        <f>OR(ACW33,ACV34&gt;=VATThreshold)</f>
        <v/>
      </c>
      <c r="ACX34" s="9">
        <f>IF(ACW34,ACU34/(1+VATRate),ACU34)</f>
        <v/>
      </c>
      <c r="ACY34" s="12">
        <f>ACU34-ACX34</f>
        <v/>
      </c>
      <c r="ACZ34" s="12">
        <f>IF(ACW34=0,0,IF(ABV34=1,SUMPRODUCT(--(($ABW$5:$ABW34=$ABW34-1)*($ABV$5:$ABV34&gt;=10)*($ABV$5:$ABV34&lt;=12)),$ACY$5:$ACY34),IF(ABV34=4,SUMPRODUCT(--(($ABW$5:$ABW34=$ABW34)*($ABV$5:$ABV34&gt;=1)*($ABV$5:$ABV34&lt;=3)),$ACY$5:$ACY34),IF(ABV34=7,SUMPRODUCT(--(($ABW$5:$ABW34=$ABW34)*($ABV$5:$ABV34&gt;=4)*($ABV$5:$ABV34&lt;=6)),$ACY$5:$ACY34),IF(ABV34=10,SUMPRODUCT(--(($ABW$5:$ABW34=$ABW34)*($ABV$5:$ABV34&gt;=7)*($ABV$5:$ABV34&lt;=9)),$ACY$5:$ACY34),0)))))</f>
        <v/>
      </c>
      <c r="ADA34" s="12">
        <f>ADA33+ACY34-ACZ34</f>
        <v/>
      </c>
      <c r="ADB34" s="12">
        <f>IF(ProviderDelay&gt;=1,ACX33*ProviderShare,ACX34*ProviderShare)</f>
        <v/>
      </c>
      <c r="ADC34" s="12">
        <f>ACU34*PaymentFee</f>
        <v/>
      </c>
      <c r="ADD34" s="12">
        <f>ACO34*OpsAI</f>
        <v/>
      </c>
      <c r="ADE34" s="12">
        <f>MonthlyFixed</f>
        <v/>
      </c>
      <c r="ADF34" s="12">
        <f>ACC34*ReferralReward</f>
        <v/>
      </c>
      <c r="ADG34" s="12">
        <f>ACA34</f>
        <v/>
      </c>
      <c r="ADH34" s="9">
        <f>ACX34-ADB34-ADC34-ADD34-ADE34-ADF34-ADG34</f>
        <v/>
      </c>
      <c r="ADI34" s="9">
        <f>ADI33+ACU34-(ADB34+ADC34+ADD34+ADE34+ADF34+ADG34+ACZ34)</f>
        <v/>
      </c>
      <c r="ADJ34" s="12">
        <f>IF(ACO34&gt;0,ACP34/ACO34,0)</f>
        <v/>
      </c>
      <c r="ADK34" s="11">
        <f>IF(ACO33&gt;0,MAX(0,(ACO33+ACD34-ACO34)/ACO33),0)</f>
        <v/>
      </c>
      <c r="ADM34" s="12" t="n">
        <v>30</v>
      </c>
      <c r="ADN34" s="12">
        <f>MOD(ADM34-1+LaunchMonth-1,12)+1</f>
        <v/>
      </c>
      <c r="ADO34" s="12">
        <f>INT((ADM34-1+LaunchMonth-1)/12)+1</f>
        <v/>
      </c>
      <c r="ADP34" s="12">
        <f>VLOOKUP(ADN34,SeasonTable,2,FALSE)</f>
        <v/>
      </c>
      <c r="ADQ34" s="12">
        <f>(1+InflationRate)^INT((ADM34-1)/12)</f>
        <v/>
      </c>
      <c r="ADR34" s="11">
        <f>MonthlyChurn*VLOOKUP(ADN34,ChurnSeasonTable,4,FALSE)</f>
        <v/>
      </c>
      <c r="ADS34" s="12">
        <f>MIN(MAX(MktMin19plus,AEM33*MktPct19plus),MAX(0,AFA33-CashBuffer))</f>
        <v/>
      </c>
      <c r="ADT34" s="12">
        <f>IF(ADS34&gt;0,MAX(1,ROUND(ADS34/CAC*ADP34,0)),0)</f>
        <v/>
      </c>
      <c r="ADU34" s="12">
        <f>IF(ADT34&gt;0,ROUND(ADT34*ReferralMix/(1-ReferralMix),0),0)</f>
        <v/>
      </c>
      <c r="ADV34" s="12">
        <f>ADT34+ADU34</f>
        <v/>
      </c>
      <c r="ADW34" s="12">
        <f>ROUND(ADV34*(1-'Sens - Annual Mix'!$A$15),0)</f>
        <v/>
      </c>
      <c r="ADX34" s="12">
        <f>ADV34-ADW34</f>
        <v/>
      </c>
      <c r="ADY34" s="12">
        <f>ROUND(ADW34*EssentialMix,0)</f>
        <v/>
      </c>
      <c r="ADZ34" s="12">
        <f>ADW34-ADY34</f>
        <v/>
      </c>
      <c r="AEA34" s="12">
        <f>ROUND(ADX34*EssentialMix,0)</f>
        <v/>
      </c>
      <c r="AEB34" s="12">
        <f>ADX34-AEA34</f>
        <v/>
      </c>
      <c r="AEC34" s="12">
        <f>ADY34+ADY33+ADY32+MAX(0,AEC33-ADY33-ADY32)*(1-ADR34)</f>
        <v/>
      </c>
      <c r="AED34" s="12">
        <f>ADZ34+ADZ33+ADZ32+MAX(0,AED33-ADZ33-ADZ32)*(1-ADR34)</f>
        <v/>
      </c>
      <c r="AEE34" s="12">
        <f>AEE33+AEA34-AEA22*(AnnualChurn*VLOOKUP(ADN34,ChurnSeasonTable,4,FALSE))*POWER(1-(AnnualChurn*VLOOKUP(ADN34,ChurnSeasonTable,4,FALSE)),0)+AEA10*(AnnualChurn*VLOOKUP(ADN34,ChurnSeasonTable,4,FALSE))*POWER(1-(AnnualChurn*VLOOKUP(ADN34,ChurnSeasonTable,4,FALSE)),1)</f>
        <v/>
      </c>
      <c r="AEF34" s="12">
        <f>AEF33+AEB34-AEB22*(AnnualChurn*VLOOKUP(ADN34,ChurnSeasonTable,4,FALSE))*POWER(1-(AnnualChurn*VLOOKUP(ADN34,ChurnSeasonTable,4,FALSE)),0)+AEB10*(AnnualChurn*VLOOKUP(ADN34,ChurnSeasonTable,4,FALSE))*POWER(1-(AnnualChurn*VLOOKUP(ADN34,ChurnSeasonTable,4,FALSE)),1)</f>
        <v/>
      </c>
      <c r="AEG34" s="12">
        <f>AEC34+AED34+AEE34+AEF34</f>
        <v/>
      </c>
      <c r="AEH34" s="9">
        <f>AEC34*PriceEssMonthly*ADQ34+AED34*PricePremMonthly*ADQ34+AEE34*PriceEssAnnual*ADQ34/12+AEF34*PricePremAnnual*ADQ34/12</f>
        <v/>
      </c>
      <c r="AEI34" s="9">
        <f>AEH34*12</f>
        <v/>
      </c>
      <c r="AEJ34" s="12">
        <f>AEC34*PriceEssMonthly*ADQ34+AED34*PricePremMonthly*ADQ34</f>
        <v/>
      </c>
      <c r="AEK34" s="12">
        <f>AEA34*PriceEssAnnual*ADQ34+AEB34*PricePremAnnual*ADQ34</f>
        <v/>
      </c>
      <c r="AEL34" s="12">
        <f>AEA22*POWER(1-(AnnualChurn*VLOOKUP(ADN34,ChurnSeasonTable,4,FALSE)),1)*PriceEssAnnual*ADQ34+AEA10*POWER(1-(AnnualChurn*VLOOKUP(ADN34,ChurnSeasonTable,4,FALSE)),2)*PriceEssAnnual*ADQ34+AEB22*POWER(1-(AnnualChurn*VLOOKUP(ADN34,ChurnSeasonTable,4,FALSE)),1)*PricePremAnnual*ADQ34+AEB10*POWER(1-(AnnualChurn*VLOOKUP(ADN34,ChurnSeasonTable,4,FALSE)),2)*PricePremAnnual*ADQ34</f>
        <v/>
      </c>
      <c r="AEM34" s="9">
        <f>AEJ34+AEK34+AEL34</f>
        <v/>
      </c>
      <c r="AEN34" s="12">
        <f>SUM(AEM23:AEM34)</f>
        <v/>
      </c>
      <c r="AEO34" s="12">
        <f>OR(AEO33,AEN34&gt;=VATThreshold)</f>
        <v/>
      </c>
      <c r="AEP34" s="9">
        <f>IF(AEO34,AEM34/(1+VATRate),AEM34)</f>
        <v/>
      </c>
      <c r="AEQ34" s="12">
        <f>AEM34-AEP34</f>
        <v/>
      </c>
      <c r="AER34" s="12">
        <f>IF(AEO34=0,0,IF(ADN34=1,SUMPRODUCT(--(($ADO$5:$ADO34=$ADO34-1)*($ADN$5:$ADN34&gt;=10)*($ADN$5:$ADN34&lt;=12)),$AEQ$5:$AEQ34),IF(ADN34=4,SUMPRODUCT(--(($ADO$5:$ADO34=$ADO34)*($ADN$5:$ADN34&gt;=1)*($ADN$5:$ADN34&lt;=3)),$AEQ$5:$AEQ34),IF(ADN34=7,SUMPRODUCT(--(($ADO$5:$ADO34=$ADO34)*($ADN$5:$ADN34&gt;=4)*($ADN$5:$ADN34&lt;=6)),$AEQ$5:$AEQ34),IF(ADN34=10,SUMPRODUCT(--(($ADO$5:$ADO34=$ADO34)*($ADN$5:$ADN34&gt;=7)*($ADN$5:$ADN34&lt;=9)),$AEQ$5:$AEQ34),0)))))</f>
        <v/>
      </c>
      <c r="AES34" s="12">
        <f>AES33+AEQ34-AER34</f>
        <v/>
      </c>
      <c r="AET34" s="12">
        <f>IF(ProviderDelay&gt;=1,AEP33*ProviderShare,AEP34*ProviderShare)</f>
        <v/>
      </c>
      <c r="AEU34" s="12">
        <f>AEM34*PaymentFee</f>
        <v/>
      </c>
      <c r="AEV34" s="12">
        <f>AEG34*OpsAI</f>
        <v/>
      </c>
      <c r="AEW34" s="12">
        <f>MonthlyFixed</f>
        <v/>
      </c>
      <c r="AEX34" s="12">
        <f>ADU34*ReferralReward</f>
        <v/>
      </c>
      <c r="AEY34" s="12">
        <f>ADS34</f>
        <v/>
      </c>
      <c r="AEZ34" s="9">
        <f>AEP34-AET34-AEU34-AEV34-AEW34-AEX34-AEY34</f>
        <v/>
      </c>
      <c r="AFA34" s="9">
        <f>AFA33+AEM34-(AET34+AEU34+AEV34+AEW34+AEX34+AEY34+AER34)</f>
        <v/>
      </c>
      <c r="AFB34" s="12">
        <f>IF(AEG34&gt;0,AEH34/AEG34,0)</f>
        <v/>
      </c>
      <c r="AFC34" s="11">
        <f>IF(AEG33&gt;0,MAX(0,(AEG33+ADV34-AEG34)/AEG33),0)</f>
        <v/>
      </c>
      <c r="AFE34" s="12" t="n">
        <v>30</v>
      </c>
      <c r="AFF34" s="12">
        <f>MOD(AFE34-1+LaunchMonth-1,12)+1</f>
        <v/>
      </c>
      <c r="AFG34" s="12">
        <f>INT((AFE34-1+LaunchMonth-1)/12)+1</f>
        <v/>
      </c>
      <c r="AFH34" s="12">
        <f>VLOOKUP(AFF34,SeasonTable,2,FALSE)</f>
        <v/>
      </c>
      <c r="AFI34" s="12">
        <f>(1+InflationRate)^INT((AFE34-1)/12)</f>
        <v/>
      </c>
      <c r="AFJ34" s="11">
        <f>MonthlyChurn*VLOOKUP(AFF34,ChurnSeasonTable,4,FALSE)</f>
        <v/>
      </c>
      <c r="AFK34" s="12">
        <f>MIN(MAX(MktMin19plus,AGE33*MktPct19plus),MAX(0,AGS33-CashBuffer))</f>
        <v/>
      </c>
      <c r="AFL34" s="12">
        <f>IF(AFK34&gt;0,MAX(1,ROUND(AFK34/'Sens - CAC &amp; Marketing'!$A$9*AFH34,0)),0)</f>
        <v/>
      </c>
      <c r="AFM34" s="12">
        <f>IF(AFL34&gt;0,ROUND(AFL34*ReferralMix/(1-ReferralMix),0),0)</f>
        <v/>
      </c>
      <c r="AFN34" s="12">
        <f>AFL34+AFM34</f>
        <v/>
      </c>
      <c r="AFO34" s="12">
        <f>ROUND(AFN34*(1-AnnualMix),0)</f>
        <v/>
      </c>
      <c r="AFP34" s="12">
        <f>AFN34-AFO34</f>
        <v/>
      </c>
      <c r="AFQ34" s="12">
        <f>ROUND(AFO34*EssentialMix,0)</f>
        <v/>
      </c>
      <c r="AFR34" s="12">
        <f>AFO34-AFQ34</f>
        <v/>
      </c>
      <c r="AFS34" s="12">
        <f>ROUND(AFP34*EssentialMix,0)</f>
        <v/>
      </c>
      <c r="AFT34" s="12">
        <f>AFP34-AFS34</f>
        <v/>
      </c>
      <c r="AFU34" s="12">
        <f>AFQ34+AFQ33+AFQ32+MAX(0,AFU33-AFQ33-AFQ32)*(1-AFJ34)</f>
        <v/>
      </c>
      <c r="AFV34" s="12">
        <f>AFR34+AFR33+AFR32+MAX(0,AFV33-AFR33-AFR32)*(1-AFJ34)</f>
        <v/>
      </c>
      <c r="AFW34" s="12">
        <f>AFW33+AFS34-AFS22*(AnnualChurn*VLOOKUP(AFF34,ChurnSeasonTable,4,FALSE))*POWER(1-(AnnualChurn*VLOOKUP(AFF34,ChurnSeasonTable,4,FALSE)),0)+AFS10*(AnnualChurn*VLOOKUP(AFF34,ChurnSeasonTable,4,FALSE))*POWER(1-(AnnualChurn*VLOOKUP(AFF34,ChurnSeasonTable,4,FALSE)),1)</f>
        <v/>
      </c>
      <c r="AFX34" s="12">
        <f>AFX33+AFT34-AFT22*(AnnualChurn*VLOOKUP(AFF34,ChurnSeasonTable,4,FALSE))*POWER(1-(AnnualChurn*VLOOKUP(AFF34,ChurnSeasonTable,4,FALSE)),0)+AFT10*(AnnualChurn*VLOOKUP(AFF34,ChurnSeasonTable,4,FALSE))*POWER(1-(AnnualChurn*VLOOKUP(AFF34,ChurnSeasonTable,4,FALSE)),1)</f>
        <v/>
      </c>
      <c r="AFY34" s="12">
        <f>AFU34+AFV34+AFW34+AFX34</f>
        <v/>
      </c>
      <c r="AFZ34" s="9">
        <f>AFU34*PriceEssMonthly*AFI34+AFV34*PricePremMonthly*AFI34+AFW34*PriceEssAnnual*AFI34/12+AFX34*PricePremAnnual*AFI34/12</f>
        <v/>
      </c>
      <c r="AGA34" s="9">
        <f>AFZ34*12</f>
        <v/>
      </c>
      <c r="AGB34" s="12">
        <f>AFU34*PriceEssMonthly*AFI34+AFV34*PricePremMonthly*AFI34</f>
        <v/>
      </c>
      <c r="AGC34" s="12">
        <f>AFS34*PriceEssAnnual*AFI34+AFT34*PricePremAnnual*AFI34</f>
        <v/>
      </c>
      <c r="AGD34" s="12">
        <f>AFS22*POWER(1-(AnnualChurn*VLOOKUP(AFF34,ChurnSeasonTable,4,FALSE)),1)*PriceEssAnnual*AFI34+AFS10*POWER(1-(AnnualChurn*VLOOKUP(AFF34,ChurnSeasonTable,4,FALSE)),2)*PriceEssAnnual*AFI34+AFT22*POWER(1-(AnnualChurn*VLOOKUP(AFF34,ChurnSeasonTable,4,FALSE)),1)*PricePremAnnual*AFI34+AFT10*POWER(1-(AnnualChurn*VLOOKUP(AFF34,ChurnSeasonTable,4,FALSE)),2)*PricePremAnnual*AFI34</f>
        <v/>
      </c>
      <c r="AGE34" s="9">
        <f>AGB34+AGC34+AGD34</f>
        <v/>
      </c>
      <c r="AGF34" s="12">
        <f>SUM(AGE23:AGE34)</f>
        <v/>
      </c>
      <c r="AGG34" s="12">
        <f>OR(AGG33,AGF34&gt;=VATThreshold)</f>
        <v/>
      </c>
      <c r="AGH34" s="9">
        <f>IF(AGG34,AGE34/(1+VATRate),AGE34)</f>
        <v/>
      </c>
      <c r="AGI34" s="12">
        <f>AGE34-AGH34</f>
        <v/>
      </c>
      <c r="AGJ34" s="12">
        <f>IF(AGG34=0,0,IF(AFF34=1,SUMPRODUCT(--(($AFG$5:$AFG34=$AFG34-1)*($AFF$5:$AFF34&gt;=10)*($AFF$5:$AFF34&lt;=12)),$AGI$5:$AGI34),IF(AFF34=4,SUMPRODUCT(--(($AFG$5:$AFG34=$AFG34)*($AFF$5:$AFF34&gt;=1)*($AFF$5:$AFF34&lt;=3)),$AGI$5:$AGI34),IF(AFF34=7,SUMPRODUCT(--(($AFG$5:$AFG34=$AFG34)*($AFF$5:$AFF34&gt;=4)*($AFF$5:$AFF34&lt;=6)),$AGI$5:$AGI34),IF(AFF34=10,SUMPRODUCT(--(($AFG$5:$AFG34=$AFG34)*($AFF$5:$AFF34&gt;=7)*($AFF$5:$AFF34&lt;=9)),$AGI$5:$AGI34),0)))))</f>
        <v/>
      </c>
      <c r="AGK34" s="12">
        <f>AGK33+AGI34-AGJ34</f>
        <v/>
      </c>
      <c r="AGL34" s="12">
        <f>IF(ProviderDelay&gt;=1,AGH33*ProviderShare,AGH34*ProviderShare)</f>
        <v/>
      </c>
      <c r="AGM34" s="12">
        <f>AGE34*PaymentFee</f>
        <v/>
      </c>
      <c r="AGN34" s="12">
        <f>AFY34*OpsAI</f>
        <v/>
      </c>
      <c r="AGO34" s="12">
        <f>MonthlyFixed</f>
        <v/>
      </c>
      <c r="AGP34" s="12">
        <f>AFM34*ReferralReward</f>
        <v/>
      </c>
      <c r="AGQ34" s="12">
        <f>AFK34</f>
        <v/>
      </c>
      <c r="AGR34" s="9">
        <f>AGH34-AGL34-AGM34-AGN34-AGO34-AGP34-AGQ34</f>
        <v/>
      </c>
      <c r="AGS34" s="9">
        <f>AGS33+AGE34-(AGL34+AGM34+AGN34+AGO34+AGP34+AGQ34+AGJ34)</f>
        <v/>
      </c>
      <c r="AGT34" s="12">
        <f>IF(AFY34&gt;0,AFZ34/AFY34,0)</f>
        <v/>
      </c>
      <c r="AGU34" s="11">
        <f>IF(AFY33&gt;0,MAX(0,(AFY33+AFN34-AFY34)/AFY33),0)</f>
        <v/>
      </c>
      <c r="AGW34" s="12" t="n">
        <v>30</v>
      </c>
      <c r="AGX34" s="12">
        <f>MOD(AGW34-1+LaunchMonth-1,12)+1</f>
        <v/>
      </c>
      <c r="AGY34" s="12">
        <f>INT((AGW34-1+LaunchMonth-1)/12)+1</f>
        <v/>
      </c>
      <c r="AGZ34" s="12">
        <f>VLOOKUP(AGX34,SeasonTable,2,FALSE)</f>
        <v/>
      </c>
      <c r="AHA34" s="12">
        <f>(1+InflationRate)^INT((AGW34-1)/12)</f>
        <v/>
      </c>
      <c r="AHB34" s="11">
        <f>MonthlyChurn*VLOOKUP(AGX34,ChurnSeasonTable,4,FALSE)</f>
        <v/>
      </c>
      <c r="AHC34" s="12">
        <f>MIN(MAX(MktMin19plus,AHW33*MktPct19plus),MAX(0,AIK33-CashBuffer))</f>
        <v/>
      </c>
      <c r="AHD34" s="12">
        <f>IF(AHC34&gt;0,MAX(1,ROUND(AHC34/'Sens - CAC &amp; Marketing'!$A$10*AGZ34,0)),0)</f>
        <v/>
      </c>
      <c r="AHE34" s="12">
        <f>IF(AHD34&gt;0,ROUND(AHD34*ReferralMix/(1-ReferralMix),0),0)</f>
        <v/>
      </c>
      <c r="AHF34" s="12">
        <f>AHD34+AHE34</f>
        <v/>
      </c>
      <c r="AHG34" s="12">
        <f>ROUND(AHF34*(1-AnnualMix),0)</f>
        <v/>
      </c>
      <c r="AHH34" s="12">
        <f>AHF34-AHG34</f>
        <v/>
      </c>
      <c r="AHI34" s="12">
        <f>ROUND(AHG34*EssentialMix,0)</f>
        <v/>
      </c>
      <c r="AHJ34" s="12">
        <f>AHG34-AHI34</f>
        <v/>
      </c>
      <c r="AHK34" s="12">
        <f>ROUND(AHH34*EssentialMix,0)</f>
        <v/>
      </c>
      <c r="AHL34" s="12">
        <f>AHH34-AHK34</f>
        <v/>
      </c>
      <c r="AHM34" s="12">
        <f>AHI34+AHI33+AHI32+MAX(0,AHM33-AHI33-AHI32)*(1-AHB34)</f>
        <v/>
      </c>
      <c r="AHN34" s="12">
        <f>AHJ34+AHJ33+AHJ32+MAX(0,AHN33-AHJ33-AHJ32)*(1-AHB34)</f>
        <v/>
      </c>
      <c r="AHO34" s="12">
        <f>AHO33+AHK34-AHK22*(AnnualChurn*VLOOKUP(AGX34,ChurnSeasonTable,4,FALSE))*POWER(1-(AnnualChurn*VLOOKUP(AGX34,ChurnSeasonTable,4,FALSE)),0)+AHK10*(AnnualChurn*VLOOKUP(AGX34,ChurnSeasonTable,4,FALSE))*POWER(1-(AnnualChurn*VLOOKUP(AGX34,ChurnSeasonTable,4,FALSE)),1)</f>
        <v/>
      </c>
      <c r="AHP34" s="12">
        <f>AHP33+AHL34-AHL22*(AnnualChurn*VLOOKUP(AGX34,ChurnSeasonTable,4,FALSE))*POWER(1-(AnnualChurn*VLOOKUP(AGX34,ChurnSeasonTable,4,FALSE)),0)+AHL10*(AnnualChurn*VLOOKUP(AGX34,ChurnSeasonTable,4,FALSE))*POWER(1-(AnnualChurn*VLOOKUP(AGX34,ChurnSeasonTable,4,FALSE)),1)</f>
        <v/>
      </c>
      <c r="AHQ34" s="12">
        <f>AHM34+AHN34+AHO34+AHP34</f>
        <v/>
      </c>
      <c r="AHR34" s="9">
        <f>AHM34*PriceEssMonthly*AHA34+AHN34*PricePremMonthly*AHA34+AHO34*PriceEssAnnual*AHA34/12+AHP34*PricePremAnnual*AHA34/12</f>
        <v/>
      </c>
      <c r="AHS34" s="9">
        <f>AHR34*12</f>
        <v/>
      </c>
      <c r="AHT34" s="12">
        <f>AHM34*PriceEssMonthly*AHA34+AHN34*PricePremMonthly*AHA34</f>
        <v/>
      </c>
      <c r="AHU34" s="12">
        <f>AHK34*PriceEssAnnual*AHA34+AHL34*PricePremAnnual*AHA34</f>
        <v/>
      </c>
      <c r="AHV34" s="12">
        <f>AHK22*POWER(1-(AnnualChurn*VLOOKUP(AGX34,ChurnSeasonTable,4,FALSE)),1)*PriceEssAnnual*AHA34+AHK10*POWER(1-(AnnualChurn*VLOOKUP(AGX34,ChurnSeasonTable,4,FALSE)),2)*PriceEssAnnual*AHA34+AHL22*POWER(1-(AnnualChurn*VLOOKUP(AGX34,ChurnSeasonTable,4,FALSE)),1)*PricePremAnnual*AHA34+AHL10*POWER(1-(AnnualChurn*VLOOKUP(AGX34,ChurnSeasonTable,4,FALSE)),2)*PricePremAnnual*AHA34</f>
        <v/>
      </c>
      <c r="AHW34" s="9">
        <f>AHT34+AHU34+AHV34</f>
        <v/>
      </c>
      <c r="AHX34" s="12">
        <f>SUM(AHW23:AHW34)</f>
        <v/>
      </c>
      <c r="AHY34" s="12">
        <f>OR(AHY33,AHX34&gt;=VATThreshold)</f>
        <v/>
      </c>
      <c r="AHZ34" s="9">
        <f>IF(AHY34,AHW34/(1+VATRate),AHW34)</f>
        <v/>
      </c>
      <c r="AIA34" s="12">
        <f>AHW34-AHZ34</f>
        <v/>
      </c>
      <c r="AIB34" s="12">
        <f>IF(AHY34=0,0,IF(AGX34=1,SUMPRODUCT(--(($AGY$5:$AGY34=$AGY34-1)*($AGX$5:$AGX34&gt;=10)*($AGX$5:$AGX34&lt;=12)),$AIA$5:$AIA34),IF(AGX34=4,SUMPRODUCT(--(($AGY$5:$AGY34=$AGY34)*($AGX$5:$AGX34&gt;=1)*($AGX$5:$AGX34&lt;=3)),$AIA$5:$AIA34),IF(AGX34=7,SUMPRODUCT(--(($AGY$5:$AGY34=$AGY34)*($AGX$5:$AGX34&gt;=4)*($AGX$5:$AGX34&lt;=6)),$AIA$5:$AIA34),IF(AGX34=10,SUMPRODUCT(--(($AGY$5:$AGY34=$AGY34)*($AGX$5:$AGX34&gt;=7)*($AGX$5:$AGX34&lt;=9)),$AIA$5:$AIA34),0)))))</f>
        <v/>
      </c>
      <c r="AIC34" s="12">
        <f>AIC33+AIA34-AIB34</f>
        <v/>
      </c>
      <c r="AID34" s="12">
        <f>IF(ProviderDelay&gt;=1,AHZ33*ProviderShare,AHZ34*ProviderShare)</f>
        <v/>
      </c>
      <c r="AIE34" s="12">
        <f>AHW34*PaymentFee</f>
        <v/>
      </c>
      <c r="AIF34" s="12">
        <f>AHQ34*OpsAI</f>
        <v/>
      </c>
      <c r="AIG34" s="12">
        <f>MonthlyFixed</f>
        <v/>
      </c>
      <c r="AIH34" s="12">
        <f>AHE34*ReferralReward</f>
        <v/>
      </c>
      <c r="AII34" s="12">
        <f>AHC34</f>
        <v/>
      </c>
      <c r="AIJ34" s="9">
        <f>AHZ34-AID34-AIE34-AIF34-AIG34-AIH34-AII34</f>
        <v/>
      </c>
      <c r="AIK34" s="9">
        <f>AIK33+AHW34-(AID34+AIE34+AIF34+AIG34+AIH34+AII34+AIB34)</f>
        <v/>
      </c>
      <c r="AIL34" s="12">
        <f>IF(AHQ34&gt;0,AHR34/AHQ34,0)</f>
        <v/>
      </c>
      <c r="AIM34" s="11">
        <f>IF(AHQ33&gt;0,MAX(0,(AHQ33+AHF34-AHQ34)/AHQ33),0)</f>
        <v/>
      </c>
      <c r="AIO34" s="12" t="n">
        <v>30</v>
      </c>
      <c r="AIP34" s="12">
        <f>MOD(AIO34-1+LaunchMonth-1,12)+1</f>
        <v/>
      </c>
      <c r="AIQ34" s="12">
        <f>INT((AIO34-1+LaunchMonth-1)/12)+1</f>
        <v/>
      </c>
      <c r="AIR34" s="12">
        <f>VLOOKUP(AIP34,SeasonTable,2,FALSE)</f>
        <v/>
      </c>
      <c r="AIS34" s="12">
        <f>(1+InflationRate)^INT((AIO34-1)/12)</f>
        <v/>
      </c>
      <c r="AIT34" s="11">
        <f>MonthlyChurn*VLOOKUP(AIP34,ChurnSeasonTable,4,FALSE)</f>
        <v/>
      </c>
      <c r="AIU34" s="12">
        <f>MIN(MAX(MktMin19plus,AJO33*MktPct19plus),MAX(0,AKC33-CashBuffer))</f>
        <v/>
      </c>
      <c r="AIV34" s="12">
        <f>IF(AIU34&gt;0,MAX(1,ROUND(AIU34/'Sens - CAC &amp; Marketing'!$A$11*AIR34,0)),0)</f>
        <v/>
      </c>
      <c r="AIW34" s="12">
        <f>IF(AIV34&gt;0,ROUND(AIV34*ReferralMix/(1-ReferralMix),0),0)</f>
        <v/>
      </c>
      <c r="AIX34" s="12">
        <f>AIV34+AIW34</f>
        <v/>
      </c>
      <c r="AIY34" s="12">
        <f>ROUND(AIX34*(1-AnnualMix),0)</f>
        <v/>
      </c>
      <c r="AIZ34" s="12">
        <f>AIX34-AIY34</f>
        <v/>
      </c>
      <c r="AJA34" s="12">
        <f>ROUND(AIY34*EssentialMix,0)</f>
        <v/>
      </c>
      <c r="AJB34" s="12">
        <f>AIY34-AJA34</f>
        <v/>
      </c>
      <c r="AJC34" s="12">
        <f>ROUND(AIZ34*EssentialMix,0)</f>
        <v/>
      </c>
      <c r="AJD34" s="12">
        <f>AIZ34-AJC34</f>
        <v/>
      </c>
      <c r="AJE34" s="12">
        <f>AJA34+AJA33+AJA32+MAX(0,AJE33-AJA33-AJA32)*(1-AIT34)</f>
        <v/>
      </c>
      <c r="AJF34" s="12">
        <f>AJB34+AJB33+AJB32+MAX(0,AJF33-AJB33-AJB32)*(1-AIT34)</f>
        <v/>
      </c>
      <c r="AJG34" s="12">
        <f>AJG33+AJC34-AJC22*(AnnualChurn*VLOOKUP(AIP34,ChurnSeasonTable,4,FALSE))*POWER(1-(AnnualChurn*VLOOKUP(AIP34,ChurnSeasonTable,4,FALSE)),0)+AJC10*(AnnualChurn*VLOOKUP(AIP34,ChurnSeasonTable,4,FALSE))*POWER(1-(AnnualChurn*VLOOKUP(AIP34,ChurnSeasonTable,4,FALSE)),1)</f>
        <v/>
      </c>
      <c r="AJH34" s="12">
        <f>AJH33+AJD34-AJD22*(AnnualChurn*VLOOKUP(AIP34,ChurnSeasonTable,4,FALSE))*POWER(1-(AnnualChurn*VLOOKUP(AIP34,ChurnSeasonTable,4,FALSE)),0)+AJD10*(AnnualChurn*VLOOKUP(AIP34,ChurnSeasonTable,4,FALSE))*POWER(1-(AnnualChurn*VLOOKUP(AIP34,ChurnSeasonTable,4,FALSE)),1)</f>
        <v/>
      </c>
      <c r="AJI34" s="12">
        <f>AJE34+AJF34+AJG34+AJH34</f>
        <v/>
      </c>
      <c r="AJJ34" s="9">
        <f>AJE34*PriceEssMonthly*AIS34+AJF34*PricePremMonthly*AIS34+AJG34*PriceEssAnnual*AIS34/12+AJH34*PricePremAnnual*AIS34/12</f>
        <v/>
      </c>
      <c r="AJK34" s="9">
        <f>AJJ34*12</f>
        <v/>
      </c>
      <c r="AJL34" s="12">
        <f>AJE34*PriceEssMonthly*AIS34+AJF34*PricePremMonthly*AIS34</f>
        <v/>
      </c>
      <c r="AJM34" s="12">
        <f>AJC34*PriceEssAnnual*AIS34+AJD34*PricePremAnnual*AIS34</f>
        <v/>
      </c>
      <c r="AJN34" s="12">
        <f>AJC22*POWER(1-(AnnualChurn*VLOOKUP(AIP34,ChurnSeasonTable,4,FALSE)),1)*PriceEssAnnual*AIS34+AJC10*POWER(1-(AnnualChurn*VLOOKUP(AIP34,ChurnSeasonTable,4,FALSE)),2)*PriceEssAnnual*AIS34+AJD22*POWER(1-(AnnualChurn*VLOOKUP(AIP34,ChurnSeasonTable,4,FALSE)),1)*PricePremAnnual*AIS34+AJD10*POWER(1-(AnnualChurn*VLOOKUP(AIP34,ChurnSeasonTable,4,FALSE)),2)*PricePremAnnual*AIS34</f>
        <v/>
      </c>
      <c r="AJO34" s="9">
        <f>AJL34+AJM34+AJN34</f>
        <v/>
      </c>
      <c r="AJP34" s="12">
        <f>SUM(AJO23:AJO34)</f>
        <v/>
      </c>
      <c r="AJQ34" s="12">
        <f>OR(AJQ33,AJP34&gt;=VATThreshold)</f>
        <v/>
      </c>
      <c r="AJR34" s="9">
        <f>IF(AJQ34,AJO34/(1+VATRate),AJO34)</f>
        <v/>
      </c>
      <c r="AJS34" s="12">
        <f>AJO34-AJR34</f>
        <v/>
      </c>
      <c r="AJT34" s="12">
        <f>IF(AJQ34=0,0,IF(AIP34=1,SUMPRODUCT(--(($AIQ$5:$AIQ34=$AIQ34-1)*($AIP$5:$AIP34&gt;=10)*($AIP$5:$AIP34&lt;=12)),$AJS$5:$AJS34),IF(AIP34=4,SUMPRODUCT(--(($AIQ$5:$AIQ34=$AIQ34)*($AIP$5:$AIP34&gt;=1)*($AIP$5:$AIP34&lt;=3)),$AJS$5:$AJS34),IF(AIP34=7,SUMPRODUCT(--(($AIQ$5:$AIQ34=$AIQ34)*($AIP$5:$AIP34&gt;=4)*($AIP$5:$AIP34&lt;=6)),$AJS$5:$AJS34),IF(AIP34=10,SUMPRODUCT(--(($AIQ$5:$AIQ34=$AIQ34)*($AIP$5:$AIP34&gt;=7)*($AIP$5:$AIP34&lt;=9)),$AJS$5:$AJS34),0)))))</f>
        <v/>
      </c>
      <c r="AJU34" s="12">
        <f>AJU33+AJS34-AJT34</f>
        <v/>
      </c>
      <c r="AJV34" s="12">
        <f>IF(ProviderDelay&gt;=1,AJR33*ProviderShare,AJR34*ProviderShare)</f>
        <v/>
      </c>
      <c r="AJW34" s="12">
        <f>AJO34*PaymentFee</f>
        <v/>
      </c>
      <c r="AJX34" s="12">
        <f>AJI34*OpsAI</f>
        <v/>
      </c>
      <c r="AJY34" s="12">
        <f>MonthlyFixed</f>
        <v/>
      </c>
      <c r="AJZ34" s="12">
        <f>AIW34*ReferralReward</f>
        <v/>
      </c>
      <c r="AKA34" s="12">
        <f>AIU34</f>
        <v/>
      </c>
      <c r="AKB34" s="9">
        <f>AJR34-AJV34-AJW34-AJX34-AJY34-AJZ34-AKA34</f>
        <v/>
      </c>
      <c r="AKC34" s="9">
        <f>AKC33+AJO34-(AJV34+AJW34+AJX34+AJY34+AJZ34+AKA34+AJT34)</f>
        <v/>
      </c>
      <c r="AKD34" s="12">
        <f>IF(AJI34&gt;0,AJJ34/AJI34,0)</f>
        <v/>
      </c>
      <c r="AKE34" s="11">
        <f>IF(AJI33&gt;0,MAX(0,(AJI33+AIX34-AJI34)/AJI33),0)</f>
        <v/>
      </c>
      <c r="AKG34" s="12" t="n">
        <v>30</v>
      </c>
      <c r="AKH34" s="12">
        <f>MOD(AKG34-1+LaunchMonth-1,12)+1</f>
        <v/>
      </c>
      <c r="AKI34" s="12">
        <f>INT((AKG34-1+LaunchMonth-1)/12)+1</f>
        <v/>
      </c>
      <c r="AKJ34" s="12">
        <f>VLOOKUP(AKH34,SeasonTable,2,FALSE)</f>
        <v/>
      </c>
      <c r="AKK34" s="12">
        <f>(1+InflationRate)^INT((AKG34-1)/12)</f>
        <v/>
      </c>
      <c r="AKL34" s="11">
        <f>MonthlyChurn*VLOOKUP(AKH34,ChurnSeasonTable,4,FALSE)</f>
        <v/>
      </c>
      <c r="AKM34" s="12">
        <f>MIN(MAX(MktMin19plus,ALG33*MktPct19plus),MAX(0,ALU33-CashBuffer))</f>
        <v/>
      </c>
      <c r="AKN34" s="12">
        <f>IF(AKM34&gt;0,MAX(1,ROUND(AKM34/'Sens - CAC &amp; Marketing'!$A$12*AKJ34,0)),0)</f>
        <v/>
      </c>
      <c r="AKO34" s="12">
        <f>IF(AKN34&gt;0,ROUND(AKN34*ReferralMix/(1-ReferralMix),0),0)</f>
        <v/>
      </c>
      <c r="AKP34" s="12">
        <f>AKN34+AKO34</f>
        <v/>
      </c>
      <c r="AKQ34" s="12">
        <f>ROUND(AKP34*(1-AnnualMix),0)</f>
        <v/>
      </c>
      <c r="AKR34" s="12">
        <f>AKP34-AKQ34</f>
        <v/>
      </c>
      <c r="AKS34" s="12">
        <f>ROUND(AKQ34*EssentialMix,0)</f>
        <v/>
      </c>
      <c r="AKT34" s="12">
        <f>AKQ34-AKS34</f>
        <v/>
      </c>
      <c r="AKU34" s="12">
        <f>ROUND(AKR34*EssentialMix,0)</f>
        <v/>
      </c>
      <c r="AKV34" s="12">
        <f>AKR34-AKU34</f>
        <v/>
      </c>
      <c r="AKW34" s="12">
        <f>AKS34+AKS33+AKS32+MAX(0,AKW33-AKS33-AKS32)*(1-AKL34)</f>
        <v/>
      </c>
      <c r="AKX34" s="12">
        <f>AKT34+AKT33+AKT32+MAX(0,AKX33-AKT33-AKT32)*(1-AKL34)</f>
        <v/>
      </c>
      <c r="AKY34" s="12">
        <f>AKY33+AKU34-AKU22*(AnnualChurn*VLOOKUP(AKH34,ChurnSeasonTable,4,FALSE))*POWER(1-(AnnualChurn*VLOOKUP(AKH34,ChurnSeasonTable,4,FALSE)),0)+AKU10*(AnnualChurn*VLOOKUP(AKH34,ChurnSeasonTable,4,FALSE))*POWER(1-(AnnualChurn*VLOOKUP(AKH34,ChurnSeasonTable,4,FALSE)),1)</f>
        <v/>
      </c>
      <c r="AKZ34" s="12">
        <f>AKZ33+AKV34-AKV22*(AnnualChurn*VLOOKUP(AKH34,ChurnSeasonTable,4,FALSE))*POWER(1-(AnnualChurn*VLOOKUP(AKH34,ChurnSeasonTable,4,FALSE)),0)+AKV10*(AnnualChurn*VLOOKUP(AKH34,ChurnSeasonTable,4,FALSE))*POWER(1-(AnnualChurn*VLOOKUP(AKH34,ChurnSeasonTable,4,FALSE)),1)</f>
        <v/>
      </c>
      <c r="ALA34" s="12">
        <f>AKW34+AKX34+AKY34+AKZ34</f>
        <v/>
      </c>
      <c r="ALB34" s="9">
        <f>AKW34*PriceEssMonthly*AKK34+AKX34*PricePremMonthly*AKK34+AKY34*PriceEssAnnual*AKK34/12+AKZ34*PricePremAnnual*AKK34/12</f>
        <v/>
      </c>
      <c r="ALC34" s="9">
        <f>ALB34*12</f>
        <v/>
      </c>
      <c r="ALD34" s="12">
        <f>AKW34*PriceEssMonthly*AKK34+AKX34*PricePremMonthly*AKK34</f>
        <v/>
      </c>
      <c r="ALE34" s="12">
        <f>AKU34*PriceEssAnnual*AKK34+AKV34*PricePremAnnual*AKK34</f>
        <v/>
      </c>
      <c r="ALF34" s="12">
        <f>AKU22*POWER(1-(AnnualChurn*VLOOKUP(AKH34,ChurnSeasonTable,4,FALSE)),1)*PriceEssAnnual*AKK34+AKU10*POWER(1-(AnnualChurn*VLOOKUP(AKH34,ChurnSeasonTable,4,FALSE)),2)*PriceEssAnnual*AKK34+AKV22*POWER(1-(AnnualChurn*VLOOKUP(AKH34,ChurnSeasonTable,4,FALSE)),1)*PricePremAnnual*AKK34+AKV10*POWER(1-(AnnualChurn*VLOOKUP(AKH34,ChurnSeasonTable,4,FALSE)),2)*PricePremAnnual*AKK34</f>
        <v/>
      </c>
      <c r="ALG34" s="9">
        <f>ALD34+ALE34+ALF34</f>
        <v/>
      </c>
      <c r="ALH34" s="12">
        <f>SUM(ALG23:ALG34)</f>
        <v/>
      </c>
      <c r="ALI34" s="12">
        <f>OR(ALI33,ALH34&gt;=VATThreshold)</f>
        <v/>
      </c>
      <c r="ALJ34" s="9">
        <f>IF(ALI34,ALG34/(1+VATRate),ALG34)</f>
        <v/>
      </c>
      <c r="ALK34" s="12">
        <f>ALG34-ALJ34</f>
        <v/>
      </c>
      <c r="ALL34" s="12">
        <f>IF(ALI34=0,0,IF(AKH34=1,SUMPRODUCT(--(($AKI$5:$AKI34=$AKI34-1)*($AKH$5:$AKH34&gt;=10)*($AKH$5:$AKH34&lt;=12)),$ALK$5:$ALK34),IF(AKH34=4,SUMPRODUCT(--(($AKI$5:$AKI34=$AKI34)*($AKH$5:$AKH34&gt;=1)*($AKH$5:$AKH34&lt;=3)),$ALK$5:$ALK34),IF(AKH34=7,SUMPRODUCT(--(($AKI$5:$AKI34=$AKI34)*($AKH$5:$AKH34&gt;=4)*($AKH$5:$AKH34&lt;=6)),$ALK$5:$ALK34),IF(AKH34=10,SUMPRODUCT(--(($AKI$5:$AKI34=$AKI34)*($AKH$5:$AKH34&gt;=7)*($AKH$5:$AKH34&lt;=9)),$ALK$5:$ALK34),0)))))</f>
        <v/>
      </c>
      <c r="ALM34" s="12">
        <f>ALM33+ALK34-ALL34</f>
        <v/>
      </c>
      <c r="ALN34" s="12">
        <f>IF(ProviderDelay&gt;=1,ALJ33*ProviderShare,ALJ34*ProviderShare)</f>
        <v/>
      </c>
      <c r="ALO34" s="12">
        <f>ALG34*PaymentFee</f>
        <v/>
      </c>
      <c r="ALP34" s="12">
        <f>ALA34*OpsAI</f>
        <v/>
      </c>
      <c r="ALQ34" s="12">
        <f>MonthlyFixed</f>
        <v/>
      </c>
      <c r="ALR34" s="12">
        <f>AKO34*ReferralReward</f>
        <v/>
      </c>
      <c r="ALS34" s="12">
        <f>AKM34</f>
        <v/>
      </c>
      <c r="ALT34" s="9">
        <f>ALJ34-ALN34-ALO34-ALP34-ALQ34-ALR34-ALS34</f>
        <v/>
      </c>
      <c r="ALU34" s="9">
        <f>ALU33+ALG34-(ALN34+ALO34+ALP34+ALQ34+ALR34+ALS34+ALL34)</f>
        <v/>
      </c>
      <c r="ALV34" s="12">
        <f>IF(ALA34&gt;0,ALB34/ALA34,0)</f>
        <v/>
      </c>
      <c r="ALW34" s="11">
        <f>IF(ALA33&gt;0,MAX(0,(ALA33+AKP34-ALA34)/ALA33),0)</f>
        <v/>
      </c>
      <c r="ALY34" s="12" t="n">
        <v>30</v>
      </c>
      <c r="ALZ34" s="12">
        <f>MOD(ALY34-1+LaunchMonth-1,12)+1</f>
        <v/>
      </c>
      <c r="AMA34" s="12">
        <f>INT((ALY34-1+LaunchMonth-1)/12)+1</f>
        <v/>
      </c>
      <c r="AMB34" s="12">
        <f>VLOOKUP(ALZ34,SeasonTable,2,FALSE)</f>
        <v/>
      </c>
      <c r="AMC34" s="12">
        <f>(1+InflationRate)^INT((ALY34-1)/12)</f>
        <v/>
      </c>
      <c r="AMD34" s="11">
        <f>MonthlyChurn*VLOOKUP(ALZ34,ChurnSeasonTable,4,FALSE)</f>
        <v/>
      </c>
      <c r="AME34" s="12">
        <f>MIN(MAX(MktMin19plus,AMY33*MktPct19plus),MAX(0,ANM33-CashBuffer))</f>
        <v/>
      </c>
      <c r="AMF34" s="12">
        <f>IF(AME34&gt;0,MAX(1,ROUND(AME34/'Sens - CAC &amp; Marketing'!$A$13*AMB34,0)),0)</f>
        <v/>
      </c>
      <c r="AMG34" s="12">
        <f>IF(AMF34&gt;0,ROUND(AMF34*ReferralMix/(1-ReferralMix),0),0)</f>
        <v/>
      </c>
      <c r="AMH34" s="12">
        <f>AMF34+AMG34</f>
        <v/>
      </c>
      <c r="AMI34" s="12">
        <f>ROUND(AMH34*(1-AnnualMix),0)</f>
        <v/>
      </c>
      <c r="AMJ34" s="12">
        <f>AMH34-AMI34</f>
        <v/>
      </c>
      <c r="AMK34" s="12">
        <f>ROUND(AMI34*EssentialMix,0)</f>
        <v/>
      </c>
      <c r="AML34" s="12">
        <f>AMI34-AMK34</f>
        <v/>
      </c>
      <c r="AMM34" s="12">
        <f>ROUND(AMJ34*EssentialMix,0)</f>
        <v/>
      </c>
      <c r="AMN34" s="12">
        <f>AMJ34-AMM34</f>
        <v/>
      </c>
      <c r="AMO34" s="12">
        <f>AMK34+AMK33+AMK32+MAX(0,AMO33-AMK33-AMK32)*(1-AMD34)</f>
        <v/>
      </c>
      <c r="AMP34" s="12">
        <f>AML34+AML33+AML32+MAX(0,AMP33-AML33-AML32)*(1-AMD34)</f>
        <v/>
      </c>
      <c r="AMQ34" s="12">
        <f>AMQ33+AMM34-AMM22*(AnnualChurn*VLOOKUP(ALZ34,ChurnSeasonTable,4,FALSE))*POWER(1-(AnnualChurn*VLOOKUP(ALZ34,ChurnSeasonTable,4,FALSE)),0)+AMM10*(AnnualChurn*VLOOKUP(ALZ34,ChurnSeasonTable,4,FALSE))*POWER(1-(AnnualChurn*VLOOKUP(ALZ34,ChurnSeasonTable,4,FALSE)),1)</f>
        <v/>
      </c>
      <c r="AMR34" s="12">
        <f>AMR33+AMN34-AMN22*(AnnualChurn*VLOOKUP(ALZ34,ChurnSeasonTable,4,FALSE))*POWER(1-(AnnualChurn*VLOOKUP(ALZ34,ChurnSeasonTable,4,FALSE)),0)+AMN10*(AnnualChurn*VLOOKUP(ALZ34,ChurnSeasonTable,4,FALSE))*POWER(1-(AnnualChurn*VLOOKUP(ALZ34,ChurnSeasonTable,4,FALSE)),1)</f>
        <v/>
      </c>
      <c r="AMS34" s="12">
        <f>AMO34+AMP34+AMQ34+AMR34</f>
        <v/>
      </c>
      <c r="AMT34" s="9">
        <f>AMO34*PriceEssMonthly*AMC34+AMP34*PricePremMonthly*AMC34+AMQ34*PriceEssAnnual*AMC34/12+AMR34*PricePremAnnual*AMC34/12</f>
        <v/>
      </c>
      <c r="AMU34" s="9">
        <f>AMT34*12</f>
        <v/>
      </c>
      <c r="AMV34" s="12">
        <f>AMO34*PriceEssMonthly*AMC34+AMP34*PricePremMonthly*AMC34</f>
        <v/>
      </c>
      <c r="AMW34" s="12">
        <f>AMM34*PriceEssAnnual*AMC34+AMN34*PricePremAnnual*AMC34</f>
        <v/>
      </c>
      <c r="AMX34" s="12">
        <f>AMM22*POWER(1-(AnnualChurn*VLOOKUP(ALZ34,ChurnSeasonTable,4,FALSE)),1)*PriceEssAnnual*AMC34+AMM10*POWER(1-(AnnualChurn*VLOOKUP(ALZ34,ChurnSeasonTable,4,FALSE)),2)*PriceEssAnnual*AMC34+AMN22*POWER(1-(AnnualChurn*VLOOKUP(ALZ34,ChurnSeasonTable,4,FALSE)),1)*PricePremAnnual*AMC34+AMN10*POWER(1-(AnnualChurn*VLOOKUP(ALZ34,ChurnSeasonTable,4,FALSE)),2)*PricePremAnnual*AMC34</f>
        <v/>
      </c>
      <c r="AMY34" s="9">
        <f>AMV34+AMW34+AMX34</f>
        <v/>
      </c>
      <c r="AMZ34" s="12">
        <f>SUM(AMY23:AMY34)</f>
        <v/>
      </c>
      <c r="ANA34" s="12">
        <f>OR(ANA33,AMZ34&gt;=VATThreshold)</f>
        <v/>
      </c>
      <c r="ANB34" s="9">
        <f>IF(ANA34,AMY34/(1+VATRate),AMY34)</f>
        <v/>
      </c>
      <c r="ANC34" s="12">
        <f>AMY34-ANB34</f>
        <v/>
      </c>
      <c r="AND34" s="12">
        <f>IF(ANA34=0,0,IF(ALZ34=1,SUMPRODUCT(--(($AMA$5:$AMA34=$AMA34-1)*($ALZ$5:$ALZ34&gt;=10)*($ALZ$5:$ALZ34&lt;=12)),$ANC$5:$ANC34),IF(ALZ34=4,SUMPRODUCT(--(($AMA$5:$AMA34=$AMA34)*($ALZ$5:$ALZ34&gt;=1)*($ALZ$5:$ALZ34&lt;=3)),$ANC$5:$ANC34),IF(ALZ34=7,SUMPRODUCT(--(($AMA$5:$AMA34=$AMA34)*($ALZ$5:$ALZ34&gt;=4)*($ALZ$5:$ALZ34&lt;=6)),$ANC$5:$ANC34),IF(ALZ34=10,SUMPRODUCT(--(($AMA$5:$AMA34=$AMA34)*($ALZ$5:$ALZ34&gt;=7)*($ALZ$5:$ALZ34&lt;=9)),$ANC$5:$ANC34),0)))))</f>
        <v/>
      </c>
      <c r="ANE34" s="12">
        <f>ANE33+ANC34-AND34</f>
        <v/>
      </c>
      <c r="ANF34" s="12">
        <f>IF(ProviderDelay&gt;=1,ANB33*ProviderShare,ANB34*ProviderShare)</f>
        <v/>
      </c>
      <c r="ANG34" s="12">
        <f>AMY34*PaymentFee</f>
        <v/>
      </c>
      <c r="ANH34" s="12">
        <f>AMS34*OpsAI</f>
        <v/>
      </c>
      <c r="ANI34" s="12">
        <f>MonthlyFixed</f>
        <v/>
      </c>
      <c r="ANJ34" s="12">
        <f>AMG34*ReferralReward</f>
        <v/>
      </c>
      <c r="ANK34" s="12">
        <f>AME34</f>
        <v/>
      </c>
      <c r="ANL34" s="9">
        <f>ANB34-ANF34-ANG34-ANH34-ANI34-ANJ34-ANK34</f>
        <v/>
      </c>
      <c r="ANM34" s="9">
        <f>ANM33+AMY34-(ANF34+ANG34+ANH34+ANI34+ANJ34+ANK34+AND34)</f>
        <v/>
      </c>
      <c r="ANN34" s="12">
        <f>IF(AMS34&gt;0,AMT34/AMS34,0)</f>
        <v/>
      </c>
      <c r="ANO34" s="11">
        <f>IF(AMS33&gt;0,MAX(0,(AMS33+AMH34-AMS34)/AMS33),0)</f>
        <v/>
      </c>
      <c r="ANQ34" s="12" t="n">
        <v>30</v>
      </c>
      <c r="ANR34" s="12">
        <f>MOD(ANQ34-1+LaunchMonth-1,12)+1</f>
        <v/>
      </c>
      <c r="ANS34" s="12">
        <f>INT((ANQ34-1+LaunchMonth-1)/12)+1</f>
        <v/>
      </c>
      <c r="ANT34" s="12">
        <f>VLOOKUP(ANR34,SeasonTable,2,FALSE)</f>
        <v/>
      </c>
      <c r="ANU34" s="12">
        <f>(1+InflationRate)^INT((ANQ34-1)/12)</f>
        <v/>
      </c>
      <c r="ANV34" s="11">
        <f>MonthlyChurn*VLOOKUP(ANR34,ChurnSeasonTable,4,FALSE)</f>
        <v/>
      </c>
      <c r="ANW34" s="12">
        <f>MIN(MAX(MktMin19plus,AOQ33*MktPct19plus),MAX(0,APE33-CashBuffer))</f>
        <v/>
      </c>
      <c r="ANX34" s="12">
        <f>IF(ANW34&gt;0,MAX(1,ROUND(ANW34/'Sens - CAC &amp; Marketing'!$A$14*ANT34,0)),0)</f>
        <v/>
      </c>
      <c r="ANY34" s="12">
        <f>IF(ANX34&gt;0,ROUND(ANX34*ReferralMix/(1-ReferralMix),0),0)</f>
        <v/>
      </c>
      <c r="ANZ34" s="12">
        <f>ANX34+ANY34</f>
        <v/>
      </c>
      <c r="AOA34" s="12">
        <f>ROUND(ANZ34*(1-AnnualMix),0)</f>
        <v/>
      </c>
      <c r="AOB34" s="12">
        <f>ANZ34-AOA34</f>
        <v/>
      </c>
      <c r="AOC34" s="12">
        <f>ROUND(AOA34*EssentialMix,0)</f>
        <v/>
      </c>
      <c r="AOD34" s="12">
        <f>AOA34-AOC34</f>
        <v/>
      </c>
      <c r="AOE34" s="12">
        <f>ROUND(AOB34*EssentialMix,0)</f>
        <v/>
      </c>
      <c r="AOF34" s="12">
        <f>AOB34-AOE34</f>
        <v/>
      </c>
      <c r="AOG34" s="12">
        <f>AOC34+AOC33+AOC32+MAX(0,AOG33-AOC33-AOC32)*(1-ANV34)</f>
        <v/>
      </c>
      <c r="AOH34" s="12">
        <f>AOD34+AOD33+AOD32+MAX(0,AOH33-AOD33-AOD32)*(1-ANV34)</f>
        <v/>
      </c>
      <c r="AOI34" s="12">
        <f>AOI33+AOE34-AOE22*(AnnualChurn*VLOOKUP(ANR34,ChurnSeasonTable,4,FALSE))*POWER(1-(AnnualChurn*VLOOKUP(ANR34,ChurnSeasonTable,4,FALSE)),0)+AOE10*(AnnualChurn*VLOOKUP(ANR34,ChurnSeasonTable,4,FALSE))*POWER(1-(AnnualChurn*VLOOKUP(ANR34,ChurnSeasonTable,4,FALSE)),1)</f>
        <v/>
      </c>
      <c r="AOJ34" s="12">
        <f>AOJ33+AOF34-AOF22*(AnnualChurn*VLOOKUP(ANR34,ChurnSeasonTable,4,FALSE))*POWER(1-(AnnualChurn*VLOOKUP(ANR34,ChurnSeasonTable,4,FALSE)),0)+AOF10*(AnnualChurn*VLOOKUP(ANR34,ChurnSeasonTable,4,FALSE))*POWER(1-(AnnualChurn*VLOOKUP(ANR34,ChurnSeasonTable,4,FALSE)),1)</f>
        <v/>
      </c>
      <c r="AOK34" s="12">
        <f>AOG34+AOH34+AOI34+AOJ34</f>
        <v/>
      </c>
      <c r="AOL34" s="9">
        <f>AOG34*PriceEssMonthly*ANU34+AOH34*PricePremMonthly*ANU34+AOI34*PriceEssAnnual*ANU34/12+AOJ34*PricePremAnnual*ANU34/12</f>
        <v/>
      </c>
      <c r="AOM34" s="9">
        <f>AOL34*12</f>
        <v/>
      </c>
      <c r="AON34" s="12">
        <f>AOG34*PriceEssMonthly*ANU34+AOH34*PricePremMonthly*ANU34</f>
        <v/>
      </c>
      <c r="AOO34" s="12">
        <f>AOE34*PriceEssAnnual*ANU34+AOF34*PricePremAnnual*ANU34</f>
        <v/>
      </c>
      <c r="AOP34" s="12">
        <f>AOE22*POWER(1-(AnnualChurn*VLOOKUP(ANR34,ChurnSeasonTable,4,FALSE)),1)*PriceEssAnnual*ANU34+AOE10*POWER(1-(AnnualChurn*VLOOKUP(ANR34,ChurnSeasonTable,4,FALSE)),2)*PriceEssAnnual*ANU34+AOF22*POWER(1-(AnnualChurn*VLOOKUP(ANR34,ChurnSeasonTable,4,FALSE)),1)*PricePremAnnual*ANU34+AOF10*POWER(1-(AnnualChurn*VLOOKUP(ANR34,ChurnSeasonTable,4,FALSE)),2)*PricePremAnnual*ANU34</f>
        <v/>
      </c>
      <c r="AOQ34" s="9">
        <f>AON34+AOO34+AOP34</f>
        <v/>
      </c>
      <c r="AOR34" s="12">
        <f>SUM(AOQ23:AOQ34)</f>
        <v/>
      </c>
      <c r="AOS34" s="12">
        <f>OR(AOS33,AOR34&gt;=VATThreshold)</f>
        <v/>
      </c>
      <c r="AOT34" s="9">
        <f>IF(AOS34,AOQ34/(1+VATRate),AOQ34)</f>
        <v/>
      </c>
      <c r="AOU34" s="12">
        <f>AOQ34-AOT34</f>
        <v/>
      </c>
      <c r="AOV34" s="12">
        <f>IF(AOS34=0,0,IF(ANR34=1,SUMPRODUCT(--(($ANS$5:$ANS34=$ANS34-1)*($ANR$5:$ANR34&gt;=10)*($ANR$5:$ANR34&lt;=12)),$AOU$5:$AOU34),IF(ANR34=4,SUMPRODUCT(--(($ANS$5:$ANS34=$ANS34)*($ANR$5:$ANR34&gt;=1)*($ANR$5:$ANR34&lt;=3)),$AOU$5:$AOU34),IF(ANR34=7,SUMPRODUCT(--(($ANS$5:$ANS34=$ANS34)*($ANR$5:$ANR34&gt;=4)*($ANR$5:$ANR34&lt;=6)),$AOU$5:$AOU34),IF(ANR34=10,SUMPRODUCT(--(($ANS$5:$ANS34=$ANS34)*($ANR$5:$ANR34&gt;=7)*($ANR$5:$ANR34&lt;=9)),$AOU$5:$AOU34),0)))))</f>
        <v/>
      </c>
      <c r="AOW34" s="12">
        <f>AOW33+AOU34-AOV34</f>
        <v/>
      </c>
      <c r="AOX34" s="12">
        <f>IF(ProviderDelay&gt;=1,AOT33*ProviderShare,AOT34*ProviderShare)</f>
        <v/>
      </c>
      <c r="AOY34" s="12">
        <f>AOQ34*PaymentFee</f>
        <v/>
      </c>
      <c r="AOZ34" s="12">
        <f>AOK34*OpsAI</f>
        <v/>
      </c>
      <c r="APA34" s="12">
        <f>MonthlyFixed</f>
        <v/>
      </c>
      <c r="APB34" s="12">
        <f>ANY34*ReferralReward</f>
        <v/>
      </c>
      <c r="APC34" s="12">
        <f>ANW34</f>
        <v/>
      </c>
      <c r="APD34" s="9">
        <f>AOT34-AOX34-AOY34-AOZ34-APA34-APB34-APC34</f>
        <v/>
      </c>
      <c r="APE34" s="9">
        <f>APE33+AOQ34-(AOX34+AOY34+AOZ34+APA34+APB34+APC34+AOV34)</f>
        <v/>
      </c>
      <c r="APF34" s="12">
        <f>IF(AOK34&gt;0,AOL34/AOK34,0)</f>
        <v/>
      </c>
      <c r="APG34" s="11">
        <f>IF(AOK33&gt;0,MAX(0,(AOK33+ANZ34-AOK34)/AOK33),0)</f>
        <v/>
      </c>
      <c r="API34" s="12" t="n">
        <v>30</v>
      </c>
      <c r="APJ34" s="12">
        <f>MOD(API34-1+LaunchMonth-1,12)+1</f>
        <v/>
      </c>
      <c r="APK34" s="12">
        <f>INT((API34-1+LaunchMonth-1)/12)+1</f>
        <v/>
      </c>
      <c r="APL34" s="12">
        <f>VLOOKUP(APJ34,SeasonTable,2,FALSE)</f>
        <v/>
      </c>
      <c r="APM34" s="12">
        <f>(1+InflationRate)^INT((API34-1)/12)</f>
        <v/>
      </c>
      <c r="APN34" s="11">
        <f>MonthlyChurn*VLOOKUP(APJ34,ChurnSeasonTable,4,FALSE)</f>
        <v/>
      </c>
      <c r="APO34" s="12">
        <f>MIN(MAX(MktMin19plus,AQI33*MktPct19plus),MAX(0,AQW33-CashBuffer))</f>
        <v/>
      </c>
      <c r="APP34" s="12">
        <f>IF(APO34&gt;0,MAX(1,ROUND(APO34/'Sens - CAC &amp; Marketing'!$A$15*APL34,0)),0)</f>
        <v/>
      </c>
      <c r="APQ34" s="12">
        <f>IF(APP34&gt;0,ROUND(APP34*ReferralMix/(1-ReferralMix),0),0)</f>
        <v/>
      </c>
      <c r="APR34" s="12">
        <f>APP34+APQ34</f>
        <v/>
      </c>
      <c r="APS34" s="12">
        <f>ROUND(APR34*(1-AnnualMix),0)</f>
        <v/>
      </c>
      <c r="APT34" s="12">
        <f>APR34-APS34</f>
        <v/>
      </c>
      <c r="APU34" s="12">
        <f>ROUND(APS34*EssentialMix,0)</f>
        <v/>
      </c>
      <c r="APV34" s="12">
        <f>APS34-APU34</f>
        <v/>
      </c>
      <c r="APW34" s="12">
        <f>ROUND(APT34*EssentialMix,0)</f>
        <v/>
      </c>
      <c r="APX34" s="12">
        <f>APT34-APW34</f>
        <v/>
      </c>
      <c r="APY34" s="12">
        <f>APU34+APU33+APU32+MAX(0,APY33-APU33-APU32)*(1-APN34)</f>
        <v/>
      </c>
      <c r="APZ34" s="12">
        <f>APV34+APV33+APV32+MAX(0,APZ33-APV33-APV32)*(1-APN34)</f>
        <v/>
      </c>
      <c r="AQA34" s="12">
        <f>AQA33+APW34-APW22*(AnnualChurn*VLOOKUP(APJ34,ChurnSeasonTable,4,FALSE))*POWER(1-(AnnualChurn*VLOOKUP(APJ34,ChurnSeasonTable,4,FALSE)),0)+APW10*(AnnualChurn*VLOOKUP(APJ34,ChurnSeasonTable,4,FALSE))*POWER(1-(AnnualChurn*VLOOKUP(APJ34,ChurnSeasonTable,4,FALSE)),1)</f>
        <v/>
      </c>
      <c r="AQB34" s="12">
        <f>AQB33+APX34-APX22*(AnnualChurn*VLOOKUP(APJ34,ChurnSeasonTable,4,FALSE))*POWER(1-(AnnualChurn*VLOOKUP(APJ34,ChurnSeasonTable,4,FALSE)),0)+APX10*(AnnualChurn*VLOOKUP(APJ34,ChurnSeasonTable,4,FALSE))*POWER(1-(AnnualChurn*VLOOKUP(APJ34,ChurnSeasonTable,4,FALSE)),1)</f>
        <v/>
      </c>
      <c r="AQC34" s="12">
        <f>APY34+APZ34+AQA34+AQB34</f>
        <v/>
      </c>
      <c r="AQD34" s="9">
        <f>APY34*PriceEssMonthly*APM34+APZ34*PricePremMonthly*APM34+AQA34*PriceEssAnnual*APM34/12+AQB34*PricePremAnnual*APM34/12</f>
        <v/>
      </c>
      <c r="AQE34" s="9">
        <f>AQD34*12</f>
        <v/>
      </c>
      <c r="AQF34" s="12">
        <f>APY34*PriceEssMonthly*APM34+APZ34*PricePremMonthly*APM34</f>
        <v/>
      </c>
      <c r="AQG34" s="12">
        <f>APW34*PriceEssAnnual*APM34+APX34*PricePremAnnual*APM34</f>
        <v/>
      </c>
      <c r="AQH34" s="12">
        <f>APW22*POWER(1-(AnnualChurn*VLOOKUP(APJ34,ChurnSeasonTable,4,FALSE)),1)*PriceEssAnnual*APM34+APW10*POWER(1-(AnnualChurn*VLOOKUP(APJ34,ChurnSeasonTable,4,FALSE)),2)*PriceEssAnnual*APM34+APX22*POWER(1-(AnnualChurn*VLOOKUP(APJ34,ChurnSeasonTable,4,FALSE)),1)*PricePremAnnual*APM34+APX10*POWER(1-(AnnualChurn*VLOOKUP(APJ34,ChurnSeasonTable,4,FALSE)),2)*PricePremAnnual*APM34</f>
        <v/>
      </c>
      <c r="AQI34" s="9">
        <f>AQF34+AQG34+AQH34</f>
        <v/>
      </c>
      <c r="AQJ34" s="12">
        <f>SUM(AQI23:AQI34)</f>
        <v/>
      </c>
      <c r="AQK34" s="12">
        <f>OR(AQK33,AQJ34&gt;=VATThreshold)</f>
        <v/>
      </c>
      <c r="AQL34" s="9">
        <f>IF(AQK34,AQI34/(1+VATRate),AQI34)</f>
        <v/>
      </c>
      <c r="AQM34" s="12">
        <f>AQI34-AQL34</f>
        <v/>
      </c>
      <c r="AQN34" s="12">
        <f>IF(AQK34=0,0,IF(APJ34=1,SUMPRODUCT(--(($APK$5:$APK34=$APK34-1)*($APJ$5:$APJ34&gt;=10)*($APJ$5:$APJ34&lt;=12)),$AQM$5:$AQM34),IF(APJ34=4,SUMPRODUCT(--(($APK$5:$APK34=$APK34)*($APJ$5:$APJ34&gt;=1)*($APJ$5:$APJ34&lt;=3)),$AQM$5:$AQM34),IF(APJ34=7,SUMPRODUCT(--(($APK$5:$APK34=$APK34)*($APJ$5:$APJ34&gt;=4)*($APJ$5:$APJ34&lt;=6)),$AQM$5:$AQM34),IF(APJ34=10,SUMPRODUCT(--(($APK$5:$APK34=$APK34)*($APJ$5:$APJ34&gt;=7)*($APJ$5:$APJ34&lt;=9)),$AQM$5:$AQM34),0)))))</f>
        <v/>
      </c>
      <c r="AQO34" s="12">
        <f>AQO33+AQM34-AQN34</f>
        <v/>
      </c>
      <c r="AQP34" s="12">
        <f>IF(ProviderDelay&gt;=1,AQL33*ProviderShare,AQL34*ProviderShare)</f>
        <v/>
      </c>
      <c r="AQQ34" s="12">
        <f>AQI34*PaymentFee</f>
        <v/>
      </c>
      <c r="AQR34" s="12">
        <f>AQC34*OpsAI</f>
        <v/>
      </c>
      <c r="AQS34" s="12">
        <f>MonthlyFixed</f>
        <v/>
      </c>
      <c r="AQT34" s="12">
        <f>APQ34*ReferralReward</f>
        <v/>
      </c>
      <c r="AQU34" s="12">
        <f>APO34</f>
        <v/>
      </c>
      <c r="AQV34" s="9">
        <f>AQL34-AQP34-AQQ34-AQR34-AQS34-AQT34-AQU34</f>
        <v/>
      </c>
      <c r="AQW34" s="9">
        <f>AQW33+AQI34-(AQP34+AQQ34+AQR34+AQS34+AQT34+AQU34+AQN34)</f>
        <v/>
      </c>
      <c r="AQX34" s="12">
        <f>IF(AQC34&gt;0,AQD34/AQC34,0)</f>
        <v/>
      </c>
      <c r="AQY34" s="11">
        <f>IF(AQC33&gt;0,MAX(0,(AQC33+APR34-AQC34)/AQC33),0)</f>
        <v/>
      </c>
      <c r="ARA34" s="12" t="n">
        <v>30</v>
      </c>
      <c r="ARB34" s="12">
        <f>MOD(ARA34-1+LaunchMonth-1,12)+1</f>
        <v/>
      </c>
      <c r="ARC34" s="12">
        <f>INT((ARA34-1+LaunchMonth-1)/12)+1</f>
        <v/>
      </c>
      <c r="ARD34" s="12">
        <f>VLOOKUP(ARB34,WinterPivotSeasonTable,5,FALSE)</f>
        <v/>
      </c>
      <c r="ARE34" s="12">
        <f>(1+InflationRate)^INT((ARA34-1)/12)</f>
        <v/>
      </c>
      <c r="ARF34" s="11">
        <f>MonthlyChurn*VLOOKUP(ARB34,WinterPivotChurnTable,6,FALSE)</f>
        <v/>
      </c>
      <c r="ARG34" s="12">
        <f>MIN(MAX(MktMin19plus,ASA33*MktPct19plus),MAX(0,ASO33-CashBuffer))</f>
        <v/>
      </c>
      <c r="ARH34" s="12">
        <f>IF(ARG34&gt;0,MAX(1,ROUND(ARG34/CAC*ARD34,0)),0)</f>
        <v/>
      </c>
      <c r="ARI34" s="12">
        <f>IF(ARH34&gt;0,ROUND(ARH34*ReferralMix/(1-ReferralMix),0),0)</f>
        <v/>
      </c>
      <c r="ARJ34" s="12">
        <f>ARH34+ARI34</f>
        <v/>
      </c>
      <c r="ARK34" s="12">
        <f>ROUND(ARJ34*(1-AnnualMix),0)</f>
        <v/>
      </c>
      <c r="ARL34" s="12">
        <f>ARJ34-ARK34</f>
        <v/>
      </c>
      <c r="ARM34" s="12">
        <f>ROUND(ARK34*'Sens - Winter Pivot'!$B$6,0)</f>
        <v/>
      </c>
      <c r="ARN34" s="12">
        <f>ARK34-ARM34</f>
        <v/>
      </c>
      <c r="ARO34" s="12">
        <f>ROUND(ARL34*'Sens - Winter Pivot'!$B$6,0)</f>
        <v/>
      </c>
      <c r="ARP34" s="12">
        <f>ARL34-ARO34</f>
        <v/>
      </c>
      <c r="ARQ34" s="12">
        <f>ARM34+ARM33+ARM32+MAX(0,ARQ33-ARM33-ARM32)*(1-ARF34)</f>
        <v/>
      </c>
      <c r="ARR34" s="12">
        <f>ARN34+ARN33+ARN32+MAX(0,ARR33-ARN33-ARN32)*(1-ARF34)</f>
        <v/>
      </c>
      <c r="ARS34" s="12">
        <f>ARS33+ARO34-ARO22*(AnnualChurn*VLOOKUP(ARB34,WinterPivotChurnTable,6,FALSE))*POWER(1-(AnnualChurn*VLOOKUP(ARB34,WinterPivotChurnTable,6,FALSE)),0)+ARO10*(AnnualChurn*VLOOKUP(ARB34,WinterPivotChurnTable,6,FALSE))*POWER(1-(AnnualChurn*VLOOKUP(ARB34,WinterPivotChurnTable,6,FALSE)),1)</f>
        <v/>
      </c>
      <c r="ART34" s="12">
        <f>ART33+ARP34-ARP22*(AnnualChurn*VLOOKUP(ARB34,WinterPivotChurnTable,6,FALSE))*POWER(1-(AnnualChurn*VLOOKUP(ARB34,WinterPivotChurnTable,6,FALSE)),0)+ARP10*(AnnualChurn*VLOOKUP(ARB34,WinterPivotChurnTable,6,FALSE))*POWER(1-(AnnualChurn*VLOOKUP(ARB34,WinterPivotChurnTable,6,FALSE)),1)</f>
        <v/>
      </c>
      <c r="ARU34" s="12">
        <f>ARQ34+ARR34+ARS34+ART34</f>
        <v/>
      </c>
      <c r="ARV34" s="9">
        <f>ARQ34*PriceEssMonthly*ARE34+ARR34*(PricePremMonthly+'Sens - Winter Pivot'!$B$7)*ARE34+ARS34*PriceEssAnnual*ARE34/12+ART34*(PricePremAnnual+'Sens - Winter Pivot'!$B$7*12)*ARE34/12</f>
        <v/>
      </c>
      <c r="ARW34" s="9">
        <f>ARV34*12</f>
        <v/>
      </c>
      <c r="ARX34" s="12">
        <f>ARQ34*PriceEssMonthly*ARE34+ARR34*(PricePremMonthly+'Sens - Winter Pivot'!$B$7)*ARE34</f>
        <v/>
      </c>
      <c r="ARY34" s="12">
        <f>ARO34*PriceEssAnnual*ARE34+ARP34*(PricePremAnnual+'Sens - Winter Pivot'!$B$7*12)*ARE34</f>
        <v/>
      </c>
      <c r="ARZ34" s="12">
        <f>ARO22*POWER(1-(AnnualChurn*VLOOKUP(ARB34,WinterPivotChurnTable,6,FALSE)),1)*PriceEssAnnual*ARE34+ARO10*POWER(1-(AnnualChurn*VLOOKUP(ARB34,WinterPivotChurnTable,6,FALSE)),2)*PriceEssAnnual*ARE34+ARP22*POWER(1-(AnnualChurn*VLOOKUP(ARB34,WinterPivotChurnTable,6,FALSE)),1)*PricePremAnnual*ARE34+ARP10*POWER(1-(AnnualChurn*VLOOKUP(ARB34,WinterPivotChurnTable,6,FALSE)),2)*PricePremAnnual*ARE34</f>
        <v/>
      </c>
      <c r="ASA34" s="9">
        <f>ARX34+ARY34+ARZ34</f>
        <v/>
      </c>
      <c r="ASB34" s="12">
        <f>SUM(ASA23:ASA34)</f>
        <v/>
      </c>
      <c r="ASC34" s="12">
        <f>OR(ASC33,ASB34&gt;=VATThreshold)</f>
        <v/>
      </c>
      <c r="ASD34" s="9">
        <f>IF(ASC34,ASA34/(1+VATRate),ASA34)</f>
        <v/>
      </c>
      <c r="ASE34" s="12">
        <f>ASA34-ASD34</f>
        <v/>
      </c>
      <c r="ASF34" s="12">
        <f>IF(ASC34=0,0,IF(ARB34=1,SUMPRODUCT(--(($ARC$5:$ARC34=$ARC34-1)*($ARB$5:$ARB34&gt;=10)*($ARB$5:$ARB34&lt;=12)),$ASE$5:$ASE34),IF(ARB34=4,SUMPRODUCT(--(($ARC$5:$ARC34=$ARC34)*($ARB$5:$ARB34&gt;=1)*($ARB$5:$ARB34&lt;=3)),$ASE$5:$ASE34),IF(ARB34=7,SUMPRODUCT(--(($ARC$5:$ARC34=$ARC34)*($ARB$5:$ARB34&gt;=4)*($ARB$5:$ARB34&lt;=6)),$ASE$5:$ASE34),IF(ARB34=10,SUMPRODUCT(--(($ARC$5:$ARC34=$ARC34)*($ARB$5:$ARB34&gt;=7)*($ARB$5:$ARB34&lt;=9)),$ASE$5:$ASE34),0)))))</f>
        <v/>
      </c>
      <c r="ASG34" s="12">
        <f>ASG33+ASE34-ASF34</f>
        <v/>
      </c>
      <c r="ASH34" s="12">
        <f>IF(ProviderDelay&gt;=1,ASD33*ProviderShare,ASD34*ProviderShare)</f>
        <v/>
      </c>
      <c r="ASI34" s="12">
        <f>ASA34*PaymentFee</f>
        <v/>
      </c>
      <c r="ASJ34" s="12">
        <f>ARU34*OpsAI</f>
        <v/>
      </c>
      <c r="ASK34" s="12">
        <f>MonthlyFixed</f>
        <v/>
      </c>
      <c r="ASL34" s="12">
        <f>ARI34*ReferralReward</f>
        <v/>
      </c>
      <c r="ASM34" s="12">
        <f>ARG34</f>
        <v/>
      </c>
      <c r="ASN34" s="9">
        <f>ASD34-ASH34-ASI34-ASJ34-ASK34-ASL34-ASM34</f>
        <v/>
      </c>
      <c r="ASO34" s="9">
        <f>ASO33+ASA34-(ASH34+ASI34+ASJ34+ASK34+ASL34+ASM34+ASF34)</f>
        <v/>
      </c>
      <c r="ASP34" s="12">
        <f>IF(ARU34&gt;0,ARV34/ARU34,0)</f>
        <v/>
      </c>
      <c r="ASQ34" s="11">
        <f>IF(ARU33&gt;0,MAX(0,(ARU33+ARJ34-ARU34)/ARU33),0)</f>
        <v/>
      </c>
    </row>
    <row r="35">
      <c r="A35" s="12" t="n">
        <v>31</v>
      </c>
      <c r="B35" s="12">
        <f>MOD(A35-1+LaunchMonth-1,12)+1</f>
        <v/>
      </c>
      <c r="C35" s="12">
        <f>INT((A35-1+LaunchMonth-1)/12)+1</f>
        <v/>
      </c>
      <c r="D35" s="12">
        <f>VLOOKUP(B35,SeasonTable,2,FALSE)</f>
        <v/>
      </c>
      <c r="E35" s="12">
        <f>(1+InflationRate)^INT((A35-1)/12)</f>
        <v/>
      </c>
      <c r="F35" s="11">
        <f>'Sens - Scenarios'!$B$5*VLOOKUP(B35,ChurnSeasonTable,4,FALSE)</f>
        <v/>
      </c>
      <c r="G35" s="12">
        <f>MIN(MAX(MktMin19plus,AA34*MktPct19plus),MAX(0,AO34-CashBuffer))</f>
        <v/>
      </c>
      <c r="H35" s="12">
        <f>IF(G35&gt;0,MAX(1,ROUND(G35/'Sens - Scenarios'!$B$8*D35,0)),0)</f>
        <v/>
      </c>
      <c r="I35" s="12">
        <f>IF(H35&gt;0,ROUND(H35*ReferralMix/(1-ReferralMix),0),0)</f>
        <v/>
      </c>
      <c r="J35" s="12">
        <f>H35+I35</f>
        <v/>
      </c>
      <c r="K35" s="12">
        <f>ROUND(J35*(1-'Sens - Scenarios'!$B$7),0)</f>
        <v/>
      </c>
      <c r="L35" s="12">
        <f>J35-K35</f>
        <v/>
      </c>
      <c r="M35" s="12">
        <f>ROUND(K35*EssentialMix,0)</f>
        <v/>
      </c>
      <c r="N35" s="12">
        <f>K35-M35</f>
        <v/>
      </c>
      <c r="O35" s="12">
        <f>ROUND(L35*EssentialMix,0)</f>
        <v/>
      </c>
      <c r="P35" s="12">
        <f>L35-O35</f>
        <v/>
      </c>
      <c r="Q35" s="12">
        <f>M35+M34+M33+MAX(0,Q34-M34-M33)*(1-F35)</f>
        <v/>
      </c>
      <c r="R35" s="12">
        <f>N35+N34+N33+MAX(0,R34-N34-N33)*(1-F35)</f>
        <v/>
      </c>
      <c r="S35" s="12">
        <f>S34+O35-O23*('Sens - Scenarios'!$B$6*VLOOKUP(B35,ChurnSeasonTable,4,FALSE))*POWER(1-('Sens - Scenarios'!$B$6*VLOOKUP(B35,ChurnSeasonTable,4,FALSE)),0)+O11*('Sens - Scenarios'!$B$6*VLOOKUP(B35,ChurnSeasonTable,4,FALSE))*POWER(1-('Sens - Scenarios'!$B$6*VLOOKUP(B35,ChurnSeasonTable,4,FALSE)),1)</f>
        <v/>
      </c>
      <c r="T35" s="12">
        <f>T34+P35-P23*('Sens - Scenarios'!$B$6*VLOOKUP(B35,ChurnSeasonTable,4,FALSE))*POWER(1-('Sens - Scenarios'!$B$6*VLOOKUP(B35,ChurnSeasonTable,4,FALSE)),0)+P11*('Sens - Scenarios'!$B$6*VLOOKUP(B35,ChurnSeasonTable,4,FALSE))*POWER(1-('Sens - Scenarios'!$B$6*VLOOKUP(B35,ChurnSeasonTable,4,FALSE)),1)</f>
        <v/>
      </c>
      <c r="U35" s="12">
        <f>Q35+R35+S35+T35</f>
        <v/>
      </c>
      <c r="V35" s="9">
        <f>Q35*PriceEssMonthly*E35+R35*PricePremMonthly*E35+S35*PriceEssAnnual*E35/12+T35*PricePremAnnual*E35/12</f>
        <v/>
      </c>
      <c r="W35" s="9">
        <f>V35*12</f>
        <v/>
      </c>
      <c r="X35" s="12">
        <f>Q35*PriceEssMonthly*E35+R35*PricePremMonthly*E35</f>
        <v/>
      </c>
      <c r="Y35" s="12">
        <f>O35*PriceEssAnnual*E35+P35*PricePremAnnual*E35</f>
        <v/>
      </c>
      <c r="Z35" s="12">
        <f>O23*POWER(1-('Sens - Scenarios'!$B$6*VLOOKUP(B35,ChurnSeasonTable,4,FALSE)),1)*PriceEssAnnual*E35+O11*POWER(1-('Sens - Scenarios'!$B$6*VLOOKUP(B35,ChurnSeasonTable,4,FALSE)),2)*PriceEssAnnual*E35+P23*POWER(1-('Sens - Scenarios'!$B$6*VLOOKUP(B35,ChurnSeasonTable,4,FALSE)),1)*PricePremAnnual*E35+P11*POWER(1-('Sens - Scenarios'!$B$6*VLOOKUP(B35,ChurnSeasonTable,4,FALSE)),2)*PricePremAnnual*E35</f>
        <v/>
      </c>
      <c r="AA35" s="9">
        <f>X35+Y35+Z35</f>
        <v/>
      </c>
      <c r="AB35" s="12">
        <f>SUM(AA24:AA35)</f>
        <v/>
      </c>
      <c r="AC35" s="12">
        <f>OR(AC34,AB35&gt;=VATThreshold)</f>
        <v/>
      </c>
      <c r="AD35" s="9">
        <f>IF(AC35,AA35/(1+VATRate),AA35)</f>
        <v/>
      </c>
      <c r="AE35" s="12">
        <f>AA35-AD35</f>
        <v/>
      </c>
      <c r="AF35" s="12">
        <f>IF(AC35=0,0,IF(B35=1,SUMPRODUCT(--(($C$5:$C35=$C35-1)*($B$5:$B35&gt;=10)*($B$5:$B35&lt;=12)),$AE$5:$AE35),IF(B35=4,SUMPRODUCT(--(($C$5:$C35=$C35)*($B$5:$B35&gt;=1)*($B$5:$B35&lt;=3)),$AE$5:$AE35),IF(B35=7,SUMPRODUCT(--(($C$5:$C35=$C35)*($B$5:$B35&gt;=4)*($B$5:$B35&lt;=6)),$AE$5:$AE35),IF(B35=10,SUMPRODUCT(--(($C$5:$C35=$C35)*($B$5:$B35&gt;=7)*($B$5:$B35&lt;=9)),$AE$5:$AE35),0)))))</f>
        <v/>
      </c>
      <c r="AG35" s="12">
        <f>AG34+AE35-AF35</f>
        <v/>
      </c>
      <c r="AH35" s="12">
        <f>IF(ProviderDelay&gt;=1,AD34*ProviderShare,AD35*ProviderShare)</f>
        <v/>
      </c>
      <c r="AI35" s="12">
        <f>AA35*PaymentFee</f>
        <v/>
      </c>
      <c r="AJ35" s="12">
        <f>U35*OpsAI</f>
        <v/>
      </c>
      <c r="AK35" s="12">
        <f>MonthlyFixed</f>
        <v/>
      </c>
      <c r="AL35" s="12">
        <f>I35*ReferralReward</f>
        <v/>
      </c>
      <c r="AM35" s="12">
        <f>G35</f>
        <v/>
      </c>
      <c r="AN35" s="9">
        <f>AD35-AH35-AI35-AJ35-AK35-AL35-AM35</f>
        <v/>
      </c>
      <c r="AO35" s="9">
        <f>AO34+AA35-(AH35+AI35+AJ35+AK35+AL35+AM35+AF35)</f>
        <v/>
      </c>
      <c r="AP35" s="12">
        <f>IF(U35&gt;0,V35/U35,0)</f>
        <v/>
      </c>
      <c r="AQ35" s="11">
        <f>IF(U34&gt;0,MAX(0,(U34+J35-U35)/U34),0)</f>
        <v/>
      </c>
      <c r="AS35" s="12" t="n">
        <v>31</v>
      </c>
      <c r="AT35" s="12">
        <f>MOD(AS35-1+LaunchMonth-1,12)+1</f>
        <v/>
      </c>
      <c r="AU35" s="12">
        <f>INT((AS35-1+LaunchMonth-1)/12)+1</f>
        <v/>
      </c>
      <c r="AV35" s="12">
        <f>VLOOKUP(AT35,SeasonTable,2,FALSE)</f>
        <v/>
      </c>
      <c r="AW35" s="12">
        <f>(1+InflationRate)^INT((AS35-1)/12)</f>
        <v/>
      </c>
      <c r="AX35" s="11">
        <f>MonthlyChurn*VLOOKUP(AT35,ChurnSeasonTable,4,FALSE)</f>
        <v/>
      </c>
      <c r="AY35" s="12">
        <f>MIN(MAX(MktMin19plus,BS34*MktPct19plus),MAX(0,CG34-CashBuffer))</f>
        <v/>
      </c>
      <c r="AZ35" s="12">
        <f>IF(AY35&gt;0,MAX(1,ROUND(AY35/CAC*AV35,0)),0)</f>
        <v/>
      </c>
      <c r="BA35" s="12">
        <f>IF(AZ35&gt;0,ROUND(AZ35*ReferralMix/(1-ReferralMix),0),0)</f>
        <v/>
      </c>
      <c r="BB35" s="12">
        <f>AZ35+BA35</f>
        <v/>
      </c>
      <c r="BC35" s="12">
        <f>ROUND(BB35*(1-AnnualMix),0)</f>
        <v/>
      </c>
      <c r="BD35" s="12">
        <f>BB35-BC35</f>
        <v/>
      </c>
      <c r="BE35" s="12">
        <f>ROUND(BC35*EssentialMix,0)</f>
        <v/>
      </c>
      <c r="BF35" s="12">
        <f>BC35-BE35</f>
        <v/>
      </c>
      <c r="BG35" s="12">
        <f>ROUND(BD35*EssentialMix,0)</f>
        <v/>
      </c>
      <c r="BH35" s="12">
        <f>BD35-BG35</f>
        <v/>
      </c>
      <c r="BI35" s="12">
        <f>BE35+BE34+BE33+MAX(0,BI34-BE34-BE33)*(1-AX35)</f>
        <v/>
      </c>
      <c r="BJ35" s="12">
        <f>BF35+BF34+BF33+MAX(0,BJ34-BF34-BF33)*(1-AX35)</f>
        <v/>
      </c>
      <c r="BK35" s="12">
        <f>BK34+BG35-BG23*(AnnualChurn*VLOOKUP(AT35,ChurnSeasonTable,4,FALSE))*POWER(1-(AnnualChurn*VLOOKUP(AT35,ChurnSeasonTable,4,FALSE)),0)+BG11*(AnnualChurn*VLOOKUP(AT35,ChurnSeasonTable,4,FALSE))*POWER(1-(AnnualChurn*VLOOKUP(AT35,ChurnSeasonTable,4,FALSE)),1)</f>
        <v/>
      </c>
      <c r="BL35" s="12">
        <f>BL34+BH35-BH23*(AnnualChurn*VLOOKUP(AT35,ChurnSeasonTable,4,FALSE))*POWER(1-(AnnualChurn*VLOOKUP(AT35,ChurnSeasonTable,4,FALSE)),0)+BH11*(AnnualChurn*VLOOKUP(AT35,ChurnSeasonTable,4,FALSE))*POWER(1-(AnnualChurn*VLOOKUP(AT35,ChurnSeasonTable,4,FALSE)),1)</f>
        <v/>
      </c>
      <c r="BM35" s="12">
        <f>BI35+BJ35+BK35+BL35</f>
        <v/>
      </c>
      <c r="BN35" s="9">
        <f>BI35*PriceEssMonthly*AW35+BJ35*PricePremMonthly*AW35+BK35*PriceEssAnnual*AW35/12+BL35*PricePremAnnual*AW35/12</f>
        <v/>
      </c>
      <c r="BO35" s="9">
        <f>BN35*12</f>
        <v/>
      </c>
      <c r="BP35" s="12">
        <f>BI35*PriceEssMonthly*AW35+BJ35*PricePremMonthly*AW35</f>
        <v/>
      </c>
      <c r="BQ35" s="12">
        <f>BG35*PriceEssAnnual*AW35+BH35*PricePremAnnual*AW35</f>
        <v/>
      </c>
      <c r="BR35" s="12">
        <f>BG23*POWER(1-(AnnualChurn*VLOOKUP(AT35,ChurnSeasonTable,4,FALSE)),1)*PriceEssAnnual*AW35+BG11*POWER(1-(AnnualChurn*VLOOKUP(AT35,ChurnSeasonTable,4,FALSE)),2)*PriceEssAnnual*AW35+BH23*POWER(1-(AnnualChurn*VLOOKUP(AT35,ChurnSeasonTable,4,FALSE)),1)*PricePremAnnual*AW35+BH11*POWER(1-(AnnualChurn*VLOOKUP(AT35,ChurnSeasonTable,4,FALSE)),2)*PricePremAnnual*AW35</f>
        <v/>
      </c>
      <c r="BS35" s="9">
        <f>BP35+BQ35+BR35</f>
        <v/>
      </c>
      <c r="BT35" s="12">
        <f>SUM(BS24:BS35)</f>
        <v/>
      </c>
      <c r="BU35" s="12">
        <f>OR(BU34,BT35&gt;=VATThreshold)</f>
        <v/>
      </c>
      <c r="BV35" s="9">
        <f>IF(BU35,BS35/(1+VATRate),BS35)</f>
        <v/>
      </c>
      <c r="BW35" s="12">
        <f>BS35-BV35</f>
        <v/>
      </c>
      <c r="BX35" s="12">
        <f>IF(BU35=0,0,IF(AT35=1,SUMPRODUCT(--(($AU$5:$AU35=$AU35-1)*($AT$5:$AT35&gt;=10)*($AT$5:$AT35&lt;=12)),$BW$5:$BW35),IF(AT35=4,SUMPRODUCT(--(($AU$5:$AU35=$AU35)*($AT$5:$AT35&gt;=1)*($AT$5:$AT35&lt;=3)),$BW$5:$BW35),IF(AT35=7,SUMPRODUCT(--(($AU$5:$AU35=$AU35)*($AT$5:$AT35&gt;=4)*($AT$5:$AT35&lt;=6)),$BW$5:$BW35),IF(AT35=10,SUMPRODUCT(--(($AU$5:$AU35=$AU35)*($AT$5:$AT35&gt;=7)*($AT$5:$AT35&lt;=9)),$BW$5:$BW35),0)))))</f>
        <v/>
      </c>
      <c r="BY35" s="12">
        <f>BY34+BW35-BX35</f>
        <v/>
      </c>
      <c r="BZ35" s="12">
        <f>IF(ProviderDelay&gt;=1,BV34*ProviderShare,BV35*ProviderShare)</f>
        <v/>
      </c>
      <c r="CA35" s="12">
        <f>BS35*PaymentFee</f>
        <v/>
      </c>
      <c r="CB35" s="12">
        <f>BM35*OpsAI</f>
        <v/>
      </c>
      <c r="CC35" s="12">
        <f>MonthlyFixed</f>
        <v/>
      </c>
      <c r="CD35" s="12">
        <f>BA35*ReferralReward</f>
        <v/>
      </c>
      <c r="CE35" s="12">
        <f>AY35</f>
        <v/>
      </c>
      <c r="CF35" s="9">
        <f>BV35-BZ35-CA35-CB35-CC35-CD35-CE35</f>
        <v/>
      </c>
      <c r="CG35" s="9">
        <f>CG34+BS35-(BZ35+CA35+CB35+CC35+CD35+CE35+BX35)</f>
        <v/>
      </c>
      <c r="CH35" s="12">
        <f>IF(BM35&gt;0,BN35/BM35,0)</f>
        <v/>
      </c>
      <c r="CI35" s="11">
        <f>IF(BM34&gt;0,MAX(0,(BM34+BB35-BM35)/BM34),0)</f>
        <v/>
      </c>
      <c r="CK35" s="12" t="n">
        <v>31</v>
      </c>
      <c r="CL35" s="12">
        <f>MOD(CK35-1+LaunchMonth-1,12)+1</f>
        <v/>
      </c>
      <c r="CM35" s="12">
        <f>INT((CK35-1+LaunchMonth-1)/12)+1</f>
        <v/>
      </c>
      <c r="CN35" s="12">
        <f>VLOOKUP(CL35,SeasonTable,2,FALSE)</f>
        <v/>
      </c>
      <c r="CO35" s="12">
        <f>(1+InflationRate)^INT((CK35-1)/12)</f>
        <v/>
      </c>
      <c r="CP35" s="11">
        <f>'Sens - Scenarios'!$D$5*VLOOKUP(CL35,ChurnSeasonTable,4,FALSE)</f>
        <v/>
      </c>
      <c r="CQ35" s="12">
        <f>MIN(MAX(MktMin19plus,DK34*MktPct19plus),MAX(0,DY34-CashBuffer))</f>
        <v/>
      </c>
      <c r="CR35" s="12">
        <f>IF(CQ35&gt;0,MAX(1,ROUND(CQ35/'Sens - Scenarios'!$D$8*CN35,0)),0)</f>
        <v/>
      </c>
      <c r="CS35" s="12">
        <f>IF(CR35&gt;0,ROUND(CR35*ReferralMix/(1-ReferralMix),0),0)</f>
        <v/>
      </c>
      <c r="CT35" s="12">
        <f>CR35+CS35</f>
        <v/>
      </c>
      <c r="CU35" s="12">
        <f>ROUND(CT35*(1-'Sens - Scenarios'!$D$7),0)</f>
        <v/>
      </c>
      <c r="CV35" s="12">
        <f>CT35-CU35</f>
        <v/>
      </c>
      <c r="CW35" s="12">
        <f>ROUND(CU35*EssentialMix,0)</f>
        <v/>
      </c>
      <c r="CX35" s="12">
        <f>CU35-CW35</f>
        <v/>
      </c>
      <c r="CY35" s="12">
        <f>ROUND(CV35*EssentialMix,0)</f>
        <v/>
      </c>
      <c r="CZ35" s="12">
        <f>CV35-CY35</f>
        <v/>
      </c>
      <c r="DA35" s="12">
        <f>CW35+CW34+CW33+MAX(0,DA34-CW34-CW33)*(1-CP35)</f>
        <v/>
      </c>
      <c r="DB35" s="12">
        <f>CX35+CX34+CX33+MAX(0,DB34-CX34-CX33)*(1-CP35)</f>
        <v/>
      </c>
      <c r="DC35" s="12">
        <f>DC34+CY35-CY23*('Sens - Scenarios'!$D$6*VLOOKUP(CL35,ChurnSeasonTable,4,FALSE))*POWER(1-('Sens - Scenarios'!$D$6*VLOOKUP(CL35,ChurnSeasonTable,4,FALSE)),0)+CY11*('Sens - Scenarios'!$D$6*VLOOKUP(CL35,ChurnSeasonTable,4,FALSE))*POWER(1-('Sens - Scenarios'!$D$6*VLOOKUP(CL35,ChurnSeasonTable,4,FALSE)),1)</f>
        <v/>
      </c>
      <c r="DD35" s="12">
        <f>DD34+CZ35-CZ23*('Sens - Scenarios'!$D$6*VLOOKUP(CL35,ChurnSeasonTable,4,FALSE))*POWER(1-('Sens - Scenarios'!$D$6*VLOOKUP(CL35,ChurnSeasonTable,4,FALSE)),0)+CZ11*('Sens - Scenarios'!$D$6*VLOOKUP(CL35,ChurnSeasonTable,4,FALSE))*POWER(1-('Sens - Scenarios'!$D$6*VLOOKUP(CL35,ChurnSeasonTable,4,FALSE)),1)</f>
        <v/>
      </c>
      <c r="DE35" s="12">
        <f>DA35+DB35+DC35+DD35</f>
        <v/>
      </c>
      <c r="DF35" s="9">
        <f>DA35*PriceEssMonthly*CO35+DB35*PricePremMonthly*CO35+DC35*PriceEssAnnual*CO35/12+DD35*PricePremAnnual*CO35/12</f>
        <v/>
      </c>
      <c r="DG35" s="9">
        <f>DF35*12</f>
        <v/>
      </c>
      <c r="DH35" s="12">
        <f>DA35*PriceEssMonthly*CO35+DB35*PricePremMonthly*CO35</f>
        <v/>
      </c>
      <c r="DI35" s="12">
        <f>CY35*PriceEssAnnual*CO35+CZ35*PricePremAnnual*CO35</f>
        <v/>
      </c>
      <c r="DJ35" s="12">
        <f>CY23*POWER(1-('Sens - Scenarios'!$D$6*VLOOKUP(CL35,ChurnSeasonTable,4,FALSE)),1)*PriceEssAnnual*CO35+CY11*POWER(1-('Sens - Scenarios'!$D$6*VLOOKUP(CL35,ChurnSeasonTable,4,FALSE)),2)*PriceEssAnnual*CO35+CZ23*POWER(1-('Sens - Scenarios'!$D$6*VLOOKUP(CL35,ChurnSeasonTable,4,FALSE)),1)*PricePremAnnual*CO35+CZ11*POWER(1-('Sens - Scenarios'!$D$6*VLOOKUP(CL35,ChurnSeasonTable,4,FALSE)),2)*PricePremAnnual*CO35</f>
        <v/>
      </c>
      <c r="DK35" s="9">
        <f>DH35+DI35+DJ35</f>
        <v/>
      </c>
      <c r="DL35" s="12">
        <f>SUM(DK24:DK35)</f>
        <v/>
      </c>
      <c r="DM35" s="12">
        <f>OR(DM34,DL35&gt;=VATThreshold)</f>
        <v/>
      </c>
      <c r="DN35" s="9">
        <f>IF(DM35,DK35/(1+VATRate),DK35)</f>
        <v/>
      </c>
      <c r="DO35" s="12">
        <f>DK35-DN35</f>
        <v/>
      </c>
      <c r="DP35" s="12">
        <f>IF(DM35=0,0,IF(CL35=1,SUMPRODUCT(--(($CM$5:$CM35=$CM35-1)*($CL$5:$CL35&gt;=10)*($CL$5:$CL35&lt;=12)),$DO$5:$DO35),IF(CL35=4,SUMPRODUCT(--(($CM$5:$CM35=$CM35)*($CL$5:$CL35&gt;=1)*($CL$5:$CL35&lt;=3)),$DO$5:$DO35),IF(CL35=7,SUMPRODUCT(--(($CM$5:$CM35=$CM35)*($CL$5:$CL35&gt;=4)*($CL$5:$CL35&lt;=6)),$DO$5:$DO35),IF(CL35=10,SUMPRODUCT(--(($CM$5:$CM35=$CM35)*($CL$5:$CL35&gt;=7)*($CL$5:$CL35&lt;=9)),$DO$5:$DO35),0)))))</f>
        <v/>
      </c>
      <c r="DQ35" s="12">
        <f>DQ34+DO35-DP35</f>
        <v/>
      </c>
      <c r="DR35" s="12">
        <f>IF(ProviderDelay&gt;=1,DN34*ProviderShare,DN35*ProviderShare)</f>
        <v/>
      </c>
      <c r="DS35" s="12">
        <f>DK35*PaymentFee</f>
        <v/>
      </c>
      <c r="DT35" s="12">
        <f>DE35*OpsAI</f>
        <v/>
      </c>
      <c r="DU35" s="12">
        <f>MonthlyFixed</f>
        <v/>
      </c>
      <c r="DV35" s="12">
        <f>CS35*ReferralReward</f>
        <v/>
      </c>
      <c r="DW35" s="12">
        <f>CQ35</f>
        <v/>
      </c>
      <c r="DX35" s="9">
        <f>DN35-DR35-DS35-DT35-DU35-DV35-DW35</f>
        <v/>
      </c>
      <c r="DY35" s="9">
        <f>DY34+DK35-(DR35+DS35+DT35+DU35+DV35+DW35+DP35)</f>
        <v/>
      </c>
      <c r="DZ35" s="12">
        <f>IF(DE35&gt;0,DF35/DE35,0)</f>
        <v/>
      </c>
      <c r="EA35" s="11">
        <f>IF(DE34&gt;0,MAX(0,(DE34+CT35-DE35)/DE34),0)</f>
        <v/>
      </c>
      <c r="EC35" s="12" t="n">
        <v>31</v>
      </c>
      <c r="ED35" s="12">
        <f>MOD(EC35-1+LaunchMonth-1,12)+1</f>
        <v/>
      </c>
      <c r="EE35" s="12">
        <f>INT((EC35-1+LaunchMonth-1)/12)+1</f>
        <v/>
      </c>
      <c r="EF35" s="12">
        <f>VLOOKUP(ED35,SeasonTable,2,FALSE)</f>
        <v/>
      </c>
      <c r="EG35" s="12">
        <f>(1+InflationRate)^INT((EC35-1)/12)</f>
        <v/>
      </c>
      <c r="EH35" s="11">
        <f>'Sens - Churn'!$A$13*VLOOKUP(ED35,ChurnSeasonTable,4,FALSE)</f>
        <v/>
      </c>
      <c r="EI35" s="12">
        <f>MIN(MAX(MktMin19plus,FC34*MktPct19plus),MAX(0,FQ34-CashBuffer))</f>
        <v/>
      </c>
      <c r="EJ35" s="12">
        <f>IF(EI35&gt;0,MAX(1,ROUND(EI35/CAC*EF35,0)),0)</f>
        <v/>
      </c>
      <c r="EK35" s="12">
        <f>IF(EJ35&gt;0,ROUND(EJ35*ReferralMix/(1-ReferralMix),0),0)</f>
        <v/>
      </c>
      <c r="EL35" s="12">
        <f>EJ35+EK35</f>
        <v/>
      </c>
      <c r="EM35" s="12">
        <f>ROUND(EL35*(1-AnnualMix),0)</f>
        <v/>
      </c>
      <c r="EN35" s="12">
        <f>EL35-EM35</f>
        <v/>
      </c>
      <c r="EO35" s="12">
        <f>ROUND(EM35*EssentialMix,0)</f>
        <v/>
      </c>
      <c r="EP35" s="12">
        <f>EM35-EO35</f>
        <v/>
      </c>
      <c r="EQ35" s="12">
        <f>ROUND(EN35*EssentialMix,0)</f>
        <v/>
      </c>
      <c r="ER35" s="12">
        <f>EN35-EQ35</f>
        <v/>
      </c>
      <c r="ES35" s="12">
        <f>EO35+EO34+EO33+MAX(0,ES34-EO34-EO33)*(1-EH35)</f>
        <v/>
      </c>
      <c r="ET35" s="12">
        <f>EP35+EP34+EP33+MAX(0,ET34-EP34-EP33)*(1-EH35)</f>
        <v/>
      </c>
      <c r="EU35" s="12">
        <f>EU34+EQ35-EQ23*(AnnualChurn*VLOOKUP(ED35,ChurnSeasonTable,4,FALSE))*POWER(1-(AnnualChurn*VLOOKUP(ED35,ChurnSeasonTable,4,FALSE)),0)+EQ11*(AnnualChurn*VLOOKUP(ED35,ChurnSeasonTable,4,FALSE))*POWER(1-(AnnualChurn*VLOOKUP(ED35,ChurnSeasonTable,4,FALSE)),1)</f>
        <v/>
      </c>
      <c r="EV35" s="12">
        <f>EV34+ER35-ER23*(AnnualChurn*VLOOKUP(ED35,ChurnSeasonTable,4,FALSE))*POWER(1-(AnnualChurn*VLOOKUP(ED35,ChurnSeasonTable,4,FALSE)),0)+ER11*(AnnualChurn*VLOOKUP(ED35,ChurnSeasonTable,4,FALSE))*POWER(1-(AnnualChurn*VLOOKUP(ED35,ChurnSeasonTable,4,FALSE)),1)</f>
        <v/>
      </c>
      <c r="EW35" s="12">
        <f>ES35+ET35+EU35+EV35</f>
        <v/>
      </c>
      <c r="EX35" s="9">
        <f>ES35*PriceEssMonthly*EG35+ET35*PricePremMonthly*EG35+EU35*PriceEssAnnual*EG35/12+EV35*PricePremAnnual*EG35/12</f>
        <v/>
      </c>
      <c r="EY35" s="9">
        <f>EX35*12</f>
        <v/>
      </c>
      <c r="EZ35" s="12">
        <f>ES35*PriceEssMonthly*EG35+ET35*PricePremMonthly*EG35</f>
        <v/>
      </c>
      <c r="FA35" s="12">
        <f>EQ35*PriceEssAnnual*EG35+ER35*PricePremAnnual*EG35</f>
        <v/>
      </c>
      <c r="FB35" s="12">
        <f>EQ23*POWER(1-(AnnualChurn*VLOOKUP(ED35,ChurnSeasonTable,4,FALSE)),1)*PriceEssAnnual*EG35+EQ11*POWER(1-(AnnualChurn*VLOOKUP(ED35,ChurnSeasonTable,4,FALSE)),2)*PriceEssAnnual*EG35+ER23*POWER(1-(AnnualChurn*VLOOKUP(ED35,ChurnSeasonTable,4,FALSE)),1)*PricePremAnnual*EG35+ER11*POWER(1-(AnnualChurn*VLOOKUP(ED35,ChurnSeasonTable,4,FALSE)),2)*PricePremAnnual*EG35</f>
        <v/>
      </c>
      <c r="FC35" s="9">
        <f>EZ35+FA35+FB35</f>
        <v/>
      </c>
      <c r="FD35" s="12">
        <f>SUM(FC24:FC35)</f>
        <v/>
      </c>
      <c r="FE35" s="12">
        <f>OR(FE34,FD35&gt;=VATThreshold)</f>
        <v/>
      </c>
      <c r="FF35" s="9">
        <f>IF(FE35,FC35/(1+VATRate),FC35)</f>
        <v/>
      </c>
      <c r="FG35" s="12">
        <f>FC35-FF35</f>
        <v/>
      </c>
      <c r="FH35" s="12">
        <f>IF(FE35=0,0,IF(ED35=1,SUMPRODUCT(--(($EE$5:$EE35=$EE35-1)*($ED$5:$ED35&gt;=10)*($ED$5:$ED35&lt;=12)),$FG$5:$FG35),IF(ED35=4,SUMPRODUCT(--(($EE$5:$EE35=$EE35)*($ED$5:$ED35&gt;=1)*($ED$5:$ED35&lt;=3)),$FG$5:$FG35),IF(ED35=7,SUMPRODUCT(--(($EE$5:$EE35=$EE35)*($ED$5:$ED35&gt;=4)*($ED$5:$ED35&lt;=6)),$FG$5:$FG35),IF(ED35=10,SUMPRODUCT(--(($EE$5:$EE35=$EE35)*($ED$5:$ED35&gt;=7)*($ED$5:$ED35&lt;=9)),$FG$5:$FG35),0)))))</f>
        <v/>
      </c>
      <c r="FI35" s="12">
        <f>FI34+FG35-FH35</f>
        <v/>
      </c>
      <c r="FJ35" s="12">
        <f>IF(ProviderDelay&gt;=1,FF34*ProviderShare,FF35*ProviderShare)</f>
        <v/>
      </c>
      <c r="FK35" s="12">
        <f>FC35*PaymentFee</f>
        <v/>
      </c>
      <c r="FL35" s="12">
        <f>EW35*OpsAI</f>
        <v/>
      </c>
      <c r="FM35" s="12">
        <f>MonthlyFixed</f>
        <v/>
      </c>
      <c r="FN35" s="12">
        <f>EK35*ReferralReward</f>
        <v/>
      </c>
      <c r="FO35" s="12">
        <f>EI35</f>
        <v/>
      </c>
      <c r="FP35" s="9">
        <f>FF35-FJ35-FK35-FL35-FM35-FN35-FO35</f>
        <v/>
      </c>
      <c r="FQ35" s="9">
        <f>FQ34+FC35-(FJ35+FK35+FL35+FM35+FN35+FO35+FH35)</f>
        <v/>
      </c>
      <c r="FR35" s="12">
        <f>IF(EW35&gt;0,EX35/EW35,0)</f>
        <v/>
      </c>
      <c r="FS35" s="11">
        <f>IF(EW34&gt;0,MAX(0,(EW34+EL35-EW35)/EW34),0)</f>
        <v/>
      </c>
      <c r="FU35" s="12" t="n">
        <v>31</v>
      </c>
      <c r="FV35" s="12">
        <f>MOD(FU35-1+LaunchMonth-1,12)+1</f>
        <v/>
      </c>
      <c r="FW35" s="12">
        <f>INT((FU35-1+LaunchMonth-1)/12)+1</f>
        <v/>
      </c>
      <c r="FX35" s="12">
        <f>VLOOKUP(FV35,SeasonTable,2,FALSE)</f>
        <v/>
      </c>
      <c r="FY35" s="12">
        <f>(1+InflationRate)^INT((FU35-1)/12)</f>
        <v/>
      </c>
      <c r="FZ35" s="11">
        <f>'Sens - Churn'!$A$14*VLOOKUP(FV35,ChurnSeasonTable,4,FALSE)</f>
        <v/>
      </c>
      <c r="GA35" s="12">
        <f>MIN(MAX(MktMin19plus,GU34*MktPct19plus),MAX(0,HI34-CashBuffer))</f>
        <v/>
      </c>
      <c r="GB35" s="12">
        <f>IF(GA35&gt;0,MAX(1,ROUND(GA35/CAC*FX35,0)),0)</f>
        <v/>
      </c>
      <c r="GC35" s="12">
        <f>IF(GB35&gt;0,ROUND(GB35*ReferralMix/(1-ReferralMix),0),0)</f>
        <v/>
      </c>
      <c r="GD35" s="12">
        <f>GB35+GC35</f>
        <v/>
      </c>
      <c r="GE35" s="12">
        <f>ROUND(GD35*(1-AnnualMix),0)</f>
        <v/>
      </c>
      <c r="GF35" s="12">
        <f>GD35-GE35</f>
        <v/>
      </c>
      <c r="GG35" s="12">
        <f>ROUND(GE35*EssentialMix,0)</f>
        <v/>
      </c>
      <c r="GH35" s="12">
        <f>GE35-GG35</f>
        <v/>
      </c>
      <c r="GI35" s="12">
        <f>ROUND(GF35*EssentialMix,0)</f>
        <v/>
      </c>
      <c r="GJ35" s="12">
        <f>GF35-GI35</f>
        <v/>
      </c>
      <c r="GK35" s="12">
        <f>GG35+GG34+GG33+MAX(0,GK34-GG34-GG33)*(1-FZ35)</f>
        <v/>
      </c>
      <c r="GL35" s="12">
        <f>GH35+GH34+GH33+MAX(0,GL34-GH34-GH33)*(1-FZ35)</f>
        <v/>
      </c>
      <c r="GM35" s="12">
        <f>GM34+GI35-GI23*(AnnualChurn*VLOOKUP(FV35,ChurnSeasonTable,4,FALSE))*POWER(1-(AnnualChurn*VLOOKUP(FV35,ChurnSeasonTable,4,FALSE)),0)+GI11*(AnnualChurn*VLOOKUP(FV35,ChurnSeasonTable,4,FALSE))*POWER(1-(AnnualChurn*VLOOKUP(FV35,ChurnSeasonTable,4,FALSE)),1)</f>
        <v/>
      </c>
      <c r="GN35" s="12">
        <f>GN34+GJ35-GJ23*(AnnualChurn*VLOOKUP(FV35,ChurnSeasonTable,4,FALSE))*POWER(1-(AnnualChurn*VLOOKUP(FV35,ChurnSeasonTable,4,FALSE)),0)+GJ11*(AnnualChurn*VLOOKUP(FV35,ChurnSeasonTable,4,FALSE))*POWER(1-(AnnualChurn*VLOOKUP(FV35,ChurnSeasonTable,4,FALSE)),1)</f>
        <v/>
      </c>
      <c r="GO35" s="12">
        <f>GK35+GL35+GM35+GN35</f>
        <v/>
      </c>
      <c r="GP35" s="9">
        <f>GK35*PriceEssMonthly*FY35+GL35*PricePremMonthly*FY35+GM35*PriceEssAnnual*FY35/12+GN35*PricePremAnnual*FY35/12</f>
        <v/>
      </c>
      <c r="GQ35" s="9">
        <f>GP35*12</f>
        <v/>
      </c>
      <c r="GR35" s="12">
        <f>GK35*PriceEssMonthly*FY35+GL35*PricePremMonthly*FY35</f>
        <v/>
      </c>
      <c r="GS35" s="12">
        <f>GI35*PriceEssAnnual*FY35+GJ35*PricePremAnnual*FY35</f>
        <v/>
      </c>
      <c r="GT35" s="12">
        <f>GI23*POWER(1-(AnnualChurn*VLOOKUP(FV35,ChurnSeasonTable,4,FALSE)),1)*PriceEssAnnual*FY35+GI11*POWER(1-(AnnualChurn*VLOOKUP(FV35,ChurnSeasonTable,4,FALSE)),2)*PriceEssAnnual*FY35+GJ23*POWER(1-(AnnualChurn*VLOOKUP(FV35,ChurnSeasonTable,4,FALSE)),1)*PricePremAnnual*FY35+GJ11*POWER(1-(AnnualChurn*VLOOKUP(FV35,ChurnSeasonTable,4,FALSE)),2)*PricePremAnnual*FY35</f>
        <v/>
      </c>
      <c r="GU35" s="9">
        <f>GR35+GS35+GT35</f>
        <v/>
      </c>
      <c r="GV35" s="12">
        <f>SUM(GU24:GU35)</f>
        <v/>
      </c>
      <c r="GW35" s="12">
        <f>OR(GW34,GV35&gt;=VATThreshold)</f>
        <v/>
      </c>
      <c r="GX35" s="9">
        <f>IF(GW35,GU35/(1+VATRate),GU35)</f>
        <v/>
      </c>
      <c r="GY35" s="12">
        <f>GU35-GX35</f>
        <v/>
      </c>
      <c r="GZ35" s="12">
        <f>IF(GW35=0,0,IF(FV35=1,SUMPRODUCT(--(($FW$5:$FW35=$FW35-1)*($FV$5:$FV35&gt;=10)*($FV$5:$FV35&lt;=12)),$GY$5:$GY35),IF(FV35=4,SUMPRODUCT(--(($FW$5:$FW35=$FW35)*($FV$5:$FV35&gt;=1)*($FV$5:$FV35&lt;=3)),$GY$5:$GY35),IF(FV35=7,SUMPRODUCT(--(($FW$5:$FW35=$FW35)*($FV$5:$FV35&gt;=4)*($FV$5:$FV35&lt;=6)),$GY$5:$GY35),IF(FV35=10,SUMPRODUCT(--(($FW$5:$FW35=$FW35)*($FV$5:$FV35&gt;=7)*($FV$5:$FV35&lt;=9)),$GY$5:$GY35),0)))))</f>
        <v/>
      </c>
      <c r="HA35" s="12">
        <f>HA34+GY35-GZ35</f>
        <v/>
      </c>
      <c r="HB35" s="12">
        <f>IF(ProviderDelay&gt;=1,GX34*ProviderShare,GX35*ProviderShare)</f>
        <v/>
      </c>
      <c r="HC35" s="12">
        <f>GU35*PaymentFee</f>
        <v/>
      </c>
      <c r="HD35" s="12">
        <f>GO35*OpsAI</f>
        <v/>
      </c>
      <c r="HE35" s="12">
        <f>MonthlyFixed</f>
        <v/>
      </c>
      <c r="HF35" s="12">
        <f>GC35*ReferralReward</f>
        <v/>
      </c>
      <c r="HG35" s="12">
        <f>GA35</f>
        <v/>
      </c>
      <c r="HH35" s="9">
        <f>GX35-HB35-HC35-HD35-HE35-HF35-HG35</f>
        <v/>
      </c>
      <c r="HI35" s="9">
        <f>HI34+GU35-(HB35+HC35+HD35+HE35+HF35+HG35+GZ35)</f>
        <v/>
      </c>
      <c r="HJ35" s="12">
        <f>IF(GO35&gt;0,GP35/GO35,0)</f>
        <v/>
      </c>
      <c r="HK35" s="11">
        <f>IF(GO34&gt;0,MAX(0,(GO34+GD35-GO35)/GO34),0)</f>
        <v/>
      </c>
      <c r="HM35" s="12" t="n">
        <v>31</v>
      </c>
      <c r="HN35" s="12">
        <f>MOD(HM35-1+LaunchMonth-1,12)+1</f>
        <v/>
      </c>
      <c r="HO35" s="12">
        <f>INT((HM35-1+LaunchMonth-1)/12)+1</f>
        <v/>
      </c>
      <c r="HP35" s="12">
        <f>VLOOKUP(HN35,SeasonTable,2,FALSE)</f>
        <v/>
      </c>
      <c r="HQ35" s="12">
        <f>(1+InflationRate)^INT((HM35-1)/12)</f>
        <v/>
      </c>
      <c r="HR35" s="11">
        <f>'Sens - Churn'!$A$15*VLOOKUP(HN35,ChurnSeasonTable,4,FALSE)</f>
        <v/>
      </c>
      <c r="HS35" s="12">
        <f>MIN(MAX(MktMin19plus,IM34*MktPct19plus),MAX(0,JA34-CashBuffer))</f>
        <v/>
      </c>
      <c r="HT35" s="12">
        <f>IF(HS35&gt;0,MAX(1,ROUND(HS35/CAC*HP35,0)),0)</f>
        <v/>
      </c>
      <c r="HU35" s="12">
        <f>IF(HT35&gt;0,ROUND(HT35*ReferralMix/(1-ReferralMix),0),0)</f>
        <v/>
      </c>
      <c r="HV35" s="12">
        <f>HT35+HU35</f>
        <v/>
      </c>
      <c r="HW35" s="12">
        <f>ROUND(HV35*(1-AnnualMix),0)</f>
        <v/>
      </c>
      <c r="HX35" s="12">
        <f>HV35-HW35</f>
        <v/>
      </c>
      <c r="HY35" s="12">
        <f>ROUND(HW35*EssentialMix,0)</f>
        <v/>
      </c>
      <c r="HZ35" s="12">
        <f>HW35-HY35</f>
        <v/>
      </c>
      <c r="IA35" s="12">
        <f>ROUND(HX35*EssentialMix,0)</f>
        <v/>
      </c>
      <c r="IB35" s="12">
        <f>HX35-IA35</f>
        <v/>
      </c>
      <c r="IC35" s="12">
        <f>HY35+HY34+HY33+MAX(0,IC34-HY34-HY33)*(1-HR35)</f>
        <v/>
      </c>
      <c r="ID35" s="12">
        <f>HZ35+HZ34+HZ33+MAX(0,ID34-HZ34-HZ33)*(1-HR35)</f>
        <v/>
      </c>
      <c r="IE35" s="12">
        <f>IE34+IA35-IA23*(AnnualChurn*VLOOKUP(HN35,ChurnSeasonTable,4,FALSE))*POWER(1-(AnnualChurn*VLOOKUP(HN35,ChurnSeasonTable,4,FALSE)),0)+IA11*(AnnualChurn*VLOOKUP(HN35,ChurnSeasonTable,4,FALSE))*POWER(1-(AnnualChurn*VLOOKUP(HN35,ChurnSeasonTable,4,FALSE)),1)</f>
        <v/>
      </c>
      <c r="IF35" s="12">
        <f>IF34+IB35-IB23*(AnnualChurn*VLOOKUP(HN35,ChurnSeasonTable,4,FALSE))*POWER(1-(AnnualChurn*VLOOKUP(HN35,ChurnSeasonTable,4,FALSE)),0)+IB11*(AnnualChurn*VLOOKUP(HN35,ChurnSeasonTable,4,FALSE))*POWER(1-(AnnualChurn*VLOOKUP(HN35,ChurnSeasonTable,4,FALSE)),1)</f>
        <v/>
      </c>
      <c r="IG35" s="12">
        <f>IC35+ID35+IE35+IF35</f>
        <v/>
      </c>
      <c r="IH35" s="9">
        <f>IC35*PriceEssMonthly*HQ35+ID35*PricePremMonthly*HQ35+IE35*PriceEssAnnual*HQ35/12+IF35*PricePremAnnual*HQ35/12</f>
        <v/>
      </c>
      <c r="II35" s="9">
        <f>IH35*12</f>
        <v/>
      </c>
      <c r="IJ35" s="12">
        <f>IC35*PriceEssMonthly*HQ35+ID35*PricePremMonthly*HQ35</f>
        <v/>
      </c>
      <c r="IK35" s="12">
        <f>IA35*PriceEssAnnual*HQ35+IB35*PricePremAnnual*HQ35</f>
        <v/>
      </c>
      <c r="IL35" s="12">
        <f>IA23*POWER(1-(AnnualChurn*VLOOKUP(HN35,ChurnSeasonTable,4,FALSE)),1)*PriceEssAnnual*HQ35+IA11*POWER(1-(AnnualChurn*VLOOKUP(HN35,ChurnSeasonTable,4,FALSE)),2)*PriceEssAnnual*HQ35+IB23*POWER(1-(AnnualChurn*VLOOKUP(HN35,ChurnSeasonTable,4,FALSE)),1)*PricePremAnnual*HQ35+IB11*POWER(1-(AnnualChurn*VLOOKUP(HN35,ChurnSeasonTable,4,FALSE)),2)*PricePremAnnual*HQ35</f>
        <v/>
      </c>
      <c r="IM35" s="9">
        <f>IJ35+IK35+IL35</f>
        <v/>
      </c>
      <c r="IN35" s="12">
        <f>SUM(IM24:IM35)</f>
        <v/>
      </c>
      <c r="IO35" s="12">
        <f>OR(IO34,IN35&gt;=VATThreshold)</f>
        <v/>
      </c>
      <c r="IP35" s="9">
        <f>IF(IO35,IM35/(1+VATRate),IM35)</f>
        <v/>
      </c>
      <c r="IQ35" s="12">
        <f>IM35-IP35</f>
        <v/>
      </c>
      <c r="IR35" s="12">
        <f>IF(IO35=0,0,IF(HN35=1,SUMPRODUCT(--(($HO$5:$HO35=$HO35-1)*($HN$5:$HN35&gt;=10)*($HN$5:$HN35&lt;=12)),$IQ$5:$IQ35),IF(HN35=4,SUMPRODUCT(--(($HO$5:$HO35=$HO35)*($HN$5:$HN35&gt;=1)*($HN$5:$HN35&lt;=3)),$IQ$5:$IQ35),IF(HN35=7,SUMPRODUCT(--(($HO$5:$HO35=$HO35)*($HN$5:$HN35&gt;=4)*($HN$5:$HN35&lt;=6)),$IQ$5:$IQ35),IF(HN35=10,SUMPRODUCT(--(($HO$5:$HO35=$HO35)*($HN$5:$HN35&gt;=7)*($HN$5:$HN35&lt;=9)),$IQ$5:$IQ35),0)))))</f>
        <v/>
      </c>
      <c r="IS35" s="12">
        <f>IS34+IQ35-IR35</f>
        <v/>
      </c>
      <c r="IT35" s="12">
        <f>IF(ProviderDelay&gt;=1,IP34*ProviderShare,IP35*ProviderShare)</f>
        <v/>
      </c>
      <c r="IU35" s="12">
        <f>IM35*PaymentFee</f>
        <v/>
      </c>
      <c r="IV35" s="12">
        <f>IG35*OpsAI</f>
        <v/>
      </c>
      <c r="IW35" s="12">
        <f>MonthlyFixed</f>
        <v/>
      </c>
      <c r="IX35" s="12">
        <f>HU35*ReferralReward</f>
        <v/>
      </c>
      <c r="IY35" s="12">
        <f>HS35</f>
        <v/>
      </c>
      <c r="IZ35" s="9">
        <f>IP35-IT35-IU35-IV35-IW35-IX35-IY35</f>
        <v/>
      </c>
      <c r="JA35" s="9">
        <f>JA34+IM35-(IT35+IU35+IV35+IW35+IX35+IY35+IR35)</f>
        <v/>
      </c>
      <c r="JB35" s="12">
        <f>IF(IG35&gt;0,IH35/IG35,0)</f>
        <v/>
      </c>
      <c r="JC35" s="11">
        <f>IF(IG34&gt;0,MAX(0,(IG34+HV35-IG35)/IG34),0)</f>
        <v/>
      </c>
      <c r="JE35" s="12" t="n">
        <v>31</v>
      </c>
      <c r="JF35" s="12">
        <f>MOD(JE35-1+LaunchMonth-1,12)+1</f>
        <v/>
      </c>
      <c r="JG35" s="12">
        <f>INT((JE35-1+LaunchMonth-1)/12)+1</f>
        <v/>
      </c>
      <c r="JH35" s="12">
        <f>VLOOKUP(JF35,SeasonTable,2,FALSE)</f>
        <v/>
      </c>
      <c r="JI35" s="12">
        <f>(1+InflationRate)^INT((JE35-1)/12)</f>
        <v/>
      </c>
      <c r="JJ35" s="11">
        <f>'Sens - Churn'!$A$16*VLOOKUP(JF35,ChurnSeasonTable,4,FALSE)</f>
        <v/>
      </c>
      <c r="JK35" s="12">
        <f>MIN(MAX(MktMin19plus,KE34*MktPct19plus),MAX(0,KS34-CashBuffer))</f>
        <v/>
      </c>
      <c r="JL35" s="12">
        <f>IF(JK35&gt;0,MAX(1,ROUND(JK35/CAC*JH35,0)),0)</f>
        <v/>
      </c>
      <c r="JM35" s="12">
        <f>IF(JL35&gt;0,ROUND(JL35*ReferralMix/(1-ReferralMix),0),0)</f>
        <v/>
      </c>
      <c r="JN35" s="12">
        <f>JL35+JM35</f>
        <v/>
      </c>
      <c r="JO35" s="12">
        <f>ROUND(JN35*(1-AnnualMix),0)</f>
        <v/>
      </c>
      <c r="JP35" s="12">
        <f>JN35-JO35</f>
        <v/>
      </c>
      <c r="JQ35" s="12">
        <f>ROUND(JO35*EssentialMix,0)</f>
        <v/>
      </c>
      <c r="JR35" s="12">
        <f>JO35-JQ35</f>
        <v/>
      </c>
      <c r="JS35" s="12">
        <f>ROUND(JP35*EssentialMix,0)</f>
        <v/>
      </c>
      <c r="JT35" s="12">
        <f>JP35-JS35</f>
        <v/>
      </c>
      <c r="JU35" s="12">
        <f>JQ35+JQ34+JQ33+MAX(0,JU34-JQ34-JQ33)*(1-JJ35)</f>
        <v/>
      </c>
      <c r="JV35" s="12">
        <f>JR35+JR34+JR33+MAX(0,JV34-JR34-JR33)*(1-JJ35)</f>
        <v/>
      </c>
      <c r="JW35" s="12">
        <f>JW34+JS35-JS23*(AnnualChurn*VLOOKUP(JF35,ChurnSeasonTable,4,FALSE))*POWER(1-(AnnualChurn*VLOOKUP(JF35,ChurnSeasonTable,4,FALSE)),0)+JS11*(AnnualChurn*VLOOKUP(JF35,ChurnSeasonTable,4,FALSE))*POWER(1-(AnnualChurn*VLOOKUP(JF35,ChurnSeasonTable,4,FALSE)),1)</f>
        <v/>
      </c>
      <c r="JX35" s="12">
        <f>JX34+JT35-JT23*(AnnualChurn*VLOOKUP(JF35,ChurnSeasonTable,4,FALSE))*POWER(1-(AnnualChurn*VLOOKUP(JF35,ChurnSeasonTable,4,FALSE)),0)+JT11*(AnnualChurn*VLOOKUP(JF35,ChurnSeasonTable,4,FALSE))*POWER(1-(AnnualChurn*VLOOKUP(JF35,ChurnSeasonTable,4,FALSE)),1)</f>
        <v/>
      </c>
      <c r="JY35" s="12">
        <f>JU35+JV35+JW35+JX35</f>
        <v/>
      </c>
      <c r="JZ35" s="9">
        <f>JU35*PriceEssMonthly*JI35+JV35*PricePremMonthly*JI35+JW35*PriceEssAnnual*JI35/12+JX35*PricePremAnnual*JI35/12</f>
        <v/>
      </c>
      <c r="KA35" s="9">
        <f>JZ35*12</f>
        <v/>
      </c>
      <c r="KB35" s="12">
        <f>JU35*PriceEssMonthly*JI35+JV35*PricePremMonthly*JI35</f>
        <v/>
      </c>
      <c r="KC35" s="12">
        <f>JS35*PriceEssAnnual*JI35+JT35*PricePremAnnual*JI35</f>
        <v/>
      </c>
      <c r="KD35" s="12">
        <f>JS23*POWER(1-(AnnualChurn*VLOOKUP(JF35,ChurnSeasonTable,4,FALSE)),1)*PriceEssAnnual*JI35+JS11*POWER(1-(AnnualChurn*VLOOKUP(JF35,ChurnSeasonTable,4,FALSE)),2)*PriceEssAnnual*JI35+JT23*POWER(1-(AnnualChurn*VLOOKUP(JF35,ChurnSeasonTable,4,FALSE)),1)*PricePremAnnual*JI35+JT11*POWER(1-(AnnualChurn*VLOOKUP(JF35,ChurnSeasonTable,4,FALSE)),2)*PricePremAnnual*JI35</f>
        <v/>
      </c>
      <c r="KE35" s="9">
        <f>KB35+KC35+KD35</f>
        <v/>
      </c>
      <c r="KF35" s="12">
        <f>SUM(KE24:KE35)</f>
        <v/>
      </c>
      <c r="KG35" s="12">
        <f>OR(KG34,KF35&gt;=VATThreshold)</f>
        <v/>
      </c>
      <c r="KH35" s="9">
        <f>IF(KG35,KE35/(1+VATRate),KE35)</f>
        <v/>
      </c>
      <c r="KI35" s="12">
        <f>KE35-KH35</f>
        <v/>
      </c>
      <c r="KJ35" s="12">
        <f>IF(KG35=0,0,IF(JF35=1,SUMPRODUCT(--(($JG$5:$JG35=$JG35-1)*($JF$5:$JF35&gt;=10)*($JF$5:$JF35&lt;=12)),$KI$5:$KI35),IF(JF35=4,SUMPRODUCT(--(($JG$5:$JG35=$JG35)*($JF$5:$JF35&gt;=1)*($JF$5:$JF35&lt;=3)),$KI$5:$KI35),IF(JF35=7,SUMPRODUCT(--(($JG$5:$JG35=$JG35)*($JF$5:$JF35&gt;=4)*($JF$5:$JF35&lt;=6)),$KI$5:$KI35),IF(JF35=10,SUMPRODUCT(--(($JG$5:$JG35=$JG35)*($JF$5:$JF35&gt;=7)*($JF$5:$JF35&lt;=9)),$KI$5:$KI35),0)))))</f>
        <v/>
      </c>
      <c r="KK35" s="12">
        <f>KK34+KI35-KJ35</f>
        <v/>
      </c>
      <c r="KL35" s="12">
        <f>IF(ProviderDelay&gt;=1,KH34*ProviderShare,KH35*ProviderShare)</f>
        <v/>
      </c>
      <c r="KM35" s="12">
        <f>KE35*PaymentFee</f>
        <v/>
      </c>
      <c r="KN35" s="12">
        <f>JY35*OpsAI</f>
        <v/>
      </c>
      <c r="KO35" s="12">
        <f>MonthlyFixed</f>
        <v/>
      </c>
      <c r="KP35" s="12">
        <f>JM35*ReferralReward</f>
        <v/>
      </c>
      <c r="KQ35" s="12">
        <f>JK35</f>
        <v/>
      </c>
      <c r="KR35" s="9">
        <f>KH35-KL35-KM35-KN35-KO35-KP35-KQ35</f>
        <v/>
      </c>
      <c r="KS35" s="9">
        <f>KS34+KE35-(KL35+KM35+KN35+KO35+KP35+KQ35+KJ35)</f>
        <v/>
      </c>
      <c r="KT35" s="12">
        <f>IF(JY35&gt;0,JZ35/JY35,0)</f>
        <v/>
      </c>
      <c r="KU35" s="11">
        <f>IF(JY34&gt;0,MAX(0,(JY34+JN35-JY35)/JY34),0)</f>
        <v/>
      </c>
      <c r="KW35" s="12" t="n">
        <v>31</v>
      </c>
      <c r="KX35" s="12">
        <f>MOD(KW35-1+LaunchMonth-1,12)+1</f>
        <v/>
      </c>
      <c r="KY35" s="12">
        <f>INT((KW35-1+LaunchMonth-1)/12)+1</f>
        <v/>
      </c>
      <c r="KZ35" s="12">
        <f>VLOOKUP(KX35,SeasonTable,2,FALSE)</f>
        <v/>
      </c>
      <c r="LA35" s="12">
        <f>(1+InflationRate)^INT((KW35-1)/12)</f>
        <v/>
      </c>
      <c r="LB35" s="11">
        <f>'Sens - Churn'!$A$17*VLOOKUP(KX35,ChurnSeasonTable,4,FALSE)</f>
        <v/>
      </c>
      <c r="LC35" s="12">
        <f>MIN(MAX(MktMin19plus,LW34*MktPct19plus),MAX(0,MK34-CashBuffer))</f>
        <v/>
      </c>
      <c r="LD35" s="12">
        <f>IF(LC35&gt;0,MAX(1,ROUND(LC35/CAC*KZ35,0)),0)</f>
        <v/>
      </c>
      <c r="LE35" s="12">
        <f>IF(LD35&gt;0,ROUND(LD35*ReferralMix/(1-ReferralMix),0),0)</f>
        <v/>
      </c>
      <c r="LF35" s="12">
        <f>LD35+LE35</f>
        <v/>
      </c>
      <c r="LG35" s="12">
        <f>ROUND(LF35*(1-AnnualMix),0)</f>
        <v/>
      </c>
      <c r="LH35" s="12">
        <f>LF35-LG35</f>
        <v/>
      </c>
      <c r="LI35" s="12">
        <f>ROUND(LG35*EssentialMix,0)</f>
        <v/>
      </c>
      <c r="LJ35" s="12">
        <f>LG35-LI35</f>
        <v/>
      </c>
      <c r="LK35" s="12">
        <f>ROUND(LH35*EssentialMix,0)</f>
        <v/>
      </c>
      <c r="LL35" s="12">
        <f>LH35-LK35</f>
        <v/>
      </c>
      <c r="LM35" s="12">
        <f>LI35+LI34+LI33+MAX(0,LM34-LI34-LI33)*(1-LB35)</f>
        <v/>
      </c>
      <c r="LN35" s="12">
        <f>LJ35+LJ34+LJ33+MAX(0,LN34-LJ34-LJ33)*(1-LB35)</f>
        <v/>
      </c>
      <c r="LO35" s="12">
        <f>LO34+LK35-LK23*(AnnualChurn*VLOOKUP(KX35,ChurnSeasonTable,4,FALSE))*POWER(1-(AnnualChurn*VLOOKUP(KX35,ChurnSeasonTable,4,FALSE)),0)+LK11*(AnnualChurn*VLOOKUP(KX35,ChurnSeasonTable,4,FALSE))*POWER(1-(AnnualChurn*VLOOKUP(KX35,ChurnSeasonTable,4,FALSE)),1)</f>
        <v/>
      </c>
      <c r="LP35" s="12">
        <f>LP34+LL35-LL23*(AnnualChurn*VLOOKUP(KX35,ChurnSeasonTable,4,FALSE))*POWER(1-(AnnualChurn*VLOOKUP(KX35,ChurnSeasonTable,4,FALSE)),0)+LL11*(AnnualChurn*VLOOKUP(KX35,ChurnSeasonTable,4,FALSE))*POWER(1-(AnnualChurn*VLOOKUP(KX35,ChurnSeasonTable,4,FALSE)),1)</f>
        <v/>
      </c>
      <c r="LQ35" s="12">
        <f>LM35+LN35+LO35+LP35</f>
        <v/>
      </c>
      <c r="LR35" s="9">
        <f>LM35*PriceEssMonthly*LA35+LN35*PricePremMonthly*LA35+LO35*PriceEssAnnual*LA35/12+LP35*PricePremAnnual*LA35/12</f>
        <v/>
      </c>
      <c r="LS35" s="9">
        <f>LR35*12</f>
        <v/>
      </c>
      <c r="LT35" s="12">
        <f>LM35*PriceEssMonthly*LA35+LN35*PricePremMonthly*LA35</f>
        <v/>
      </c>
      <c r="LU35" s="12">
        <f>LK35*PriceEssAnnual*LA35+LL35*PricePremAnnual*LA35</f>
        <v/>
      </c>
      <c r="LV35" s="12">
        <f>LK23*POWER(1-(AnnualChurn*VLOOKUP(KX35,ChurnSeasonTable,4,FALSE)),1)*PriceEssAnnual*LA35+LK11*POWER(1-(AnnualChurn*VLOOKUP(KX35,ChurnSeasonTable,4,FALSE)),2)*PriceEssAnnual*LA35+LL23*POWER(1-(AnnualChurn*VLOOKUP(KX35,ChurnSeasonTable,4,FALSE)),1)*PricePremAnnual*LA35+LL11*POWER(1-(AnnualChurn*VLOOKUP(KX35,ChurnSeasonTable,4,FALSE)),2)*PricePremAnnual*LA35</f>
        <v/>
      </c>
      <c r="LW35" s="9">
        <f>LT35+LU35+LV35</f>
        <v/>
      </c>
      <c r="LX35" s="12">
        <f>SUM(LW24:LW35)</f>
        <v/>
      </c>
      <c r="LY35" s="12">
        <f>OR(LY34,LX35&gt;=VATThreshold)</f>
        <v/>
      </c>
      <c r="LZ35" s="9">
        <f>IF(LY35,LW35/(1+VATRate),LW35)</f>
        <v/>
      </c>
      <c r="MA35" s="12">
        <f>LW35-LZ35</f>
        <v/>
      </c>
      <c r="MB35" s="12">
        <f>IF(LY35=0,0,IF(KX35=1,SUMPRODUCT(--(($KY$5:$KY35=$KY35-1)*($KX$5:$KX35&gt;=10)*($KX$5:$KX35&lt;=12)),$MA$5:$MA35),IF(KX35=4,SUMPRODUCT(--(($KY$5:$KY35=$KY35)*($KX$5:$KX35&gt;=1)*($KX$5:$KX35&lt;=3)),$MA$5:$MA35),IF(KX35=7,SUMPRODUCT(--(($KY$5:$KY35=$KY35)*($KX$5:$KX35&gt;=4)*($KX$5:$KX35&lt;=6)),$MA$5:$MA35),IF(KX35=10,SUMPRODUCT(--(($KY$5:$KY35=$KY35)*($KX$5:$KX35&gt;=7)*($KX$5:$KX35&lt;=9)),$MA$5:$MA35),0)))))</f>
        <v/>
      </c>
      <c r="MC35" s="12">
        <f>MC34+MA35-MB35</f>
        <v/>
      </c>
      <c r="MD35" s="12">
        <f>IF(ProviderDelay&gt;=1,LZ34*ProviderShare,LZ35*ProviderShare)</f>
        <v/>
      </c>
      <c r="ME35" s="12">
        <f>LW35*PaymentFee</f>
        <v/>
      </c>
      <c r="MF35" s="12">
        <f>LQ35*OpsAI</f>
        <v/>
      </c>
      <c r="MG35" s="12">
        <f>MonthlyFixed</f>
        <v/>
      </c>
      <c r="MH35" s="12">
        <f>LE35*ReferralReward</f>
        <v/>
      </c>
      <c r="MI35" s="12">
        <f>LC35</f>
        <v/>
      </c>
      <c r="MJ35" s="9">
        <f>LZ35-MD35-ME35-MF35-MG35-MH35-MI35</f>
        <v/>
      </c>
      <c r="MK35" s="9">
        <f>MK34+LW35-(MD35+ME35+MF35+MG35+MH35+MI35+MB35)</f>
        <v/>
      </c>
      <c r="ML35" s="12">
        <f>IF(LQ35&gt;0,LR35/LQ35,0)</f>
        <v/>
      </c>
      <c r="MM35" s="11">
        <f>IF(LQ34&gt;0,MAX(0,(LQ34+LF35-LQ35)/LQ34),0)</f>
        <v/>
      </c>
      <c r="MO35" s="12" t="n">
        <v>31</v>
      </c>
      <c r="MP35" s="12">
        <f>MOD(MO35-1+LaunchMonth-1,12)+1</f>
        <v/>
      </c>
      <c r="MQ35" s="12">
        <f>INT((MO35-1+LaunchMonth-1)/12)+1</f>
        <v/>
      </c>
      <c r="MR35" s="12">
        <f>VLOOKUP(MP35,SeasonTable,2,FALSE)</f>
        <v/>
      </c>
      <c r="MS35" s="12">
        <f>(1+InflationRate)^INT((MO35-1)/12)</f>
        <v/>
      </c>
      <c r="MT35" s="11">
        <f>'Sens - Churn'!$A$18*VLOOKUP(MP35,ChurnSeasonTable,4,FALSE)</f>
        <v/>
      </c>
      <c r="MU35" s="12">
        <f>MIN(MAX(MktMin19plus,NO34*MktPct19plus),MAX(0,OC34-CashBuffer))</f>
        <v/>
      </c>
      <c r="MV35" s="12">
        <f>IF(MU35&gt;0,MAX(1,ROUND(MU35/CAC*MR35,0)),0)</f>
        <v/>
      </c>
      <c r="MW35" s="12">
        <f>IF(MV35&gt;0,ROUND(MV35*ReferralMix/(1-ReferralMix),0),0)</f>
        <v/>
      </c>
      <c r="MX35" s="12">
        <f>MV35+MW35</f>
        <v/>
      </c>
      <c r="MY35" s="12">
        <f>ROUND(MX35*(1-AnnualMix),0)</f>
        <v/>
      </c>
      <c r="MZ35" s="12">
        <f>MX35-MY35</f>
        <v/>
      </c>
      <c r="NA35" s="12">
        <f>ROUND(MY35*EssentialMix,0)</f>
        <v/>
      </c>
      <c r="NB35" s="12">
        <f>MY35-NA35</f>
        <v/>
      </c>
      <c r="NC35" s="12">
        <f>ROUND(MZ35*EssentialMix,0)</f>
        <v/>
      </c>
      <c r="ND35" s="12">
        <f>MZ35-NC35</f>
        <v/>
      </c>
      <c r="NE35" s="12">
        <f>NA35+NA34+NA33+MAX(0,NE34-NA34-NA33)*(1-MT35)</f>
        <v/>
      </c>
      <c r="NF35" s="12">
        <f>NB35+NB34+NB33+MAX(0,NF34-NB34-NB33)*(1-MT35)</f>
        <v/>
      </c>
      <c r="NG35" s="12">
        <f>NG34+NC35-NC23*(AnnualChurn*VLOOKUP(MP35,ChurnSeasonTable,4,FALSE))*POWER(1-(AnnualChurn*VLOOKUP(MP35,ChurnSeasonTable,4,FALSE)),0)+NC11*(AnnualChurn*VLOOKUP(MP35,ChurnSeasonTable,4,FALSE))*POWER(1-(AnnualChurn*VLOOKUP(MP35,ChurnSeasonTable,4,FALSE)),1)</f>
        <v/>
      </c>
      <c r="NH35" s="12">
        <f>NH34+ND35-ND23*(AnnualChurn*VLOOKUP(MP35,ChurnSeasonTable,4,FALSE))*POWER(1-(AnnualChurn*VLOOKUP(MP35,ChurnSeasonTable,4,FALSE)),0)+ND11*(AnnualChurn*VLOOKUP(MP35,ChurnSeasonTable,4,FALSE))*POWER(1-(AnnualChurn*VLOOKUP(MP35,ChurnSeasonTable,4,FALSE)),1)</f>
        <v/>
      </c>
      <c r="NI35" s="12">
        <f>NE35+NF35+NG35+NH35</f>
        <v/>
      </c>
      <c r="NJ35" s="9">
        <f>NE35*PriceEssMonthly*MS35+NF35*PricePremMonthly*MS35+NG35*PriceEssAnnual*MS35/12+NH35*PricePremAnnual*MS35/12</f>
        <v/>
      </c>
      <c r="NK35" s="9">
        <f>NJ35*12</f>
        <v/>
      </c>
      <c r="NL35" s="12">
        <f>NE35*PriceEssMonthly*MS35+NF35*PricePremMonthly*MS35</f>
        <v/>
      </c>
      <c r="NM35" s="12">
        <f>NC35*PriceEssAnnual*MS35+ND35*PricePremAnnual*MS35</f>
        <v/>
      </c>
      <c r="NN35" s="12">
        <f>NC23*POWER(1-(AnnualChurn*VLOOKUP(MP35,ChurnSeasonTable,4,FALSE)),1)*PriceEssAnnual*MS35+NC11*POWER(1-(AnnualChurn*VLOOKUP(MP35,ChurnSeasonTable,4,FALSE)),2)*PriceEssAnnual*MS35+ND23*POWER(1-(AnnualChurn*VLOOKUP(MP35,ChurnSeasonTable,4,FALSE)),1)*PricePremAnnual*MS35+ND11*POWER(1-(AnnualChurn*VLOOKUP(MP35,ChurnSeasonTable,4,FALSE)),2)*PricePremAnnual*MS35</f>
        <v/>
      </c>
      <c r="NO35" s="9">
        <f>NL35+NM35+NN35</f>
        <v/>
      </c>
      <c r="NP35" s="12">
        <f>SUM(NO24:NO35)</f>
        <v/>
      </c>
      <c r="NQ35" s="12">
        <f>OR(NQ34,NP35&gt;=VATThreshold)</f>
        <v/>
      </c>
      <c r="NR35" s="9">
        <f>IF(NQ35,NO35/(1+VATRate),NO35)</f>
        <v/>
      </c>
      <c r="NS35" s="12">
        <f>NO35-NR35</f>
        <v/>
      </c>
      <c r="NT35" s="12">
        <f>IF(NQ35=0,0,IF(MP35=1,SUMPRODUCT(--(($MQ$5:$MQ35=$MQ35-1)*($MP$5:$MP35&gt;=10)*($MP$5:$MP35&lt;=12)),$NS$5:$NS35),IF(MP35=4,SUMPRODUCT(--(($MQ$5:$MQ35=$MQ35)*($MP$5:$MP35&gt;=1)*($MP$5:$MP35&lt;=3)),$NS$5:$NS35),IF(MP35=7,SUMPRODUCT(--(($MQ$5:$MQ35=$MQ35)*($MP$5:$MP35&gt;=4)*($MP$5:$MP35&lt;=6)),$NS$5:$NS35),IF(MP35=10,SUMPRODUCT(--(($MQ$5:$MQ35=$MQ35)*($MP$5:$MP35&gt;=7)*($MP$5:$MP35&lt;=9)),$NS$5:$NS35),0)))))</f>
        <v/>
      </c>
      <c r="NU35" s="12">
        <f>NU34+NS35-NT35</f>
        <v/>
      </c>
      <c r="NV35" s="12">
        <f>IF(ProviderDelay&gt;=1,NR34*ProviderShare,NR35*ProviderShare)</f>
        <v/>
      </c>
      <c r="NW35" s="12">
        <f>NO35*PaymentFee</f>
        <v/>
      </c>
      <c r="NX35" s="12">
        <f>NI35*OpsAI</f>
        <v/>
      </c>
      <c r="NY35" s="12">
        <f>MonthlyFixed</f>
        <v/>
      </c>
      <c r="NZ35" s="12">
        <f>MW35*ReferralReward</f>
        <v/>
      </c>
      <c r="OA35" s="12">
        <f>MU35</f>
        <v/>
      </c>
      <c r="OB35" s="9">
        <f>NR35-NV35-NW35-NX35-NY35-NZ35-OA35</f>
        <v/>
      </c>
      <c r="OC35" s="9">
        <f>OC34+NO35-(NV35+NW35+NX35+NY35+NZ35+OA35+NT35)</f>
        <v/>
      </c>
      <c r="OD35" s="12">
        <f>IF(NI35&gt;0,NJ35/NI35,0)</f>
        <v/>
      </c>
      <c r="OE35" s="11">
        <f>IF(NI34&gt;0,MAX(0,(NI34+MX35-NI35)/NI34),0)</f>
        <v/>
      </c>
      <c r="OG35" s="12" t="n">
        <v>31</v>
      </c>
      <c r="OH35" s="12">
        <f>MOD(OG35-1+LaunchMonth-1,12)+1</f>
        <v/>
      </c>
      <c r="OI35" s="12">
        <f>INT((OG35-1+LaunchMonth-1)/12)+1</f>
        <v/>
      </c>
      <c r="OJ35" s="12">
        <f>VLOOKUP(OH35,SeasonTable,2,FALSE)</f>
        <v/>
      </c>
      <c r="OK35" s="12">
        <f>(1+InflationRate)^INT((OG35-1)/12)</f>
        <v/>
      </c>
      <c r="OL35" s="11">
        <f>'Sens - Churn'!$A$19*VLOOKUP(OH35,ChurnSeasonTable,4,FALSE)</f>
        <v/>
      </c>
      <c r="OM35" s="12">
        <f>MIN(MAX(MktMin19plus,PG34*MktPct19plus),MAX(0,PU34-CashBuffer))</f>
        <v/>
      </c>
      <c r="ON35" s="12">
        <f>IF(OM35&gt;0,MAX(1,ROUND(OM35/CAC*OJ35,0)),0)</f>
        <v/>
      </c>
      <c r="OO35" s="12">
        <f>IF(ON35&gt;0,ROUND(ON35*ReferralMix/(1-ReferralMix),0),0)</f>
        <v/>
      </c>
      <c r="OP35" s="12">
        <f>ON35+OO35</f>
        <v/>
      </c>
      <c r="OQ35" s="12">
        <f>ROUND(OP35*(1-AnnualMix),0)</f>
        <v/>
      </c>
      <c r="OR35" s="12">
        <f>OP35-OQ35</f>
        <v/>
      </c>
      <c r="OS35" s="12">
        <f>ROUND(OQ35*EssentialMix,0)</f>
        <v/>
      </c>
      <c r="OT35" s="12">
        <f>OQ35-OS35</f>
        <v/>
      </c>
      <c r="OU35" s="12">
        <f>ROUND(OR35*EssentialMix,0)</f>
        <v/>
      </c>
      <c r="OV35" s="12">
        <f>OR35-OU35</f>
        <v/>
      </c>
      <c r="OW35" s="12">
        <f>OS35+OS34+OS33+MAX(0,OW34-OS34-OS33)*(1-OL35)</f>
        <v/>
      </c>
      <c r="OX35" s="12">
        <f>OT35+OT34+OT33+MAX(0,OX34-OT34-OT33)*(1-OL35)</f>
        <v/>
      </c>
      <c r="OY35" s="12">
        <f>OY34+OU35-OU23*(AnnualChurn*VLOOKUP(OH35,ChurnSeasonTable,4,FALSE))*POWER(1-(AnnualChurn*VLOOKUP(OH35,ChurnSeasonTable,4,FALSE)),0)+OU11*(AnnualChurn*VLOOKUP(OH35,ChurnSeasonTable,4,FALSE))*POWER(1-(AnnualChurn*VLOOKUP(OH35,ChurnSeasonTable,4,FALSE)),1)</f>
        <v/>
      </c>
      <c r="OZ35" s="12">
        <f>OZ34+OV35-OV23*(AnnualChurn*VLOOKUP(OH35,ChurnSeasonTable,4,FALSE))*POWER(1-(AnnualChurn*VLOOKUP(OH35,ChurnSeasonTable,4,FALSE)),0)+OV11*(AnnualChurn*VLOOKUP(OH35,ChurnSeasonTable,4,FALSE))*POWER(1-(AnnualChurn*VLOOKUP(OH35,ChurnSeasonTable,4,FALSE)),1)</f>
        <v/>
      </c>
      <c r="PA35" s="12">
        <f>OW35+OX35+OY35+OZ35</f>
        <v/>
      </c>
      <c r="PB35" s="9">
        <f>OW35*PriceEssMonthly*OK35+OX35*PricePremMonthly*OK35+OY35*PriceEssAnnual*OK35/12+OZ35*PricePremAnnual*OK35/12</f>
        <v/>
      </c>
      <c r="PC35" s="9">
        <f>PB35*12</f>
        <v/>
      </c>
      <c r="PD35" s="12">
        <f>OW35*PriceEssMonthly*OK35+OX35*PricePremMonthly*OK35</f>
        <v/>
      </c>
      <c r="PE35" s="12">
        <f>OU35*PriceEssAnnual*OK35+OV35*PricePremAnnual*OK35</f>
        <v/>
      </c>
      <c r="PF35" s="12">
        <f>OU23*POWER(1-(AnnualChurn*VLOOKUP(OH35,ChurnSeasonTable,4,FALSE)),1)*PriceEssAnnual*OK35+OU11*POWER(1-(AnnualChurn*VLOOKUP(OH35,ChurnSeasonTable,4,FALSE)),2)*PriceEssAnnual*OK35+OV23*POWER(1-(AnnualChurn*VLOOKUP(OH35,ChurnSeasonTable,4,FALSE)),1)*PricePremAnnual*OK35+OV11*POWER(1-(AnnualChurn*VLOOKUP(OH35,ChurnSeasonTable,4,FALSE)),2)*PricePremAnnual*OK35</f>
        <v/>
      </c>
      <c r="PG35" s="9">
        <f>PD35+PE35+PF35</f>
        <v/>
      </c>
      <c r="PH35" s="12">
        <f>SUM(PG24:PG35)</f>
        <v/>
      </c>
      <c r="PI35" s="12">
        <f>OR(PI34,PH35&gt;=VATThreshold)</f>
        <v/>
      </c>
      <c r="PJ35" s="9">
        <f>IF(PI35,PG35/(1+VATRate),PG35)</f>
        <v/>
      </c>
      <c r="PK35" s="12">
        <f>PG35-PJ35</f>
        <v/>
      </c>
      <c r="PL35" s="12">
        <f>IF(PI35=0,0,IF(OH35=1,SUMPRODUCT(--(($OI$5:$OI35=$OI35-1)*($OH$5:$OH35&gt;=10)*($OH$5:$OH35&lt;=12)),$PK$5:$PK35),IF(OH35=4,SUMPRODUCT(--(($OI$5:$OI35=$OI35)*($OH$5:$OH35&gt;=1)*($OH$5:$OH35&lt;=3)),$PK$5:$PK35),IF(OH35=7,SUMPRODUCT(--(($OI$5:$OI35=$OI35)*($OH$5:$OH35&gt;=4)*($OH$5:$OH35&lt;=6)),$PK$5:$PK35),IF(OH35=10,SUMPRODUCT(--(($OI$5:$OI35=$OI35)*($OH$5:$OH35&gt;=7)*($OH$5:$OH35&lt;=9)),$PK$5:$PK35),0)))))</f>
        <v/>
      </c>
      <c r="PM35" s="12">
        <f>PM34+PK35-PL35</f>
        <v/>
      </c>
      <c r="PN35" s="12">
        <f>IF(ProviderDelay&gt;=1,PJ34*ProviderShare,PJ35*ProviderShare)</f>
        <v/>
      </c>
      <c r="PO35" s="12">
        <f>PG35*PaymentFee</f>
        <v/>
      </c>
      <c r="PP35" s="12">
        <f>PA35*OpsAI</f>
        <v/>
      </c>
      <c r="PQ35" s="12">
        <f>MonthlyFixed</f>
        <v/>
      </c>
      <c r="PR35" s="12">
        <f>OO35*ReferralReward</f>
        <v/>
      </c>
      <c r="PS35" s="12">
        <f>OM35</f>
        <v/>
      </c>
      <c r="PT35" s="9">
        <f>PJ35-PN35-PO35-PP35-PQ35-PR35-PS35</f>
        <v/>
      </c>
      <c r="PU35" s="9">
        <f>PU34+PG35-(PN35+PO35+PP35+PQ35+PR35+PS35+PL35)</f>
        <v/>
      </c>
      <c r="PV35" s="12">
        <f>IF(PA35&gt;0,PB35/PA35,0)</f>
        <v/>
      </c>
      <c r="PW35" s="11">
        <f>IF(PA34&gt;0,MAX(0,(PA34+OP35-PA35)/PA34),0)</f>
        <v/>
      </c>
      <c r="PY35" s="12" t="n">
        <v>31</v>
      </c>
      <c r="PZ35" s="12">
        <f>MOD(PY35-1+LaunchMonth-1,12)+1</f>
        <v/>
      </c>
      <c r="QA35" s="12">
        <f>INT((PY35-1+LaunchMonth-1)/12)+1</f>
        <v/>
      </c>
      <c r="QB35" s="12">
        <f>VLOOKUP(PZ35,SeasonTable,2,FALSE)</f>
        <v/>
      </c>
      <c r="QC35" s="12">
        <f>(1+InflationRate)^INT((PY35-1)/12)</f>
        <v/>
      </c>
      <c r="QD35" s="11">
        <f>'Sens - Churn'!$A$20*VLOOKUP(PZ35,ChurnSeasonTable,4,FALSE)</f>
        <v/>
      </c>
      <c r="QE35" s="12">
        <f>MIN(MAX(MktMin19plus,QY34*MktPct19plus),MAX(0,RM34-CashBuffer))</f>
        <v/>
      </c>
      <c r="QF35" s="12">
        <f>IF(QE35&gt;0,MAX(1,ROUND(QE35/CAC*QB35,0)),0)</f>
        <v/>
      </c>
      <c r="QG35" s="12">
        <f>IF(QF35&gt;0,ROUND(QF35*ReferralMix/(1-ReferralMix),0),0)</f>
        <v/>
      </c>
      <c r="QH35" s="12">
        <f>QF35+QG35</f>
        <v/>
      </c>
      <c r="QI35" s="12">
        <f>ROUND(QH35*(1-AnnualMix),0)</f>
        <v/>
      </c>
      <c r="QJ35" s="12">
        <f>QH35-QI35</f>
        <v/>
      </c>
      <c r="QK35" s="12">
        <f>ROUND(QI35*EssentialMix,0)</f>
        <v/>
      </c>
      <c r="QL35" s="12">
        <f>QI35-QK35</f>
        <v/>
      </c>
      <c r="QM35" s="12">
        <f>ROUND(QJ35*EssentialMix,0)</f>
        <v/>
      </c>
      <c r="QN35" s="12">
        <f>QJ35-QM35</f>
        <v/>
      </c>
      <c r="QO35" s="12">
        <f>QK35+QK34+QK33+MAX(0,QO34-QK34-QK33)*(1-QD35)</f>
        <v/>
      </c>
      <c r="QP35" s="12">
        <f>QL35+QL34+QL33+MAX(0,QP34-QL34-QL33)*(1-QD35)</f>
        <v/>
      </c>
      <c r="QQ35" s="12">
        <f>QQ34+QM35-QM23*(AnnualChurn*VLOOKUP(PZ35,ChurnSeasonTable,4,FALSE))*POWER(1-(AnnualChurn*VLOOKUP(PZ35,ChurnSeasonTable,4,FALSE)),0)+QM11*(AnnualChurn*VLOOKUP(PZ35,ChurnSeasonTable,4,FALSE))*POWER(1-(AnnualChurn*VLOOKUP(PZ35,ChurnSeasonTable,4,FALSE)),1)</f>
        <v/>
      </c>
      <c r="QR35" s="12">
        <f>QR34+QN35-QN23*(AnnualChurn*VLOOKUP(PZ35,ChurnSeasonTable,4,FALSE))*POWER(1-(AnnualChurn*VLOOKUP(PZ35,ChurnSeasonTable,4,FALSE)),0)+QN11*(AnnualChurn*VLOOKUP(PZ35,ChurnSeasonTable,4,FALSE))*POWER(1-(AnnualChurn*VLOOKUP(PZ35,ChurnSeasonTable,4,FALSE)),1)</f>
        <v/>
      </c>
      <c r="QS35" s="12">
        <f>QO35+QP35+QQ35+QR35</f>
        <v/>
      </c>
      <c r="QT35" s="9">
        <f>QO35*PriceEssMonthly*QC35+QP35*PricePremMonthly*QC35+QQ35*PriceEssAnnual*QC35/12+QR35*PricePremAnnual*QC35/12</f>
        <v/>
      </c>
      <c r="QU35" s="9">
        <f>QT35*12</f>
        <v/>
      </c>
      <c r="QV35" s="12">
        <f>QO35*PriceEssMonthly*QC35+QP35*PricePremMonthly*QC35</f>
        <v/>
      </c>
      <c r="QW35" s="12">
        <f>QM35*PriceEssAnnual*QC35+QN35*PricePremAnnual*QC35</f>
        <v/>
      </c>
      <c r="QX35" s="12">
        <f>QM23*POWER(1-(AnnualChurn*VLOOKUP(PZ35,ChurnSeasonTable,4,FALSE)),1)*PriceEssAnnual*QC35+QM11*POWER(1-(AnnualChurn*VLOOKUP(PZ35,ChurnSeasonTable,4,FALSE)),2)*PriceEssAnnual*QC35+QN23*POWER(1-(AnnualChurn*VLOOKUP(PZ35,ChurnSeasonTable,4,FALSE)),1)*PricePremAnnual*QC35+QN11*POWER(1-(AnnualChurn*VLOOKUP(PZ35,ChurnSeasonTable,4,FALSE)),2)*PricePremAnnual*QC35</f>
        <v/>
      </c>
      <c r="QY35" s="9">
        <f>QV35+QW35+QX35</f>
        <v/>
      </c>
      <c r="QZ35" s="12">
        <f>SUM(QY24:QY35)</f>
        <v/>
      </c>
      <c r="RA35" s="12">
        <f>OR(RA34,QZ35&gt;=VATThreshold)</f>
        <v/>
      </c>
      <c r="RB35" s="9">
        <f>IF(RA35,QY35/(1+VATRate),QY35)</f>
        <v/>
      </c>
      <c r="RC35" s="12">
        <f>QY35-RB35</f>
        <v/>
      </c>
      <c r="RD35" s="12">
        <f>IF(RA35=0,0,IF(PZ35=1,SUMPRODUCT(--(($QA$5:$QA35=$QA35-1)*($PZ$5:$PZ35&gt;=10)*($PZ$5:$PZ35&lt;=12)),$RC$5:$RC35),IF(PZ35=4,SUMPRODUCT(--(($QA$5:$QA35=$QA35)*($PZ$5:$PZ35&gt;=1)*($PZ$5:$PZ35&lt;=3)),$RC$5:$RC35),IF(PZ35=7,SUMPRODUCT(--(($QA$5:$QA35=$QA35)*($PZ$5:$PZ35&gt;=4)*($PZ$5:$PZ35&lt;=6)),$RC$5:$RC35),IF(PZ35=10,SUMPRODUCT(--(($QA$5:$QA35=$QA35)*($PZ$5:$PZ35&gt;=7)*($PZ$5:$PZ35&lt;=9)),$RC$5:$RC35),0)))))</f>
        <v/>
      </c>
      <c r="RE35" s="12">
        <f>RE34+RC35-RD35</f>
        <v/>
      </c>
      <c r="RF35" s="12">
        <f>IF(ProviderDelay&gt;=1,RB34*ProviderShare,RB35*ProviderShare)</f>
        <v/>
      </c>
      <c r="RG35" s="12">
        <f>QY35*PaymentFee</f>
        <v/>
      </c>
      <c r="RH35" s="12">
        <f>QS35*OpsAI</f>
        <v/>
      </c>
      <c r="RI35" s="12">
        <f>MonthlyFixed</f>
        <v/>
      </c>
      <c r="RJ35" s="12">
        <f>QG35*ReferralReward</f>
        <v/>
      </c>
      <c r="RK35" s="12">
        <f>QE35</f>
        <v/>
      </c>
      <c r="RL35" s="9">
        <f>RB35-RF35-RG35-RH35-RI35-RJ35-RK35</f>
        <v/>
      </c>
      <c r="RM35" s="9">
        <f>RM34+QY35-(RF35+RG35+RH35+RI35+RJ35+RK35+RD35)</f>
        <v/>
      </c>
      <c r="RN35" s="12">
        <f>IF(QS35&gt;0,QT35/QS35,0)</f>
        <v/>
      </c>
      <c r="RO35" s="11">
        <f>IF(QS34&gt;0,MAX(0,(QS34+QH35-QS35)/QS34),0)</f>
        <v/>
      </c>
      <c r="RQ35" s="12" t="n">
        <v>31</v>
      </c>
      <c r="RR35" s="12">
        <f>MOD(RQ35-1+LaunchMonth-1,12)+1</f>
        <v/>
      </c>
      <c r="RS35" s="12">
        <f>INT((RQ35-1+LaunchMonth-1)/12)+1</f>
        <v/>
      </c>
      <c r="RT35" s="12">
        <f>VLOOKUP(RR35,SeasonTable,2,FALSE)</f>
        <v/>
      </c>
      <c r="RU35" s="12">
        <f>(1+InflationRate)^INT((RQ35-1)/12)</f>
        <v/>
      </c>
      <c r="RV35" s="11">
        <f>'Sens - Churn'!$A$21*VLOOKUP(RR35,ChurnSeasonTable,4,FALSE)</f>
        <v/>
      </c>
      <c r="RW35" s="12">
        <f>MIN(MAX(MktMin19plus,SQ34*MktPct19plus),MAX(0,TE34-CashBuffer))</f>
        <v/>
      </c>
      <c r="RX35" s="12">
        <f>IF(RW35&gt;0,MAX(1,ROUND(RW35/CAC*RT35,0)),0)</f>
        <v/>
      </c>
      <c r="RY35" s="12">
        <f>IF(RX35&gt;0,ROUND(RX35*ReferralMix/(1-ReferralMix),0),0)</f>
        <v/>
      </c>
      <c r="RZ35" s="12">
        <f>RX35+RY35</f>
        <v/>
      </c>
      <c r="SA35" s="12">
        <f>ROUND(RZ35*(1-AnnualMix),0)</f>
        <v/>
      </c>
      <c r="SB35" s="12">
        <f>RZ35-SA35</f>
        <v/>
      </c>
      <c r="SC35" s="12">
        <f>ROUND(SA35*EssentialMix,0)</f>
        <v/>
      </c>
      <c r="SD35" s="12">
        <f>SA35-SC35</f>
        <v/>
      </c>
      <c r="SE35" s="12">
        <f>ROUND(SB35*EssentialMix,0)</f>
        <v/>
      </c>
      <c r="SF35" s="12">
        <f>SB35-SE35</f>
        <v/>
      </c>
      <c r="SG35" s="12">
        <f>SC35+SC34+SC33+MAX(0,SG34-SC34-SC33)*(1-RV35)</f>
        <v/>
      </c>
      <c r="SH35" s="12">
        <f>SD35+SD34+SD33+MAX(0,SH34-SD34-SD33)*(1-RV35)</f>
        <v/>
      </c>
      <c r="SI35" s="12">
        <f>SI34+SE35-SE23*(AnnualChurn*VLOOKUP(RR35,ChurnSeasonTable,4,FALSE))*POWER(1-(AnnualChurn*VLOOKUP(RR35,ChurnSeasonTable,4,FALSE)),0)+SE11*(AnnualChurn*VLOOKUP(RR35,ChurnSeasonTable,4,FALSE))*POWER(1-(AnnualChurn*VLOOKUP(RR35,ChurnSeasonTable,4,FALSE)),1)</f>
        <v/>
      </c>
      <c r="SJ35" s="12">
        <f>SJ34+SF35-SF23*(AnnualChurn*VLOOKUP(RR35,ChurnSeasonTable,4,FALSE))*POWER(1-(AnnualChurn*VLOOKUP(RR35,ChurnSeasonTable,4,FALSE)),0)+SF11*(AnnualChurn*VLOOKUP(RR35,ChurnSeasonTable,4,FALSE))*POWER(1-(AnnualChurn*VLOOKUP(RR35,ChurnSeasonTable,4,FALSE)),1)</f>
        <v/>
      </c>
      <c r="SK35" s="12">
        <f>SG35+SH35+SI35+SJ35</f>
        <v/>
      </c>
      <c r="SL35" s="9">
        <f>SG35*PriceEssMonthly*RU35+SH35*PricePremMonthly*RU35+SI35*PriceEssAnnual*RU35/12+SJ35*PricePremAnnual*RU35/12</f>
        <v/>
      </c>
      <c r="SM35" s="9">
        <f>SL35*12</f>
        <v/>
      </c>
      <c r="SN35" s="12">
        <f>SG35*PriceEssMonthly*RU35+SH35*PricePremMonthly*RU35</f>
        <v/>
      </c>
      <c r="SO35" s="12">
        <f>SE35*PriceEssAnnual*RU35+SF35*PricePremAnnual*RU35</f>
        <v/>
      </c>
      <c r="SP35" s="12">
        <f>SE23*POWER(1-(AnnualChurn*VLOOKUP(RR35,ChurnSeasonTable,4,FALSE)),1)*PriceEssAnnual*RU35+SE11*POWER(1-(AnnualChurn*VLOOKUP(RR35,ChurnSeasonTable,4,FALSE)),2)*PriceEssAnnual*RU35+SF23*POWER(1-(AnnualChurn*VLOOKUP(RR35,ChurnSeasonTable,4,FALSE)),1)*PricePremAnnual*RU35+SF11*POWER(1-(AnnualChurn*VLOOKUP(RR35,ChurnSeasonTable,4,FALSE)),2)*PricePremAnnual*RU35</f>
        <v/>
      </c>
      <c r="SQ35" s="9">
        <f>SN35+SO35+SP35</f>
        <v/>
      </c>
      <c r="SR35" s="12">
        <f>SUM(SQ24:SQ35)</f>
        <v/>
      </c>
      <c r="SS35" s="12">
        <f>OR(SS34,SR35&gt;=VATThreshold)</f>
        <v/>
      </c>
      <c r="ST35" s="9">
        <f>IF(SS35,SQ35/(1+VATRate),SQ35)</f>
        <v/>
      </c>
      <c r="SU35" s="12">
        <f>SQ35-ST35</f>
        <v/>
      </c>
      <c r="SV35" s="12">
        <f>IF(SS35=0,0,IF(RR35=1,SUMPRODUCT(--(($RS$5:$RS35=$RS35-1)*($RR$5:$RR35&gt;=10)*($RR$5:$RR35&lt;=12)),$SU$5:$SU35),IF(RR35=4,SUMPRODUCT(--(($RS$5:$RS35=$RS35)*($RR$5:$RR35&gt;=1)*($RR$5:$RR35&lt;=3)),$SU$5:$SU35),IF(RR35=7,SUMPRODUCT(--(($RS$5:$RS35=$RS35)*($RR$5:$RR35&gt;=4)*($RR$5:$RR35&lt;=6)),$SU$5:$SU35),IF(RR35=10,SUMPRODUCT(--(($RS$5:$RS35=$RS35)*($RR$5:$RR35&gt;=7)*($RR$5:$RR35&lt;=9)),$SU$5:$SU35),0)))))</f>
        <v/>
      </c>
      <c r="SW35" s="12">
        <f>SW34+SU35-SV35</f>
        <v/>
      </c>
      <c r="SX35" s="12">
        <f>IF(ProviderDelay&gt;=1,ST34*ProviderShare,ST35*ProviderShare)</f>
        <v/>
      </c>
      <c r="SY35" s="12">
        <f>SQ35*PaymentFee</f>
        <v/>
      </c>
      <c r="SZ35" s="12">
        <f>SK35*OpsAI</f>
        <v/>
      </c>
      <c r="TA35" s="12">
        <f>MonthlyFixed</f>
        <v/>
      </c>
      <c r="TB35" s="12">
        <f>RY35*ReferralReward</f>
        <v/>
      </c>
      <c r="TC35" s="12">
        <f>RW35</f>
        <v/>
      </c>
      <c r="TD35" s="9">
        <f>ST35-SX35-SY35-SZ35-TA35-TB35-TC35</f>
        <v/>
      </c>
      <c r="TE35" s="9">
        <f>TE34+SQ35-(SX35+SY35+SZ35+TA35+TB35+TC35+SV35)</f>
        <v/>
      </c>
      <c r="TF35" s="12">
        <f>IF(SK35&gt;0,SL35/SK35,0)</f>
        <v/>
      </c>
      <c r="TG35" s="11">
        <f>IF(SK34&gt;0,MAX(0,(SK34+RZ35-SK35)/SK34),0)</f>
        <v/>
      </c>
      <c r="TI35" s="12" t="n">
        <v>31</v>
      </c>
      <c r="TJ35" s="12">
        <f>MOD(TI35-1+LaunchMonth-1,12)+1</f>
        <v/>
      </c>
      <c r="TK35" s="12">
        <f>INT((TI35-1+LaunchMonth-1)/12)+1</f>
        <v/>
      </c>
      <c r="TL35" s="12">
        <f>VLOOKUP(TJ35,SeasonTable,2,FALSE)</f>
        <v/>
      </c>
      <c r="TM35" s="12">
        <f>(1+InflationRate)^INT((TI35-1)/12)</f>
        <v/>
      </c>
      <c r="TN35" s="11">
        <f>MonthlyChurn*VLOOKUP(TJ35,ChurnSeasonTable,4,FALSE)</f>
        <v/>
      </c>
      <c r="TO35" s="12">
        <f>MIN(MAX(MktMin19plus,UI34*MktPct19plus),MAX(0,UW34-CashBuffer))</f>
        <v/>
      </c>
      <c r="TP35" s="12">
        <f>IF(TO35&gt;0,MAX(1,ROUND(TO35/CAC*TL35,0)),0)</f>
        <v/>
      </c>
      <c r="TQ35" s="12">
        <f>IF(TP35&gt;0,ROUND(TP35*ReferralMix/(1-ReferralMix),0),0)</f>
        <v/>
      </c>
      <c r="TR35" s="12">
        <f>TP35+TQ35</f>
        <v/>
      </c>
      <c r="TS35" s="12">
        <f>ROUND(TR35*(1-'Sens - Annual Mix'!$A$9),0)</f>
        <v/>
      </c>
      <c r="TT35" s="12">
        <f>TR35-TS35</f>
        <v/>
      </c>
      <c r="TU35" s="12">
        <f>ROUND(TS35*EssentialMix,0)</f>
        <v/>
      </c>
      <c r="TV35" s="12">
        <f>TS35-TU35</f>
        <v/>
      </c>
      <c r="TW35" s="12">
        <f>ROUND(TT35*EssentialMix,0)</f>
        <v/>
      </c>
      <c r="TX35" s="12">
        <f>TT35-TW35</f>
        <v/>
      </c>
      <c r="TY35" s="12">
        <f>TU35+TU34+TU33+MAX(0,TY34-TU34-TU33)*(1-TN35)</f>
        <v/>
      </c>
      <c r="TZ35" s="12">
        <f>TV35+TV34+TV33+MAX(0,TZ34-TV34-TV33)*(1-TN35)</f>
        <v/>
      </c>
      <c r="UA35" s="12">
        <f>UA34+TW35-TW23*(AnnualChurn*VLOOKUP(TJ35,ChurnSeasonTable,4,FALSE))*POWER(1-(AnnualChurn*VLOOKUP(TJ35,ChurnSeasonTable,4,FALSE)),0)+TW11*(AnnualChurn*VLOOKUP(TJ35,ChurnSeasonTable,4,FALSE))*POWER(1-(AnnualChurn*VLOOKUP(TJ35,ChurnSeasonTable,4,FALSE)),1)</f>
        <v/>
      </c>
      <c r="UB35" s="12">
        <f>UB34+TX35-TX23*(AnnualChurn*VLOOKUP(TJ35,ChurnSeasonTable,4,FALSE))*POWER(1-(AnnualChurn*VLOOKUP(TJ35,ChurnSeasonTable,4,FALSE)),0)+TX11*(AnnualChurn*VLOOKUP(TJ35,ChurnSeasonTable,4,FALSE))*POWER(1-(AnnualChurn*VLOOKUP(TJ35,ChurnSeasonTable,4,FALSE)),1)</f>
        <v/>
      </c>
      <c r="UC35" s="12">
        <f>TY35+TZ35+UA35+UB35</f>
        <v/>
      </c>
      <c r="UD35" s="9">
        <f>TY35*PriceEssMonthly*TM35+TZ35*PricePremMonthly*TM35+UA35*PriceEssAnnual*TM35/12+UB35*PricePremAnnual*TM35/12</f>
        <v/>
      </c>
      <c r="UE35" s="9">
        <f>UD35*12</f>
        <v/>
      </c>
      <c r="UF35" s="12">
        <f>TY35*PriceEssMonthly*TM35+TZ35*PricePremMonthly*TM35</f>
        <v/>
      </c>
      <c r="UG35" s="12">
        <f>TW35*PriceEssAnnual*TM35+TX35*PricePremAnnual*TM35</f>
        <v/>
      </c>
      <c r="UH35" s="12">
        <f>TW23*POWER(1-(AnnualChurn*VLOOKUP(TJ35,ChurnSeasonTable,4,FALSE)),1)*PriceEssAnnual*TM35+TW11*POWER(1-(AnnualChurn*VLOOKUP(TJ35,ChurnSeasonTable,4,FALSE)),2)*PriceEssAnnual*TM35+TX23*POWER(1-(AnnualChurn*VLOOKUP(TJ35,ChurnSeasonTable,4,FALSE)),1)*PricePremAnnual*TM35+TX11*POWER(1-(AnnualChurn*VLOOKUP(TJ35,ChurnSeasonTable,4,FALSE)),2)*PricePremAnnual*TM35</f>
        <v/>
      </c>
      <c r="UI35" s="9">
        <f>UF35+UG35+UH35</f>
        <v/>
      </c>
      <c r="UJ35" s="12">
        <f>SUM(UI24:UI35)</f>
        <v/>
      </c>
      <c r="UK35" s="12">
        <f>OR(UK34,UJ35&gt;=VATThreshold)</f>
        <v/>
      </c>
      <c r="UL35" s="9">
        <f>IF(UK35,UI35/(1+VATRate),UI35)</f>
        <v/>
      </c>
      <c r="UM35" s="12">
        <f>UI35-UL35</f>
        <v/>
      </c>
      <c r="UN35" s="12">
        <f>IF(UK35=0,0,IF(TJ35=1,SUMPRODUCT(--(($TK$5:$TK35=$TK35-1)*($TJ$5:$TJ35&gt;=10)*($TJ$5:$TJ35&lt;=12)),$UM$5:$UM35),IF(TJ35=4,SUMPRODUCT(--(($TK$5:$TK35=$TK35)*($TJ$5:$TJ35&gt;=1)*($TJ$5:$TJ35&lt;=3)),$UM$5:$UM35),IF(TJ35=7,SUMPRODUCT(--(($TK$5:$TK35=$TK35)*($TJ$5:$TJ35&gt;=4)*($TJ$5:$TJ35&lt;=6)),$UM$5:$UM35),IF(TJ35=10,SUMPRODUCT(--(($TK$5:$TK35=$TK35)*($TJ$5:$TJ35&gt;=7)*($TJ$5:$TJ35&lt;=9)),$UM$5:$UM35),0)))))</f>
        <v/>
      </c>
      <c r="UO35" s="12">
        <f>UO34+UM35-UN35</f>
        <v/>
      </c>
      <c r="UP35" s="12">
        <f>IF(ProviderDelay&gt;=1,UL34*ProviderShare,UL35*ProviderShare)</f>
        <v/>
      </c>
      <c r="UQ35" s="12">
        <f>UI35*PaymentFee</f>
        <v/>
      </c>
      <c r="UR35" s="12">
        <f>UC35*OpsAI</f>
        <v/>
      </c>
      <c r="US35" s="12">
        <f>MonthlyFixed</f>
        <v/>
      </c>
      <c r="UT35" s="12">
        <f>TQ35*ReferralReward</f>
        <v/>
      </c>
      <c r="UU35" s="12">
        <f>TO35</f>
        <v/>
      </c>
      <c r="UV35" s="9">
        <f>UL35-UP35-UQ35-UR35-US35-UT35-UU35</f>
        <v/>
      </c>
      <c r="UW35" s="9">
        <f>UW34+UI35-(UP35+UQ35+UR35+US35+UT35+UU35+UN35)</f>
        <v/>
      </c>
      <c r="UX35" s="12">
        <f>IF(UC35&gt;0,UD35/UC35,0)</f>
        <v/>
      </c>
      <c r="UY35" s="11">
        <f>IF(UC34&gt;0,MAX(0,(UC34+TR35-UC35)/UC34),0)</f>
        <v/>
      </c>
      <c r="VA35" s="12" t="n">
        <v>31</v>
      </c>
      <c r="VB35" s="12">
        <f>MOD(VA35-1+LaunchMonth-1,12)+1</f>
        <v/>
      </c>
      <c r="VC35" s="12">
        <f>INT((VA35-1+LaunchMonth-1)/12)+1</f>
        <v/>
      </c>
      <c r="VD35" s="12">
        <f>VLOOKUP(VB35,SeasonTable,2,FALSE)</f>
        <v/>
      </c>
      <c r="VE35" s="12">
        <f>(1+InflationRate)^INT((VA35-1)/12)</f>
        <v/>
      </c>
      <c r="VF35" s="11">
        <f>MonthlyChurn*VLOOKUP(VB35,ChurnSeasonTable,4,FALSE)</f>
        <v/>
      </c>
      <c r="VG35" s="12">
        <f>MIN(MAX(MktMin19plus,WA34*MktPct19plus),MAX(0,WO34-CashBuffer))</f>
        <v/>
      </c>
      <c r="VH35" s="12">
        <f>IF(VG35&gt;0,MAX(1,ROUND(VG35/CAC*VD35,0)),0)</f>
        <v/>
      </c>
      <c r="VI35" s="12">
        <f>IF(VH35&gt;0,ROUND(VH35*ReferralMix/(1-ReferralMix),0),0)</f>
        <v/>
      </c>
      <c r="VJ35" s="12">
        <f>VH35+VI35</f>
        <v/>
      </c>
      <c r="VK35" s="12">
        <f>ROUND(VJ35*(1-'Sens - Annual Mix'!$A$10),0)</f>
        <v/>
      </c>
      <c r="VL35" s="12">
        <f>VJ35-VK35</f>
        <v/>
      </c>
      <c r="VM35" s="12">
        <f>ROUND(VK35*EssentialMix,0)</f>
        <v/>
      </c>
      <c r="VN35" s="12">
        <f>VK35-VM35</f>
        <v/>
      </c>
      <c r="VO35" s="12">
        <f>ROUND(VL35*EssentialMix,0)</f>
        <v/>
      </c>
      <c r="VP35" s="12">
        <f>VL35-VO35</f>
        <v/>
      </c>
      <c r="VQ35" s="12">
        <f>VM35+VM34+VM33+MAX(0,VQ34-VM34-VM33)*(1-VF35)</f>
        <v/>
      </c>
      <c r="VR35" s="12">
        <f>VN35+VN34+VN33+MAX(0,VR34-VN34-VN33)*(1-VF35)</f>
        <v/>
      </c>
      <c r="VS35" s="12">
        <f>VS34+VO35-VO23*(AnnualChurn*VLOOKUP(VB35,ChurnSeasonTable,4,FALSE))*POWER(1-(AnnualChurn*VLOOKUP(VB35,ChurnSeasonTable,4,FALSE)),0)+VO11*(AnnualChurn*VLOOKUP(VB35,ChurnSeasonTable,4,FALSE))*POWER(1-(AnnualChurn*VLOOKUP(VB35,ChurnSeasonTable,4,FALSE)),1)</f>
        <v/>
      </c>
      <c r="VT35" s="12">
        <f>VT34+VP35-VP23*(AnnualChurn*VLOOKUP(VB35,ChurnSeasonTable,4,FALSE))*POWER(1-(AnnualChurn*VLOOKUP(VB35,ChurnSeasonTable,4,FALSE)),0)+VP11*(AnnualChurn*VLOOKUP(VB35,ChurnSeasonTable,4,FALSE))*POWER(1-(AnnualChurn*VLOOKUP(VB35,ChurnSeasonTable,4,FALSE)),1)</f>
        <v/>
      </c>
      <c r="VU35" s="12">
        <f>VQ35+VR35+VS35+VT35</f>
        <v/>
      </c>
      <c r="VV35" s="9">
        <f>VQ35*PriceEssMonthly*VE35+VR35*PricePremMonthly*VE35+VS35*PriceEssAnnual*VE35/12+VT35*PricePremAnnual*VE35/12</f>
        <v/>
      </c>
      <c r="VW35" s="9">
        <f>VV35*12</f>
        <v/>
      </c>
      <c r="VX35" s="12">
        <f>VQ35*PriceEssMonthly*VE35+VR35*PricePremMonthly*VE35</f>
        <v/>
      </c>
      <c r="VY35" s="12">
        <f>VO35*PriceEssAnnual*VE35+VP35*PricePremAnnual*VE35</f>
        <v/>
      </c>
      <c r="VZ35" s="12">
        <f>VO23*POWER(1-(AnnualChurn*VLOOKUP(VB35,ChurnSeasonTable,4,FALSE)),1)*PriceEssAnnual*VE35+VO11*POWER(1-(AnnualChurn*VLOOKUP(VB35,ChurnSeasonTable,4,FALSE)),2)*PriceEssAnnual*VE35+VP23*POWER(1-(AnnualChurn*VLOOKUP(VB35,ChurnSeasonTable,4,FALSE)),1)*PricePremAnnual*VE35+VP11*POWER(1-(AnnualChurn*VLOOKUP(VB35,ChurnSeasonTable,4,FALSE)),2)*PricePremAnnual*VE35</f>
        <v/>
      </c>
      <c r="WA35" s="9">
        <f>VX35+VY35+VZ35</f>
        <v/>
      </c>
      <c r="WB35" s="12">
        <f>SUM(WA24:WA35)</f>
        <v/>
      </c>
      <c r="WC35" s="12">
        <f>OR(WC34,WB35&gt;=VATThreshold)</f>
        <v/>
      </c>
      <c r="WD35" s="9">
        <f>IF(WC35,WA35/(1+VATRate),WA35)</f>
        <v/>
      </c>
      <c r="WE35" s="12">
        <f>WA35-WD35</f>
        <v/>
      </c>
      <c r="WF35" s="12">
        <f>IF(WC35=0,0,IF(VB35=1,SUMPRODUCT(--(($VC$5:$VC35=$VC35-1)*($VB$5:$VB35&gt;=10)*($VB$5:$VB35&lt;=12)),$WE$5:$WE35),IF(VB35=4,SUMPRODUCT(--(($VC$5:$VC35=$VC35)*($VB$5:$VB35&gt;=1)*($VB$5:$VB35&lt;=3)),$WE$5:$WE35),IF(VB35=7,SUMPRODUCT(--(($VC$5:$VC35=$VC35)*($VB$5:$VB35&gt;=4)*($VB$5:$VB35&lt;=6)),$WE$5:$WE35),IF(VB35=10,SUMPRODUCT(--(($VC$5:$VC35=$VC35)*($VB$5:$VB35&gt;=7)*($VB$5:$VB35&lt;=9)),$WE$5:$WE35),0)))))</f>
        <v/>
      </c>
      <c r="WG35" s="12">
        <f>WG34+WE35-WF35</f>
        <v/>
      </c>
      <c r="WH35" s="12">
        <f>IF(ProviderDelay&gt;=1,WD34*ProviderShare,WD35*ProviderShare)</f>
        <v/>
      </c>
      <c r="WI35" s="12">
        <f>WA35*PaymentFee</f>
        <v/>
      </c>
      <c r="WJ35" s="12">
        <f>VU35*OpsAI</f>
        <v/>
      </c>
      <c r="WK35" s="12">
        <f>MonthlyFixed</f>
        <v/>
      </c>
      <c r="WL35" s="12">
        <f>VI35*ReferralReward</f>
        <v/>
      </c>
      <c r="WM35" s="12">
        <f>VG35</f>
        <v/>
      </c>
      <c r="WN35" s="9">
        <f>WD35-WH35-WI35-WJ35-WK35-WL35-WM35</f>
        <v/>
      </c>
      <c r="WO35" s="9">
        <f>WO34+WA35-(WH35+WI35+WJ35+WK35+WL35+WM35+WF35)</f>
        <v/>
      </c>
      <c r="WP35" s="12">
        <f>IF(VU35&gt;0,VV35/VU35,0)</f>
        <v/>
      </c>
      <c r="WQ35" s="11">
        <f>IF(VU34&gt;0,MAX(0,(VU34+VJ35-VU35)/VU34),0)</f>
        <v/>
      </c>
      <c r="WS35" s="12" t="n">
        <v>31</v>
      </c>
      <c r="WT35" s="12">
        <f>MOD(WS35-1+LaunchMonth-1,12)+1</f>
        <v/>
      </c>
      <c r="WU35" s="12">
        <f>INT((WS35-1+LaunchMonth-1)/12)+1</f>
        <v/>
      </c>
      <c r="WV35" s="12">
        <f>VLOOKUP(WT35,SeasonTable,2,FALSE)</f>
        <v/>
      </c>
      <c r="WW35" s="12">
        <f>(1+InflationRate)^INT((WS35-1)/12)</f>
        <v/>
      </c>
      <c r="WX35" s="11">
        <f>MonthlyChurn*VLOOKUP(WT35,ChurnSeasonTable,4,FALSE)</f>
        <v/>
      </c>
      <c r="WY35" s="12">
        <f>MIN(MAX(MktMin19plus,XS34*MktPct19plus),MAX(0,YG34-CashBuffer))</f>
        <v/>
      </c>
      <c r="WZ35" s="12">
        <f>IF(WY35&gt;0,MAX(1,ROUND(WY35/CAC*WV35,0)),0)</f>
        <v/>
      </c>
      <c r="XA35" s="12">
        <f>IF(WZ35&gt;0,ROUND(WZ35*ReferralMix/(1-ReferralMix),0),0)</f>
        <v/>
      </c>
      <c r="XB35" s="12">
        <f>WZ35+XA35</f>
        <v/>
      </c>
      <c r="XC35" s="12">
        <f>ROUND(XB35*(1-'Sens - Annual Mix'!$A$11),0)</f>
        <v/>
      </c>
      <c r="XD35" s="12">
        <f>XB35-XC35</f>
        <v/>
      </c>
      <c r="XE35" s="12">
        <f>ROUND(XC35*EssentialMix,0)</f>
        <v/>
      </c>
      <c r="XF35" s="12">
        <f>XC35-XE35</f>
        <v/>
      </c>
      <c r="XG35" s="12">
        <f>ROUND(XD35*EssentialMix,0)</f>
        <v/>
      </c>
      <c r="XH35" s="12">
        <f>XD35-XG35</f>
        <v/>
      </c>
      <c r="XI35" s="12">
        <f>XE35+XE34+XE33+MAX(0,XI34-XE34-XE33)*(1-WX35)</f>
        <v/>
      </c>
      <c r="XJ35" s="12">
        <f>XF35+XF34+XF33+MAX(0,XJ34-XF34-XF33)*(1-WX35)</f>
        <v/>
      </c>
      <c r="XK35" s="12">
        <f>XK34+XG35-XG23*(AnnualChurn*VLOOKUP(WT35,ChurnSeasonTable,4,FALSE))*POWER(1-(AnnualChurn*VLOOKUP(WT35,ChurnSeasonTable,4,FALSE)),0)+XG11*(AnnualChurn*VLOOKUP(WT35,ChurnSeasonTable,4,FALSE))*POWER(1-(AnnualChurn*VLOOKUP(WT35,ChurnSeasonTable,4,FALSE)),1)</f>
        <v/>
      </c>
      <c r="XL35" s="12">
        <f>XL34+XH35-XH23*(AnnualChurn*VLOOKUP(WT35,ChurnSeasonTable,4,FALSE))*POWER(1-(AnnualChurn*VLOOKUP(WT35,ChurnSeasonTable,4,FALSE)),0)+XH11*(AnnualChurn*VLOOKUP(WT35,ChurnSeasonTable,4,FALSE))*POWER(1-(AnnualChurn*VLOOKUP(WT35,ChurnSeasonTable,4,FALSE)),1)</f>
        <v/>
      </c>
      <c r="XM35" s="12">
        <f>XI35+XJ35+XK35+XL35</f>
        <v/>
      </c>
      <c r="XN35" s="9">
        <f>XI35*PriceEssMonthly*WW35+XJ35*PricePremMonthly*WW35+XK35*PriceEssAnnual*WW35/12+XL35*PricePremAnnual*WW35/12</f>
        <v/>
      </c>
      <c r="XO35" s="9">
        <f>XN35*12</f>
        <v/>
      </c>
      <c r="XP35" s="12">
        <f>XI35*PriceEssMonthly*WW35+XJ35*PricePremMonthly*WW35</f>
        <v/>
      </c>
      <c r="XQ35" s="12">
        <f>XG35*PriceEssAnnual*WW35+XH35*PricePremAnnual*WW35</f>
        <v/>
      </c>
      <c r="XR35" s="12">
        <f>XG23*POWER(1-(AnnualChurn*VLOOKUP(WT35,ChurnSeasonTable,4,FALSE)),1)*PriceEssAnnual*WW35+XG11*POWER(1-(AnnualChurn*VLOOKUP(WT35,ChurnSeasonTable,4,FALSE)),2)*PriceEssAnnual*WW35+XH23*POWER(1-(AnnualChurn*VLOOKUP(WT35,ChurnSeasonTable,4,FALSE)),1)*PricePremAnnual*WW35+XH11*POWER(1-(AnnualChurn*VLOOKUP(WT35,ChurnSeasonTable,4,FALSE)),2)*PricePremAnnual*WW35</f>
        <v/>
      </c>
      <c r="XS35" s="9">
        <f>XP35+XQ35+XR35</f>
        <v/>
      </c>
      <c r="XT35" s="12">
        <f>SUM(XS24:XS35)</f>
        <v/>
      </c>
      <c r="XU35" s="12">
        <f>OR(XU34,XT35&gt;=VATThreshold)</f>
        <v/>
      </c>
      <c r="XV35" s="9">
        <f>IF(XU35,XS35/(1+VATRate),XS35)</f>
        <v/>
      </c>
      <c r="XW35" s="12">
        <f>XS35-XV35</f>
        <v/>
      </c>
      <c r="XX35" s="12">
        <f>IF(XU35=0,0,IF(WT35=1,SUMPRODUCT(--(($WU$5:$WU35=$WU35-1)*($WT$5:$WT35&gt;=10)*($WT$5:$WT35&lt;=12)),$XW$5:$XW35),IF(WT35=4,SUMPRODUCT(--(($WU$5:$WU35=$WU35)*($WT$5:$WT35&gt;=1)*($WT$5:$WT35&lt;=3)),$XW$5:$XW35),IF(WT35=7,SUMPRODUCT(--(($WU$5:$WU35=$WU35)*($WT$5:$WT35&gt;=4)*($WT$5:$WT35&lt;=6)),$XW$5:$XW35),IF(WT35=10,SUMPRODUCT(--(($WU$5:$WU35=$WU35)*($WT$5:$WT35&gt;=7)*($WT$5:$WT35&lt;=9)),$XW$5:$XW35),0)))))</f>
        <v/>
      </c>
      <c r="XY35" s="12">
        <f>XY34+XW35-XX35</f>
        <v/>
      </c>
      <c r="XZ35" s="12">
        <f>IF(ProviderDelay&gt;=1,XV34*ProviderShare,XV35*ProviderShare)</f>
        <v/>
      </c>
      <c r="YA35" s="12">
        <f>XS35*PaymentFee</f>
        <v/>
      </c>
      <c r="YB35" s="12">
        <f>XM35*OpsAI</f>
        <v/>
      </c>
      <c r="YC35" s="12">
        <f>MonthlyFixed</f>
        <v/>
      </c>
      <c r="YD35" s="12">
        <f>XA35*ReferralReward</f>
        <v/>
      </c>
      <c r="YE35" s="12">
        <f>WY35</f>
        <v/>
      </c>
      <c r="YF35" s="9">
        <f>XV35-XZ35-YA35-YB35-YC35-YD35-YE35</f>
        <v/>
      </c>
      <c r="YG35" s="9">
        <f>YG34+XS35-(XZ35+YA35+YB35+YC35+YD35+YE35+XX35)</f>
        <v/>
      </c>
      <c r="YH35" s="12">
        <f>IF(XM35&gt;0,XN35/XM35,0)</f>
        <v/>
      </c>
      <c r="YI35" s="11">
        <f>IF(XM34&gt;0,MAX(0,(XM34+XB35-XM35)/XM34),0)</f>
        <v/>
      </c>
      <c r="YK35" s="12" t="n">
        <v>31</v>
      </c>
      <c r="YL35" s="12">
        <f>MOD(YK35-1+LaunchMonth-1,12)+1</f>
        <v/>
      </c>
      <c r="YM35" s="12">
        <f>INT((YK35-1+LaunchMonth-1)/12)+1</f>
        <v/>
      </c>
      <c r="YN35" s="12">
        <f>VLOOKUP(YL35,SeasonTable,2,FALSE)</f>
        <v/>
      </c>
      <c r="YO35" s="12">
        <f>(1+InflationRate)^INT((YK35-1)/12)</f>
        <v/>
      </c>
      <c r="YP35" s="11">
        <f>MonthlyChurn*VLOOKUP(YL35,ChurnSeasonTable,4,FALSE)</f>
        <v/>
      </c>
      <c r="YQ35" s="12">
        <f>MIN(MAX(MktMin19plus,ZK34*MktPct19plus),MAX(0,ZY34-CashBuffer))</f>
        <v/>
      </c>
      <c r="YR35" s="12">
        <f>IF(YQ35&gt;0,MAX(1,ROUND(YQ35/CAC*YN35,0)),0)</f>
        <v/>
      </c>
      <c r="YS35" s="12">
        <f>IF(YR35&gt;0,ROUND(YR35*ReferralMix/(1-ReferralMix),0),0)</f>
        <v/>
      </c>
      <c r="YT35" s="12">
        <f>YR35+YS35</f>
        <v/>
      </c>
      <c r="YU35" s="12">
        <f>ROUND(YT35*(1-'Sens - Annual Mix'!$A$12),0)</f>
        <v/>
      </c>
      <c r="YV35" s="12">
        <f>YT35-YU35</f>
        <v/>
      </c>
      <c r="YW35" s="12">
        <f>ROUND(YU35*EssentialMix,0)</f>
        <v/>
      </c>
      <c r="YX35" s="12">
        <f>YU35-YW35</f>
        <v/>
      </c>
      <c r="YY35" s="12">
        <f>ROUND(YV35*EssentialMix,0)</f>
        <v/>
      </c>
      <c r="YZ35" s="12">
        <f>YV35-YY35</f>
        <v/>
      </c>
      <c r="ZA35" s="12">
        <f>YW35+YW34+YW33+MAX(0,ZA34-YW34-YW33)*(1-YP35)</f>
        <v/>
      </c>
      <c r="ZB35" s="12">
        <f>YX35+YX34+YX33+MAX(0,ZB34-YX34-YX33)*(1-YP35)</f>
        <v/>
      </c>
      <c r="ZC35" s="12">
        <f>ZC34+YY35-YY23*(AnnualChurn*VLOOKUP(YL35,ChurnSeasonTable,4,FALSE))*POWER(1-(AnnualChurn*VLOOKUP(YL35,ChurnSeasonTable,4,FALSE)),0)+YY11*(AnnualChurn*VLOOKUP(YL35,ChurnSeasonTable,4,FALSE))*POWER(1-(AnnualChurn*VLOOKUP(YL35,ChurnSeasonTable,4,FALSE)),1)</f>
        <v/>
      </c>
      <c r="ZD35" s="12">
        <f>ZD34+YZ35-YZ23*(AnnualChurn*VLOOKUP(YL35,ChurnSeasonTable,4,FALSE))*POWER(1-(AnnualChurn*VLOOKUP(YL35,ChurnSeasonTable,4,FALSE)),0)+YZ11*(AnnualChurn*VLOOKUP(YL35,ChurnSeasonTable,4,FALSE))*POWER(1-(AnnualChurn*VLOOKUP(YL35,ChurnSeasonTable,4,FALSE)),1)</f>
        <v/>
      </c>
      <c r="ZE35" s="12">
        <f>ZA35+ZB35+ZC35+ZD35</f>
        <v/>
      </c>
      <c r="ZF35" s="9">
        <f>ZA35*PriceEssMonthly*YO35+ZB35*PricePremMonthly*YO35+ZC35*PriceEssAnnual*YO35/12+ZD35*PricePremAnnual*YO35/12</f>
        <v/>
      </c>
      <c r="ZG35" s="9">
        <f>ZF35*12</f>
        <v/>
      </c>
      <c r="ZH35" s="12">
        <f>ZA35*PriceEssMonthly*YO35+ZB35*PricePremMonthly*YO35</f>
        <v/>
      </c>
      <c r="ZI35" s="12">
        <f>YY35*PriceEssAnnual*YO35+YZ35*PricePremAnnual*YO35</f>
        <v/>
      </c>
      <c r="ZJ35" s="12">
        <f>YY23*POWER(1-(AnnualChurn*VLOOKUP(YL35,ChurnSeasonTable,4,FALSE)),1)*PriceEssAnnual*YO35+YY11*POWER(1-(AnnualChurn*VLOOKUP(YL35,ChurnSeasonTable,4,FALSE)),2)*PriceEssAnnual*YO35+YZ23*POWER(1-(AnnualChurn*VLOOKUP(YL35,ChurnSeasonTable,4,FALSE)),1)*PricePremAnnual*YO35+YZ11*POWER(1-(AnnualChurn*VLOOKUP(YL35,ChurnSeasonTable,4,FALSE)),2)*PricePremAnnual*YO35</f>
        <v/>
      </c>
      <c r="ZK35" s="9">
        <f>ZH35+ZI35+ZJ35</f>
        <v/>
      </c>
      <c r="ZL35" s="12">
        <f>SUM(ZK24:ZK35)</f>
        <v/>
      </c>
      <c r="ZM35" s="12">
        <f>OR(ZM34,ZL35&gt;=VATThreshold)</f>
        <v/>
      </c>
      <c r="ZN35" s="9">
        <f>IF(ZM35,ZK35/(1+VATRate),ZK35)</f>
        <v/>
      </c>
      <c r="ZO35" s="12">
        <f>ZK35-ZN35</f>
        <v/>
      </c>
      <c r="ZP35" s="12">
        <f>IF(ZM35=0,0,IF(YL35=1,SUMPRODUCT(--(($YM$5:$YM35=$YM35-1)*($YL$5:$YL35&gt;=10)*($YL$5:$YL35&lt;=12)),$ZO$5:$ZO35),IF(YL35=4,SUMPRODUCT(--(($YM$5:$YM35=$YM35)*($YL$5:$YL35&gt;=1)*($YL$5:$YL35&lt;=3)),$ZO$5:$ZO35),IF(YL35=7,SUMPRODUCT(--(($YM$5:$YM35=$YM35)*($YL$5:$YL35&gt;=4)*($YL$5:$YL35&lt;=6)),$ZO$5:$ZO35),IF(YL35=10,SUMPRODUCT(--(($YM$5:$YM35=$YM35)*($YL$5:$YL35&gt;=7)*($YL$5:$YL35&lt;=9)),$ZO$5:$ZO35),0)))))</f>
        <v/>
      </c>
      <c r="ZQ35" s="12">
        <f>ZQ34+ZO35-ZP35</f>
        <v/>
      </c>
      <c r="ZR35" s="12">
        <f>IF(ProviderDelay&gt;=1,ZN34*ProviderShare,ZN35*ProviderShare)</f>
        <v/>
      </c>
      <c r="ZS35" s="12">
        <f>ZK35*PaymentFee</f>
        <v/>
      </c>
      <c r="ZT35" s="12">
        <f>ZE35*OpsAI</f>
        <v/>
      </c>
      <c r="ZU35" s="12">
        <f>MonthlyFixed</f>
        <v/>
      </c>
      <c r="ZV35" s="12">
        <f>YS35*ReferralReward</f>
        <v/>
      </c>
      <c r="ZW35" s="12">
        <f>YQ35</f>
        <v/>
      </c>
      <c r="ZX35" s="9">
        <f>ZN35-ZR35-ZS35-ZT35-ZU35-ZV35-ZW35</f>
        <v/>
      </c>
      <c r="ZY35" s="9">
        <f>ZY34+ZK35-(ZR35+ZS35+ZT35+ZU35+ZV35+ZW35+ZP35)</f>
        <v/>
      </c>
      <c r="ZZ35" s="12">
        <f>IF(ZE35&gt;0,ZF35/ZE35,0)</f>
        <v/>
      </c>
      <c r="AAA35" s="11">
        <f>IF(ZE34&gt;0,MAX(0,(ZE34+YT35-ZE35)/ZE34),0)</f>
        <v/>
      </c>
      <c r="AAC35" s="12" t="n">
        <v>31</v>
      </c>
      <c r="AAD35" s="12">
        <f>MOD(AAC35-1+LaunchMonth-1,12)+1</f>
        <v/>
      </c>
      <c r="AAE35" s="12">
        <f>INT((AAC35-1+LaunchMonth-1)/12)+1</f>
        <v/>
      </c>
      <c r="AAF35" s="12">
        <f>VLOOKUP(AAD35,SeasonTable,2,FALSE)</f>
        <v/>
      </c>
      <c r="AAG35" s="12">
        <f>(1+InflationRate)^INT((AAC35-1)/12)</f>
        <v/>
      </c>
      <c r="AAH35" s="11">
        <f>MonthlyChurn*VLOOKUP(AAD35,ChurnSeasonTable,4,FALSE)</f>
        <v/>
      </c>
      <c r="AAI35" s="12">
        <f>MIN(MAX(MktMin19plus,ABC34*MktPct19plus),MAX(0,ABQ34-CashBuffer))</f>
        <v/>
      </c>
      <c r="AAJ35" s="12">
        <f>IF(AAI35&gt;0,MAX(1,ROUND(AAI35/CAC*AAF35,0)),0)</f>
        <v/>
      </c>
      <c r="AAK35" s="12">
        <f>IF(AAJ35&gt;0,ROUND(AAJ35*ReferralMix/(1-ReferralMix),0),0)</f>
        <v/>
      </c>
      <c r="AAL35" s="12">
        <f>AAJ35+AAK35</f>
        <v/>
      </c>
      <c r="AAM35" s="12">
        <f>ROUND(AAL35*(1-'Sens - Annual Mix'!$A$13),0)</f>
        <v/>
      </c>
      <c r="AAN35" s="12">
        <f>AAL35-AAM35</f>
        <v/>
      </c>
      <c r="AAO35" s="12">
        <f>ROUND(AAM35*EssentialMix,0)</f>
        <v/>
      </c>
      <c r="AAP35" s="12">
        <f>AAM35-AAO35</f>
        <v/>
      </c>
      <c r="AAQ35" s="12">
        <f>ROUND(AAN35*EssentialMix,0)</f>
        <v/>
      </c>
      <c r="AAR35" s="12">
        <f>AAN35-AAQ35</f>
        <v/>
      </c>
      <c r="AAS35" s="12">
        <f>AAO35+AAO34+AAO33+MAX(0,AAS34-AAO34-AAO33)*(1-AAH35)</f>
        <v/>
      </c>
      <c r="AAT35" s="12">
        <f>AAP35+AAP34+AAP33+MAX(0,AAT34-AAP34-AAP33)*(1-AAH35)</f>
        <v/>
      </c>
      <c r="AAU35" s="12">
        <f>AAU34+AAQ35-AAQ23*(AnnualChurn*VLOOKUP(AAD35,ChurnSeasonTable,4,FALSE))*POWER(1-(AnnualChurn*VLOOKUP(AAD35,ChurnSeasonTable,4,FALSE)),0)+AAQ11*(AnnualChurn*VLOOKUP(AAD35,ChurnSeasonTable,4,FALSE))*POWER(1-(AnnualChurn*VLOOKUP(AAD35,ChurnSeasonTable,4,FALSE)),1)</f>
        <v/>
      </c>
      <c r="AAV35" s="12">
        <f>AAV34+AAR35-AAR23*(AnnualChurn*VLOOKUP(AAD35,ChurnSeasonTable,4,FALSE))*POWER(1-(AnnualChurn*VLOOKUP(AAD35,ChurnSeasonTable,4,FALSE)),0)+AAR11*(AnnualChurn*VLOOKUP(AAD35,ChurnSeasonTable,4,FALSE))*POWER(1-(AnnualChurn*VLOOKUP(AAD35,ChurnSeasonTable,4,FALSE)),1)</f>
        <v/>
      </c>
      <c r="AAW35" s="12">
        <f>AAS35+AAT35+AAU35+AAV35</f>
        <v/>
      </c>
      <c r="AAX35" s="9">
        <f>AAS35*PriceEssMonthly*AAG35+AAT35*PricePremMonthly*AAG35+AAU35*PriceEssAnnual*AAG35/12+AAV35*PricePremAnnual*AAG35/12</f>
        <v/>
      </c>
      <c r="AAY35" s="9">
        <f>AAX35*12</f>
        <v/>
      </c>
      <c r="AAZ35" s="12">
        <f>AAS35*PriceEssMonthly*AAG35+AAT35*PricePremMonthly*AAG35</f>
        <v/>
      </c>
      <c r="ABA35" s="12">
        <f>AAQ35*PriceEssAnnual*AAG35+AAR35*PricePremAnnual*AAG35</f>
        <v/>
      </c>
      <c r="ABB35" s="12">
        <f>AAQ23*POWER(1-(AnnualChurn*VLOOKUP(AAD35,ChurnSeasonTable,4,FALSE)),1)*PriceEssAnnual*AAG35+AAQ11*POWER(1-(AnnualChurn*VLOOKUP(AAD35,ChurnSeasonTable,4,FALSE)),2)*PriceEssAnnual*AAG35+AAR23*POWER(1-(AnnualChurn*VLOOKUP(AAD35,ChurnSeasonTable,4,FALSE)),1)*PricePremAnnual*AAG35+AAR11*POWER(1-(AnnualChurn*VLOOKUP(AAD35,ChurnSeasonTable,4,FALSE)),2)*PricePremAnnual*AAG35</f>
        <v/>
      </c>
      <c r="ABC35" s="9">
        <f>AAZ35+ABA35+ABB35</f>
        <v/>
      </c>
      <c r="ABD35" s="12">
        <f>SUM(ABC24:ABC35)</f>
        <v/>
      </c>
      <c r="ABE35" s="12">
        <f>OR(ABE34,ABD35&gt;=VATThreshold)</f>
        <v/>
      </c>
      <c r="ABF35" s="9">
        <f>IF(ABE35,ABC35/(1+VATRate),ABC35)</f>
        <v/>
      </c>
      <c r="ABG35" s="12">
        <f>ABC35-ABF35</f>
        <v/>
      </c>
      <c r="ABH35" s="12">
        <f>IF(ABE35=0,0,IF(AAD35=1,SUMPRODUCT(--(($AAE$5:$AAE35=$AAE35-1)*($AAD$5:$AAD35&gt;=10)*($AAD$5:$AAD35&lt;=12)),$ABG$5:$ABG35),IF(AAD35=4,SUMPRODUCT(--(($AAE$5:$AAE35=$AAE35)*($AAD$5:$AAD35&gt;=1)*($AAD$5:$AAD35&lt;=3)),$ABG$5:$ABG35),IF(AAD35=7,SUMPRODUCT(--(($AAE$5:$AAE35=$AAE35)*($AAD$5:$AAD35&gt;=4)*($AAD$5:$AAD35&lt;=6)),$ABG$5:$ABG35),IF(AAD35=10,SUMPRODUCT(--(($AAE$5:$AAE35=$AAE35)*($AAD$5:$AAD35&gt;=7)*($AAD$5:$AAD35&lt;=9)),$ABG$5:$ABG35),0)))))</f>
        <v/>
      </c>
      <c r="ABI35" s="12">
        <f>ABI34+ABG35-ABH35</f>
        <v/>
      </c>
      <c r="ABJ35" s="12">
        <f>IF(ProviderDelay&gt;=1,ABF34*ProviderShare,ABF35*ProviderShare)</f>
        <v/>
      </c>
      <c r="ABK35" s="12">
        <f>ABC35*PaymentFee</f>
        <v/>
      </c>
      <c r="ABL35" s="12">
        <f>AAW35*OpsAI</f>
        <v/>
      </c>
      <c r="ABM35" s="12">
        <f>MonthlyFixed</f>
        <v/>
      </c>
      <c r="ABN35" s="12">
        <f>AAK35*ReferralReward</f>
        <v/>
      </c>
      <c r="ABO35" s="12">
        <f>AAI35</f>
        <v/>
      </c>
      <c r="ABP35" s="9">
        <f>ABF35-ABJ35-ABK35-ABL35-ABM35-ABN35-ABO35</f>
        <v/>
      </c>
      <c r="ABQ35" s="9">
        <f>ABQ34+ABC35-(ABJ35+ABK35+ABL35+ABM35+ABN35+ABO35+ABH35)</f>
        <v/>
      </c>
      <c r="ABR35" s="12">
        <f>IF(AAW35&gt;0,AAX35/AAW35,0)</f>
        <v/>
      </c>
      <c r="ABS35" s="11">
        <f>IF(AAW34&gt;0,MAX(0,(AAW34+AAL35-AAW35)/AAW34),0)</f>
        <v/>
      </c>
      <c r="ABU35" s="12" t="n">
        <v>31</v>
      </c>
      <c r="ABV35" s="12">
        <f>MOD(ABU35-1+LaunchMonth-1,12)+1</f>
        <v/>
      </c>
      <c r="ABW35" s="12">
        <f>INT((ABU35-1+LaunchMonth-1)/12)+1</f>
        <v/>
      </c>
      <c r="ABX35" s="12">
        <f>VLOOKUP(ABV35,SeasonTable,2,FALSE)</f>
        <v/>
      </c>
      <c r="ABY35" s="12">
        <f>(1+InflationRate)^INT((ABU35-1)/12)</f>
        <v/>
      </c>
      <c r="ABZ35" s="11">
        <f>MonthlyChurn*VLOOKUP(ABV35,ChurnSeasonTable,4,FALSE)</f>
        <v/>
      </c>
      <c r="ACA35" s="12">
        <f>MIN(MAX(MktMin19plus,ACU34*MktPct19plus),MAX(0,ADI34-CashBuffer))</f>
        <v/>
      </c>
      <c r="ACB35" s="12">
        <f>IF(ACA35&gt;0,MAX(1,ROUND(ACA35/CAC*ABX35,0)),0)</f>
        <v/>
      </c>
      <c r="ACC35" s="12">
        <f>IF(ACB35&gt;0,ROUND(ACB35*ReferralMix/(1-ReferralMix),0),0)</f>
        <v/>
      </c>
      <c r="ACD35" s="12">
        <f>ACB35+ACC35</f>
        <v/>
      </c>
      <c r="ACE35" s="12">
        <f>ROUND(ACD35*(1-'Sens - Annual Mix'!$A$14),0)</f>
        <v/>
      </c>
      <c r="ACF35" s="12">
        <f>ACD35-ACE35</f>
        <v/>
      </c>
      <c r="ACG35" s="12">
        <f>ROUND(ACE35*EssentialMix,0)</f>
        <v/>
      </c>
      <c r="ACH35" s="12">
        <f>ACE35-ACG35</f>
        <v/>
      </c>
      <c r="ACI35" s="12">
        <f>ROUND(ACF35*EssentialMix,0)</f>
        <v/>
      </c>
      <c r="ACJ35" s="12">
        <f>ACF35-ACI35</f>
        <v/>
      </c>
      <c r="ACK35" s="12">
        <f>ACG35+ACG34+ACG33+MAX(0,ACK34-ACG34-ACG33)*(1-ABZ35)</f>
        <v/>
      </c>
      <c r="ACL35" s="12">
        <f>ACH35+ACH34+ACH33+MAX(0,ACL34-ACH34-ACH33)*(1-ABZ35)</f>
        <v/>
      </c>
      <c r="ACM35" s="12">
        <f>ACM34+ACI35-ACI23*(AnnualChurn*VLOOKUP(ABV35,ChurnSeasonTable,4,FALSE))*POWER(1-(AnnualChurn*VLOOKUP(ABV35,ChurnSeasonTable,4,FALSE)),0)+ACI11*(AnnualChurn*VLOOKUP(ABV35,ChurnSeasonTable,4,FALSE))*POWER(1-(AnnualChurn*VLOOKUP(ABV35,ChurnSeasonTable,4,FALSE)),1)</f>
        <v/>
      </c>
      <c r="ACN35" s="12">
        <f>ACN34+ACJ35-ACJ23*(AnnualChurn*VLOOKUP(ABV35,ChurnSeasonTable,4,FALSE))*POWER(1-(AnnualChurn*VLOOKUP(ABV35,ChurnSeasonTable,4,FALSE)),0)+ACJ11*(AnnualChurn*VLOOKUP(ABV35,ChurnSeasonTable,4,FALSE))*POWER(1-(AnnualChurn*VLOOKUP(ABV35,ChurnSeasonTable,4,FALSE)),1)</f>
        <v/>
      </c>
      <c r="ACO35" s="12">
        <f>ACK35+ACL35+ACM35+ACN35</f>
        <v/>
      </c>
      <c r="ACP35" s="9">
        <f>ACK35*PriceEssMonthly*ABY35+ACL35*PricePremMonthly*ABY35+ACM35*PriceEssAnnual*ABY35/12+ACN35*PricePremAnnual*ABY35/12</f>
        <v/>
      </c>
      <c r="ACQ35" s="9">
        <f>ACP35*12</f>
        <v/>
      </c>
      <c r="ACR35" s="12">
        <f>ACK35*PriceEssMonthly*ABY35+ACL35*PricePremMonthly*ABY35</f>
        <v/>
      </c>
      <c r="ACS35" s="12">
        <f>ACI35*PriceEssAnnual*ABY35+ACJ35*PricePremAnnual*ABY35</f>
        <v/>
      </c>
      <c r="ACT35" s="12">
        <f>ACI23*POWER(1-(AnnualChurn*VLOOKUP(ABV35,ChurnSeasonTable,4,FALSE)),1)*PriceEssAnnual*ABY35+ACI11*POWER(1-(AnnualChurn*VLOOKUP(ABV35,ChurnSeasonTable,4,FALSE)),2)*PriceEssAnnual*ABY35+ACJ23*POWER(1-(AnnualChurn*VLOOKUP(ABV35,ChurnSeasonTable,4,FALSE)),1)*PricePremAnnual*ABY35+ACJ11*POWER(1-(AnnualChurn*VLOOKUP(ABV35,ChurnSeasonTable,4,FALSE)),2)*PricePremAnnual*ABY35</f>
        <v/>
      </c>
      <c r="ACU35" s="9">
        <f>ACR35+ACS35+ACT35</f>
        <v/>
      </c>
      <c r="ACV35" s="12">
        <f>SUM(ACU24:ACU35)</f>
        <v/>
      </c>
      <c r="ACW35" s="12">
        <f>OR(ACW34,ACV35&gt;=VATThreshold)</f>
        <v/>
      </c>
      <c r="ACX35" s="9">
        <f>IF(ACW35,ACU35/(1+VATRate),ACU35)</f>
        <v/>
      </c>
      <c r="ACY35" s="12">
        <f>ACU35-ACX35</f>
        <v/>
      </c>
      <c r="ACZ35" s="12">
        <f>IF(ACW35=0,0,IF(ABV35=1,SUMPRODUCT(--(($ABW$5:$ABW35=$ABW35-1)*($ABV$5:$ABV35&gt;=10)*($ABV$5:$ABV35&lt;=12)),$ACY$5:$ACY35),IF(ABV35=4,SUMPRODUCT(--(($ABW$5:$ABW35=$ABW35)*($ABV$5:$ABV35&gt;=1)*($ABV$5:$ABV35&lt;=3)),$ACY$5:$ACY35),IF(ABV35=7,SUMPRODUCT(--(($ABW$5:$ABW35=$ABW35)*($ABV$5:$ABV35&gt;=4)*($ABV$5:$ABV35&lt;=6)),$ACY$5:$ACY35),IF(ABV35=10,SUMPRODUCT(--(($ABW$5:$ABW35=$ABW35)*($ABV$5:$ABV35&gt;=7)*($ABV$5:$ABV35&lt;=9)),$ACY$5:$ACY35),0)))))</f>
        <v/>
      </c>
      <c r="ADA35" s="12">
        <f>ADA34+ACY35-ACZ35</f>
        <v/>
      </c>
      <c r="ADB35" s="12">
        <f>IF(ProviderDelay&gt;=1,ACX34*ProviderShare,ACX35*ProviderShare)</f>
        <v/>
      </c>
      <c r="ADC35" s="12">
        <f>ACU35*PaymentFee</f>
        <v/>
      </c>
      <c r="ADD35" s="12">
        <f>ACO35*OpsAI</f>
        <v/>
      </c>
      <c r="ADE35" s="12">
        <f>MonthlyFixed</f>
        <v/>
      </c>
      <c r="ADF35" s="12">
        <f>ACC35*ReferralReward</f>
        <v/>
      </c>
      <c r="ADG35" s="12">
        <f>ACA35</f>
        <v/>
      </c>
      <c r="ADH35" s="9">
        <f>ACX35-ADB35-ADC35-ADD35-ADE35-ADF35-ADG35</f>
        <v/>
      </c>
      <c r="ADI35" s="9">
        <f>ADI34+ACU35-(ADB35+ADC35+ADD35+ADE35+ADF35+ADG35+ACZ35)</f>
        <v/>
      </c>
      <c r="ADJ35" s="12">
        <f>IF(ACO35&gt;0,ACP35/ACO35,0)</f>
        <v/>
      </c>
      <c r="ADK35" s="11">
        <f>IF(ACO34&gt;0,MAX(0,(ACO34+ACD35-ACO35)/ACO34),0)</f>
        <v/>
      </c>
      <c r="ADM35" s="12" t="n">
        <v>31</v>
      </c>
      <c r="ADN35" s="12">
        <f>MOD(ADM35-1+LaunchMonth-1,12)+1</f>
        <v/>
      </c>
      <c r="ADO35" s="12">
        <f>INT((ADM35-1+LaunchMonth-1)/12)+1</f>
        <v/>
      </c>
      <c r="ADP35" s="12">
        <f>VLOOKUP(ADN35,SeasonTable,2,FALSE)</f>
        <v/>
      </c>
      <c r="ADQ35" s="12">
        <f>(1+InflationRate)^INT((ADM35-1)/12)</f>
        <v/>
      </c>
      <c r="ADR35" s="11">
        <f>MonthlyChurn*VLOOKUP(ADN35,ChurnSeasonTable,4,FALSE)</f>
        <v/>
      </c>
      <c r="ADS35" s="12">
        <f>MIN(MAX(MktMin19plus,AEM34*MktPct19plus),MAX(0,AFA34-CashBuffer))</f>
        <v/>
      </c>
      <c r="ADT35" s="12">
        <f>IF(ADS35&gt;0,MAX(1,ROUND(ADS35/CAC*ADP35,0)),0)</f>
        <v/>
      </c>
      <c r="ADU35" s="12">
        <f>IF(ADT35&gt;0,ROUND(ADT35*ReferralMix/(1-ReferralMix),0),0)</f>
        <v/>
      </c>
      <c r="ADV35" s="12">
        <f>ADT35+ADU35</f>
        <v/>
      </c>
      <c r="ADW35" s="12">
        <f>ROUND(ADV35*(1-'Sens - Annual Mix'!$A$15),0)</f>
        <v/>
      </c>
      <c r="ADX35" s="12">
        <f>ADV35-ADW35</f>
        <v/>
      </c>
      <c r="ADY35" s="12">
        <f>ROUND(ADW35*EssentialMix,0)</f>
        <v/>
      </c>
      <c r="ADZ35" s="12">
        <f>ADW35-ADY35</f>
        <v/>
      </c>
      <c r="AEA35" s="12">
        <f>ROUND(ADX35*EssentialMix,0)</f>
        <v/>
      </c>
      <c r="AEB35" s="12">
        <f>ADX35-AEA35</f>
        <v/>
      </c>
      <c r="AEC35" s="12">
        <f>ADY35+ADY34+ADY33+MAX(0,AEC34-ADY34-ADY33)*(1-ADR35)</f>
        <v/>
      </c>
      <c r="AED35" s="12">
        <f>ADZ35+ADZ34+ADZ33+MAX(0,AED34-ADZ34-ADZ33)*(1-ADR35)</f>
        <v/>
      </c>
      <c r="AEE35" s="12">
        <f>AEE34+AEA35-AEA23*(AnnualChurn*VLOOKUP(ADN35,ChurnSeasonTable,4,FALSE))*POWER(1-(AnnualChurn*VLOOKUP(ADN35,ChurnSeasonTable,4,FALSE)),0)+AEA11*(AnnualChurn*VLOOKUP(ADN35,ChurnSeasonTable,4,FALSE))*POWER(1-(AnnualChurn*VLOOKUP(ADN35,ChurnSeasonTable,4,FALSE)),1)</f>
        <v/>
      </c>
      <c r="AEF35" s="12">
        <f>AEF34+AEB35-AEB23*(AnnualChurn*VLOOKUP(ADN35,ChurnSeasonTable,4,FALSE))*POWER(1-(AnnualChurn*VLOOKUP(ADN35,ChurnSeasonTable,4,FALSE)),0)+AEB11*(AnnualChurn*VLOOKUP(ADN35,ChurnSeasonTable,4,FALSE))*POWER(1-(AnnualChurn*VLOOKUP(ADN35,ChurnSeasonTable,4,FALSE)),1)</f>
        <v/>
      </c>
      <c r="AEG35" s="12">
        <f>AEC35+AED35+AEE35+AEF35</f>
        <v/>
      </c>
      <c r="AEH35" s="9">
        <f>AEC35*PriceEssMonthly*ADQ35+AED35*PricePremMonthly*ADQ35+AEE35*PriceEssAnnual*ADQ35/12+AEF35*PricePremAnnual*ADQ35/12</f>
        <v/>
      </c>
      <c r="AEI35" s="9">
        <f>AEH35*12</f>
        <v/>
      </c>
      <c r="AEJ35" s="12">
        <f>AEC35*PriceEssMonthly*ADQ35+AED35*PricePremMonthly*ADQ35</f>
        <v/>
      </c>
      <c r="AEK35" s="12">
        <f>AEA35*PriceEssAnnual*ADQ35+AEB35*PricePremAnnual*ADQ35</f>
        <v/>
      </c>
      <c r="AEL35" s="12">
        <f>AEA23*POWER(1-(AnnualChurn*VLOOKUP(ADN35,ChurnSeasonTable,4,FALSE)),1)*PriceEssAnnual*ADQ35+AEA11*POWER(1-(AnnualChurn*VLOOKUP(ADN35,ChurnSeasonTable,4,FALSE)),2)*PriceEssAnnual*ADQ35+AEB23*POWER(1-(AnnualChurn*VLOOKUP(ADN35,ChurnSeasonTable,4,FALSE)),1)*PricePremAnnual*ADQ35+AEB11*POWER(1-(AnnualChurn*VLOOKUP(ADN35,ChurnSeasonTable,4,FALSE)),2)*PricePremAnnual*ADQ35</f>
        <v/>
      </c>
      <c r="AEM35" s="9">
        <f>AEJ35+AEK35+AEL35</f>
        <v/>
      </c>
      <c r="AEN35" s="12">
        <f>SUM(AEM24:AEM35)</f>
        <v/>
      </c>
      <c r="AEO35" s="12">
        <f>OR(AEO34,AEN35&gt;=VATThreshold)</f>
        <v/>
      </c>
      <c r="AEP35" s="9">
        <f>IF(AEO35,AEM35/(1+VATRate),AEM35)</f>
        <v/>
      </c>
      <c r="AEQ35" s="12">
        <f>AEM35-AEP35</f>
        <v/>
      </c>
      <c r="AER35" s="12">
        <f>IF(AEO35=0,0,IF(ADN35=1,SUMPRODUCT(--(($ADO$5:$ADO35=$ADO35-1)*($ADN$5:$ADN35&gt;=10)*($ADN$5:$ADN35&lt;=12)),$AEQ$5:$AEQ35),IF(ADN35=4,SUMPRODUCT(--(($ADO$5:$ADO35=$ADO35)*($ADN$5:$ADN35&gt;=1)*($ADN$5:$ADN35&lt;=3)),$AEQ$5:$AEQ35),IF(ADN35=7,SUMPRODUCT(--(($ADO$5:$ADO35=$ADO35)*($ADN$5:$ADN35&gt;=4)*($ADN$5:$ADN35&lt;=6)),$AEQ$5:$AEQ35),IF(ADN35=10,SUMPRODUCT(--(($ADO$5:$ADO35=$ADO35)*($ADN$5:$ADN35&gt;=7)*($ADN$5:$ADN35&lt;=9)),$AEQ$5:$AEQ35),0)))))</f>
        <v/>
      </c>
      <c r="AES35" s="12">
        <f>AES34+AEQ35-AER35</f>
        <v/>
      </c>
      <c r="AET35" s="12">
        <f>IF(ProviderDelay&gt;=1,AEP34*ProviderShare,AEP35*ProviderShare)</f>
        <v/>
      </c>
      <c r="AEU35" s="12">
        <f>AEM35*PaymentFee</f>
        <v/>
      </c>
      <c r="AEV35" s="12">
        <f>AEG35*OpsAI</f>
        <v/>
      </c>
      <c r="AEW35" s="12">
        <f>MonthlyFixed</f>
        <v/>
      </c>
      <c r="AEX35" s="12">
        <f>ADU35*ReferralReward</f>
        <v/>
      </c>
      <c r="AEY35" s="12">
        <f>ADS35</f>
        <v/>
      </c>
      <c r="AEZ35" s="9">
        <f>AEP35-AET35-AEU35-AEV35-AEW35-AEX35-AEY35</f>
        <v/>
      </c>
      <c r="AFA35" s="9">
        <f>AFA34+AEM35-(AET35+AEU35+AEV35+AEW35+AEX35+AEY35+AER35)</f>
        <v/>
      </c>
      <c r="AFB35" s="12">
        <f>IF(AEG35&gt;0,AEH35/AEG35,0)</f>
        <v/>
      </c>
      <c r="AFC35" s="11">
        <f>IF(AEG34&gt;0,MAX(0,(AEG34+ADV35-AEG35)/AEG34),0)</f>
        <v/>
      </c>
      <c r="AFE35" s="12" t="n">
        <v>31</v>
      </c>
      <c r="AFF35" s="12">
        <f>MOD(AFE35-1+LaunchMonth-1,12)+1</f>
        <v/>
      </c>
      <c r="AFG35" s="12">
        <f>INT((AFE35-1+LaunchMonth-1)/12)+1</f>
        <v/>
      </c>
      <c r="AFH35" s="12">
        <f>VLOOKUP(AFF35,SeasonTable,2,FALSE)</f>
        <v/>
      </c>
      <c r="AFI35" s="12">
        <f>(1+InflationRate)^INT((AFE35-1)/12)</f>
        <v/>
      </c>
      <c r="AFJ35" s="11">
        <f>MonthlyChurn*VLOOKUP(AFF35,ChurnSeasonTable,4,FALSE)</f>
        <v/>
      </c>
      <c r="AFK35" s="12">
        <f>MIN(MAX(MktMin19plus,AGE34*MktPct19plus),MAX(0,AGS34-CashBuffer))</f>
        <v/>
      </c>
      <c r="AFL35" s="12">
        <f>IF(AFK35&gt;0,MAX(1,ROUND(AFK35/'Sens - CAC &amp; Marketing'!$A$9*AFH35,0)),0)</f>
        <v/>
      </c>
      <c r="AFM35" s="12">
        <f>IF(AFL35&gt;0,ROUND(AFL35*ReferralMix/(1-ReferralMix),0),0)</f>
        <v/>
      </c>
      <c r="AFN35" s="12">
        <f>AFL35+AFM35</f>
        <v/>
      </c>
      <c r="AFO35" s="12">
        <f>ROUND(AFN35*(1-AnnualMix),0)</f>
        <v/>
      </c>
      <c r="AFP35" s="12">
        <f>AFN35-AFO35</f>
        <v/>
      </c>
      <c r="AFQ35" s="12">
        <f>ROUND(AFO35*EssentialMix,0)</f>
        <v/>
      </c>
      <c r="AFR35" s="12">
        <f>AFO35-AFQ35</f>
        <v/>
      </c>
      <c r="AFS35" s="12">
        <f>ROUND(AFP35*EssentialMix,0)</f>
        <v/>
      </c>
      <c r="AFT35" s="12">
        <f>AFP35-AFS35</f>
        <v/>
      </c>
      <c r="AFU35" s="12">
        <f>AFQ35+AFQ34+AFQ33+MAX(0,AFU34-AFQ34-AFQ33)*(1-AFJ35)</f>
        <v/>
      </c>
      <c r="AFV35" s="12">
        <f>AFR35+AFR34+AFR33+MAX(0,AFV34-AFR34-AFR33)*(1-AFJ35)</f>
        <v/>
      </c>
      <c r="AFW35" s="12">
        <f>AFW34+AFS35-AFS23*(AnnualChurn*VLOOKUP(AFF35,ChurnSeasonTable,4,FALSE))*POWER(1-(AnnualChurn*VLOOKUP(AFF35,ChurnSeasonTable,4,FALSE)),0)+AFS11*(AnnualChurn*VLOOKUP(AFF35,ChurnSeasonTable,4,FALSE))*POWER(1-(AnnualChurn*VLOOKUP(AFF35,ChurnSeasonTable,4,FALSE)),1)</f>
        <v/>
      </c>
      <c r="AFX35" s="12">
        <f>AFX34+AFT35-AFT23*(AnnualChurn*VLOOKUP(AFF35,ChurnSeasonTable,4,FALSE))*POWER(1-(AnnualChurn*VLOOKUP(AFF35,ChurnSeasonTable,4,FALSE)),0)+AFT11*(AnnualChurn*VLOOKUP(AFF35,ChurnSeasonTable,4,FALSE))*POWER(1-(AnnualChurn*VLOOKUP(AFF35,ChurnSeasonTable,4,FALSE)),1)</f>
        <v/>
      </c>
      <c r="AFY35" s="12">
        <f>AFU35+AFV35+AFW35+AFX35</f>
        <v/>
      </c>
      <c r="AFZ35" s="9">
        <f>AFU35*PriceEssMonthly*AFI35+AFV35*PricePremMonthly*AFI35+AFW35*PriceEssAnnual*AFI35/12+AFX35*PricePremAnnual*AFI35/12</f>
        <v/>
      </c>
      <c r="AGA35" s="9">
        <f>AFZ35*12</f>
        <v/>
      </c>
      <c r="AGB35" s="12">
        <f>AFU35*PriceEssMonthly*AFI35+AFV35*PricePremMonthly*AFI35</f>
        <v/>
      </c>
      <c r="AGC35" s="12">
        <f>AFS35*PriceEssAnnual*AFI35+AFT35*PricePremAnnual*AFI35</f>
        <v/>
      </c>
      <c r="AGD35" s="12">
        <f>AFS23*POWER(1-(AnnualChurn*VLOOKUP(AFF35,ChurnSeasonTable,4,FALSE)),1)*PriceEssAnnual*AFI35+AFS11*POWER(1-(AnnualChurn*VLOOKUP(AFF35,ChurnSeasonTable,4,FALSE)),2)*PriceEssAnnual*AFI35+AFT23*POWER(1-(AnnualChurn*VLOOKUP(AFF35,ChurnSeasonTable,4,FALSE)),1)*PricePremAnnual*AFI35+AFT11*POWER(1-(AnnualChurn*VLOOKUP(AFF35,ChurnSeasonTable,4,FALSE)),2)*PricePremAnnual*AFI35</f>
        <v/>
      </c>
      <c r="AGE35" s="9">
        <f>AGB35+AGC35+AGD35</f>
        <v/>
      </c>
      <c r="AGF35" s="12">
        <f>SUM(AGE24:AGE35)</f>
        <v/>
      </c>
      <c r="AGG35" s="12">
        <f>OR(AGG34,AGF35&gt;=VATThreshold)</f>
        <v/>
      </c>
      <c r="AGH35" s="9">
        <f>IF(AGG35,AGE35/(1+VATRate),AGE35)</f>
        <v/>
      </c>
      <c r="AGI35" s="12">
        <f>AGE35-AGH35</f>
        <v/>
      </c>
      <c r="AGJ35" s="12">
        <f>IF(AGG35=0,0,IF(AFF35=1,SUMPRODUCT(--(($AFG$5:$AFG35=$AFG35-1)*($AFF$5:$AFF35&gt;=10)*($AFF$5:$AFF35&lt;=12)),$AGI$5:$AGI35),IF(AFF35=4,SUMPRODUCT(--(($AFG$5:$AFG35=$AFG35)*($AFF$5:$AFF35&gt;=1)*($AFF$5:$AFF35&lt;=3)),$AGI$5:$AGI35),IF(AFF35=7,SUMPRODUCT(--(($AFG$5:$AFG35=$AFG35)*($AFF$5:$AFF35&gt;=4)*($AFF$5:$AFF35&lt;=6)),$AGI$5:$AGI35),IF(AFF35=10,SUMPRODUCT(--(($AFG$5:$AFG35=$AFG35)*($AFF$5:$AFF35&gt;=7)*($AFF$5:$AFF35&lt;=9)),$AGI$5:$AGI35),0)))))</f>
        <v/>
      </c>
      <c r="AGK35" s="12">
        <f>AGK34+AGI35-AGJ35</f>
        <v/>
      </c>
      <c r="AGL35" s="12">
        <f>IF(ProviderDelay&gt;=1,AGH34*ProviderShare,AGH35*ProviderShare)</f>
        <v/>
      </c>
      <c r="AGM35" s="12">
        <f>AGE35*PaymentFee</f>
        <v/>
      </c>
      <c r="AGN35" s="12">
        <f>AFY35*OpsAI</f>
        <v/>
      </c>
      <c r="AGO35" s="12">
        <f>MonthlyFixed</f>
        <v/>
      </c>
      <c r="AGP35" s="12">
        <f>AFM35*ReferralReward</f>
        <v/>
      </c>
      <c r="AGQ35" s="12">
        <f>AFK35</f>
        <v/>
      </c>
      <c r="AGR35" s="9">
        <f>AGH35-AGL35-AGM35-AGN35-AGO35-AGP35-AGQ35</f>
        <v/>
      </c>
      <c r="AGS35" s="9">
        <f>AGS34+AGE35-(AGL35+AGM35+AGN35+AGO35+AGP35+AGQ35+AGJ35)</f>
        <v/>
      </c>
      <c r="AGT35" s="12">
        <f>IF(AFY35&gt;0,AFZ35/AFY35,0)</f>
        <v/>
      </c>
      <c r="AGU35" s="11">
        <f>IF(AFY34&gt;0,MAX(0,(AFY34+AFN35-AFY35)/AFY34),0)</f>
        <v/>
      </c>
      <c r="AGW35" s="12" t="n">
        <v>31</v>
      </c>
      <c r="AGX35" s="12">
        <f>MOD(AGW35-1+LaunchMonth-1,12)+1</f>
        <v/>
      </c>
      <c r="AGY35" s="12">
        <f>INT((AGW35-1+LaunchMonth-1)/12)+1</f>
        <v/>
      </c>
      <c r="AGZ35" s="12">
        <f>VLOOKUP(AGX35,SeasonTable,2,FALSE)</f>
        <v/>
      </c>
      <c r="AHA35" s="12">
        <f>(1+InflationRate)^INT((AGW35-1)/12)</f>
        <v/>
      </c>
      <c r="AHB35" s="11">
        <f>MonthlyChurn*VLOOKUP(AGX35,ChurnSeasonTable,4,FALSE)</f>
        <v/>
      </c>
      <c r="AHC35" s="12">
        <f>MIN(MAX(MktMin19plus,AHW34*MktPct19plus),MAX(0,AIK34-CashBuffer))</f>
        <v/>
      </c>
      <c r="AHD35" s="12">
        <f>IF(AHC35&gt;0,MAX(1,ROUND(AHC35/'Sens - CAC &amp; Marketing'!$A$10*AGZ35,0)),0)</f>
        <v/>
      </c>
      <c r="AHE35" s="12">
        <f>IF(AHD35&gt;0,ROUND(AHD35*ReferralMix/(1-ReferralMix),0),0)</f>
        <v/>
      </c>
      <c r="AHF35" s="12">
        <f>AHD35+AHE35</f>
        <v/>
      </c>
      <c r="AHG35" s="12">
        <f>ROUND(AHF35*(1-AnnualMix),0)</f>
        <v/>
      </c>
      <c r="AHH35" s="12">
        <f>AHF35-AHG35</f>
        <v/>
      </c>
      <c r="AHI35" s="12">
        <f>ROUND(AHG35*EssentialMix,0)</f>
        <v/>
      </c>
      <c r="AHJ35" s="12">
        <f>AHG35-AHI35</f>
        <v/>
      </c>
      <c r="AHK35" s="12">
        <f>ROUND(AHH35*EssentialMix,0)</f>
        <v/>
      </c>
      <c r="AHL35" s="12">
        <f>AHH35-AHK35</f>
        <v/>
      </c>
      <c r="AHM35" s="12">
        <f>AHI35+AHI34+AHI33+MAX(0,AHM34-AHI34-AHI33)*(1-AHB35)</f>
        <v/>
      </c>
      <c r="AHN35" s="12">
        <f>AHJ35+AHJ34+AHJ33+MAX(0,AHN34-AHJ34-AHJ33)*(1-AHB35)</f>
        <v/>
      </c>
      <c r="AHO35" s="12">
        <f>AHO34+AHK35-AHK23*(AnnualChurn*VLOOKUP(AGX35,ChurnSeasonTable,4,FALSE))*POWER(1-(AnnualChurn*VLOOKUP(AGX35,ChurnSeasonTable,4,FALSE)),0)+AHK11*(AnnualChurn*VLOOKUP(AGX35,ChurnSeasonTable,4,FALSE))*POWER(1-(AnnualChurn*VLOOKUP(AGX35,ChurnSeasonTable,4,FALSE)),1)</f>
        <v/>
      </c>
      <c r="AHP35" s="12">
        <f>AHP34+AHL35-AHL23*(AnnualChurn*VLOOKUP(AGX35,ChurnSeasonTable,4,FALSE))*POWER(1-(AnnualChurn*VLOOKUP(AGX35,ChurnSeasonTable,4,FALSE)),0)+AHL11*(AnnualChurn*VLOOKUP(AGX35,ChurnSeasonTable,4,FALSE))*POWER(1-(AnnualChurn*VLOOKUP(AGX35,ChurnSeasonTable,4,FALSE)),1)</f>
        <v/>
      </c>
      <c r="AHQ35" s="12">
        <f>AHM35+AHN35+AHO35+AHP35</f>
        <v/>
      </c>
      <c r="AHR35" s="9">
        <f>AHM35*PriceEssMonthly*AHA35+AHN35*PricePremMonthly*AHA35+AHO35*PriceEssAnnual*AHA35/12+AHP35*PricePremAnnual*AHA35/12</f>
        <v/>
      </c>
      <c r="AHS35" s="9">
        <f>AHR35*12</f>
        <v/>
      </c>
      <c r="AHT35" s="12">
        <f>AHM35*PriceEssMonthly*AHA35+AHN35*PricePremMonthly*AHA35</f>
        <v/>
      </c>
      <c r="AHU35" s="12">
        <f>AHK35*PriceEssAnnual*AHA35+AHL35*PricePremAnnual*AHA35</f>
        <v/>
      </c>
      <c r="AHV35" s="12">
        <f>AHK23*POWER(1-(AnnualChurn*VLOOKUP(AGX35,ChurnSeasonTable,4,FALSE)),1)*PriceEssAnnual*AHA35+AHK11*POWER(1-(AnnualChurn*VLOOKUP(AGX35,ChurnSeasonTable,4,FALSE)),2)*PriceEssAnnual*AHA35+AHL23*POWER(1-(AnnualChurn*VLOOKUP(AGX35,ChurnSeasonTable,4,FALSE)),1)*PricePremAnnual*AHA35+AHL11*POWER(1-(AnnualChurn*VLOOKUP(AGX35,ChurnSeasonTable,4,FALSE)),2)*PricePremAnnual*AHA35</f>
        <v/>
      </c>
      <c r="AHW35" s="9">
        <f>AHT35+AHU35+AHV35</f>
        <v/>
      </c>
      <c r="AHX35" s="12">
        <f>SUM(AHW24:AHW35)</f>
        <v/>
      </c>
      <c r="AHY35" s="12">
        <f>OR(AHY34,AHX35&gt;=VATThreshold)</f>
        <v/>
      </c>
      <c r="AHZ35" s="9">
        <f>IF(AHY35,AHW35/(1+VATRate),AHW35)</f>
        <v/>
      </c>
      <c r="AIA35" s="12">
        <f>AHW35-AHZ35</f>
        <v/>
      </c>
      <c r="AIB35" s="12">
        <f>IF(AHY35=0,0,IF(AGX35=1,SUMPRODUCT(--(($AGY$5:$AGY35=$AGY35-1)*($AGX$5:$AGX35&gt;=10)*($AGX$5:$AGX35&lt;=12)),$AIA$5:$AIA35),IF(AGX35=4,SUMPRODUCT(--(($AGY$5:$AGY35=$AGY35)*($AGX$5:$AGX35&gt;=1)*($AGX$5:$AGX35&lt;=3)),$AIA$5:$AIA35),IF(AGX35=7,SUMPRODUCT(--(($AGY$5:$AGY35=$AGY35)*($AGX$5:$AGX35&gt;=4)*($AGX$5:$AGX35&lt;=6)),$AIA$5:$AIA35),IF(AGX35=10,SUMPRODUCT(--(($AGY$5:$AGY35=$AGY35)*($AGX$5:$AGX35&gt;=7)*($AGX$5:$AGX35&lt;=9)),$AIA$5:$AIA35),0)))))</f>
        <v/>
      </c>
      <c r="AIC35" s="12">
        <f>AIC34+AIA35-AIB35</f>
        <v/>
      </c>
      <c r="AID35" s="12">
        <f>IF(ProviderDelay&gt;=1,AHZ34*ProviderShare,AHZ35*ProviderShare)</f>
        <v/>
      </c>
      <c r="AIE35" s="12">
        <f>AHW35*PaymentFee</f>
        <v/>
      </c>
      <c r="AIF35" s="12">
        <f>AHQ35*OpsAI</f>
        <v/>
      </c>
      <c r="AIG35" s="12">
        <f>MonthlyFixed</f>
        <v/>
      </c>
      <c r="AIH35" s="12">
        <f>AHE35*ReferralReward</f>
        <v/>
      </c>
      <c r="AII35" s="12">
        <f>AHC35</f>
        <v/>
      </c>
      <c r="AIJ35" s="9">
        <f>AHZ35-AID35-AIE35-AIF35-AIG35-AIH35-AII35</f>
        <v/>
      </c>
      <c r="AIK35" s="9">
        <f>AIK34+AHW35-(AID35+AIE35+AIF35+AIG35+AIH35+AII35+AIB35)</f>
        <v/>
      </c>
      <c r="AIL35" s="12">
        <f>IF(AHQ35&gt;0,AHR35/AHQ35,0)</f>
        <v/>
      </c>
      <c r="AIM35" s="11">
        <f>IF(AHQ34&gt;0,MAX(0,(AHQ34+AHF35-AHQ35)/AHQ34),0)</f>
        <v/>
      </c>
      <c r="AIO35" s="12" t="n">
        <v>31</v>
      </c>
      <c r="AIP35" s="12">
        <f>MOD(AIO35-1+LaunchMonth-1,12)+1</f>
        <v/>
      </c>
      <c r="AIQ35" s="12">
        <f>INT((AIO35-1+LaunchMonth-1)/12)+1</f>
        <v/>
      </c>
      <c r="AIR35" s="12">
        <f>VLOOKUP(AIP35,SeasonTable,2,FALSE)</f>
        <v/>
      </c>
      <c r="AIS35" s="12">
        <f>(1+InflationRate)^INT((AIO35-1)/12)</f>
        <v/>
      </c>
      <c r="AIT35" s="11">
        <f>MonthlyChurn*VLOOKUP(AIP35,ChurnSeasonTable,4,FALSE)</f>
        <v/>
      </c>
      <c r="AIU35" s="12">
        <f>MIN(MAX(MktMin19plus,AJO34*MktPct19plus),MAX(0,AKC34-CashBuffer))</f>
        <v/>
      </c>
      <c r="AIV35" s="12">
        <f>IF(AIU35&gt;0,MAX(1,ROUND(AIU35/'Sens - CAC &amp; Marketing'!$A$11*AIR35,0)),0)</f>
        <v/>
      </c>
      <c r="AIW35" s="12">
        <f>IF(AIV35&gt;0,ROUND(AIV35*ReferralMix/(1-ReferralMix),0),0)</f>
        <v/>
      </c>
      <c r="AIX35" s="12">
        <f>AIV35+AIW35</f>
        <v/>
      </c>
      <c r="AIY35" s="12">
        <f>ROUND(AIX35*(1-AnnualMix),0)</f>
        <v/>
      </c>
      <c r="AIZ35" s="12">
        <f>AIX35-AIY35</f>
        <v/>
      </c>
      <c r="AJA35" s="12">
        <f>ROUND(AIY35*EssentialMix,0)</f>
        <v/>
      </c>
      <c r="AJB35" s="12">
        <f>AIY35-AJA35</f>
        <v/>
      </c>
      <c r="AJC35" s="12">
        <f>ROUND(AIZ35*EssentialMix,0)</f>
        <v/>
      </c>
      <c r="AJD35" s="12">
        <f>AIZ35-AJC35</f>
        <v/>
      </c>
      <c r="AJE35" s="12">
        <f>AJA35+AJA34+AJA33+MAX(0,AJE34-AJA34-AJA33)*(1-AIT35)</f>
        <v/>
      </c>
      <c r="AJF35" s="12">
        <f>AJB35+AJB34+AJB33+MAX(0,AJF34-AJB34-AJB33)*(1-AIT35)</f>
        <v/>
      </c>
      <c r="AJG35" s="12">
        <f>AJG34+AJC35-AJC23*(AnnualChurn*VLOOKUP(AIP35,ChurnSeasonTable,4,FALSE))*POWER(1-(AnnualChurn*VLOOKUP(AIP35,ChurnSeasonTable,4,FALSE)),0)+AJC11*(AnnualChurn*VLOOKUP(AIP35,ChurnSeasonTable,4,FALSE))*POWER(1-(AnnualChurn*VLOOKUP(AIP35,ChurnSeasonTable,4,FALSE)),1)</f>
        <v/>
      </c>
      <c r="AJH35" s="12">
        <f>AJH34+AJD35-AJD23*(AnnualChurn*VLOOKUP(AIP35,ChurnSeasonTable,4,FALSE))*POWER(1-(AnnualChurn*VLOOKUP(AIP35,ChurnSeasonTable,4,FALSE)),0)+AJD11*(AnnualChurn*VLOOKUP(AIP35,ChurnSeasonTable,4,FALSE))*POWER(1-(AnnualChurn*VLOOKUP(AIP35,ChurnSeasonTable,4,FALSE)),1)</f>
        <v/>
      </c>
      <c r="AJI35" s="12">
        <f>AJE35+AJF35+AJG35+AJH35</f>
        <v/>
      </c>
      <c r="AJJ35" s="9">
        <f>AJE35*PriceEssMonthly*AIS35+AJF35*PricePremMonthly*AIS35+AJG35*PriceEssAnnual*AIS35/12+AJH35*PricePremAnnual*AIS35/12</f>
        <v/>
      </c>
      <c r="AJK35" s="9">
        <f>AJJ35*12</f>
        <v/>
      </c>
      <c r="AJL35" s="12">
        <f>AJE35*PriceEssMonthly*AIS35+AJF35*PricePremMonthly*AIS35</f>
        <v/>
      </c>
      <c r="AJM35" s="12">
        <f>AJC35*PriceEssAnnual*AIS35+AJD35*PricePremAnnual*AIS35</f>
        <v/>
      </c>
      <c r="AJN35" s="12">
        <f>AJC23*POWER(1-(AnnualChurn*VLOOKUP(AIP35,ChurnSeasonTable,4,FALSE)),1)*PriceEssAnnual*AIS35+AJC11*POWER(1-(AnnualChurn*VLOOKUP(AIP35,ChurnSeasonTable,4,FALSE)),2)*PriceEssAnnual*AIS35+AJD23*POWER(1-(AnnualChurn*VLOOKUP(AIP35,ChurnSeasonTable,4,FALSE)),1)*PricePremAnnual*AIS35+AJD11*POWER(1-(AnnualChurn*VLOOKUP(AIP35,ChurnSeasonTable,4,FALSE)),2)*PricePremAnnual*AIS35</f>
        <v/>
      </c>
      <c r="AJO35" s="9">
        <f>AJL35+AJM35+AJN35</f>
        <v/>
      </c>
      <c r="AJP35" s="12">
        <f>SUM(AJO24:AJO35)</f>
        <v/>
      </c>
      <c r="AJQ35" s="12">
        <f>OR(AJQ34,AJP35&gt;=VATThreshold)</f>
        <v/>
      </c>
      <c r="AJR35" s="9">
        <f>IF(AJQ35,AJO35/(1+VATRate),AJO35)</f>
        <v/>
      </c>
      <c r="AJS35" s="12">
        <f>AJO35-AJR35</f>
        <v/>
      </c>
      <c r="AJT35" s="12">
        <f>IF(AJQ35=0,0,IF(AIP35=1,SUMPRODUCT(--(($AIQ$5:$AIQ35=$AIQ35-1)*($AIP$5:$AIP35&gt;=10)*($AIP$5:$AIP35&lt;=12)),$AJS$5:$AJS35),IF(AIP35=4,SUMPRODUCT(--(($AIQ$5:$AIQ35=$AIQ35)*($AIP$5:$AIP35&gt;=1)*($AIP$5:$AIP35&lt;=3)),$AJS$5:$AJS35),IF(AIP35=7,SUMPRODUCT(--(($AIQ$5:$AIQ35=$AIQ35)*($AIP$5:$AIP35&gt;=4)*($AIP$5:$AIP35&lt;=6)),$AJS$5:$AJS35),IF(AIP35=10,SUMPRODUCT(--(($AIQ$5:$AIQ35=$AIQ35)*($AIP$5:$AIP35&gt;=7)*($AIP$5:$AIP35&lt;=9)),$AJS$5:$AJS35),0)))))</f>
        <v/>
      </c>
      <c r="AJU35" s="12">
        <f>AJU34+AJS35-AJT35</f>
        <v/>
      </c>
      <c r="AJV35" s="12">
        <f>IF(ProviderDelay&gt;=1,AJR34*ProviderShare,AJR35*ProviderShare)</f>
        <v/>
      </c>
      <c r="AJW35" s="12">
        <f>AJO35*PaymentFee</f>
        <v/>
      </c>
      <c r="AJX35" s="12">
        <f>AJI35*OpsAI</f>
        <v/>
      </c>
      <c r="AJY35" s="12">
        <f>MonthlyFixed</f>
        <v/>
      </c>
      <c r="AJZ35" s="12">
        <f>AIW35*ReferralReward</f>
        <v/>
      </c>
      <c r="AKA35" s="12">
        <f>AIU35</f>
        <v/>
      </c>
      <c r="AKB35" s="9">
        <f>AJR35-AJV35-AJW35-AJX35-AJY35-AJZ35-AKA35</f>
        <v/>
      </c>
      <c r="AKC35" s="9">
        <f>AKC34+AJO35-(AJV35+AJW35+AJX35+AJY35+AJZ35+AKA35+AJT35)</f>
        <v/>
      </c>
      <c r="AKD35" s="12">
        <f>IF(AJI35&gt;0,AJJ35/AJI35,0)</f>
        <v/>
      </c>
      <c r="AKE35" s="11">
        <f>IF(AJI34&gt;0,MAX(0,(AJI34+AIX35-AJI35)/AJI34),0)</f>
        <v/>
      </c>
      <c r="AKG35" s="12" t="n">
        <v>31</v>
      </c>
      <c r="AKH35" s="12">
        <f>MOD(AKG35-1+LaunchMonth-1,12)+1</f>
        <v/>
      </c>
      <c r="AKI35" s="12">
        <f>INT((AKG35-1+LaunchMonth-1)/12)+1</f>
        <v/>
      </c>
      <c r="AKJ35" s="12">
        <f>VLOOKUP(AKH35,SeasonTable,2,FALSE)</f>
        <v/>
      </c>
      <c r="AKK35" s="12">
        <f>(1+InflationRate)^INT((AKG35-1)/12)</f>
        <v/>
      </c>
      <c r="AKL35" s="11">
        <f>MonthlyChurn*VLOOKUP(AKH35,ChurnSeasonTable,4,FALSE)</f>
        <v/>
      </c>
      <c r="AKM35" s="12">
        <f>MIN(MAX(MktMin19plus,ALG34*MktPct19plus),MAX(0,ALU34-CashBuffer))</f>
        <v/>
      </c>
      <c r="AKN35" s="12">
        <f>IF(AKM35&gt;0,MAX(1,ROUND(AKM35/'Sens - CAC &amp; Marketing'!$A$12*AKJ35,0)),0)</f>
        <v/>
      </c>
      <c r="AKO35" s="12">
        <f>IF(AKN35&gt;0,ROUND(AKN35*ReferralMix/(1-ReferralMix),0),0)</f>
        <v/>
      </c>
      <c r="AKP35" s="12">
        <f>AKN35+AKO35</f>
        <v/>
      </c>
      <c r="AKQ35" s="12">
        <f>ROUND(AKP35*(1-AnnualMix),0)</f>
        <v/>
      </c>
      <c r="AKR35" s="12">
        <f>AKP35-AKQ35</f>
        <v/>
      </c>
      <c r="AKS35" s="12">
        <f>ROUND(AKQ35*EssentialMix,0)</f>
        <v/>
      </c>
      <c r="AKT35" s="12">
        <f>AKQ35-AKS35</f>
        <v/>
      </c>
      <c r="AKU35" s="12">
        <f>ROUND(AKR35*EssentialMix,0)</f>
        <v/>
      </c>
      <c r="AKV35" s="12">
        <f>AKR35-AKU35</f>
        <v/>
      </c>
      <c r="AKW35" s="12">
        <f>AKS35+AKS34+AKS33+MAX(0,AKW34-AKS34-AKS33)*(1-AKL35)</f>
        <v/>
      </c>
      <c r="AKX35" s="12">
        <f>AKT35+AKT34+AKT33+MAX(0,AKX34-AKT34-AKT33)*(1-AKL35)</f>
        <v/>
      </c>
      <c r="AKY35" s="12">
        <f>AKY34+AKU35-AKU23*(AnnualChurn*VLOOKUP(AKH35,ChurnSeasonTable,4,FALSE))*POWER(1-(AnnualChurn*VLOOKUP(AKH35,ChurnSeasonTable,4,FALSE)),0)+AKU11*(AnnualChurn*VLOOKUP(AKH35,ChurnSeasonTable,4,FALSE))*POWER(1-(AnnualChurn*VLOOKUP(AKH35,ChurnSeasonTable,4,FALSE)),1)</f>
        <v/>
      </c>
      <c r="AKZ35" s="12">
        <f>AKZ34+AKV35-AKV23*(AnnualChurn*VLOOKUP(AKH35,ChurnSeasonTable,4,FALSE))*POWER(1-(AnnualChurn*VLOOKUP(AKH35,ChurnSeasonTable,4,FALSE)),0)+AKV11*(AnnualChurn*VLOOKUP(AKH35,ChurnSeasonTable,4,FALSE))*POWER(1-(AnnualChurn*VLOOKUP(AKH35,ChurnSeasonTable,4,FALSE)),1)</f>
        <v/>
      </c>
      <c r="ALA35" s="12">
        <f>AKW35+AKX35+AKY35+AKZ35</f>
        <v/>
      </c>
      <c r="ALB35" s="9">
        <f>AKW35*PriceEssMonthly*AKK35+AKX35*PricePremMonthly*AKK35+AKY35*PriceEssAnnual*AKK35/12+AKZ35*PricePremAnnual*AKK35/12</f>
        <v/>
      </c>
      <c r="ALC35" s="9">
        <f>ALB35*12</f>
        <v/>
      </c>
      <c r="ALD35" s="12">
        <f>AKW35*PriceEssMonthly*AKK35+AKX35*PricePremMonthly*AKK35</f>
        <v/>
      </c>
      <c r="ALE35" s="12">
        <f>AKU35*PriceEssAnnual*AKK35+AKV35*PricePremAnnual*AKK35</f>
        <v/>
      </c>
      <c r="ALF35" s="12">
        <f>AKU23*POWER(1-(AnnualChurn*VLOOKUP(AKH35,ChurnSeasonTable,4,FALSE)),1)*PriceEssAnnual*AKK35+AKU11*POWER(1-(AnnualChurn*VLOOKUP(AKH35,ChurnSeasonTable,4,FALSE)),2)*PriceEssAnnual*AKK35+AKV23*POWER(1-(AnnualChurn*VLOOKUP(AKH35,ChurnSeasonTable,4,FALSE)),1)*PricePremAnnual*AKK35+AKV11*POWER(1-(AnnualChurn*VLOOKUP(AKH35,ChurnSeasonTable,4,FALSE)),2)*PricePremAnnual*AKK35</f>
        <v/>
      </c>
      <c r="ALG35" s="9">
        <f>ALD35+ALE35+ALF35</f>
        <v/>
      </c>
      <c r="ALH35" s="12">
        <f>SUM(ALG24:ALG35)</f>
        <v/>
      </c>
      <c r="ALI35" s="12">
        <f>OR(ALI34,ALH35&gt;=VATThreshold)</f>
        <v/>
      </c>
      <c r="ALJ35" s="9">
        <f>IF(ALI35,ALG35/(1+VATRate),ALG35)</f>
        <v/>
      </c>
      <c r="ALK35" s="12">
        <f>ALG35-ALJ35</f>
        <v/>
      </c>
      <c r="ALL35" s="12">
        <f>IF(ALI35=0,0,IF(AKH35=1,SUMPRODUCT(--(($AKI$5:$AKI35=$AKI35-1)*($AKH$5:$AKH35&gt;=10)*($AKH$5:$AKH35&lt;=12)),$ALK$5:$ALK35),IF(AKH35=4,SUMPRODUCT(--(($AKI$5:$AKI35=$AKI35)*($AKH$5:$AKH35&gt;=1)*($AKH$5:$AKH35&lt;=3)),$ALK$5:$ALK35),IF(AKH35=7,SUMPRODUCT(--(($AKI$5:$AKI35=$AKI35)*($AKH$5:$AKH35&gt;=4)*($AKH$5:$AKH35&lt;=6)),$ALK$5:$ALK35),IF(AKH35=10,SUMPRODUCT(--(($AKI$5:$AKI35=$AKI35)*($AKH$5:$AKH35&gt;=7)*($AKH$5:$AKH35&lt;=9)),$ALK$5:$ALK35),0)))))</f>
        <v/>
      </c>
      <c r="ALM35" s="12">
        <f>ALM34+ALK35-ALL35</f>
        <v/>
      </c>
      <c r="ALN35" s="12">
        <f>IF(ProviderDelay&gt;=1,ALJ34*ProviderShare,ALJ35*ProviderShare)</f>
        <v/>
      </c>
      <c r="ALO35" s="12">
        <f>ALG35*PaymentFee</f>
        <v/>
      </c>
      <c r="ALP35" s="12">
        <f>ALA35*OpsAI</f>
        <v/>
      </c>
      <c r="ALQ35" s="12">
        <f>MonthlyFixed</f>
        <v/>
      </c>
      <c r="ALR35" s="12">
        <f>AKO35*ReferralReward</f>
        <v/>
      </c>
      <c r="ALS35" s="12">
        <f>AKM35</f>
        <v/>
      </c>
      <c r="ALT35" s="9">
        <f>ALJ35-ALN35-ALO35-ALP35-ALQ35-ALR35-ALS35</f>
        <v/>
      </c>
      <c r="ALU35" s="9">
        <f>ALU34+ALG35-(ALN35+ALO35+ALP35+ALQ35+ALR35+ALS35+ALL35)</f>
        <v/>
      </c>
      <c r="ALV35" s="12">
        <f>IF(ALA35&gt;0,ALB35/ALA35,0)</f>
        <v/>
      </c>
      <c r="ALW35" s="11">
        <f>IF(ALA34&gt;0,MAX(0,(ALA34+AKP35-ALA35)/ALA34),0)</f>
        <v/>
      </c>
      <c r="ALY35" s="12" t="n">
        <v>31</v>
      </c>
      <c r="ALZ35" s="12">
        <f>MOD(ALY35-1+LaunchMonth-1,12)+1</f>
        <v/>
      </c>
      <c r="AMA35" s="12">
        <f>INT((ALY35-1+LaunchMonth-1)/12)+1</f>
        <v/>
      </c>
      <c r="AMB35" s="12">
        <f>VLOOKUP(ALZ35,SeasonTable,2,FALSE)</f>
        <v/>
      </c>
      <c r="AMC35" s="12">
        <f>(1+InflationRate)^INT((ALY35-1)/12)</f>
        <v/>
      </c>
      <c r="AMD35" s="11">
        <f>MonthlyChurn*VLOOKUP(ALZ35,ChurnSeasonTable,4,FALSE)</f>
        <v/>
      </c>
      <c r="AME35" s="12">
        <f>MIN(MAX(MktMin19plus,AMY34*MktPct19plus),MAX(0,ANM34-CashBuffer))</f>
        <v/>
      </c>
      <c r="AMF35" s="12">
        <f>IF(AME35&gt;0,MAX(1,ROUND(AME35/'Sens - CAC &amp; Marketing'!$A$13*AMB35,0)),0)</f>
        <v/>
      </c>
      <c r="AMG35" s="12">
        <f>IF(AMF35&gt;0,ROUND(AMF35*ReferralMix/(1-ReferralMix),0),0)</f>
        <v/>
      </c>
      <c r="AMH35" s="12">
        <f>AMF35+AMG35</f>
        <v/>
      </c>
      <c r="AMI35" s="12">
        <f>ROUND(AMH35*(1-AnnualMix),0)</f>
        <v/>
      </c>
      <c r="AMJ35" s="12">
        <f>AMH35-AMI35</f>
        <v/>
      </c>
      <c r="AMK35" s="12">
        <f>ROUND(AMI35*EssentialMix,0)</f>
        <v/>
      </c>
      <c r="AML35" s="12">
        <f>AMI35-AMK35</f>
        <v/>
      </c>
      <c r="AMM35" s="12">
        <f>ROUND(AMJ35*EssentialMix,0)</f>
        <v/>
      </c>
      <c r="AMN35" s="12">
        <f>AMJ35-AMM35</f>
        <v/>
      </c>
      <c r="AMO35" s="12">
        <f>AMK35+AMK34+AMK33+MAX(0,AMO34-AMK34-AMK33)*(1-AMD35)</f>
        <v/>
      </c>
      <c r="AMP35" s="12">
        <f>AML35+AML34+AML33+MAX(0,AMP34-AML34-AML33)*(1-AMD35)</f>
        <v/>
      </c>
      <c r="AMQ35" s="12">
        <f>AMQ34+AMM35-AMM23*(AnnualChurn*VLOOKUP(ALZ35,ChurnSeasonTable,4,FALSE))*POWER(1-(AnnualChurn*VLOOKUP(ALZ35,ChurnSeasonTable,4,FALSE)),0)+AMM11*(AnnualChurn*VLOOKUP(ALZ35,ChurnSeasonTable,4,FALSE))*POWER(1-(AnnualChurn*VLOOKUP(ALZ35,ChurnSeasonTable,4,FALSE)),1)</f>
        <v/>
      </c>
      <c r="AMR35" s="12">
        <f>AMR34+AMN35-AMN23*(AnnualChurn*VLOOKUP(ALZ35,ChurnSeasonTable,4,FALSE))*POWER(1-(AnnualChurn*VLOOKUP(ALZ35,ChurnSeasonTable,4,FALSE)),0)+AMN11*(AnnualChurn*VLOOKUP(ALZ35,ChurnSeasonTable,4,FALSE))*POWER(1-(AnnualChurn*VLOOKUP(ALZ35,ChurnSeasonTable,4,FALSE)),1)</f>
        <v/>
      </c>
      <c r="AMS35" s="12">
        <f>AMO35+AMP35+AMQ35+AMR35</f>
        <v/>
      </c>
      <c r="AMT35" s="9">
        <f>AMO35*PriceEssMonthly*AMC35+AMP35*PricePremMonthly*AMC35+AMQ35*PriceEssAnnual*AMC35/12+AMR35*PricePremAnnual*AMC35/12</f>
        <v/>
      </c>
      <c r="AMU35" s="9">
        <f>AMT35*12</f>
        <v/>
      </c>
      <c r="AMV35" s="12">
        <f>AMO35*PriceEssMonthly*AMC35+AMP35*PricePremMonthly*AMC35</f>
        <v/>
      </c>
      <c r="AMW35" s="12">
        <f>AMM35*PriceEssAnnual*AMC35+AMN35*PricePremAnnual*AMC35</f>
        <v/>
      </c>
      <c r="AMX35" s="12">
        <f>AMM23*POWER(1-(AnnualChurn*VLOOKUP(ALZ35,ChurnSeasonTable,4,FALSE)),1)*PriceEssAnnual*AMC35+AMM11*POWER(1-(AnnualChurn*VLOOKUP(ALZ35,ChurnSeasonTable,4,FALSE)),2)*PriceEssAnnual*AMC35+AMN23*POWER(1-(AnnualChurn*VLOOKUP(ALZ35,ChurnSeasonTable,4,FALSE)),1)*PricePremAnnual*AMC35+AMN11*POWER(1-(AnnualChurn*VLOOKUP(ALZ35,ChurnSeasonTable,4,FALSE)),2)*PricePremAnnual*AMC35</f>
        <v/>
      </c>
      <c r="AMY35" s="9">
        <f>AMV35+AMW35+AMX35</f>
        <v/>
      </c>
      <c r="AMZ35" s="12">
        <f>SUM(AMY24:AMY35)</f>
        <v/>
      </c>
      <c r="ANA35" s="12">
        <f>OR(ANA34,AMZ35&gt;=VATThreshold)</f>
        <v/>
      </c>
      <c r="ANB35" s="9">
        <f>IF(ANA35,AMY35/(1+VATRate),AMY35)</f>
        <v/>
      </c>
      <c r="ANC35" s="12">
        <f>AMY35-ANB35</f>
        <v/>
      </c>
      <c r="AND35" s="12">
        <f>IF(ANA35=0,0,IF(ALZ35=1,SUMPRODUCT(--(($AMA$5:$AMA35=$AMA35-1)*($ALZ$5:$ALZ35&gt;=10)*($ALZ$5:$ALZ35&lt;=12)),$ANC$5:$ANC35),IF(ALZ35=4,SUMPRODUCT(--(($AMA$5:$AMA35=$AMA35)*($ALZ$5:$ALZ35&gt;=1)*($ALZ$5:$ALZ35&lt;=3)),$ANC$5:$ANC35),IF(ALZ35=7,SUMPRODUCT(--(($AMA$5:$AMA35=$AMA35)*($ALZ$5:$ALZ35&gt;=4)*($ALZ$5:$ALZ35&lt;=6)),$ANC$5:$ANC35),IF(ALZ35=10,SUMPRODUCT(--(($AMA$5:$AMA35=$AMA35)*($ALZ$5:$ALZ35&gt;=7)*($ALZ$5:$ALZ35&lt;=9)),$ANC$5:$ANC35),0)))))</f>
        <v/>
      </c>
      <c r="ANE35" s="12">
        <f>ANE34+ANC35-AND35</f>
        <v/>
      </c>
      <c r="ANF35" s="12">
        <f>IF(ProviderDelay&gt;=1,ANB34*ProviderShare,ANB35*ProviderShare)</f>
        <v/>
      </c>
      <c r="ANG35" s="12">
        <f>AMY35*PaymentFee</f>
        <v/>
      </c>
      <c r="ANH35" s="12">
        <f>AMS35*OpsAI</f>
        <v/>
      </c>
      <c r="ANI35" s="12">
        <f>MonthlyFixed</f>
        <v/>
      </c>
      <c r="ANJ35" s="12">
        <f>AMG35*ReferralReward</f>
        <v/>
      </c>
      <c r="ANK35" s="12">
        <f>AME35</f>
        <v/>
      </c>
      <c r="ANL35" s="9">
        <f>ANB35-ANF35-ANG35-ANH35-ANI35-ANJ35-ANK35</f>
        <v/>
      </c>
      <c r="ANM35" s="9">
        <f>ANM34+AMY35-(ANF35+ANG35+ANH35+ANI35+ANJ35+ANK35+AND35)</f>
        <v/>
      </c>
      <c r="ANN35" s="12">
        <f>IF(AMS35&gt;0,AMT35/AMS35,0)</f>
        <v/>
      </c>
      <c r="ANO35" s="11">
        <f>IF(AMS34&gt;0,MAX(0,(AMS34+AMH35-AMS35)/AMS34),0)</f>
        <v/>
      </c>
      <c r="ANQ35" s="12" t="n">
        <v>31</v>
      </c>
      <c r="ANR35" s="12">
        <f>MOD(ANQ35-1+LaunchMonth-1,12)+1</f>
        <v/>
      </c>
      <c r="ANS35" s="12">
        <f>INT((ANQ35-1+LaunchMonth-1)/12)+1</f>
        <v/>
      </c>
      <c r="ANT35" s="12">
        <f>VLOOKUP(ANR35,SeasonTable,2,FALSE)</f>
        <v/>
      </c>
      <c r="ANU35" s="12">
        <f>(1+InflationRate)^INT((ANQ35-1)/12)</f>
        <v/>
      </c>
      <c r="ANV35" s="11">
        <f>MonthlyChurn*VLOOKUP(ANR35,ChurnSeasonTable,4,FALSE)</f>
        <v/>
      </c>
      <c r="ANW35" s="12">
        <f>MIN(MAX(MktMin19plus,AOQ34*MktPct19plus),MAX(0,APE34-CashBuffer))</f>
        <v/>
      </c>
      <c r="ANX35" s="12">
        <f>IF(ANW35&gt;0,MAX(1,ROUND(ANW35/'Sens - CAC &amp; Marketing'!$A$14*ANT35,0)),0)</f>
        <v/>
      </c>
      <c r="ANY35" s="12">
        <f>IF(ANX35&gt;0,ROUND(ANX35*ReferralMix/(1-ReferralMix),0),0)</f>
        <v/>
      </c>
      <c r="ANZ35" s="12">
        <f>ANX35+ANY35</f>
        <v/>
      </c>
      <c r="AOA35" s="12">
        <f>ROUND(ANZ35*(1-AnnualMix),0)</f>
        <v/>
      </c>
      <c r="AOB35" s="12">
        <f>ANZ35-AOA35</f>
        <v/>
      </c>
      <c r="AOC35" s="12">
        <f>ROUND(AOA35*EssentialMix,0)</f>
        <v/>
      </c>
      <c r="AOD35" s="12">
        <f>AOA35-AOC35</f>
        <v/>
      </c>
      <c r="AOE35" s="12">
        <f>ROUND(AOB35*EssentialMix,0)</f>
        <v/>
      </c>
      <c r="AOF35" s="12">
        <f>AOB35-AOE35</f>
        <v/>
      </c>
      <c r="AOG35" s="12">
        <f>AOC35+AOC34+AOC33+MAX(0,AOG34-AOC34-AOC33)*(1-ANV35)</f>
        <v/>
      </c>
      <c r="AOH35" s="12">
        <f>AOD35+AOD34+AOD33+MAX(0,AOH34-AOD34-AOD33)*(1-ANV35)</f>
        <v/>
      </c>
      <c r="AOI35" s="12">
        <f>AOI34+AOE35-AOE23*(AnnualChurn*VLOOKUP(ANR35,ChurnSeasonTable,4,FALSE))*POWER(1-(AnnualChurn*VLOOKUP(ANR35,ChurnSeasonTable,4,FALSE)),0)+AOE11*(AnnualChurn*VLOOKUP(ANR35,ChurnSeasonTable,4,FALSE))*POWER(1-(AnnualChurn*VLOOKUP(ANR35,ChurnSeasonTable,4,FALSE)),1)</f>
        <v/>
      </c>
      <c r="AOJ35" s="12">
        <f>AOJ34+AOF35-AOF23*(AnnualChurn*VLOOKUP(ANR35,ChurnSeasonTable,4,FALSE))*POWER(1-(AnnualChurn*VLOOKUP(ANR35,ChurnSeasonTable,4,FALSE)),0)+AOF11*(AnnualChurn*VLOOKUP(ANR35,ChurnSeasonTable,4,FALSE))*POWER(1-(AnnualChurn*VLOOKUP(ANR35,ChurnSeasonTable,4,FALSE)),1)</f>
        <v/>
      </c>
      <c r="AOK35" s="12">
        <f>AOG35+AOH35+AOI35+AOJ35</f>
        <v/>
      </c>
      <c r="AOL35" s="9">
        <f>AOG35*PriceEssMonthly*ANU35+AOH35*PricePremMonthly*ANU35+AOI35*PriceEssAnnual*ANU35/12+AOJ35*PricePremAnnual*ANU35/12</f>
        <v/>
      </c>
      <c r="AOM35" s="9">
        <f>AOL35*12</f>
        <v/>
      </c>
      <c r="AON35" s="12">
        <f>AOG35*PriceEssMonthly*ANU35+AOH35*PricePremMonthly*ANU35</f>
        <v/>
      </c>
      <c r="AOO35" s="12">
        <f>AOE35*PriceEssAnnual*ANU35+AOF35*PricePremAnnual*ANU35</f>
        <v/>
      </c>
      <c r="AOP35" s="12">
        <f>AOE23*POWER(1-(AnnualChurn*VLOOKUP(ANR35,ChurnSeasonTable,4,FALSE)),1)*PriceEssAnnual*ANU35+AOE11*POWER(1-(AnnualChurn*VLOOKUP(ANR35,ChurnSeasonTable,4,FALSE)),2)*PriceEssAnnual*ANU35+AOF23*POWER(1-(AnnualChurn*VLOOKUP(ANR35,ChurnSeasonTable,4,FALSE)),1)*PricePremAnnual*ANU35+AOF11*POWER(1-(AnnualChurn*VLOOKUP(ANR35,ChurnSeasonTable,4,FALSE)),2)*PricePremAnnual*ANU35</f>
        <v/>
      </c>
      <c r="AOQ35" s="9">
        <f>AON35+AOO35+AOP35</f>
        <v/>
      </c>
      <c r="AOR35" s="12">
        <f>SUM(AOQ24:AOQ35)</f>
        <v/>
      </c>
      <c r="AOS35" s="12">
        <f>OR(AOS34,AOR35&gt;=VATThreshold)</f>
        <v/>
      </c>
      <c r="AOT35" s="9">
        <f>IF(AOS35,AOQ35/(1+VATRate),AOQ35)</f>
        <v/>
      </c>
      <c r="AOU35" s="12">
        <f>AOQ35-AOT35</f>
        <v/>
      </c>
      <c r="AOV35" s="12">
        <f>IF(AOS35=0,0,IF(ANR35=1,SUMPRODUCT(--(($ANS$5:$ANS35=$ANS35-1)*($ANR$5:$ANR35&gt;=10)*($ANR$5:$ANR35&lt;=12)),$AOU$5:$AOU35),IF(ANR35=4,SUMPRODUCT(--(($ANS$5:$ANS35=$ANS35)*($ANR$5:$ANR35&gt;=1)*($ANR$5:$ANR35&lt;=3)),$AOU$5:$AOU35),IF(ANR35=7,SUMPRODUCT(--(($ANS$5:$ANS35=$ANS35)*($ANR$5:$ANR35&gt;=4)*($ANR$5:$ANR35&lt;=6)),$AOU$5:$AOU35),IF(ANR35=10,SUMPRODUCT(--(($ANS$5:$ANS35=$ANS35)*($ANR$5:$ANR35&gt;=7)*($ANR$5:$ANR35&lt;=9)),$AOU$5:$AOU35),0)))))</f>
        <v/>
      </c>
      <c r="AOW35" s="12">
        <f>AOW34+AOU35-AOV35</f>
        <v/>
      </c>
      <c r="AOX35" s="12">
        <f>IF(ProviderDelay&gt;=1,AOT34*ProviderShare,AOT35*ProviderShare)</f>
        <v/>
      </c>
      <c r="AOY35" s="12">
        <f>AOQ35*PaymentFee</f>
        <v/>
      </c>
      <c r="AOZ35" s="12">
        <f>AOK35*OpsAI</f>
        <v/>
      </c>
      <c r="APA35" s="12">
        <f>MonthlyFixed</f>
        <v/>
      </c>
      <c r="APB35" s="12">
        <f>ANY35*ReferralReward</f>
        <v/>
      </c>
      <c r="APC35" s="12">
        <f>ANW35</f>
        <v/>
      </c>
      <c r="APD35" s="9">
        <f>AOT35-AOX35-AOY35-AOZ35-APA35-APB35-APC35</f>
        <v/>
      </c>
      <c r="APE35" s="9">
        <f>APE34+AOQ35-(AOX35+AOY35+AOZ35+APA35+APB35+APC35+AOV35)</f>
        <v/>
      </c>
      <c r="APF35" s="12">
        <f>IF(AOK35&gt;0,AOL35/AOK35,0)</f>
        <v/>
      </c>
      <c r="APG35" s="11">
        <f>IF(AOK34&gt;0,MAX(0,(AOK34+ANZ35-AOK35)/AOK34),0)</f>
        <v/>
      </c>
      <c r="API35" s="12" t="n">
        <v>31</v>
      </c>
      <c r="APJ35" s="12">
        <f>MOD(API35-1+LaunchMonth-1,12)+1</f>
        <v/>
      </c>
      <c r="APK35" s="12">
        <f>INT((API35-1+LaunchMonth-1)/12)+1</f>
        <v/>
      </c>
      <c r="APL35" s="12">
        <f>VLOOKUP(APJ35,SeasonTable,2,FALSE)</f>
        <v/>
      </c>
      <c r="APM35" s="12">
        <f>(1+InflationRate)^INT((API35-1)/12)</f>
        <v/>
      </c>
      <c r="APN35" s="11">
        <f>MonthlyChurn*VLOOKUP(APJ35,ChurnSeasonTable,4,FALSE)</f>
        <v/>
      </c>
      <c r="APO35" s="12">
        <f>MIN(MAX(MktMin19plus,AQI34*MktPct19plus),MAX(0,AQW34-CashBuffer))</f>
        <v/>
      </c>
      <c r="APP35" s="12">
        <f>IF(APO35&gt;0,MAX(1,ROUND(APO35/'Sens - CAC &amp; Marketing'!$A$15*APL35,0)),0)</f>
        <v/>
      </c>
      <c r="APQ35" s="12">
        <f>IF(APP35&gt;0,ROUND(APP35*ReferralMix/(1-ReferralMix),0),0)</f>
        <v/>
      </c>
      <c r="APR35" s="12">
        <f>APP35+APQ35</f>
        <v/>
      </c>
      <c r="APS35" s="12">
        <f>ROUND(APR35*(1-AnnualMix),0)</f>
        <v/>
      </c>
      <c r="APT35" s="12">
        <f>APR35-APS35</f>
        <v/>
      </c>
      <c r="APU35" s="12">
        <f>ROUND(APS35*EssentialMix,0)</f>
        <v/>
      </c>
      <c r="APV35" s="12">
        <f>APS35-APU35</f>
        <v/>
      </c>
      <c r="APW35" s="12">
        <f>ROUND(APT35*EssentialMix,0)</f>
        <v/>
      </c>
      <c r="APX35" s="12">
        <f>APT35-APW35</f>
        <v/>
      </c>
      <c r="APY35" s="12">
        <f>APU35+APU34+APU33+MAX(0,APY34-APU34-APU33)*(1-APN35)</f>
        <v/>
      </c>
      <c r="APZ35" s="12">
        <f>APV35+APV34+APV33+MAX(0,APZ34-APV34-APV33)*(1-APN35)</f>
        <v/>
      </c>
      <c r="AQA35" s="12">
        <f>AQA34+APW35-APW23*(AnnualChurn*VLOOKUP(APJ35,ChurnSeasonTable,4,FALSE))*POWER(1-(AnnualChurn*VLOOKUP(APJ35,ChurnSeasonTable,4,FALSE)),0)+APW11*(AnnualChurn*VLOOKUP(APJ35,ChurnSeasonTable,4,FALSE))*POWER(1-(AnnualChurn*VLOOKUP(APJ35,ChurnSeasonTable,4,FALSE)),1)</f>
        <v/>
      </c>
      <c r="AQB35" s="12">
        <f>AQB34+APX35-APX23*(AnnualChurn*VLOOKUP(APJ35,ChurnSeasonTable,4,FALSE))*POWER(1-(AnnualChurn*VLOOKUP(APJ35,ChurnSeasonTable,4,FALSE)),0)+APX11*(AnnualChurn*VLOOKUP(APJ35,ChurnSeasonTable,4,FALSE))*POWER(1-(AnnualChurn*VLOOKUP(APJ35,ChurnSeasonTable,4,FALSE)),1)</f>
        <v/>
      </c>
      <c r="AQC35" s="12">
        <f>APY35+APZ35+AQA35+AQB35</f>
        <v/>
      </c>
      <c r="AQD35" s="9">
        <f>APY35*PriceEssMonthly*APM35+APZ35*PricePremMonthly*APM35+AQA35*PriceEssAnnual*APM35/12+AQB35*PricePremAnnual*APM35/12</f>
        <v/>
      </c>
      <c r="AQE35" s="9">
        <f>AQD35*12</f>
        <v/>
      </c>
      <c r="AQF35" s="12">
        <f>APY35*PriceEssMonthly*APM35+APZ35*PricePremMonthly*APM35</f>
        <v/>
      </c>
      <c r="AQG35" s="12">
        <f>APW35*PriceEssAnnual*APM35+APX35*PricePremAnnual*APM35</f>
        <v/>
      </c>
      <c r="AQH35" s="12">
        <f>APW23*POWER(1-(AnnualChurn*VLOOKUP(APJ35,ChurnSeasonTable,4,FALSE)),1)*PriceEssAnnual*APM35+APW11*POWER(1-(AnnualChurn*VLOOKUP(APJ35,ChurnSeasonTable,4,FALSE)),2)*PriceEssAnnual*APM35+APX23*POWER(1-(AnnualChurn*VLOOKUP(APJ35,ChurnSeasonTable,4,FALSE)),1)*PricePremAnnual*APM35+APX11*POWER(1-(AnnualChurn*VLOOKUP(APJ35,ChurnSeasonTable,4,FALSE)),2)*PricePremAnnual*APM35</f>
        <v/>
      </c>
      <c r="AQI35" s="9">
        <f>AQF35+AQG35+AQH35</f>
        <v/>
      </c>
      <c r="AQJ35" s="12">
        <f>SUM(AQI24:AQI35)</f>
        <v/>
      </c>
      <c r="AQK35" s="12">
        <f>OR(AQK34,AQJ35&gt;=VATThreshold)</f>
        <v/>
      </c>
      <c r="AQL35" s="9">
        <f>IF(AQK35,AQI35/(1+VATRate),AQI35)</f>
        <v/>
      </c>
      <c r="AQM35" s="12">
        <f>AQI35-AQL35</f>
        <v/>
      </c>
      <c r="AQN35" s="12">
        <f>IF(AQK35=0,0,IF(APJ35=1,SUMPRODUCT(--(($APK$5:$APK35=$APK35-1)*($APJ$5:$APJ35&gt;=10)*($APJ$5:$APJ35&lt;=12)),$AQM$5:$AQM35),IF(APJ35=4,SUMPRODUCT(--(($APK$5:$APK35=$APK35)*($APJ$5:$APJ35&gt;=1)*($APJ$5:$APJ35&lt;=3)),$AQM$5:$AQM35),IF(APJ35=7,SUMPRODUCT(--(($APK$5:$APK35=$APK35)*($APJ$5:$APJ35&gt;=4)*($APJ$5:$APJ35&lt;=6)),$AQM$5:$AQM35),IF(APJ35=10,SUMPRODUCT(--(($APK$5:$APK35=$APK35)*($APJ$5:$APJ35&gt;=7)*($APJ$5:$APJ35&lt;=9)),$AQM$5:$AQM35),0)))))</f>
        <v/>
      </c>
      <c r="AQO35" s="12">
        <f>AQO34+AQM35-AQN35</f>
        <v/>
      </c>
      <c r="AQP35" s="12">
        <f>IF(ProviderDelay&gt;=1,AQL34*ProviderShare,AQL35*ProviderShare)</f>
        <v/>
      </c>
      <c r="AQQ35" s="12">
        <f>AQI35*PaymentFee</f>
        <v/>
      </c>
      <c r="AQR35" s="12">
        <f>AQC35*OpsAI</f>
        <v/>
      </c>
      <c r="AQS35" s="12">
        <f>MonthlyFixed</f>
        <v/>
      </c>
      <c r="AQT35" s="12">
        <f>APQ35*ReferralReward</f>
        <v/>
      </c>
      <c r="AQU35" s="12">
        <f>APO35</f>
        <v/>
      </c>
      <c r="AQV35" s="9">
        <f>AQL35-AQP35-AQQ35-AQR35-AQS35-AQT35-AQU35</f>
        <v/>
      </c>
      <c r="AQW35" s="9">
        <f>AQW34+AQI35-(AQP35+AQQ35+AQR35+AQS35+AQT35+AQU35+AQN35)</f>
        <v/>
      </c>
      <c r="AQX35" s="12">
        <f>IF(AQC35&gt;0,AQD35/AQC35,0)</f>
        <v/>
      </c>
      <c r="AQY35" s="11">
        <f>IF(AQC34&gt;0,MAX(0,(AQC34+APR35-AQC35)/AQC34),0)</f>
        <v/>
      </c>
      <c r="ARA35" s="12" t="n">
        <v>31</v>
      </c>
      <c r="ARB35" s="12">
        <f>MOD(ARA35-1+LaunchMonth-1,12)+1</f>
        <v/>
      </c>
      <c r="ARC35" s="12">
        <f>INT((ARA35-1+LaunchMonth-1)/12)+1</f>
        <v/>
      </c>
      <c r="ARD35" s="12">
        <f>VLOOKUP(ARB35,WinterPivotSeasonTable,5,FALSE)</f>
        <v/>
      </c>
      <c r="ARE35" s="12">
        <f>(1+InflationRate)^INT((ARA35-1)/12)</f>
        <v/>
      </c>
      <c r="ARF35" s="11">
        <f>MonthlyChurn*VLOOKUP(ARB35,WinterPivotChurnTable,6,FALSE)</f>
        <v/>
      </c>
      <c r="ARG35" s="12">
        <f>MIN(MAX(MktMin19plus,ASA34*MktPct19plus),MAX(0,ASO34-CashBuffer))</f>
        <v/>
      </c>
      <c r="ARH35" s="12">
        <f>IF(ARG35&gt;0,MAX(1,ROUND(ARG35/CAC*ARD35,0)),0)</f>
        <v/>
      </c>
      <c r="ARI35" s="12">
        <f>IF(ARH35&gt;0,ROUND(ARH35*ReferralMix/(1-ReferralMix),0),0)</f>
        <v/>
      </c>
      <c r="ARJ35" s="12">
        <f>ARH35+ARI35</f>
        <v/>
      </c>
      <c r="ARK35" s="12">
        <f>ROUND(ARJ35*(1-AnnualMix),0)</f>
        <v/>
      </c>
      <c r="ARL35" s="12">
        <f>ARJ35-ARK35</f>
        <v/>
      </c>
      <c r="ARM35" s="12">
        <f>ROUND(ARK35*'Sens - Winter Pivot'!$B$6,0)</f>
        <v/>
      </c>
      <c r="ARN35" s="12">
        <f>ARK35-ARM35</f>
        <v/>
      </c>
      <c r="ARO35" s="12">
        <f>ROUND(ARL35*'Sens - Winter Pivot'!$B$6,0)</f>
        <v/>
      </c>
      <c r="ARP35" s="12">
        <f>ARL35-ARO35</f>
        <v/>
      </c>
      <c r="ARQ35" s="12">
        <f>ARM35+ARM34+ARM33+MAX(0,ARQ34-ARM34-ARM33)*(1-ARF35)</f>
        <v/>
      </c>
      <c r="ARR35" s="12">
        <f>ARN35+ARN34+ARN33+MAX(0,ARR34-ARN34-ARN33)*(1-ARF35)</f>
        <v/>
      </c>
      <c r="ARS35" s="12">
        <f>ARS34+ARO35-ARO23*(AnnualChurn*VLOOKUP(ARB35,WinterPivotChurnTable,6,FALSE))*POWER(1-(AnnualChurn*VLOOKUP(ARB35,WinterPivotChurnTable,6,FALSE)),0)+ARO11*(AnnualChurn*VLOOKUP(ARB35,WinterPivotChurnTable,6,FALSE))*POWER(1-(AnnualChurn*VLOOKUP(ARB35,WinterPivotChurnTable,6,FALSE)),1)</f>
        <v/>
      </c>
      <c r="ART35" s="12">
        <f>ART34+ARP35-ARP23*(AnnualChurn*VLOOKUP(ARB35,WinterPivotChurnTable,6,FALSE))*POWER(1-(AnnualChurn*VLOOKUP(ARB35,WinterPivotChurnTable,6,FALSE)),0)+ARP11*(AnnualChurn*VLOOKUP(ARB35,WinterPivotChurnTable,6,FALSE))*POWER(1-(AnnualChurn*VLOOKUP(ARB35,WinterPivotChurnTable,6,FALSE)),1)</f>
        <v/>
      </c>
      <c r="ARU35" s="12">
        <f>ARQ35+ARR35+ARS35+ART35</f>
        <v/>
      </c>
      <c r="ARV35" s="9">
        <f>ARQ35*PriceEssMonthly*ARE35+ARR35*(PricePremMonthly+'Sens - Winter Pivot'!$B$7)*ARE35+ARS35*PriceEssAnnual*ARE35/12+ART35*(PricePremAnnual+'Sens - Winter Pivot'!$B$7*12)*ARE35/12</f>
        <v/>
      </c>
      <c r="ARW35" s="9">
        <f>ARV35*12</f>
        <v/>
      </c>
      <c r="ARX35" s="12">
        <f>ARQ35*PriceEssMonthly*ARE35+ARR35*(PricePremMonthly+'Sens - Winter Pivot'!$B$7)*ARE35</f>
        <v/>
      </c>
      <c r="ARY35" s="12">
        <f>ARO35*PriceEssAnnual*ARE35+ARP35*(PricePremAnnual+'Sens - Winter Pivot'!$B$7*12)*ARE35</f>
        <v/>
      </c>
      <c r="ARZ35" s="12">
        <f>ARO23*POWER(1-(AnnualChurn*VLOOKUP(ARB35,WinterPivotChurnTable,6,FALSE)),1)*PriceEssAnnual*ARE35+ARO11*POWER(1-(AnnualChurn*VLOOKUP(ARB35,WinterPivotChurnTable,6,FALSE)),2)*PriceEssAnnual*ARE35+ARP23*POWER(1-(AnnualChurn*VLOOKUP(ARB35,WinterPivotChurnTable,6,FALSE)),1)*PricePremAnnual*ARE35+ARP11*POWER(1-(AnnualChurn*VLOOKUP(ARB35,WinterPivotChurnTable,6,FALSE)),2)*PricePremAnnual*ARE35</f>
        <v/>
      </c>
      <c r="ASA35" s="9">
        <f>ARX35+ARY35+ARZ35</f>
        <v/>
      </c>
      <c r="ASB35" s="12">
        <f>SUM(ASA24:ASA35)</f>
        <v/>
      </c>
      <c r="ASC35" s="12">
        <f>OR(ASC34,ASB35&gt;=VATThreshold)</f>
        <v/>
      </c>
      <c r="ASD35" s="9">
        <f>IF(ASC35,ASA35/(1+VATRate),ASA35)</f>
        <v/>
      </c>
      <c r="ASE35" s="12">
        <f>ASA35-ASD35</f>
        <v/>
      </c>
      <c r="ASF35" s="12">
        <f>IF(ASC35=0,0,IF(ARB35=1,SUMPRODUCT(--(($ARC$5:$ARC35=$ARC35-1)*($ARB$5:$ARB35&gt;=10)*($ARB$5:$ARB35&lt;=12)),$ASE$5:$ASE35),IF(ARB35=4,SUMPRODUCT(--(($ARC$5:$ARC35=$ARC35)*($ARB$5:$ARB35&gt;=1)*($ARB$5:$ARB35&lt;=3)),$ASE$5:$ASE35),IF(ARB35=7,SUMPRODUCT(--(($ARC$5:$ARC35=$ARC35)*($ARB$5:$ARB35&gt;=4)*($ARB$5:$ARB35&lt;=6)),$ASE$5:$ASE35),IF(ARB35=10,SUMPRODUCT(--(($ARC$5:$ARC35=$ARC35)*($ARB$5:$ARB35&gt;=7)*($ARB$5:$ARB35&lt;=9)),$ASE$5:$ASE35),0)))))</f>
        <v/>
      </c>
      <c r="ASG35" s="12">
        <f>ASG34+ASE35-ASF35</f>
        <v/>
      </c>
      <c r="ASH35" s="12">
        <f>IF(ProviderDelay&gt;=1,ASD34*ProviderShare,ASD35*ProviderShare)</f>
        <v/>
      </c>
      <c r="ASI35" s="12">
        <f>ASA35*PaymentFee</f>
        <v/>
      </c>
      <c r="ASJ35" s="12">
        <f>ARU35*OpsAI</f>
        <v/>
      </c>
      <c r="ASK35" s="12">
        <f>MonthlyFixed</f>
        <v/>
      </c>
      <c r="ASL35" s="12">
        <f>ARI35*ReferralReward</f>
        <v/>
      </c>
      <c r="ASM35" s="12">
        <f>ARG35</f>
        <v/>
      </c>
      <c r="ASN35" s="9">
        <f>ASD35-ASH35-ASI35-ASJ35-ASK35-ASL35-ASM35</f>
        <v/>
      </c>
      <c r="ASO35" s="9">
        <f>ASO34+ASA35-(ASH35+ASI35+ASJ35+ASK35+ASL35+ASM35+ASF35)</f>
        <v/>
      </c>
      <c r="ASP35" s="12">
        <f>IF(ARU35&gt;0,ARV35/ARU35,0)</f>
        <v/>
      </c>
      <c r="ASQ35" s="11">
        <f>IF(ARU34&gt;0,MAX(0,(ARU34+ARJ35-ARU35)/ARU34),0)</f>
        <v/>
      </c>
    </row>
    <row r="36">
      <c r="A36" s="12" t="n">
        <v>32</v>
      </c>
      <c r="B36" s="12">
        <f>MOD(A36-1+LaunchMonth-1,12)+1</f>
        <v/>
      </c>
      <c r="C36" s="12">
        <f>INT((A36-1+LaunchMonth-1)/12)+1</f>
        <v/>
      </c>
      <c r="D36" s="12">
        <f>VLOOKUP(B36,SeasonTable,2,FALSE)</f>
        <v/>
      </c>
      <c r="E36" s="12">
        <f>(1+InflationRate)^INT((A36-1)/12)</f>
        <v/>
      </c>
      <c r="F36" s="11">
        <f>'Sens - Scenarios'!$B$5*VLOOKUP(B36,ChurnSeasonTable,4,FALSE)</f>
        <v/>
      </c>
      <c r="G36" s="12">
        <f>MIN(MAX(MktMin19plus,AA35*MktPct19plus),MAX(0,AO35-CashBuffer))</f>
        <v/>
      </c>
      <c r="H36" s="12">
        <f>IF(G36&gt;0,MAX(1,ROUND(G36/'Sens - Scenarios'!$B$8*D36,0)),0)</f>
        <v/>
      </c>
      <c r="I36" s="12">
        <f>IF(H36&gt;0,ROUND(H36*ReferralMix/(1-ReferralMix),0),0)</f>
        <v/>
      </c>
      <c r="J36" s="12">
        <f>H36+I36</f>
        <v/>
      </c>
      <c r="K36" s="12">
        <f>ROUND(J36*(1-'Sens - Scenarios'!$B$7),0)</f>
        <v/>
      </c>
      <c r="L36" s="12">
        <f>J36-K36</f>
        <v/>
      </c>
      <c r="M36" s="12">
        <f>ROUND(K36*EssentialMix,0)</f>
        <v/>
      </c>
      <c r="N36" s="12">
        <f>K36-M36</f>
        <v/>
      </c>
      <c r="O36" s="12">
        <f>ROUND(L36*EssentialMix,0)</f>
        <v/>
      </c>
      <c r="P36" s="12">
        <f>L36-O36</f>
        <v/>
      </c>
      <c r="Q36" s="12">
        <f>M36+M35+M34+MAX(0,Q35-M35-M34)*(1-F36)</f>
        <v/>
      </c>
      <c r="R36" s="12">
        <f>N36+N35+N34+MAX(0,R35-N35-N34)*(1-F36)</f>
        <v/>
      </c>
      <c r="S36" s="12">
        <f>S35+O36-O24*('Sens - Scenarios'!$B$6*VLOOKUP(B36,ChurnSeasonTable,4,FALSE))*POWER(1-('Sens - Scenarios'!$B$6*VLOOKUP(B36,ChurnSeasonTable,4,FALSE)),0)+O12*('Sens - Scenarios'!$B$6*VLOOKUP(B36,ChurnSeasonTable,4,FALSE))*POWER(1-('Sens - Scenarios'!$B$6*VLOOKUP(B36,ChurnSeasonTable,4,FALSE)),1)</f>
        <v/>
      </c>
      <c r="T36" s="12">
        <f>T35+P36-P24*('Sens - Scenarios'!$B$6*VLOOKUP(B36,ChurnSeasonTable,4,FALSE))*POWER(1-('Sens - Scenarios'!$B$6*VLOOKUP(B36,ChurnSeasonTable,4,FALSE)),0)+P12*('Sens - Scenarios'!$B$6*VLOOKUP(B36,ChurnSeasonTable,4,FALSE))*POWER(1-('Sens - Scenarios'!$B$6*VLOOKUP(B36,ChurnSeasonTable,4,FALSE)),1)</f>
        <v/>
      </c>
      <c r="U36" s="12">
        <f>Q36+R36+S36+T36</f>
        <v/>
      </c>
      <c r="V36" s="9">
        <f>Q36*PriceEssMonthly*E36+R36*PricePremMonthly*E36+S36*PriceEssAnnual*E36/12+T36*PricePremAnnual*E36/12</f>
        <v/>
      </c>
      <c r="W36" s="9">
        <f>V36*12</f>
        <v/>
      </c>
      <c r="X36" s="12">
        <f>Q36*PriceEssMonthly*E36+R36*PricePremMonthly*E36</f>
        <v/>
      </c>
      <c r="Y36" s="12">
        <f>O36*PriceEssAnnual*E36+P36*PricePremAnnual*E36</f>
        <v/>
      </c>
      <c r="Z36" s="12">
        <f>O24*POWER(1-('Sens - Scenarios'!$B$6*VLOOKUP(B36,ChurnSeasonTable,4,FALSE)),1)*PriceEssAnnual*E36+O12*POWER(1-('Sens - Scenarios'!$B$6*VLOOKUP(B36,ChurnSeasonTable,4,FALSE)),2)*PriceEssAnnual*E36+P24*POWER(1-('Sens - Scenarios'!$B$6*VLOOKUP(B36,ChurnSeasonTable,4,FALSE)),1)*PricePremAnnual*E36+P12*POWER(1-('Sens - Scenarios'!$B$6*VLOOKUP(B36,ChurnSeasonTable,4,FALSE)),2)*PricePremAnnual*E36</f>
        <v/>
      </c>
      <c r="AA36" s="9">
        <f>X36+Y36+Z36</f>
        <v/>
      </c>
      <c r="AB36" s="12">
        <f>SUM(AA25:AA36)</f>
        <v/>
      </c>
      <c r="AC36" s="12">
        <f>OR(AC35,AB36&gt;=VATThreshold)</f>
        <v/>
      </c>
      <c r="AD36" s="9">
        <f>IF(AC36,AA36/(1+VATRate),AA36)</f>
        <v/>
      </c>
      <c r="AE36" s="12">
        <f>AA36-AD36</f>
        <v/>
      </c>
      <c r="AF36" s="12">
        <f>IF(AC36=0,0,IF(B36=1,SUMPRODUCT(--(($C$5:$C36=$C36-1)*($B$5:$B36&gt;=10)*($B$5:$B36&lt;=12)),$AE$5:$AE36),IF(B36=4,SUMPRODUCT(--(($C$5:$C36=$C36)*($B$5:$B36&gt;=1)*($B$5:$B36&lt;=3)),$AE$5:$AE36),IF(B36=7,SUMPRODUCT(--(($C$5:$C36=$C36)*($B$5:$B36&gt;=4)*($B$5:$B36&lt;=6)),$AE$5:$AE36),IF(B36=10,SUMPRODUCT(--(($C$5:$C36=$C36)*($B$5:$B36&gt;=7)*($B$5:$B36&lt;=9)),$AE$5:$AE36),0)))))</f>
        <v/>
      </c>
      <c r="AG36" s="12">
        <f>AG35+AE36-AF36</f>
        <v/>
      </c>
      <c r="AH36" s="12">
        <f>IF(ProviderDelay&gt;=1,AD35*ProviderShare,AD36*ProviderShare)</f>
        <v/>
      </c>
      <c r="AI36" s="12">
        <f>AA36*PaymentFee</f>
        <v/>
      </c>
      <c r="AJ36" s="12">
        <f>U36*OpsAI</f>
        <v/>
      </c>
      <c r="AK36" s="12">
        <f>MonthlyFixed</f>
        <v/>
      </c>
      <c r="AL36" s="12">
        <f>I36*ReferralReward</f>
        <v/>
      </c>
      <c r="AM36" s="12">
        <f>G36</f>
        <v/>
      </c>
      <c r="AN36" s="9">
        <f>AD36-AH36-AI36-AJ36-AK36-AL36-AM36</f>
        <v/>
      </c>
      <c r="AO36" s="9">
        <f>AO35+AA36-(AH36+AI36+AJ36+AK36+AL36+AM36+AF36)</f>
        <v/>
      </c>
      <c r="AP36" s="12">
        <f>IF(U36&gt;0,V36/U36,0)</f>
        <v/>
      </c>
      <c r="AQ36" s="11">
        <f>IF(U35&gt;0,MAX(0,(U35+J36-U36)/U35),0)</f>
        <v/>
      </c>
      <c r="AS36" s="12" t="n">
        <v>32</v>
      </c>
      <c r="AT36" s="12">
        <f>MOD(AS36-1+LaunchMonth-1,12)+1</f>
        <v/>
      </c>
      <c r="AU36" s="12">
        <f>INT((AS36-1+LaunchMonth-1)/12)+1</f>
        <v/>
      </c>
      <c r="AV36" s="12">
        <f>VLOOKUP(AT36,SeasonTable,2,FALSE)</f>
        <v/>
      </c>
      <c r="AW36" s="12">
        <f>(1+InflationRate)^INT((AS36-1)/12)</f>
        <v/>
      </c>
      <c r="AX36" s="11">
        <f>MonthlyChurn*VLOOKUP(AT36,ChurnSeasonTable,4,FALSE)</f>
        <v/>
      </c>
      <c r="AY36" s="12">
        <f>MIN(MAX(MktMin19plus,BS35*MktPct19plus),MAX(0,CG35-CashBuffer))</f>
        <v/>
      </c>
      <c r="AZ36" s="12">
        <f>IF(AY36&gt;0,MAX(1,ROUND(AY36/CAC*AV36,0)),0)</f>
        <v/>
      </c>
      <c r="BA36" s="12">
        <f>IF(AZ36&gt;0,ROUND(AZ36*ReferralMix/(1-ReferralMix),0),0)</f>
        <v/>
      </c>
      <c r="BB36" s="12">
        <f>AZ36+BA36</f>
        <v/>
      </c>
      <c r="BC36" s="12">
        <f>ROUND(BB36*(1-AnnualMix),0)</f>
        <v/>
      </c>
      <c r="BD36" s="12">
        <f>BB36-BC36</f>
        <v/>
      </c>
      <c r="BE36" s="12">
        <f>ROUND(BC36*EssentialMix,0)</f>
        <v/>
      </c>
      <c r="BF36" s="12">
        <f>BC36-BE36</f>
        <v/>
      </c>
      <c r="BG36" s="12">
        <f>ROUND(BD36*EssentialMix,0)</f>
        <v/>
      </c>
      <c r="BH36" s="12">
        <f>BD36-BG36</f>
        <v/>
      </c>
      <c r="BI36" s="12">
        <f>BE36+BE35+BE34+MAX(0,BI35-BE35-BE34)*(1-AX36)</f>
        <v/>
      </c>
      <c r="BJ36" s="12">
        <f>BF36+BF35+BF34+MAX(0,BJ35-BF35-BF34)*(1-AX36)</f>
        <v/>
      </c>
      <c r="BK36" s="12">
        <f>BK35+BG36-BG24*(AnnualChurn*VLOOKUP(AT36,ChurnSeasonTable,4,FALSE))*POWER(1-(AnnualChurn*VLOOKUP(AT36,ChurnSeasonTable,4,FALSE)),0)+BG12*(AnnualChurn*VLOOKUP(AT36,ChurnSeasonTable,4,FALSE))*POWER(1-(AnnualChurn*VLOOKUP(AT36,ChurnSeasonTable,4,FALSE)),1)</f>
        <v/>
      </c>
      <c r="BL36" s="12">
        <f>BL35+BH36-BH24*(AnnualChurn*VLOOKUP(AT36,ChurnSeasonTable,4,FALSE))*POWER(1-(AnnualChurn*VLOOKUP(AT36,ChurnSeasonTable,4,FALSE)),0)+BH12*(AnnualChurn*VLOOKUP(AT36,ChurnSeasonTable,4,FALSE))*POWER(1-(AnnualChurn*VLOOKUP(AT36,ChurnSeasonTable,4,FALSE)),1)</f>
        <v/>
      </c>
      <c r="BM36" s="12">
        <f>BI36+BJ36+BK36+BL36</f>
        <v/>
      </c>
      <c r="BN36" s="9">
        <f>BI36*PriceEssMonthly*AW36+BJ36*PricePremMonthly*AW36+BK36*PriceEssAnnual*AW36/12+BL36*PricePremAnnual*AW36/12</f>
        <v/>
      </c>
      <c r="BO36" s="9">
        <f>BN36*12</f>
        <v/>
      </c>
      <c r="BP36" s="12">
        <f>BI36*PriceEssMonthly*AW36+BJ36*PricePremMonthly*AW36</f>
        <v/>
      </c>
      <c r="BQ36" s="12">
        <f>BG36*PriceEssAnnual*AW36+BH36*PricePremAnnual*AW36</f>
        <v/>
      </c>
      <c r="BR36" s="12">
        <f>BG24*POWER(1-(AnnualChurn*VLOOKUP(AT36,ChurnSeasonTable,4,FALSE)),1)*PriceEssAnnual*AW36+BG12*POWER(1-(AnnualChurn*VLOOKUP(AT36,ChurnSeasonTable,4,FALSE)),2)*PriceEssAnnual*AW36+BH24*POWER(1-(AnnualChurn*VLOOKUP(AT36,ChurnSeasonTable,4,FALSE)),1)*PricePremAnnual*AW36+BH12*POWER(1-(AnnualChurn*VLOOKUP(AT36,ChurnSeasonTable,4,FALSE)),2)*PricePremAnnual*AW36</f>
        <v/>
      </c>
      <c r="BS36" s="9">
        <f>BP36+BQ36+BR36</f>
        <v/>
      </c>
      <c r="BT36" s="12">
        <f>SUM(BS25:BS36)</f>
        <v/>
      </c>
      <c r="BU36" s="12">
        <f>OR(BU35,BT36&gt;=VATThreshold)</f>
        <v/>
      </c>
      <c r="BV36" s="9">
        <f>IF(BU36,BS36/(1+VATRate),BS36)</f>
        <v/>
      </c>
      <c r="BW36" s="12">
        <f>BS36-BV36</f>
        <v/>
      </c>
      <c r="BX36" s="12">
        <f>IF(BU36=0,0,IF(AT36=1,SUMPRODUCT(--(($AU$5:$AU36=$AU36-1)*($AT$5:$AT36&gt;=10)*($AT$5:$AT36&lt;=12)),$BW$5:$BW36),IF(AT36=4,SUMPRODUCT(--(($AU$5:$AU36=$AU36)*($AT$5:$AT36&gt;=1)*($AT$5:$AT36&lt;=3)),$BW$5:$BW36),IF(AT36=7,SUMPRODUCT(--(($AU$5:$AU36=$AU36)*($AT$5:$AT36&gt;=4)*($AT$5:$AT36&lt;=6)),$BW$5:$BW36),IF(AT36=10,SUMPRODUCT(--(($AU$5:$AU36=$AU36)*($AT$5:$AT36&gt;=7)*($AT$5:$AT36&lt;=9)),$BW$5:$BW36),0)))))</f>
        <v/>
      </c>
      <c r="BY36" s="12">
        <f>BY35+BW36-BX36</f>
        <v/>
      </c>
      <c r="BZ36" s="12">
        <f>IF(ProviderDelay&gt;=1,BV35*ProviderShare,BV36*ProviderShare)</f>
        <v/>
      </c>
      <c r="CA36" s="12">
        <f>BS36*PaymentFee</f>
        <v/>
      </c>
      <c r="CB36" s="12">
        <f>BM36*OpsAI</f>
        <v/>
      </c>
      <c r="CC36" s="12">
        <f>MonthlyFixed</f>
        <v/>
      </c>
      <c r="CD36" s="12">
        <f>BA36*ReferralReward</f>
        <v/>
      </c>
      <c r="CE36" s="12">
        <f>AY36</f>
        <v/>
      </c>
      <c r="CF36" s="9">
        <f>BV36-BZ36-CA36-CB36-CC36-CD36-CE36</f>
        <v/>
      </c>
      <c r="CG36" s="9">
        <f>CG35+BS36-(BZ36+CA36+CB36+CC36+CD36+CE36+BX36)</f>
        <v/>
      </c>
      <c r="CH36" s="12">
        <f>IF(BM36&gt;0,BN36/BM36,0)</f>
        <v/>
      </c>
      <c r="CI36" s="11">
        <f>IF(BM35&gt;0,MAX(0,(BM35+BB36-BM36)/BM35),0)</f>
        <v/>
      </c>
      <c r="CK36" s="12" t="n">
        <v>32</v>
      </c>
      <c r="CL36" s="12">
        <f>MOD(CK36-1+LaunchMonth-1,12)+1</f>
        <v/>
      </c>
      <c r="CM36" s="12">
        <f>INT((CK36-1+LaunchMonth-1)/12)+1</f>
        <v/>
      </c>
      <c r="CN36" s="12">
        <f>VLOOKUP(CL36,SeasonTable,2,FALSE)</f>
        <v/>
      </c>
      <c r="CO36" s="12">
        <f>(1+InflationRate)^INT((CK36-1)/12)</f>
        <v/>
      </c>
      <c r="CP36" s="11">
        <f>'Sens - Scenarios'!$D$5*VLOOKUP(CL36,ChurnSeasonTable,4,FALSE)</f>
        <v/>
      </c>
      <c r="CQ36" s="12">
        <f>MIN(MAX(MktMin19plus,DK35*MktPct19plus),MAX(0,DY35-CashBuffer))</f>
        <v/>
      </c>
      <c r="CR36" s="12">
        <f>IF(CQ36&gt;0,MAX(1,ROUND(CQ36/'Sens - Scenarios'!$D$8*CN36,0)),0)</f>
        <v/>
      </c>
      <c r="CS36" s="12">
        <f>IF(CR36&gt;0,ROUND(CR36*ReferralMix/(1-ReferralMix),0),0)</f>
        <v/>
      </c>
      <c r="CT36" s="12">
        <f>CR36+CS36</f>
        <v/>
      </c>
      <c r="CU36" s="12">
        <f>ROUND(CT36*(1-'Sens - Scenarios'!$D$7),0)</f>
        <v/>
      </c>
      <c r="CV36" s="12">
        <f>CT36-CU36</f>
        <v/>
      </c>
      <c r="CW36" s="12">
        <f>ROUND(CU36*EssentialMix,0)</f>
        <v/>
      </c>
      <c r="CX36" s="12">
        <f>CU36-CW36</f>
        <v/>
      </c>
      <c r="CY36" s="12">
        <f>ROUND(CV36*EssentialMix,0)</f>
        <v/>
      </c>
      <c r="CZ36" s="12">
        <f>CV36-CY36</f>
        <v/>
      </c>
      <c r="DA36" s="12">
        <f>CW36+CW35+CW34+MAX(0,DA35-CW35-CW34)*(1-CP36)</f>
        <v/>
      </c>
      <c r="DB36" s="12">
        <f>CX36+CX35+CX34+MAX(0,DB35-CX35-CX34)*(1-CP36)</f>
        <v/>
      </c>
      <c r="DC36" s="12">
        <f>DC35+CY36-CY24*('Sens - Scenarios'!$D$6*VLOOKUP(CL36,ChurnSeasonTable,4,FALSE))*POWER(1-('Sens - Scenarios'!$D$6*VLOOKUP(CL36,ChurnSeasonTable,4,FALSE)),0)+CY12*('Sens - Scenarios'!$D$6*VLOOKUP(CL36,ChurnSeasonTable,4,FALSE))*POWER(1-('Sens - Scenarios'!$D$6*VLOOKUP(CL36,ChurnSeasonTable,4,FALSE)),1)</f>
        <v/>
      </c>
      <c r="DD36" s="12">
        <f>DD35+CZ36-CZ24*('Sens - Scenarios'!$D$6*VLOOKUP(CL36,ChurnSeasonTable,4,FALSE))*POWER(1-('Sens - Scenarios'!$D$6*VLOOKUP(CL36,ChurnSeasonTable,4,FALSE)),0)+CZ12*('Sens - Scenarios'!$D$6*VLOOKUP(CL36,ChurnSeasonTable,4,FALSE))*POWER(1-('Sens - Scenarios'!$D$6*VLOOKUP(CL36,ChurnSeasonTable,4,FALSE)),1)</f>
        <v/>
      </c>
      <c r="DE36" s="12">
        <f>DA36+DB36+DC36+DD36</f>
        <v/>
      </c>
      <c r="DF36" s="9">
        <f>DA36*PriceEssMonthly*CO36+DB36*PricePremMonthly*CO36+DC36*PriceEssAnnual*CO36/12+DD36*PricePremAnnual*CO36/12</f>
        <v/>
      </c>
      <c r="DG36" s="9">
        <f>DF36*12</f>
        <v/>
      </c>
      <c r="DH36" s="12">
        <f>DA36*PriceEssMonthly*CO36+DB36*PricePremMonthly*CO36</f>
        <v/>
      </c>
      <c r="DI36" s="12">
        <f>CY36*PriceEssAnnual*CO36+CZ36*PricePremAnnual*CO36</f>
        <v/>
      </c>
      <c r="DJ36" s="12">
        <f>CY24*POWER(1-('Sens - Scenarios'!$D$6*VLOOKUP(CL36,ChurnSeasonTable,4,FALSE)),1)*PriceEssAnnual*CO36+CY12*POWER(1-('Sens - Scenarios'!$D$6*VLOOKUP(CL36,ChurnSeasonTable,4,FALSE)),2)*PriceEssAnnual*CO36+CZ24*POWER(1-('Sens - Scenarios'!$D$6*VLOOKUP(CL36,ChurnSeasonTable,4,FALSE)),1)*PricePremAnnual*CO36+CZ12*POWER(1-('Sens - Scenarios'!$D$6*VLOOKUP(CL36,ChurnSeasonTable,4,FALSE)),2)*PricePremAnnual*CO36</f>
        <v/>
      </c>
      <c r="DK36" s="9">
        <f>DH36+DI36+DJ36</f>
        <v/>
      </c>
      <c r="DL36" s="12">
        <f>SUM(DK25:DK36)</f>
        <v/>
      </c>
      <c r="DM36" s="12">
        <f>OR(DM35,DL36&gt;=VATThreshold)</f>
        <v/>
      </c>
      <c r="DN36" s="9">
        <f>IF(DM36,DK36/(1+VATRate),DK36)</f>
        <v/>
      </c>
      <c r="DO36" s="12">
        <f>DK36-DN36</f>
        <v/>
      </c>
      <c r="DP36" s="12">
        <f>IF(DM36=0,0,IF(CL36=1,SUMPRODUCT(--(($CM$5:$CM36=$CM36-1)*($CL$5:$CL36&gt;=10)*($CL$5:$CL36&lt;=12)),$DO$5:$DO36),IF(CL36=4,SUMPRODUCT(--(($CM$5:$CM36=$CM36)*($CL$5:$CL36&gt;=1)*($CL$5:$CL36&lt;=3)),$DO$5:$DO36),IF(CL36=7,SUMPRODUCT(--(($CM$5:$CM36=$CM36)*($CL$5:$CL36&gt;=4)*($CL$5:$CL36&lt;=6)),$DO$5:$DO36),IF(CL36=10,SUMPRODUCT(--(($CM$5:$CM36=$CM36)*($CL$5:$CL36&gt;=7)*($CL$5:$CL36&lt;=9)),$DO$5:$DO36),0)))))</f>
        <v/>
      </c>
      <c r="DQ36" s="12">
        <f>DQ35+DO36-DP36</f>
        <v/>
      </c>
      <c r="DR36" s="12">
        <f>IF(ProviderDelay&gt;=1,DN35*ProviderShare,DN36*ProviderShare)</f>
        <v/>
      </c>
      <c r="DS36" s="12">
        <f>DK36*PaymentFee</f>
        <v/>
      </c>
      <c r="DT36" s="12">
        <f>DE36*OpsAI</f>
        <v/>
      </c>
      <c r="DU36" s="12">
        <f>MonthlyFixed</f>
        <v/>
      </c>
      <c r="DV36" s="12">
        <f>CS36*ReferralReward</f>
        <v/>
      </c>
      <c r="DW36" s="12">
        <f>CQ36</f>
        <v/>
      </c>
      <c r="DX36" s="9">
        <f>DN36-DR36-DS36-DT36-DU36-DV36-DW36</f>
        <v/>
      </c>
      <c r="DY36" s="9">
        <f>DY35+DK36-(DR36+DS36+DT36+DU36+DV36+DW36+DP36)</f>
        <v/>
      </c>
      <c r="DZ36" s="12">
        <f>IF(DE36&gt;0,DF36/DE36,0)</f>
        <v/>
      </c>
      <c r="EA36" s="11">
        <f>IF(DE35&gt;0,MAX(0,(DE35+CT36-DE36)/DE35),0)</f>
        <v/>
      </c>
      <c r="EC36" s="12" t="n">
        <v>32</v>
      </c>
      <c r="ED36" s="12">
        <f>MOD(EC36-1+LaunchMonth-1,12)+1</f>
        <v/>
      </c>
      <c r="EE36" s="12">
        <f>INT((EC36-1+LaunchMonth-1)/12)+1</f>
        <v/>
      </c>
      <c r="EF36" s="12">
        <f>VLOOKUP(ED36,SeasonTable,2,FALSE)</f>
        <v/>
      </c>
      <c r="EG36" s="12">
        <f>(1+InflationRate)^INT((EC36-1)/12)</f>
        <v/>
      </c>
      <c r="EH36" s="11">
        <f>'Sens - Churn'!$A$13*VLOOKUP(ED36,ChurnSeasonTable,4,FALSE)</f>
        <v/>
      </c>
      <c r="EI36" s="12">
        <f>MIN(MAX(MktMin19plus,FC35*MktPct19plus),MAX(0,FQ35-CashBuffer))</f>
        <v/>
      </c>
      <c r="EJ36" s="12">
        <f>IF(EI36&gt;0,MAX(1,ROUND(EI36/CAC*EF36,0)),0)</f>
        <v/>
      </c>
      <c r="EK36" s="12">
        <f>IF(EJ36&gt;0,ROUND(EJ36*ReferralMix/(1-ReferralMix),0),0)</f>
        <v/>
      </c>
      <c r="EL36" s="12">
        <f>EJ36+EK36</f>
        <v/>
      </c>
      <c r="EM36" s="12">
        <f>ROUND(EL36*(1-AnnualMix),0)</f>
        <v/>
      </c>
      <c r="EN36" s="12">
        <f>EL36-EM36</f>
        <v/>
      </c>
      <c r="EO36" s="12">
        <f>ROUND(EM36*EssentialMix,0)</f>
        <v/>
      </c>
      <c r="EP36" s="12">
        <f>EM36-EO36</f>
        <v/>
      </c>
      <c r="EQ36" s="12">
        <f>ROUND(EN36*EssentialMix,0)</f>
        <v/>
      </c>
      <c r="ER36" s="12">
        <f>EN36-EQ36</f>
        <v/>
      </c>
      <c r="ES36" s="12">
        <f>EO36+EO35+EO34+MAX(0,ES35-EO35-EO34)*(1-EH36)</f>
        <v/>
      </c>
      <c r="ET36" s="12">
        <f>EP36+EP35+EP34+MAX(0,ET35-EP35-EP34)*(1-EH36)</f>
        <v/>
      </c>
      <c r="EU36" s="12">
        <f>EU35+EQ36-EQ24*(AnnualChurn*VLOOKUP(ED36,ChurnSeasonTable,4,FALSE))*POWER(1-(AnnualChurn*VLOOKUP(ED36,ChurnSeasonTable,4,FALSE)),0)+EQ12*(AnnualChurn*VLOOKUP(ED36,ChurnSeasonTable,4,FALSE))*POWER(1-(AnnualChurn*VLOOKUP(ED36,ChurnSeasonTable,4,FALSE)),1)</f>
        <v/>
      </c>
      <c r="EV36" s="12">
        <f>EV35+ER36-ER24*(AnnualChurn*VLOOKUP(ED36,ChurnSeasonTable,4,FALSE))*POWER(1-(AnnualChurn*VLOOKUP(ED36,ChurnSeasonTable,4,FALSE)),0)+ER12*(AnnualChurn*VLOOKUP(ED36,ChurnSeasonTable,4,FALSE))*POWER(1-(AnnualChurn*VLOOKUP(ED36,ChurnSeasonTable,4,FALSE)),1)</f>
        <v/>
      </c>
      <c r="EW36" s="12">
        <f>ES36+ET36+EU36+EV36</f>
        <v/>
      </c>
      <c r="EX36" s="9">
        <f>ES36*PriceEssMonthly*EG36+ET36*PricePremMonthly*EG36+EU36*PriceEssAnnual*EG36/12+EV36*PricePremAnnual*EG36/12</f>
        <v/>
      </c>
      <c r="EY36" s="9">
        <f>EX36*12</f>
        <v/>
      </c>
      <c r="EZ36" s="12">
        <f>ES36*PriceEssMonthly*EG36+ET36*PricePremMonthly*EG36</f>
        <v/>
      </c>
      <c r="FA36" s="12">
        <f>EQ36*PriceEssAnnual*EG36+ER36*PricePremAnnual*EG36</f>
        <v/>
      </c>
      <c r="FB36" s="12">
        <f>EQ24*POWER(1-(AnnualChurn*VLOOKUP(ED36,ChurnSeasonTable,4,FALSE)),1)*PriceEssAnnual*EG36+EQ12*POWER(1-(AnnualChurn*VLOOKUP(ED36,ChurnSeasonTable,4,FALSE)),2)*PriceEssAnnual*EG36+ER24*POWER(1-(AnnualChurn*VLOOKUP(ED36,ChurnSeasonTable,4,FALSE)),1)*PricePremAnnual*EG36+ER12*POWER(1-(AnnualChurn*VLOOKUP(ED36,ChurnSeasonTable,4,FALSE)),2)*PricePremAnnual*EG36</f>
        <v/>
      </c>
      <c r="FC36" s="9">
        <f>EZ36+FA36+FB36</f>
        <v/>
      </c>
      <c r="FD36" s="12">
        <f>SUM(FC25:FC36)</f>
        <v/>
      </c>
      <c r="FE36" s="12">
        <f>OR(FE35,FD36&gt;=VATThreshold)</f>
        <v/>
      </c>
      <c r="FF36" s="9">
        <f>IF(FE36,FC36/(1+VATRate),FC36)</f>
        <v/>
      </c>
      <c r="FG36" s="12">
        <f>FC36-FF36</f>
        <v/>
      </c>
      <c r="FH36" s="12">
        <f>IF(FE36=0,0,IF(ED36=1,SUMPRODUCT(--(($EE$5:$EE36=$EE36-1)*($ED$5:$ED36&gt;=10)*($ED$5:$ED36&lt;=12)),$FG$5:$FG36),IF(ED36=4,SUMPRODUCT(--(($EE$5:$EE36=$EE36)*($ED$5:$ED36&gt;=1)*($ED$5:$ED36&lt;=3)),$FG$5:$FG36),IF(ED36=7,SUMPRODUCT(--(($EE$5:$EE36=$EE36)*($ED$5:$ED36&gt;=4)*($ED$5:$ED36&lt;=6)),$FG$5:$FG36),IF(ED36=10,SUMPRODUCT(--(($EE$5:$EE36=$EE36)*($ED$5:$ED36&gt;=7)*($ED$5:$ED36&lt;=9)),$FG$5:$FG36),0)))))</f>
        <v/>
      </c>
      <c r="FI36" s="12">
        <f>FI35+FG36-FH36</f>
        <v/>
      </c>
      <c r="FJ36" s="12">
        <f>IF(ProviderDelay&gt;=1,FF35*ProviderShare,FF36*ProviderShare)</f>
        <v/>
      </c>
      <c r="FK36" s="12">
        <f>FC36*PaymentFee</f>
        <v/>
      </c>
      <c r="FL36" s="12">
        <f>EW36*OpsAI</f>
        <v/>
      </c>
      <c r="FM36" s="12">
        <f>MonthlyFixed</f>
        <v/>
      </c>
      <c r="FN36" s="12">
        <f>EK36*ReferralReward</f>
        <v/>
      </c>
      <c r="FO36" s="12">
        <f>EI36</f>
        <v/>
      </c>
      <c r="FP36" s="9">
        <f>FF36-FJ36-FK36-FL36-FM36-FN36-FO36</f>
        <v/>
      </c>
      <c r="FQ36" s="9">
        <f>FQ35+FC36-(FJ36+FK36+FL36+FM36+FN36+FO36+FH36)</f>
        <v/>
      </c>
      <c r="FR36" s="12">
        <f>IF(EW36&gt;0,EX36/EW36,0)</f>
        <v/>
      </c>
      <c r="FS36" s="11">
        <f>IF(EW35&gt;0,MAX(0,(EW35+EL36-EW36)/EW35),0)</f>
        <v/>
      </c>
      <c r="FU36" s="12" t="n">
        <v>32</v>
      </c>
      <c r="FV36" s="12">
        <f>MOD(FU36-1+LaunchMonth-1,12)+1</f>
        <v/>
      </c>
      <c r="FW36" s="12">
        <f>INT((FU36-1+LaunchMonth-1)/12)+1</f>
        <v/>
      </c>
      <c r="FX36" s="12">
        <f>VLOOKUP(FV36,SeasonTable,2,FALSE)</f>
        <v/>
      </c>
      <c r="FY36" s="12">
        <f>(1+InflationRate)^INT((FU36-1)/12)</f>
        <v/>
      </c>
      <c r="FZ36" s="11">
        <f>'Sens - Churn'!$A$14*VLOOKUP(FV36,ChurnSeasonTable,4,FALSE)</f>
        <v/>
      </c>
      <c r="GA36" s="12">
        <f>MIN(MAX(MktMin19plus,GU35*MktPct19plus),MAX(0,HI35-CashBuffer))</f>
        <v/>
      </c>
      <c r="GB36" s="12">
        <f>IF(GA36&gt;0,MAX(1,ROUND(GA36/CAC*FX36,0)),0)</f>
        <v/>
      </c>
      <c r="GC36" s="12">
        <f>IF(GB36&gt;0,ROUND(GB36*ReferralMix/(1-ReferralMix),0),0)</f>
        <v/>
      </c>
      <c r="GD36" s="12">
        <f>GB36+GC36</f>
        <v/>
      </c>
      <c r="GE36" s="12">
        <f>ROUND(GD36*(1-AnnualMix),0)</f>
        <v/>
      </c>
      <c r="GF36" s="12">
        <f>GD36-GE36</f>
        <v/>
      </c>
      <c r="GG36" s="12">
        <f>ROUND(GE36*EssentialMix,0)</f>
        <v/>
      </c>
      <c r="GH36" s="12">
        <f>GE36-GG36</f>
        <v/>
      </c>
      <c r="GI36" s="12">
        <f>ROUND(GF36*EssentialMix,0)</f>
        <v/>
      </c>
      <c r="GJ36" s="12">
        <f>GF36-GI36</f>
        <v/>
      </c>
      <c r="GK36" s="12">
        <f>GG36+GG35+GG34+MAX(0,GK35-GG35-GG34)*(1-FZ36)</f>
        <v/>
      </c>
      <c r="GL36" s="12">
        <f>GH36+GH35+GH34+MAX(0,GL35-GH35-GH34)*(1-FZ36)</f>
        <v/>
      </c>
      <c r="GM36" s="12">
        <f>GM35+GI36-GI24*(AnnualChurn*VLOOKUP(FV36,ChurnSeasonTable,4,FALSE))*POWER(1-(AnnualChurn*VLOOKUP(FV36,ChurnSeasonTable,4,FALSE)),0)+GI12*(AnnualChurn*VLOOKUP(FV36,ChurnSeasonTable,4,FALSE))*POWER(1-(AnnualChurn*VLOOKUP(FV36,ChurnSeasonTable,4,FALSE)),1)</f>
        <v/>
      </c>
      <c r="GN36" s="12">
        <f>GN35+GJ36-GJ24*(AnnualChurn*VLOOKUP(FV36,ChurnSeasonTable,4,FALSE))*POWER(1-(AnnualChurn*VLOOKUP(FV36,ChurnSeasonTable,4,FALSE)),0)+GJ12*(AnnualChurn*VLOOKUP(FV36,ChurnSeasonTable,4,FALSE))*POWER(1-(AnnualChurn*VLOOKUP(FV36,ChurnSeasonTable,4,FALSE)),1)</f>
        <v/>
      </c>
      <c r="GO36" s="12">
        <f>GK36+GL36+GM36+GN36</f>
        <v/>
      </c>
      <c r="GP36" s="9">
        <f>GK36*PriceEssMonthly*FY36+GL36*PricePremMonthly*FY36+GM36*PriceEssAnnual*FY36/12+GN36*PricePremAnnual*FY36/12</f>
        <v/>
      </c>
      <c r="GQ36" s="9">
        <f>GP36*12</f>
        <v/>
      </c>
      <c r="GR36" s="12">
        <f>GK36*PriceEssMonthly*FY36+GL36*PricePremMonthly*FY36</f>
        <v/>
      </c>
      <c r="GS36" s="12">
        <f>GI36*PriceEssAnnual*FY36+GJ36*PricePremAnnual*FY36</f>
        <v/>
      </c>
      <c r="GT36" s="12">
        <f>GI24*POWER(1-(AnnualChurn*VLOOKUP(FV36,ChurnSeasonTable,4,FALSE)),1)*PriceEssAnnual*FY36+GI12*POWER(1-(AnnualChurn*VLOOKUP(FV36,ChurnSeasonTable,4,FALSE)),2)*PriceEssAnnual*FY36+GJ24*POWER(1-(AnnualChurn*VLOOKUP(FV36,ChurnSeasonTable,4,FALSE)),1)*PricePremAnnual*FY36+GJ12*POWER(1-(AnnualChurn*VLOOKUP(FV36,ChurnSeasonTable,4,FALSE)),2)*PricePremAnnual*FY36</f>
        <v/>
      </c>
      <c r="GU36" s="9">
        <f>GR36+GS36+GT36</f>
        <v/>
      </c>
      <c r="GV36" s="12">
        <f>SUM(GU25:GU36)</f>
        <v/>
      </c>
      <c r="GW36" s="12">
        <f>OR(GW35,GV36&gt;=VATThreshold)</f>
        <v/>
      </c>
      <c r="GX36" s="9">
        <f>IF(GW36,GU36/(1+VATRate),GU36)</f>
        <v/>
      </c>
      <c r="GY36" s="12">
        <f>GU36-GX36</f>
        <v/>
      </c>
      <c r="GZ36" s="12">
        <f>IF(GW36=0,0,IF(FV36=1,SUMPRODUCT(--(($FW$5:$FW36=$FW36-1)*($FV$5:$FV36&gt;=10)*($FV$5:$FV36&lt;=12)),$GY$5:$GY36),IF(FV36=4,SUMPRODUCT(--(($FW$5:$FW36=$FW36)*($FV$5:$FV36&gt;=1)*($FV$5:$FV36&lt;=3)),$GY$5:$GY36),IF(FV36=7,SUMPRODUCT(--(($FW$5:$FW36=$FW36)*($FV$5:$FV36&gt;=4)*($FV$5:$FV36&lt;=6)),$GY$5:$GY36),IF(FV36=10,SUMPRODUCT(--(($FW$5:$FW36=$FW36)*($FV$5:$FV36&gt;=7)*($FV$5:$FV36&lt;=9)),$GY$5:$GY36),0)))))</f>
        <v/>
      </c>
      <c r="HA36" s="12">
        <f>HA35+GY36-GZ36</f>
        <v/>
      </c>
      <c r="HB36" s="12">
        <f>IF(ProviderDelay&gt;=1,GX35*ProviderShare,GX36*ProviderShare)</f>
        <v/>
      </c>
      <c r="HC36" s="12">
        <f>GU36*PaymentFee</f>
        <v/>
      </c>
      <c r="HD36" s="12">
        <f>GO36*OpsAI</f>
        <v/>
      </c>
      <c r="HE36" s="12">
        <f>MonthlyFixed</f>
        <v/>
      </c>
      <c r="HF36" s="12">
        <f>GC36*ReferralReward</f>
        <v/>
      </c>
      <c r="HG36" s="12">
        <f>GA36</f>
        <v/>
      </c>
      <c r="HH36" s="9">
        <f>GX36-HB36-HC36-HD36-HE36-HF36-HG36</f>
        <v/>
      </c>
      <c r="HI36" s="9">
        <f>HI35+GU36-(HB36+HC36+HD36+HE36+HF36+HG36+GZ36)</f>
        <v/>
      </c>
      <c r="HJ36" s="12">
        <f>IF(GO36&gt;0,GP36/GO36,0)</f>
        <v/>
      </c>
      <c r="HK36" s="11">
        <f>IF(GO35&gt;0,MAX(0,(GO35+GD36-GO36)/GO35),0)</f>
        <v/>
      </c>
      <c r="HM36" s="12" t="n">
        <v>32</v>
      </c>
      <c r="HN36" s="12">
        <f>MOD(HM36-1+LaunchMonth-1,12)+1</f>
        <v/>
      </c>
      <c r="HO36" s="12">
        <f>INT((HM36-1+LaunchMonth-1)/12)+1</f>
        <v/>
      </c>
      <c r="HP36" s="12">
        <f>VLOOKUP(HN36,SeasonTable,2,FALSE)</f>
        <v/>
      </c>
      <c r="HQ36" s="12">
        <f>(1+InflationRate)^INT((HM36-1)/12)</f>
        <v/>
      </c>
      <c r="HR36" s="11">
        <f>'Sens - Churn'!$A$15*VLOOKUP(HN36,ChurnSeasonTable,4,FALSE)</f>
        <v/>
      </c>
      <c r="HS36" s="12">
        <f>MIN(MAX(MktMin19plus,IM35*MktPct19plus),MAX(0,JA35-CashBuffer))</f>
        <v/>
      </c>
      <c r="HT36" s="12">
        <f>IF(HS36&gt;0,MAX(1,ROUND(HS36/CAC*HP36,0)),0)</f>
        <v/>
      </c>
      <c r="HU36" s="12">
        <f>IF(HT36&gt;0,ROUND(HT36*ReferralMix/(1-ReferralMix),0),0)</f>
        <v/>
      </c>
      <c r="HV36" s="12">
        <f>HT36+HU36</f>
        <v/>
      </c>
      <c r="HW36" s="12">
        <f>ROUND(HV36*(1-AnnualMix),0)</f>
        <v/>
      </c>
      <c r="HX36" s="12">
        <f>HV36-HW36</f>
        <v/>
      </c>
      <c r="HY36" s="12">
        <f>ROUND(HW36*EssentialMix,0)</f>
        <v/>
      </c>
      <c r="HZ36" s="12">
        <f>HW36-HY36</f>
        <v/>
      </c>
      <c r="IA36" s="12">
        <f>ROUND(HX36*EssentialMix,0)</f>
        <v/>
      </c>
      <c r="IB36" s="12">
        <f>HX36-IA36</f>
        <v/>
      </c>
      <c r="IC36" s="12">
        <f>HY36+HY35+HY34+MAX(0,IC35-HY35-HY34)*(1-HR36)</f>
        <v/>
      </c>
      <c r="ID36" s="12">
        <f>HZ36+HZ35+HZ34+MAX(0,ID35-HZ35-HZ34)*(1-HR36)</f>
        <v/>
      </c>
      <c r="IE36" s="12">
        <f>IE35+IA36-IA24*(AnnualChurn*VLOOKUP(HN36,ChurnSeasonTable,4,FALSE))*POWER(1-(AnnualChurn*VLOOKUP(HN36,ChurnSeasonTable,4,FALSE)),0)+IA12*(AnnualChurn*VLOOKUP(HN36,ChurnSeasonTable,4,FALSE))*POWER(1-(AnnualChurn*VLOOKUP(HN36,ChurnSeasonTable,4,FALSE)),1)</f>
        <v/>
      </c>
      <c r="IF36" s="12">
        <f>IF35+IB36-IB24*(AnnualChurn*VLOOKUP(HN36,ChurnSeasonTable,4,FALSE))*POWER(1-(AnnualChurn*VLOOKUP(HN36,ChurnSeasonTable,4,FALSE)),0)+IB12*(AnnualChurn*VLOOKUP(HN36,ChurnSeasonTable,4,FALSE))*POWER(1-(AnnualChurn*VLOOKUP(HN36,ChurnSeasonTable,4,FALSE)),1)</f>
        <v/>
      </c>
      <c r="IG36" s="12">
        <f>IC36+ID36+IE36+IF36</f>
        <v/>
      </c>
      <c r="IH36" s="9">
        <f>IC36*PriceEssMonthly*HQ36+ID36*PricePremMonthly*HQ36+IE36*PriceEssAnnual*HQ36/12+IF36*PricePremAnnual*HQ36/12</f>
        <v/>
      </c>
      <c r="II36" s="9">
        <f>IH36*12</f>
        <v/>
      </c>
      <c r="IJ36" s="12">
        <f>IC36*PriceEssMonthly*HQ36+ID36*PricePremMonthly*HQ36</f>
        <v/>
      </c>
      <c r="IK36" s="12">
        <f>IA36*PriceEssAnnual*HQ36+IB36*PricePremAnnual*HQ36</f>
        <v/>
      </c>
      <c r="IL36" s="12">
        <f>IA24*POWER(1-(AnnualChurn*VLOOKUP(HN36,ChurnSeasonTable,4,FALSE)),1)*PriceEssAnnual*HQ36+IA12*POWER(1-(AnnualChurn*VLOOKUP(HN36,ChurnSeasonTable,4,FALSE)),2)*PriceEssAnnual*HQ36+IB24*POWER(1-(AnnualChurn*VLOOKUP(HN36,ChurnSeasonTable,4,FALSE)),1)*PricePremAnnual*HQ36+IB12*POWER(1-(AnnualChurn*VLOOKUP(HN36,ChurnSeasonTable,4,FALSE)),2)*PricePremAnnual*HQ36</f>
        <v/>
      </c>
      <c r="IM36" s="9">
        <f>IJ36+IK36+IL36</f>
        <v/>
      </c>
      <c r="IN36" s="12">
        <f>SUM(IM25:IM36)</f>
        <v/>
      </c>
      <c r="IO36" s="12">
        <f>OR(IO35,IN36&gt;=VATThreshold)</f>
        <v/>
      </c>
      <c r="IP36" s="9">
        <f>IF(IO36,IM36/(1+VATRate),IM36)</f>
        <v/>
      </c>
      <c r="IQ36" s="12">
        <f>IM36-IP36</f>
        <v/>
      </c>
      <c r="IR36" s="12">
        <f>IF(IO36=0,0,IF(HN36=1,SUMPRODUCT(--(($HO$5:$HO36=$HO36-1)*($HN$5:$HN36&gt;=10)*($HN$5:$HN36&lt;=12)),$IQ$5:$IQ36),IF(HN36=4,SUMPRODUCT(--(($HO$5:$HO36=$HO36)*($HN$5:$HN36&gt;=1)*($HN$5:$HN36&lt;=3)),$IQ$5:$IQ36),IF(HN36=7,SUMPRODUCT(--(($HO$5:$HO36=$HO36)*($HN$5:$HN36&gt;=4)*($HN$5:$HN36&lt;=6)),$IQ$5:$IQ36),IF(HN36=10,SUMPRODUCT(--(($HO$5:$HO36=$HO36)*($HN$5:$HN36&gt;=7)*($HN$5:$HN36&lt;=9)),$IQ$5:$IQ36),0)))))</f>
        <v/>
      </c>
      <c r="IS36" s="12">
        <f>IS35+IQ36-IR36</f>
        <v/>
      </c>
      <c r="IT36" s="12">
        <f>IF(ProviderDelay&gt;=1,IP35*ProviderShare,IP36*ProviderShare)</f>
        <v/>
      </c>
      <c r="IU36" s="12">
        <f>IM36*PaymentFee</f>
        <v/>
      </c>
      <c r="IV36" s="12">
        <f>IG36*OpsAI</f>
        <v/>
      </c>
      <c r="IW36" s="12">
        <f>MonthlyFixed</f>
        <v/>
      </c>
      <c r="IX36" s="12">
        <f>HU36*ReferralReward</f>
        <v/>
      </c>
      <c r="IY36" s="12">
        <f>HS36</f>
        <v/>
      </c>
      <c r="IZ36" s="9">
        <f>IP36-IT36-IU36-IV36-IW36-IX36-IY36</f>
        <v/>
      </c>
      <c r="JA36" s="9">
        <f>JA35+IM36-(IT36+IU36+IV36+IW36+IX36+IY36+IR36)</f>
        <v/>
      </c>
      <c r="JB36" s="12">
        <f>IF(IG36&gt;0,IH36/IG36,0)</f>
        <v/>
      </c>
      <c r="JC36" s="11">
        <f>IF(IG35&gt;0,MAX(0,(IG35+HV36-IG36)/IG35),0)</f>
        <v/>
      </c>
      <c r="JE36" s="12" t="n">
        <v>32</v>
      </c>
      <c r="JF36" s="12">
        <f>MOD(JE36-1+LaunchMonth-1,12)+1</f>
        <v/>
      </c>
      <c r="JG36" s="12">
        <f>INT((JE36-1+LaunchMonth-1)/12)+1</f>
        <v/>
      </c>
      <c r="JH36" s="12">
        <f>VLOOKUP(JF36,SeasonTable,2,FALSE)</f>
        <v/>
      </c>
      <c r="JI36" s="12">
        <f>(1+InflationRate)^INT((JE36-1)/12)</f>
        <v/>
      </c>
      <c r="JJ36" s="11">
        <f>'Sens - Churn'!$A$16*VLOOKUP(JF36,ChurnSeasonTable,4,FALSE)</f>
        <v/>
      </c>
      <c r="JK36" s="12">
        <f>MIN(MAX(MktMin19plus,KE35*MktPct19plus),MAX(0,KS35-CashBuffer))</f>
        <v/>
      </c>
      <c r="JL36" s="12">
        <f>IF(JK36&gt;0,MAX(1,ROUND(JK36/CAC*JH36,0)),0)</f>
        <v/>
      </c>
      <c r="JM36" s="12">
        <f>IF(JL36&gt;0,ROUND(JL36*ReferralMix/(1-ReferralMix),0),0)</f>
        <v/>
      </c>
      <c r="JN36" s="12">
        <f>JL36+JM36</f>
        <v/>
      </c>
      <c r="JO36" s="12">
        <f>ROUND(JN36*(1-AnnualMix),0)</f>
        <v/>
      </c>
      <c r="JP36" s="12">
        <f>JN36-JO36</f>
        <v/>
      </c>
      <c r="JQ36" s="12">
        <f>ROUND(JO36*EssentialMix,0)</f>
        <v/>
      </c>
      <c r="JR36" s="12">
        <f>JO36-JQ36</f>
        <v/>
      </c>
      <c r="JS36" s="12">
        <f>ROUND(JP36*EssentialMix,0)</f>
        <v/>
      </c>
      <c r="JT36" s="12">
        <f>JP36-JS36</f>
        <v/>
      </c>
      <c r="JU36" s="12">
        <f>JQ36+JQ35+JQ34+MAX(0,JU35-JQ35-JQ34)*(1-JJ36)</f>
        <v/>
      </c>
      <c r="JV36" s="12">
        <f>JR36+JR35+JR34+MAX(0,JV35-JR35-JR34)*(1-JJ36)</f>
        <v/>
      </c>
      <c r="JW36" s="12">
        <f>JW35+JS36-JS24*(AnnualChurn*VLOOKUP(JF36,ChurnSeasonTable,4,FALSE))*POWER(1-(AnnualChurn*VLOOKUP(JF36,ChurnSeasonTable,4,FALSE)),0)+JS12*(AnnualChurn*VLOOKUP(JF36,ChurnSeasonTable,4,FALSE))*POWER(1-(AnnualChurn*VLOOKUP(JF36,ChurnSeasonTable,4,FALSE)),1)</f>
        <v/>
      </c>
      <c r="JX36" s="12">
        <f>JX35+JT36-JT24*(AnnualChurn*VLOOKUP(JF36,ChurnSeasonTable,4,FALSE))*POWER(1-(AnnualChurn*VLOOKUP(JF36,ChurnSeasonTable,4,FALSE)),0)+JT12*(AnnualChurn*VLOOKUP(JF36,ChurnSeasonTable,4,FALSE))*POWER(1-(AnnualChurn*VLOOKUP(JF36,ChurnSeasonTable,4,FALSE)),1)</f>
        <v/>
      </c>
      <c r="JY36" s="12">
        <f>JU36+JV36+JW36+JX36</f>
        <v/>
      </c>
      <c r="JZ36" s="9">
        <f>JU36*PriceEssMonthly*JI36+JV36*PricePremMonthly*JI36+JW36*PriceEssAnnual*JI36/12+JX36*PricePremAnnual*JI36/12</f>
        <v/>
      </c>
      <c r="KA36" s="9">
        <f>JZ36*12</f>
        <v/>
      </c>
      <c r="KB36" s="12">
        <f>JU36*PriceEssMonthly*JI36+JV36*PricePremMonthly*JI36</f>
        <v/>
      </c>
      <c r="KC36" s="12">
        <f>JS36*PriceEssAnnual*JI36+JT36*PricePremAnnual*JI36</f>
        <v/>
      </c>
      <c r="KD36" s="12">
        <f>JS24*POWER(1-(AnnualChurn*VLOOKUP(JF36,ChurnSeasonTable,4,FALSE)),1)*PriceEssAnnual*JI36+JS12*POWER(1-(AnnualChurn*VLOOKUP(JF36,ChurnSeasonTable,4,FALSE)),2)*PriceEssAnnual*JI36+JT24*POWER(1-(AnnualChurn*VLOOKUP(JF36,ChurnSeasonTable,4,FALSE)),1)*PricePremAnnual*JI36+JT12*POWER(1-(AnnualChurn*VLOOKUP(JF36,ChurnSeasonTable,4,FALSE)),2)*PricePremAnnual*JI36</f>
        <v/>
      </c>
      <c r="KE36" s="9">
        <f>KB36+KC36+KD36</f>
        <v/>
      </c>
      <c r="KF36" s="12">
        <f>SUM(KE25:KE36)</f>
        <v/>
      </c>
      <c r="KG36" s="12">
        <f>OR(KG35,KF36&gt;=VATThreshold)</f>
        <v/>
      </c>
      <c r="KH36" s="9">
        <f>IF(KG36,KE36/(1+VATRate),KE36)</f>
        <v/>
      </c>
      <c r="KI36" s="12">
        <f>KE36-KH36</f>
        <v/>
      </c>
      <c r="KJ36" s="12">
        <f>IF(KG36=0,0,IF(JF36=1,SUMPRODUCT(--(($JG$5:$JG36=$JG36-1)*($JF$5:$JF36&gt;=10)*($JF$5:$JF36&lt;=12)),$KI$5:$KI36),IF(JF36=4,SUMPRODUCT(--(($JG$5:$JG36=$JG36)*($JF$5:$JF36&gt;=1)*($JF$5:$JF36&lt;=3)),$KI$5:$KI36),IF(JF36=7,SUMPRODUCT(--(($JG$5:$JG36=$JG36)*($JF$5:$JF36&gt;=4)*($JF$5:$JF36&lt;=6)),$KI$5:$KI36),IF(JF36=10,SUMPRODUCT(--(($JG$5:$JG36=$JG36)*($JF$5:$JF36&gt;=7)*($JF$5:$JF36&lt;=9)),$KI$5:$KI36),0)))))</f>
        <v/>
      </c>
      <c r="KK36" s="12">
        <f>KK35+KI36-KJ36</f>
        <v/>
      </c>
      <c r="KL36" s="12">
        <f>IF(ProviderDelay&gt;=1,KH35*ProviderShare,KH36*ProviderShare)</f>
        <v/>
      </c>
      <c r="KM36" s="12">
        <f>KE36*PaymentFee</f>
        <v/>
      </c>
      <c r="KN36" s="12">
        <f>JY36*OpsAI</f>
        <v/>
      </c>
      <c r="KO36" s="12">
        <f>MonthlyFixed</f>
        <v/>
      </c>
      <c r="KP36" s="12">
        <f>JM36*ReferralReward</f>
        <v/>
      </c>
      <c r="KQ36" s="12">
        <f>JK36</f>
        <v/>
      </c>
      <c r="KR36" s="9">
        <f>KH36-KL36-KM36-KN36-KO36-KP36-KQ36</f>
        <v/>
      </c>
      <c r="KS36" s="9">
        <f>KS35+KE36-(KL36+KM36+KN36+KO36+KP36+KQ36+KJ36)</f>
        <v/>
      </c>
      <c r="KT36" s="12">
        <f>IF(JY36&gt;0,JZ36/JY36,0)</f>
        <v/>
      </c>
      <c r="KU36" s="11">
        <f>IF(JY35&gt;0,MAX(0,(JY35+JN36-JY36)/JY35),0)</f>
        <v/>
      </c>
      <c r="KW36" s="12" t="n">
        <v>32</v>
      </c>
      <c r="KX36" s="12">
        <f>MOD(KW36-1+LaunchMonth-1,12)+1</f>
        <v/>
      </c>
      <c r="KY36" s="12">
        <f>INT((KW36-1+LaunchMonth-1)/12)+1</f>
        <v/>
      </c>
      <c r="KZ36" s="12">
        <f>VLOOKUP(KX36,SeasonTable,2,FALSE)</f>
        <v/>
      </c>
      <c r="LA36" s="12">
        <f>(1+InflationRate)^INT((KW36-1)/12)</f>
        <v/>
      </c>
      <c r="LB36" s="11">
        <f>'Sens - Churn'!$A$17*VLOOKUP(KX36,ChurnSeasonTable,4,FALSE)</f>
        <v/>
      </c>
      <c r="LC36" s="12">
        <f>MIN(MAX(MktMin19plus,LW35*MktPct19plus),MAX(0,MK35-CashBuffer))</f>
        <v/>
      </c>
      <c r="LD36" s="12">
        <f>IF(LC36&gt;0,MAX(1,ROUND(LC36/CAC*KZ36,0)),0)</f>
        <v/>
      </c>
      <c r="LE36" s="12">
        <f>IF(LD36&gt;0,ROUND(LD36*ReferralMix/(1-ReferralMix),0),0)</f>
        <v/>
      </c>
      <c r="LF36" s="12">
        <f>LD36+LE36</f>
        <v/>
      </c>
      <c r="LG36" s="12">
        <f>ROUND(LF36*(1-AnnualMix),0)</f>
        <v/>
      </c>
      <c r="LH36" s="12">
        <f>LF36-LG36</f>
        <v/>
      </c>
      <c r="LI36" s="12">
        <f>ROUND(LG36*EssentialMix,0)</f>
        <v/>
      </c>
      <c r="LJ36" s="12">
        <f>LG36-LI36</f>
        <v/>
      </c>
      <c r="LK36" s="12">
        <f>ROUND(LH36*EssentialMix,0)</f>
        <v/>
      </c>
      <c r="LL36" s="12">
        <f>LH36-LK36</f>
        <v/>
      </c>
      <c r="LM36" s="12">
        <f>LI36+LI35+LI34+MAX(0,LM35-LI35-LI34)*(1-LB36)</f>
        <v/>
      </c>
      <c r="LN36" s="12">
        <f>LJ36+LJ35+LJ34+MAX(0,LN35-LJ35-LJ34)*(1-LB36)</f>
        <v/>
      </c>
      <c r="LO36" s="12">
        <f>LO35+LK36-LK24*(AnnualChurn*VLOOKUP(KX36,ChurnSeasonTable,4,FALSE))*POWER(1-(AnnualChurn*VLOOKUP(KX36,ChurnSeasonTable,4,FALSE)),0)+LK12*(AnnualChurn*VLOOKUP(KX36,ChurnSeasonTable,4,FALSE))*POWER(1-(AnnualChurn*VLOOKUP(KX36,ChurnSeasonTable,4,FALSE)),1)</f>
        <v/>
      </c>
      <c r="LP36" s="12">
        <f>LP35+LL36-LL24*(AnnualChurn*VLOOKUP(KX36,ChurnSeasonTable,4,FALSE))*POWER(1-(AnnualChurn*VLOOKUP(KX36,ChurnSeasonTable,4,FALSE)),0)+LL12*(AnnualChurn*VLOOKUP(KX36,ChurnSeasonTable,4,FALSE))*POWER(1-(AnnualChurn*VLOOKUP(KX36,ChurnSeasonTable,4,FALSE)),1)</f>
        <v/>
      </c>
      <c r="LQ36" s="12">
        <f>LM36+LN36+LO36+LP36</f>
        <v/>
      </c>
      <c r="LR36" s="9">
        <f>LM36*PriceEssMonthly*LA36+LN36*PricePremMonthly*LA36+LO36*PriceEssAnnual*LA36/12+LP36*PricePremAnnual*LA36/12</f>
        <v/>
      </c>
      <c r="LS36" s="9">
        <f>LR36*12</f>
        <v/>
      </c>
      <c r="LT36" s="12">
        <f>LM36*PriceEssMonthly*LA36+LN36*PricePremMonthly*LA36</f>
        <v/>
      </c>
      <c r="LU36" s="12">
        <f>LK36*PriceEssAnnual*LA36+LL36*PricePremAnnual*LA36</f>
        <v/>
      </c>
      <c r="LV36" s="12">
        <f>LK24*POWER(1-(AnnualChurn*VLOOKUP(KX36,ChurnSeasonTable,4,FALSE)),1)*PriceEssAnnual*LA36+LK12*POWER(1-(AnnualChurn*VLOOKUP(KX36,ChurnSeasonTable,4,FALSE)),2)*PriceEssAnnual*LA36+LL24*POWER(1-(AnnualChurn*VLOOKUP(KX36,ChurnSeasonTable,4,FALSE)),1)*PricePremAnnual*LA36+LL12*POWER(1-(AnnualChurn*VLOOKUP(KX36,ChurnSeasonTable,4,FALSE)),2)*PricePremAnnual*LA36</f>
        <v/>
      </c>
      <c r="LW36" s="9">
        <f>LT36+LU36+LV36</f>
        <v/>
      </c>
      <c r="LX36" s="12">
        <f>SUM(LW25:LW36)</f>
        <v/>
      </c>
      <c r="LY36" s="12">
        <f>OR(LY35,LX36&gt;=VATThreshold)</f>
        <v/>
      </c>
      <c r="LZ36" s="9">
        <f>IF(LY36,LW36/(1+VATRate),LW36)</f>
        <v/>
      </c>
      <c r="MA36" s="12">
        <f>LW36-LZ36</f>
        <v/>
      </c>
      <c r="MB36" s="12">
        <f>IF(LY36=0,0,IF(KX36=1,SUMPRODUCT(--(($KY$5:$KY36=$KY36-1)*($KX$5:$KX36&gt;=10)*($KX$5:$KX36&lt;=12)),$MA$5:$MA36),IF(KX36=4,SUMPRODUCT(--(($KY$5:$KY36=$KY36)*($KX$5:$KX36&gt;=1)*($KX$5:$KX36&lt;=3)),$MA$5:$MA36),IF(KX36=7,SUMPRODUCT(--(($KY$5:$KY36=$KY36)*($KX$5:$KX36&gt;=4)*($KX$5:$KX36&lt;=6)),$MA$5:$MA36),IF(KX36=10,SUMPRODUCT(--(($KY$5:$KY36=$KY36)*($KX$5:$KX36&gt;=7)*($KX$5:$KX36&lt;=9)),$MA$5:$MA36),0)))))</f>
        <v/>
      </c>
      <c r="MC36" s="12">
        <f>MC35+MA36-MB36</f>
        <v/>
      </c>
      <c r="MD36" s="12">
        <f>IF(ProviderDelay&gt;=1,LZ35*ProviderShare,LZ36*ProviderShare)</f>
        <v/>
      </c>
      <c r="ME36" s="12">
        <f>LW36*PaymentFee</f>
        <v/>
      </c>
      <c r="MF36" s="12">
        <f>LQ36*OpsAI</f>
        <v/>
      </c>
      <c r="MG36" s="12">
        <f>MonthlyFixed</f>
        <v/>
      </c>
      <c r="MH36" s="12">
        <f>LE36*ReferralReward</f>
        <v/>
      </c>
      <c r="MI36" s="12">
        <f>LC36</f>
        <v/>
      </c>
      <c r="MJ36" s="9">
        <f>LZ36-MD36-ME36-MF36-MG36-MH36-MI36</f>
        <v/>
      </c>
      <c r="MK36" s="9">
        <f>MK35+LW36-(MD36+ME36+MF36+MG36+MH36+MI36+MB36)</f>
        <v/>
      </c>
      <c r="ML36" s="12">
        <f>IF(LQ36&gt;0,LR36/LQ36,0)</f>
        <v/>
      </c>
      <c r="MM36" s="11">
        <f>IF(LQ35&gt;0,MAX(0,(LQ35+LF36-LQ36)/LQ35),0)</f>
        <v/>
      </c>
      <c r="MO36" s="12" t="n">
        <v>32</v>
      </c>
      <c r="MP36" s="12">
        <f>MOD(MO36-1+LaunchMonth-1,12)+1</f>
        <v/>
      </c>
      <c r="MQ36" s="12">
        <f>INT((MO36-1+LaunchMonth-1)/12)+1</f>
        <v/>
      </c>
      <c r="MR36" s="12">
        <f>VLOOKUP(MP36,SeasonTable,2,FALSE)</f>
        <v/>
      </c>
      <c r="MS36" s="12">
        <f>(1+InflationRate)^INT((MO36-1)/12)</f>
        <v/>
      </c>
      <c r="MT36" s="11">
        <f>'Sens - Churn'!$A$18*VLOOKUP(MP36,ChurnSeasonTable,4,FALSE)</f>
        <v/>
      </c>
      <c r="MU36" s="12">
        <f>MIN(MAX(MktMin19plus,NO35*MktPct19plus),MAX(0,OC35-CashBuffer))</f>
        <v/>
      </c>
      <c r="MV36" s="12">
        <f>IF(MU36&gt;0,MAX(1,ROUND(MU36/CAC*MR36,0)),0)</f>
        <v/>
      </c>
      <c r="MW36" s="12">
        <f>IF(MV36&gt;0,ROUND(MV36*ReferralMix/(1-ReferralMix),0),0)</f>
        <v/>
      </c>
      <c r="MX36" s="12">
        <f>MV36+MW36</f>
        <v/>
      </c>
      <c r="MY36" s="12">
        <f>ROUND(MX36*(1-AnnualMix),0)</f>
        <v/>
      </c>
      <c r="MZ36" s="12">
        <f>MX36-MY36</f>
        <v/>
      </c>
      <c r="NA36" s="12">
        <f>ROUND(MY36*EssentialMix,0)</f>
        <v/>
      </c>
      <c r="NB36" s="12">
        <f>MY36-NA36</f>
        <v/>
      </c>
      <c r="NC36" s="12">
        <f>ROUND(MZ36*EssentialMix,0)</f>
        <v/>
      </c>
      <c r="ND36" s="12">
        <f>MZ36-NC36</f>
        <v/>
      </c>
      <c r="NE36" s="12">
        <f>NA36+NA35+NA34+MAX(0,NE35-NA35-NA34)*(1-MT36)</f>
        <v/>
      </c>
      <c r="NF36" s="12">
        <f>NB36+NB35+NB34+MAX(0,NF35-NB35-NB34)*(1-MT36)</f>
        <v/>
      </c>
      <c r="NG36" s="12">
        <f>NG35+NC36-NC24*(AnnualChurn*VLOOKUP(MP36,ChurnSeasonTable,4,FALSE))*POWER(1-(AnnualChurn*VLOOKUP(MP36,ChurnSeasonTable,4,FALSE)),0)+NC12*(AnnualChurn*VLOOKUP(MP36,ChurnSeasonTable,4,FALSE))*POWER(1-(AnnualChurn*VLOOKUP(MP36,ChurnSeasonTable,4,FALSE)),1)</f>
        <v/>
      </c>
      <c r="NH36" s="12">
        <f>NH35+ND36-ND24*(AnnualChurn*VLOOKUP(MP36,ChurnSeasonTable,4,FALSE))*POWER(1-(AnnualChurn*VLOOKUP(MP36,ChurnSeasonTable,4,FALSE)),0)+ND12*(AnnualChurn*VLOOKUP(MP36,ChurnSeasonTable,4,FALSE))*POWER(1-(AnnualChurn*VLOOKUP(MP36,ChurnSeasonTable,4,FALSE)),1)</f>
        <v/>
      </c>
      <c r="NI36" s="12">
        <f>NE36+NF36+NG36+NH36</f>
        <v/>
      </c>
      <c r="NJ36" s="9">
        <f>NE36*PriceEssMonthly*MS36+NF36*PricePremMonthly*MS36+NG36*PriceEssAnnual*MS36/12+NH36*PricePremAnnual*MS36/12</f>
        <v/>
      </c>
      <c r="NK36" s="9">
        <f>NJ36*12</f>
        <v/>
      </c>
      <c r="NL36" s="12">
        <f>NE36*PriceEssMonthly*MS36+NF36*PricePremMonthly*MS36</f>
        <v/>
      </c>
      <c r="NM36" s="12">
        <f>NC36*PriceEssAnnual*MS36+ND36*PricePremAnnual*MS36</f>
        <v/>
      </c>
      <c r="NN36" s="12">
        <f>NC24*POWER(1-(AnnualChurn*VLOOKUP(MP36,ChurnSeasonTable,4,FALSE)),1)*PriceEssAnnual*MS36+NC12*POWER(1-(AnnualChurn*VLOOKUP(MP36,ChurnSeasonTable,4,FALSE)),2)*PriceEssAnnual*MS36+ND24*POWER(1-(AnnualChurn*VLOOKUP(MP36,ChurnSeasonTable,4,FALSE)),1)*PricePremAnnual*MS36+ND12*POWER(1-(AnnualChurn*VLOOKUP(MP36,ChurnSeasonTable,4,FALSE)),2)*PricePremAnnual*MS36</f>
        <v/>
      </c>
      <c r="NO36" s="9">
        <f>NL36+NM36+NN36</f>
        <v/>
      </c>
      <c r="NP36" s="12">
        <f>SUM(NO25:NO36)</f>
        <v/>
      </c>
      <c r="NQ36" s="12">
        <f>OR(NQ35,NP36&gt;=VATThreshold)</f>
        <v/>
      </c>
      <c r="NR36" s="9">
        <f>IF(NQ36,NO36/(1+VATRate),NO36)</f>
        <v/>
      </c>
      <c r="NS36" s="12">
        <f>NO36-NR36</f>
        <v/>
      </c>
      <c r="NT36" s="12">
        <f>IF(NQ36=0,0,IF(MP36=1,SUMPRODUCT(--(($MQ$5:$MQ36=$MQ36-1)*($MP$5:$MP36&gt;=10)*($MP$5:$MP36&lt;=12)),$NS$5:$NS36),IF(MP36=4,SUMPRODUCT(--(($MQ$5:$MQ36=$MQ36)*($MP$5:$MP36&gt;=1)*($MP$5:$MP36&lt;=3)),$NS$5:$NS36),IF(MP36=7,SUMPRODUCT(--(($MQ$5:$MQ36=$MQ36)*($MP$5:$MP36&gt;=4)*($MP$5:$MP36&lt;=6)),$NS$5:$NS36),IF(MP36=10,SUMPRODUCT(--(($MQ$5:$MQ36=$MQ36)*($MP$5:$MP36&gt;=7)*($MP$5:$MP36&lt;=9)),$NS$5:$NS36),0)))))</f>
        <v/>
      </c>
      <c r="NU36" s="12">
        <f>NU35+NS36-NT36</f>
        <v/>
      </c>
      <c r="NV36" s="12">
        <f>IF(ProviderDelay&gt;=1,NR35*ProviderShare,NR36*ProviderShare)</f>
        <v/>
      </c>
      <c r="NW36" s="12">
        <f>NO36*PaymentFee</f>
        <v/>
      </c>
      <c r="NX36" s="12">
        <f>NI36*OpsAI</f>
        <v/>
      </c>
      <c r="NY36" s="12">
        <f>MonthlyFixed</f>
        <v/>
      </c>
      <c r="NZ36" s="12">
        <f>MW36*ReferralReward</f>
        <v/>
      </c>
      <c r="OA36" s="12">
        <f>MU36</f>
        <v/>
      </c>
      <c r="OB36" s="9">
        <f>NR36-NV36-NW36-NX36-NY36-NZ36-OA36</f>
        <v/>
      </c>
      <c r="OC36" s="9">
        <f>OC35+NO36-(NV36+NW36+NX36+NY36+NZ36+OA36+NT36)</f>
        <v/>
      </c>
      <c r="OD36" s="12">
        <f>IF(NI36&gt;0,NJ36/NI36,0)</f>
        <v/>
      </c>
      <c r="OE36" s="11">
        <f>IF(NI35&gt;0,MAX(0,(NI35+MX36-NI36)/NI35),0)</f>
        <v/>
      </c>
      <c r="OG36" s="12" t="n">
        <v>32</v>
      </c>
      <c r="OH36" s="12">
        <f>MOD(OG36-1+LaunchMonth-1,12)+1</f>
        <v/>
      </c>
      <c r="OI36" s="12">
        <f>INT((OG36-1+LaunchMonth-1)/12)+1</f>
        <v/>
      </c>
      <c r="OJ36" s="12">
        <f>VLOOKUP(OH36,SeasonTable,2,FALSE)</f>
        <v/>
      </c>
      <c r="OK36" s="12">
        <f>(1+InflationRate)^INT((OG36-1)/12)</f>
        <v/>
      </c>
      <c r="OL36" s="11">
        <f>'Sens - Churn'!$A$19*VLOOKUP(OH36,ChurnSeasonTable,4,FALSE)</f>
        <v/>
      </c>
      <c r="OM36" s="12">
        <f>MIN(MAX(MktMin19plus,PG35*MktPct19plus),MAX(0,PU35-CashBuffer))</f>
        <v/>
      </c>
      <c r="ON36" s="12">
        <f>IF(OM36&gt;0,MAX(1,ROUND(OM36/CAC*OJ36,0)),0)</f>
        <v/>
      </c>
      <c r="OO36" s="12">
        <f>IF(ON36&gt;0,ROUND(ON36*ReferralMix/(1-ReferralMix),0),0)</f>
        <v/>
      </c>
      <c r="OP36" s="12">
        <f>ON36+OO36</f>
        <v/>
      </c>
      <c r="OQ36" s="12">
        <f>ROUND(OP36*(1-AnnualMix),0)</f>
        <v/>
      </c>
      <c r="OR36" s="12">
        <f>OP36-OQ36</f>
        <v/>
      </c>
      <c r="OS36" s="12">
        <f>ROUND(OQ36*EssentialMix,0)</f>
        <v/>
      </c>
      <c r="OT36" s="12">
        <f>OQ36-OS36</f>
        <v/>
      </c>
      <c r="OU36" s="12">
        <f>ROUND(OR36*EssentialMix,0)</f>
        <v/>
      </c>
      <c r="OV36" s="12">
        <f>OR36-OU36</f>
        <v/>
      </c>
      <c r="OW36" s="12">
        <f>OS36+OS35+OS34+MAX(0,OW35-OS35-OS34)*(1-OL36)</f>
        <v/>
      </c>
      <c r="OX36" s="12">
        <f>OT36+OT35+OT34+MAX(0,OX35-OT35-OT34)*(1-OL36)</f>
        <v/>
      </c>
      <c r="OY36" s="12">
        <f>OY35+OU36-OU24*(AnnualChurn*VLOOKUP(OH36,ChurnSeasonTable,4,FALSE))*POWER(1-(AnnualChurn*VLOOKUP(OH36,ChurnSeasonTable,4,FALSE)),0)+OU12*(AnnualChurn*VLOOKUP(OH36,ChurnSeasonTable,4,FALSE))*POWER(1-(AnnualChurn*VLOOKUP(OH36,ChurnSeasonTable,4,FALSE)),1)</f>
        <v/>
      </c>
      <c r="OZ36" s="12">
        <f>OZ35+OV36-OV24*(AnnualChurn*VLOOKUP(OH36,ChurnSeasonTable,4,FALSE))*POWER(1-(AnnualChurn*VLOOKUP(OH36,ChurnSeasonTable,4,FALSE)),0)+OV12*(AnnualChurn*VLOOKUP(OH36,ChurnSeasonTable,4,FALSE))*POWER(1-(AnnualChurn*VLOOKUP(OH36,ChurnSeasonTable,4,FALSE)),1)</f>
        <v/>
      </c>
      <c r="PA36" s="12">
        <f>OW36+OX36+OY36+OZ36</f>
        <v/>
      </c>
      <c r="PB36" s="9">
        <f>OW36*PriceEssMonthly*OK36+OX36*PricePremMonthly*OK36+OY36*PriceEssAnnual*OK36/12+OZ36*PricePremAnnual*OK36/12</f>
        <v/>
      </c>
      <c r="PC36" s="9">
        <f>PB36*12</f>
        <v/>
      </c>
      <c r="PD36" s="12">
        <f>OW36*PriceEssMonthly*OK36+OX36*PricePremMonthly*OK36</f>
        <v/>
      </c>
      <c r="PE36" s="12">
        <f>OU36*PriceEssAnnual*OK36+OV36*PricePremAnnual*OK36</f>
        <v/>
      </c>
      <c r="PF36" s="12">
        <f>OU24*POWER(1-(AnnualChurn*VLOOKUP(OH36,ChurnSeasonTable,4,FALSE)),1)*PriceEssAnnual*OK36+OU12*POWER(1-(AnnualChurn*VLOOKUP(OH36,ChurnSeasonTable,4,FALSE)),2)*PriceEssAnnual*OK36+OV24*POWER(1-(AnnualChurn*VLOOKUP(OH36,ChurnSeasonTable,4,FALSE)),1)*PricePremAnnual*OK36+OV12*POWER(1-(AnnualChurn*VLOOKUP(OH36,ChurnSeasonTable,4,FALSE)),2)*PricePremAnnual*OK36</f>
        <v/>
      </c>
      <c r="PG36" s="9">
        <f>PD36+PE36+PF36</f>
        <v/>
      </c>
      <c r="PH36" s="12">
        <f>SUM(PG25:PG36)</f>
        <v/>
      </c>
      <c r="PI36" s="12">
        <f>OR(PI35,PH36&gt;=VATThreshold)</f>
        <v/>
      </c>
      <c r="PJ36" s="9">
        <f>IF(PI36,PG36/(1+VATRate),PG36)</f>
        <v/>
      </c>
      <c r="PK36" s="12">
        <f>PG36-PJ36</f>
        <v/>
      </c>
      <c r="PL36" s="12">
        <f>IF(PI36=0,0,IF(OH36=1,SUMPRODUCT(--(($OI$5:$OI36=$OI36-1)*($OH$5:$OH36&gt;=10)*($OH$5:$OH36&lt;=12)),$PK$5:$PK36),IF(OH36=4,SUMPRODUCT(--(($OI$5:$OI36=$OI36)*($OH$5:$OH36&gt;=1)*($OH$5:$OH36&lt;=3)),$PK$5:$PK36),IF(OH36=7,SUMPRODUCT(--(($OI$5:$OI36=$OI36)*($OH$5:$OH36&gt;=4)*($OH$5:$OH36&lt;=6)),$PK$5:$PK36),IF(OH36=10,SUMPRODUCT(--(($OI$5:$OI36=$OI36)*($OH$5:$OH36&gt;=7)*($OH$5:$OH36&lt;=9)),$PK$5:$PK36),0)))))</f>
        <v/>
      </c>
      <c r="PM36" s="12">
        <f>PM35+PK36-PL36</f>
        <v/>
      </c>
      <c r="PN36" s="12">
        <f>IF(ProviderDelay&gt;=1,PJ35*ProviderShare,PJ36*ProviderShare)</f>
        <v/>
      </c>
      <c r="PO36" s="12">
        <f>PG36*PaymentFee</f>
        <v/>
      </c>
      <c r="PP36" s="12">
        <f>PA36*OpsAI</f>
        <v/>
      </c>
      <c r="PQ36" s="12">
        <f>MonthlyFixed</f>
        <v/>
      </c>
      <c r="PR36" s="12">
        <f>OO36*ReferralReward</f>
        <v/>
      </c>
      <c r="PS36" s="12">
        <f>OM36</f>
        <v/>
      </c>
      <c r="PT36" s="9">
        <f>PJ36-PN36-PO36-PP36-PQ36-PR36-PS36</f>
        <v/>
      </c>
      <c r="PU36" s="9">
        <f>PU35+PG36-(PN36+PO36+PP36+PQ36+PR36+PS36+PL36)</f>
        <v/>
      </c>
      <c r="PV36" s="12">
        <f>IF(PA36&gt;0,PB36/PA36,0)</f>
        <v/>
      </c>
      <c r="PW36" s="11">
        <f>IF(PA35&gt;0,MAX(0,(PA35+OP36-PA36)/PA35),0)</f>
        <v/>
      </c>
      <c r="PY36" s="12" t="n">
        <v>32</v>
      </c>
      <c r="PZ36" s="12">
        <f>MOD(PY36-1+LaunchMonth-1,12)+1</f>
        <v/>
      </c>
      <c r="QA36" s="12">
        <f>INT((PY36-1+LaunchMonth-1)/12)+1</f>
        <v/>
      </c>
      <c r="QB36" s="12">
        <f>VLOOKUP(PZ36,SeasonTable,2,FALSE)</f>
        <v/>
      </c>
      <c r="QC36" s="12">
        <f>(1+InflationRate)^INT((PY36-1)/12)</f>
        <v/>
      </c>
      <c r="QD36" s="11">
        <f>'Sens - Churn'!$A$20*VLOOKUP(PZ36,ChurnSeasonTable,4,FALSE)</f>
        <v/>
      </c>
      <c r="QE36" s="12">
        <f>MIN(MAX(MktMin19plus,QY35*MktPct19plus),MAX(0,RM35-CashBuffer))</f>
        <v/>
      </c>
      <c r="QF36" s="12">
        <f>IF(QE36&gt;0,MAX(1,ROUND(QE36/CAC*QB36,0)),0)</f>
        <v/>
      </c>
      <c r="QG36" s="12">
        <f>IF(QF36&gt;0,ROUND(QF36*ReferralMix/(1-ReferralMix),0),0)</f>
        <v/>
      </c>
      <c r="QH36" s="12">
        <f>QF36+QG36</f>
        <v/>
      </c>
      <c r="QI36" s="12">
        <f>ROUND(QH36*(1-AnnualMix),0)</f>
        <v/>
      </c>
      <c r="QJ36" s="12">
        <f>QH36-QI36</f>
        <v/>
      </c>
      <c r="QK36" s="12">
        <f>ROUND(QI36*EssentialMix,0)</f>
        <v/>
      </c>
      <c r="QL36" s="12">
        <f>QI36-QK36</f>
        <v/>
      </c>
      <c r="QM36" s="12">
        <f>ROUND(QJ36*EssentialMix,0)</f>
        <v/>
      </c>
      <c r="QN36" s="12">
        <f>QJ36-QM36</f>
        <v/>
      </c>
      <c r="QO36" s="12">
        <f>QK36+QK35+QK34+MAX(0,QO35-QK35-QK34)*(1-QD36)</f>
        <v/>
      </c>
      <c r="QP36" s="12">
        <f>QL36+QL35+QL34+MAX(0,QP35-QL35-QL34)*(1-QD36)</f>
        <v/>
      </c>
      <c r="QQ36" s="12">
        <f>QQ35+QM36-QM24*(AnnualChurn*VLOOKUP(PZ36,ChurnSeasonTable,4,FALSE))*POWER(1-(AnnualChurn*VLOOKUP(PZ36,ChurnSeasonTable,4,FALSE)),0)+QM12*(AnnualChurn*VLOOKUP(PZ36,ChurnSeasonTable,4,FALSE))*POWER(1-(AnnualChurn*VLOOKUP(PZ36,ChurnSeasonTable,4,FALSE)),1)</f>
        <v/>
      </c>
      <c r="QR36" s="12">
        <f>QR35+QN36-QN24*(AnnualChurn*VLOOKUP(PZ36,ChurnSeasonTable,4,FALSE))*POWER(1-(AnnualChurn*VLOOKUP(PZ36,ChurnSeasonTable,4,FALSE)),0)+QN12*(AnnualChurn*VLOOKUP(PZ36,ChurnSeasonTable,4,FALSE))*POWER(1-(AnnualChurn*VLOOKUP(PZ36,ChurnSeasonTable,4,FALSE)),1)</f>
        <v/>
      </c>
      <c r="QS36" s="12">
        <f>QO36+QP36+QQ36+QR36</f>
        <v/>
      </c>
      <c r="QT36" s="9">
        <f>QO36*PriceEssMonthly*QC36+QP36*PricePremMonthly*QC36+QQ36*PriceEssAnnual*QC36/12+QR36*PricePremAnnual*QC36/12</f>
        <v/>
      </c>
      <c r="QU36" s="9">
        <f>QT36*12</f>
        <v/>
      </c>
      <c r="QV36" s="12">
        <f>QO36*PriceEssMonthly*QC36+QP36*PricePremMonthly*QC36</f>
        <v/>
      </c>
      <c r="QW36" s="12">
        <f>QM36*PriceEssAnnual*QC36+QN36*PricePremAnnual*QC36</f>
        <v/>
      </c>
      <c r="QX36" s="12">
        <f>QM24*POWER(1-(AnnualChurn*VLOOKUP(PZ36,ChurnSeasonTable,4,FALSE)),1)*PriceEssAnnual*QC36+QM12*POWER(1-(AnnualChurn*VLOOKUP(PZ36,ChurnSeasonTable,4,FALSE)),2)*PriceEssAnnual*QC36+QN24*POWER(1-(AnnualChurn*VLOOKUP(PZ36,ChurnSeasonTable,4,FALSE)),1)*PricePremAnnual*QC36+QN12*POWER(1-(AnnualChurn*VLOOKUP(PZ36,ChurnSeasonTable,4,FALSE)),2)*PricePremAnnual*QC36</f>
        <v/>
      </c>
      <c r="QY36" s="9">
        <f>QV36+QW36+QX36</f>
        <v/>
      </c>
      <c r="QZ36" s="12">
        <f>SUM(QY25:QY36)</f>
        <v/>
      </c>
      <c r="RA36" s="12">
        <f>OR(RA35,QZ36&gt;=VATThreshold)</f>
        <v/>
      </c>
      <c r="RB36" s="9">
        <f>IF(RA36,QY36/(1+VATRate),QY36)</f>
        <v/>
      </c>
      <c r="RC36" s="12">
        <f>QY36-RB36</f>
        <v/>
      </c>
      <c r="RD36" s="12">
        <f>IF(RA36=0,0,IF(PZ36=1,SUMPRODUCT(--(($QA$5:$QA36=$QA36-1)*($PZ$5:$PZ36&gt;=10)*($PZ$5:$PZ36&lt;=12)),$RC$5:$RC36),IF(PZ36=4,SUMPRODUCT(--(($QA$5:$QA36=$QA36)*($PZ$5:$PZ36&gt;=1)*($PZ$5:$PZ36&lt;=3)),$RC$5:$RC36),IF(PZ36=7,SUMPRODUCT(--(($QA$5:$QA36=$QA36)*($PZ$5:$PZ36&gt;=4)*($PZ$5:$PZ36&lt;=6)),$RC$5:$RC36),IF(PZ36=10,SUMPRODUCT(--(($QA$5:$QA36=$QA36)*($PZ$5:$PZ36&gt;=7)*($PZ$5:$PZ36&lt;=9)),$RC$5:$RC36),0)))))</f>
        <v/>
      </c>
      <c r="RE36" s="12">
        <f>RE35+RC36-RD36</f>
        <v/>
      </c>
      <c r="RF36" s="12">
        <f>IF(ProviderDelay&gt;=1,RB35*ProviderShare,RB36*ProviderShare)</f>
        <v/>
      </c>
      <c r="RG36" s="12">
        <f>QY36*PaymentFee</f>
        <v/>
      </c>
      <c r="RH36" s="12">
        <f>QS36*OpsAI</f>
        <v/>
      </c>
      <c r="RI36" s="12">
        <f>MonthlyFixed</f>
        <v/>
      </c>
      <c r="RJ36" s="12">
        <f>QG36*ReferralReward</f>
        <v/>
      </c>
      <c r="RK36" s="12">
        <f>QE36</f>
        <v/>
      </c>
      <c r="RL36" s="9">
        <f>RB36-RF36-RG36-RH36-RI36-RJ36-RK36</f>
        <v/>
      </c>
      <c r="RM36" s="9">
        <f>RM35+QY36-(RF36+RG36+RH36+RI36+RJ36+RK36+RD36)</f>
        <v/>
      </c>
      <c r="RN36" s="12">
        <f>IF(QS36&gt;0,QT36/QS36,0)</f>
        <v/>
      </c>
      <c r="RO36" s="11">
        <f>IF(QS35&gt;0,MAX(0,(QS35+QH36-QS36)/QS35),0)</f>
        <v/>
      </c>
      <c r="RQ36" s="12" t="n">
        <v>32</v>
      </c>
      <c r="RR36" s="12">
        <f>MOD(RQ36-1+LaunchMonth-1,12)+1</f>
        <v/>
      </c>
      <c r="RS36" s="12">
        <f>INT((RQ36-1+LaunchMonth-1)/12)+1</f>
        <v/>
      </c>
      <c r="RT36" s="12">
        <f>VLOOKUP(RR36,SeasonTable,2,FALSE)</f>
        <v/>
      </c>
      <c r="RU36" s="12">
        <f>(1+InflationRate)^INT((RQ36-1)/12)</f>
        <v/>
      </c>
      <c r="RV36" s="11">
        <f>'Sens - Churn'!$A$21*VLOOKUP(RR36,ChurnSeasonTable,4,FALSE)</f>
        <v/>
      </c>
      <c r="RW36" s="12">
        <f>MIN(MAX(MktMin19plus,SQ35*MktPct19plus),MAX(0,TE35-CashBuffer))</f>
        <v/>
      </c>
      <c r="RX36" s="12">
        <f>IF(RW36&gt;0,MAX(1,ROUND(RW36/CAC*RT36,0)),0)</f>
        <v/>
      </c>
      <c r="RY36" s="12">
        <f>IF(RX36&gt;0,ROUND(RX36*ReferralMix/(1-ReferralMix),0),0)</f>
        <v/>
      </c>
      <c r="RZ36" s="12">
        <f>RX36+RY36</f>
        <v/>
      </c>
      <c r="SA36" s="12">
        <f>ROUND(RZ36*(1-AnnualMix),0)</f>
        <v/>
      </c>
      <c r="SB36" s="12">
        <f>RZ36-SA36</f>
        <v/>
      </c>
      <c r="SC36" s="12">
        <f>ROUND(SA36*EssentialMix,0)</f>
        <v/>
      </c>
      <c r="SD36" s="12">
        <f>SA36-SC36</f>
        <v/>
      </c>
      <c r="SE36" s="12">
        <f>ROUND(SB36*EssentialMix,0)</f>
        <v/>
      </c>
      <c r="SF36" s="12">
        <f>SB36-SE36</f>
        <v/>
      </c>
      <c r="SG36" s="12">
        <f>SC36+SC35+SC34+MAX(0,SG35-SC35-SC34)*(1-RV36)</f>
        <v/>
      </c>
      <c r="SH36" s="12">
        <f>SD36+SD35+SD34+MAX(0,SH35-SD35-SD34)*(1-RV36)</f>
        <v/>
      </c>
      <c r="SI36" s="12">
        <f>SI35+SE36-SE24*(AnnualChurn*VLOOKUP(RR36,ChurnSeasonTable,4,FALSE))*POWER(1-(AnnualChurn*VLOOKUP(RR36,ChurnSeasonTable,4,FALSE)),0)+SE12*(AnnualChurn*VLOOKUP(RR36,ChurnSeasonTable,4,FALSE))*POWER(1-(AnnualChurn*VLOOKUP(RR36,ChurnSeasonTable,4,FALSE)),1)</f>
        <v/>
      </c>
      <c r="SJ36" s="12">
        <f>SJ35+SF36-SF24*(AnnualChurn*VLOOKUP(RR36,ChurnSeasonTable,4,FALSE))*POWER(1-(AnnualChurn*VLOOKUP(RR36,ChurnSeasonTable,4,FALSE)),0)+SF12*(AnnualChurn*VLOOKUP(RR36,ChurnSeasonTable,4,FALSE))*POWER(1-(AnnualChurn*VLOOKUP(RR36,ChurnSeasonTable,4,FALSE)),1)</f>
        <v/>
      </c>
      <c r="SK36" s="12">
        <f>SG36+SH36+SI36+SJ36</f>
        <v/>
      </c>
      <c r="SL36" s="9">
        <f>SG36*PriceEssMonthly*RU36+SH36*PricePremMonthly*RU36+SI36*PriceEssAnnual*RU36/12+SJ36*PricePremAnnual*RU36/12</f>
        <v/>
      </c>
      <c r="SM36" s="9">
        <f>SL36*12</f>
        <v/>
      </c>
      <c r="SN36" s="12">
        <f>SG36*PriceEssMonthly*RU36+SH36*PricePremMonthly*RU36</f>
        <v/>
      </c>
      <c r="SO36" s="12">
        <f>SE36*PriceEssAnnual*RU36+SF36*PricePremAnnual*RU36</f>
        <v/>
      </c>
      <c r="SP36" s="12">
        <f>SE24*POWER(1-(AnnualChurn*VLOOKUP(RR36,ChurnSeasonTable,4,FALSE)),1)*PriceEssAnnual*RU36+SE12*POWER(1-(AnnualChurn*VLOOKUP(RR36,ChurnSeasonTable,4,FALSE)),2)*PriceEssAnnual*RU36+SF24*POWER(1-(AnnualChurn*VLOOKUP(RR36,ChurnSeasonTable,4,FALSE)),1)*PricePremAnnual*RU36+SF12*POWER(1-(AnnualChurn*VLOOKUP(RR36,ChurnSeasonTable,4,FALSE)),2)*PricePremAnnual*RU36</f>
        <v/>
      </c>
      <c r="SQ36" s="9">
        <f>SN36+SO36+SP36</f>
        <v/>
      </c>
      <c r="SR36" s="12">
        <f>SUM(SQ25:SQ36)</f>
        <v/>
      </c>
      <c r="SS36" s="12">
        <f>OR(SS35,SR36&gt;=VATThreshold)</f>
        <v/>
      </c>
      <c r="ST36" s="9">
        <f>IF(SS36,SQ36/(1+VATRate),SQ36)</f>
        <v/>
      </c>
      <c r="SU36" s="12">
        <f>SQ36-ST36</f>
        <v/>
      </c>
      <c r="SV36" s="12">
        <f>IF(SS36=0,0,IF(RR36=1,SUMPRODUCT(--(($RS$5:$RS36=$RS36-1)*($RR$5:$RR36&gt;=10)*($RR$5:$RR36&lt;=12)),$SU$5:$SU36),IF(RR36=4,SUMPRODUCT(--(($RS$5:$RS36=$RS36)*($RR$5:$RR36&gt;=1)*($RR$5:$RR36&lt;=3)),$SU$5:$SU36),IF(RR36=7,SUMPRODUCT(--(($RS$5:$RS36=$RS36)*($RR$5:$RR36&gt;=4)*($RR$5:$RR36&lt;=6)),$SU$5:$SU36),IF(RR36=10,SUMPRODUCT(--(($RS$5:$RS36=$RS36)*($RR$5:$RR36&gt;=7)*($RR$5:$RR36&lt;=9)),$SU$5:$SU36),0)))))</f>
        <v/>
      </c>
      <c r="SW36" s="12">
        <f>SW35+SU36-SV36</f>
        <v/>
      </c>
      <c r="SX36" s="12">
        <f>IF(ProviderDelay&gt;=1,ST35*ProviderShare,ST36*ProviderShare)</f>
        <v/>
      </c>
      <c r="SY36" s="12">
        <f>SQ36*PaymentFee</f>
        <v/>
      </c>
      <c r="SZ36" s="12">
        <f>SK36*OpsAI</f>
        <v/>
      </c>
      <c r="TA36" s="12">
        <f>MonthlyFixed</f>
        <v/>
      </c>
      <c r="TB36" s="12">
        <f>RY36*ReferralReward</f>
        <v/>
      </c>
      <c r="TC36" s="12">
        <f>RW36</f>
        <v/>
      </c>
      <c r="TD36" s="9">
        <f>ST36-SX36-SY36-SZ36-TA36-TB36-TC36</f>
        <v/>
      </c>
      <c r="TE36" s="9">
        <f>TE35+SQ36-(SX36+SY36+SZ36+TA36+TB36+TC36+SV36)</f>
        <v/>
      </c>
      <c r="TF36" s="12">
        <f>IF(SK36&gt;0,SL36/SK36,0)</f>
        <v/>
      </c>
      <c r="TG36" s="11">
        <f>IF(SK35&gt;0,MAX(0,(SK35+RZ36-SK36)/SK35),0)</f>
        <v/>
      </c>
      <c r="TI36" s="12" t="n">
        <v>32</v>
      </c>
      <c r="TJ36" s="12">
        <f>MOD(TI36-1+LaunchMonth-1,12)+1</f>
        <v/>
      </c>
      <c r="TK36" s="12">
        <f>INT((TI36-1+LaunchMonth-1)/12)+1</f>
        <v/>
      </c>
      <c r="TL36" s="12">
        <f>VLOOKUP(TJ36,SeasonTable,2,FALSE)</f>
        <v/>
      </c>
      <c r="TM36" s="12">
        <f>(1+InflationRate)^INT((TI36-1)/12)</f>
        <v/>
      </c>
      <c r="TN36" s="11">
        <f>MonthlyChurn*VLOOKUP(TJ36,ChurnSeasonTable,4,FALSE)</f>
        <v/>
      </c>
      <c r="TO36" s="12">
        <f>MIN(MAX(MktMin19plus,UI35*MktPct19plus),MAX(0,UW35-CashBuffer))</f>
        <v/>
      </c>
      <c r="TP36" s="12">
        <f>IF(TO36&gt;0,MAX(1,ROUND(TO36/CAC*TL36,0)),0)</f>
        <v/>
      </c>
      <c r="TQ36" s="12">
        <f>IF(TP36&gt;0,ROUND(TP36*ReferralMix/(1-ReferralMix),0),0)</f>
        <v/>
      </c>
      <c r="TR36" s="12">
        <f>TP36+TQ36</f>
        <v/>
      </c>
      <c r="TS36" s="12">
        <f>ROUND(TR36*(1-'Sens - Annual Mix'!$A$9),0)</f>
        <v/>
      </c>
      <c r="TT36" s="12">
        <f>TR36-TS36</f>
        <v/>
      </c>
      <c r="TU36" s="12">
        <f>ROUND(TS36*EssentialMix,0)</f>
        <v/>
      </c>
      <c r="TV36" s="12">
        <f>TS36-TU36</f>
        <v/>
      </c>
      <c r="TW36" s="12">
        <f>ROUND(TT36*EssentialMix,0)</f>
        <v/>
      </c>
      <c r="TX36" s="12">
        <f>TT36-TW36</f>
        <v/>
      </c>
      <c r="TY36" s="12">
        <f>TU36+TU35+TU34+MAX(0,TY35-TU35-TU34)*(1-TN36)</f>
        <v/>
      </c>
      <c r="TZ36" s="12">
        <f>TV36+TV35+TV34+MAX(0,TZ35-TV35-TV34)*(1-TN36)</f>
        <v/>
      </c>
      <c r="UA36" s="12">
        <f>UA35+TW36-TW24*(AnnualChurn*VLOOKUP(TJ36,ChurnSeasonTable,4,FALSE))*POWER(1-(AnnualChurn*VLOOKUP(TJ36,ChurnSeasonTable,4,FALSE)),0)+TW12*(AnnualChurn*VLOOKUP(TJ36,ChurnSeasonTable,4,FALSE))*POWER(1-(AnnualChurn*VLOOKUP(TJ36,ChurnSeasonTable,4,FALSE)),1)</f>
        <v/>
      </c>
      <c r="UB36" s="12">
        <f>UB35+TX36-TX24*(AnnualChurn*VLOOKUP(TJ36,ChurnSeasonTable,4,FALSE))*POWER(1-(AnnualChurn*VLOOKUP(TJ36,ChurnSeasonTable,4,FALSE)),0)+TX12*(AnnualChurn*VLOOKUP(TJ36,ChurnSeasonTable,4,FALSE))*POWER(1-(AnnualChurn*VLOOKUP(TJ36,ChurnSeasonTable,4,FALSE)),1)</f>
        <v/>
      </c>
      <c r="UC36" s="12">
        <f>TY36+TZ36+UA36+UB36</f>
        <v/>
      </c>
      <c r="UD36" s="9">
        <f>TY36*PriceEssMonthly*TM36+TZ36*PricePremMonthly*TM36+UA36*PriceEssAnnual*TM36/12+UB36*PricePremAnnual*TM36/12</f>
        <v/>
      </c>
      <c r="UE36" s="9">
        <f>UD36*12</f>
        <v/>
      </c>
      <c r="UF36" s="12">
        <f>TY36*PriceEssMonthly*TM36+TZ36*PricePremMonthly*TM36</f>
        <v/>
      </c>
      <c r="UG36" s="12">
        <f>TW36*PriceEssAnnual*TM36+TX36*PricePremAnnual*TM36</f>
        <v/>
      </c>
      <c r="UH36" s="12">
        <f>TW24*POWER(1-(AnnualChurn*VLOOKUP(TJ36,ChurnSeasonTable,4,FALSE)),1)*PriceEssAnnual*TM36+TW12*POWER(1-(AnnualChurn*VLOOKUP(TJ36,ChurnSeasonTable,4,FALSE)),2)*PriceEssAnnual*TM36+TX24*POWER(1-(AnnualChurn*VLOOKUP(TJ36,ChurnSeasonTable,4,FALSE)),1)*PricePremAnnual*TM36+TX12*POWER(1-(AnnualChurn*VLOOKUP(TJ36,ChurnSeasonTable,4,FALSE)),2)*PricePremAnnual*TM36</f>
        <v/>
      </c>
      <c r="UI36" s="9">
        <f>UF36+UG36+UH36</f>
        <v/>
      </c>
      <c r="UJ36" s="12">
        <f>SUM(UI25:UI36)</f>
        <v/>
      </c>
      <c r="UK36" s="12">
        <f>OR(UK35,UJ36&gt;=VATThreshold)</f>
        <v/>
      </c>
      <c r="UL36" s="9">
        <f>IF(UK36,UI36/(1+VATRate),UI36)</f>
        <v/>
      </c>
      <c r="UM36" s="12">
        <f>UI36-UL36</f>
        <v/>
      </c>
      <c r="UN36" s="12">
        <f>IF(UK36=0,0,IF(TJ36=1,SUMPRODUCT(--(($TK$5:$TK36=$TK36-1)*($TJ$5:$TJ36&gt;=10)*($TJ$5:$TJ36&lt;=12)),$UM$5:$UM36),IF(TJ36=4,SUMPRODUCT(--(($TK$5:$TK36=$TK36)*($TJ$5:$TJ36&gt;=1)*($TJ$5:$TJ36&lt;=3)),$UM$5:$UM36),IF(TJ36=7,SUMPRODUCT(--(($TK$5:$TK36=$TK36)*($TJ$5:$TJ36&gt;=4)*($TJ$5:$TJ36&lt;=6)),$UM$5:$UM36),IF(TJ36=10,SUMPRODUCT(--(($TK$5:$TK36=$TK36)*($TJ$5:$TJ36&gt;=7)*($TJ$5:$TJ36&lt;=9)),$UM$5:$UM36),0)))))</f>
        <v/>
      </c>
      <c r="UO36" s="12">
        <f>UO35+UM36-UN36</f>
        <v/>
      </c>
      <c r="UP36" s="12">
        <f>IF(ProviderDelay&gt;=1,UL35*ProviderShare,UL36*ProviderShare)</f>
        <v/>
      </c>
      <c r="UQ36" s="12">
        <f>UI36*PaymentFee</f>
        <v/>
      </c>
      <c r="UR36" s="12">
        <f>UC36*OpsAI</f>
        <v/>
      </c>
      <c r="US36" s="12">
        <f>MonthlyFixed</f>
        <v/>
      </c>
      <c r="UT36" s="12">
        <f>TQ36*ReferralReward</f>
        <v/>
      </c>
      <c r="UU36" s="12">
        <f>TO36</f>
        <v/>
      </c>
      <c r="UV36" s="9">
        <f>UL36-UP36-UQ36-UR36-US36-UT36-UU36</f>
        <v/>
      </c>
      <c r="UW36" s="9">
        <f>UW35+UI36-(UP36+UQ36+UR36+US36+UT36+UU36+UN36)</f>
        <v/>
      </c>
      <c r="UX36" s="12">
        <f>IF(UC36&gt;0,UD36/UC36,0)</f>
        <v/>
      </c>
      <c r="UY36" s="11">
        <f>IF(UC35&gt;0,MAX(0,(UC35+TR36-UC36)/UC35),0)</f>
        <v/>
      </c>
      <c r="VA36" s="12" t="n">
        <v>32</v>
      </c>
      <c r="VB36" s="12">
        <f>MOD(VA36-1+LaunchMonth-1,12)+1</f>
        <v/>
      </c>
      <c r="VC36" s="12">
        <f>INT((VA36-1+LaunchMonth-1)/12)+1</f>
        <v/>
      </c>
      <c r="VD36" s="12">
        <f>VLOOKUP(VB36,SeasonTable,2,FALSE)</f>
        <v/>
      </c>
      <c r="VE36" s="12">
        <f>(1+InflationRate)^INT((VA36-1)/12)</f>
        <v/>
      </c>
      <c r="VF36" s="11">
        <f>MonthlyChurn*VLOOKUP(VB36,ChurnSeasonTable,4,FALSE)</f>
        <v/>
      </c>
      <c r="VG36" s="12">
        <f>MIN(MAX(MktMin19plus,WA35*MktPct19plus),MAX(0,WO35-CashBuffer))</f>
        <v/>
      </c>
      <c r="VH36" s="12">
        <f>IF(VG36&gt;0,MAX(1,ROUND(VG36/CAC*VD36,0)),0)</f>
        <v/>
      </c>
      <c r="VI36" s="12">
        <f>IF(VH36&gt;0,ROUND(VH36*ReferralMix/(1-ReferralMix),0),0)</f>
        <v/>
      </c>
      <c r="VJ36" s="12">
        <f>VH36+VI36</f>
        <v/>
      </c>
      <c r="VK36" s="12">
        <f>ROUND(VJ36*(1-'Sens - Annual Mix'!$A$10),0)</f>
        <v/>
      </c>
      <c r="VL36" s="12">
        <f>VJ36-VK36</f>
        <v/>
      </c>
      <c r="VM36" s="12">
        <f>ROUND(VK36*EssentialMix,0)</f>
        <v/>
      </c>
      <c r="VN36" s="12">
        <f>VK36-VM36</f>
        <v/>
      </c>
      <c r="VO36" s="12">
        <f>ROUND(VL36*EssentialMix,0)</f>
        <v/>
      </c>
      <c r="VP36" s="12">
        <f>VL36-VO36</f>
        <v/>
      </c>
      <c r="VQ36" s="12">
        <f>VM36+VM35+VM34+MAX(0,VQ35-VM35-VM34)*(1-VF36)</f>
        <v/>
      </c>
      <c r="VR36" s="12">
        <f>VN36+VN35+VN34+MAX(0,VR35-VN35-VN34)*(1-VF36)</f>
        <v/>
      </c>
      <c r="VS36" s="12">
        <f>VS35+VO36-VO24*(AnnualChurn*VLOOKUP(VB36,ChurnSeasonTable,4,FALSE))*POWER(1-(AnnualChurn*VLOOKUP(VB36,ChurnSeasonTable,4,FALSE)),0)+VO12*(AnnualChurn*VLOOKUP(VB36,ChurnSeasonTable,4,FALSE))*POWER(1-(AnnualChurn*VLOOKUP(VB36,ChurnSeasonTable,4,FALSE)),1)</f>
        <v/>
      </c>
      <c r="VT36" s="12">
        <f>VT35+VP36-VP24*(AnnualChurn*VLOOKUP(VB36,ChurnSeasonTable,4,FALSE))*POWER(1-(AnnualChurn*VLOOKUP(VB36,ChurnSeasonTable,4,FALSE)),0)+VP12*(AnnualChurn*VLOOKUP(VB36,ChurnSeasonTable,4,FALSE))*POWER(1-(AnnualChurn*VLOOKUP(VB36,ChurnSeasonTable,4,FALSE)),1)</f>
        <v/>
      </c>
      <c r="VU36" s="12">
        <f>VQ36+VR36+VS36+VT36</f>
        <v/>
      </c>
      <c r="VV36" s="9">
        <f>VQ36*PriceEssMonthly*VE36+VR36*PricePremMonthly*VE36+VS36*PriceEssAnnual*VE36/12+VT36*PricePremAnnual*VE36/12</f>
        <v/>
      </c>
      <c r="VW36" s="9">
        <f>VV36*12</f>
        <v/>
      </c>
      <c r="VX36" s="12">
        <f>VQ36*PriceEssMonthly*VE36+VR36*PricePremMonthly*VE36</f>
        <v/>
      </c>
      <c r="VY36" s="12">
        <f>VO36*PriceEssAnnual*VE36+VP36*PricePremAnnual*VE36</f>
        <v/>
      </c>
      <c r="VZ36" s="12">
        <f>VO24*POWER(1-(AnnualChurn*VLOOKUP(VB36,ChurnSeasonTable,4,FALSE)),1)*PriceEssAnnual*VE36+VO12*POWER(1-(AnnualChurn*VLOOKUP(VB36,ChurnSeasonTable,4,FALSE)),2)*PriceEssAnnual*VE36+VP24*POWER(1-(AnnualChurn*VLOOKUP(VB36,ChurnSeasonTable,4,FALSE)),1)*PricePremAnnual*VE36+VP12*POWER(1-(AnnualChurn*VLOOKUP(VB36,ChurnSeasonTable,4,FALSE)),2)*PricePremAnnual*VE36</f>
        <v/>
      </c>
      <c r="WA36" s="9">
        <f>VX36+VY36+VZ36</f>
        <v/>
      </c>
      <c r="WB36" s="12">
        <f>SUM(WA25:WA36)</f>
        <v/>
      </c>
      <c r="WC36" s="12">
        <f>OR(WC35,WB36&gt;=VATThreshold)</f>
        <v/>
      </c>
      <c r="WD36" s="9">
        <f>IF(WC36,WA36/(1+VATRate),WA36)</f>
        <v/>
      </c>
      <c r="WE36" s="12">
        <f>WA36-WD36</f>
        <v/>
      </c>
      <c r="WF36" s="12">
        <f>IF(WC36=0,0,IF(VB36=1,SUMPRODUCT(--(($VC$5:$VC36=$VC36-1)*($VB$5:$VB36&gt;=10)*($VB$5:$VB36&lt;=12)),$WE$5:$WE36),IF(VB36=4,SUMPRODUCT(--(($VC$5:$VC36=$VC36)*($VB$5:$VB36&gt;=1)*($VB$5:$VB36&lt;=3)),$WE$5:$WE36),IF(VB36=7,SUMPRODUCT(--(($VC$5:$VC36=$VC36)*($VB$5:$VB36&gt;=4)*($VB$5:$VB36&lt;=6)),$WE$5:$WE36),IF(VB36=10,SUMPRODUCT(--(($VC$5:$VC36=$VC36)*($VB$5:$VB36&gt;=7)*($VB$5:$VB36&lt;=9)),$WE$5:$WE36),0)))))</f>
        <v/>
      </c>
      <c r="WG36" s="12">
        <f>WG35+WE36-WF36</f>
        <v/>
      </c>
      <c r="WH36" s="12">
        <f>IF(ProviderDelay&gt;=1,WD35*ProviderShare,WD36*ProviderShare)</f>
        <v/>
      </c>
      <c r="WI36" s="12">
        <f>WA36*PaymentFee</f>
        <v/>
      </c>
      <c r="WJ36" s="12">
        <f>VU36*OpsAI</f>
        <v/>
      </c>
      <c r="WK36" s="12">
        <f>MonthlyFixed</f>
        <v/>
      </c>
      <c r="WL36" s="12">
        <f>VI36*ReferralReward</f>
        <v/>
      </c>
      <c r="WM36" s="12">
        <f>VG36</f>
        <v/>
      </c>
      <c r="WN36" s="9">
        <f>WD36-WH36-WI36-WJ36-WK36-WL36-WM36</f>
        <v/>
      </c>
      <c r="WO36" s="9">
        <f>WO35+WA36-(WH36+WI36+WJ36+WK36+WL36+WM36+WF36)</f>
        <v/>
      </c>
      <c r="WP36" s="12">
        <f>IF(VU36&gt;0,VV36/VU36,0)</f>
        <v/>
      </c>
      <c r="WQ36" s="11">
        <f>IF(VU35&gt;0,MAX(0,(VU35+VJ36-VU36)/VU35),0)</f>
        <v/>
      </c>
      <c r="WS36" s="12" t="n">
        <v>32</v>
      </c>
      <c r="WT36" s="12">
        <f>MOD(WS36-1+LaunchMonth-1,12)+1</f>
        <v/>
      </c>
      <c r="WU36" s="12">
        <f>INT((WS36-1+LaunchMonth-1)/12)+1</f>
        <v/>
      </c>
      <c r="WV36" s="12">
        <f>VLOOKUP(WT36,SeasonTable,2,FALSE)</f>
        <v/>
      </c>
      <c r="WW36" s="12">
        <f>(1+InflationRate)^INT((WS36-1)/12)</f>
        <v/>
      </c>
      <c r="WX36" s="11">
        <f>MonthlyChurn*VLOOKUP(WT36,ChurnSeasonTable,4,FALSE)</f>
        <v/>
      </c>
      <c r="WY36" s="12">
        <f>MIN(MAX(MktMin19plus,XS35*MktPct19plus),MAX(0,YG35-CashBuffer))</f>
        <v/>
      </c>
      <c r="WZ36" s="12">
        <f>IF(WY36&gt;0,MAX(1,ROUND(WY36/CAC*WV36,0)),0)</f>
        <v/>
      </c>
      <c r="XA36" s="12">
        <f>IF(WZ36&gt;0,ROUND(WZ36*ReferralMix/(1-ReferralMix),0),0)</f>
        <v/>
      </c>
      <c r="XB36" s="12">
        <f>WZ36+XA36</f>
        <v/>
      </c>
      <c r="XC36" s="12">
        <f>ROUND(XB36*(1-'Sens - Annual Mix'!$A$11),0)</f>
        <v/>
      </c>
      <c r="XD36" s="12">
        <f>XB36-XC36</f>
        <v/>
      </c>
      <c r="XE36" s="12">
        <f>ROUND(XC36*EssentialMix,0)</f>
        <v/>
      </c>
      <c r="XF36" s="12">
        <f>XC36-XE36</f>
        <v/>
      </c>
      <c r="XG36" s="12">
        <f>ROUND(XD36*EssentialMix,0)</f>
        <v/>
      </c>
      <c r="XH36" s="12">
        <f>XD36-XG36</f>
        <v/>
      </c>
      <c r="XI36" s="12">
        <f>XE36+XE35+XE34+MAX(0,XI35-XE35-XE34)*(1-WX36)</f>
        <v/>
      </c>
      <c r="XJ36" s="12">
        <f>XF36+XF35+XF34+MAX(0,XJ35-XF35-XF34)*(1-WX36)</f>
        <v/>
      </c>
      <c r="XK36" s="12">
        <f>XK35+XG36-XG24*(AnnualChurn*VLOOKUP(WT36,ChurnSeasonTable,4,FALSE))*POWER(1-(AnnualChurn*VLOOKUP(WT36,ChurnSeasonTable,4,FALSE)),0)+XG12*(AnnualChurn*VLOOKUP(WT36,ChurnSeasonTable,4,FALSE))*POWER(1-(AnnualChurn*VLOOKUP(WT36,ChurnSeasonTable,4,FALSE)),1)</f>
        <v/>
      </c>
      <c r="XL36" s="12">
        <f>XL35+XH36-XH24*(AnnualChurn*VLOOKUP(WT36,ChurnSeasonTable,4,FALSE))*POWER(1-(AnnualChurn*VLOOKUP(WT36,ChurnSeasonTable,4,FALSE)),0)+XH12*(AnnualChurn*VLOOKUP(WT36,ChurnSeasonTable,4,FALSE))*POWER(1-(AnnualChurn*VLOOKUP(WT36,ChurnSeasonTable,4,FALSE)),1)</f>
        <v/>
      </c>
      <c r="XM36" s="12">
        <f>XI36+XJ36+XK36+XL36</f>
        <v/>
      </c>
      <c r="XN36" s="9">
        <f>XI36*PriceEssMonthly*WW36+XJ36*PricePremMonthly*WW36+XK36*PriceEssAnnual*WW36/12+XL36*PricePremAnnual*WW36/12</f>
        <v/>
      </c>
      <c r="XO36" s="9">
        <f>XN36*12</f>
        <v/>
      </c>
      <c r="XP36" s="12">
        <f>XI36*PriceEssMonthly*WW36+XJ36*PricePremMonthly*WW36</f>
        <v/>
      </c>
      <c r="XQ36" s="12">
        <f>XG36*PriceEssAnnual*WW36+XH36*PricePremAnnual*WW36</f>
        <v/>
      </c>
      <c r="XR36" s="12">
        <f>XG24*POWER(1-(AnnualChurn*VLOOKUP(WT36,ChurnSeasonTable,4,FALSE)),1)*PriceEssAnnual*WW36+XG12*POWER(1-(AnnualChurn*VLOOKUP(WT36,ChurnSeasonTable,4,FALSE)),2)*PriceEssAnnual*WW36+XH24*POWER(1-(AnnualChurn*VLOOKUP(WT36,ChurnSeasonTable,4,FALSE)),1)*PricePremAnnual*WW36+XH12*POWER(1-(AnnualChurn*VLOOKUP(WT36,ChurnSeasonTable,4,FALSE)),2)*PricePremAnnual*WW36</f>
        <v/>
      </c>
      <c r="XS36" s="9">
        <f>XP36+XQ36+XR36</f>
        <v/>
      </c>
      <c r="XT36" s="12">
        <f>SUM(XS25:XS36)</f>
        <v/>
      </c>
      <c r="XU36" s="12">
        <f>OR(XU35,XT36&gt;=VATThreshold)</f>
        <v/>
      </c>
      <c r="XV36" s="9">
        <f>IF(XU36,XS36/(1+VATRate),XS36)</f>
        <v/>
      </c>
      <c r="XW36" s="12">
        <f>XS36-XV36</f>
        <v/>
      </c>
      <c r="XX36" s="12">
        <f>IF(XU36=0,0,IF(WT36=1,SUMPRODUCT(--(($WU$5:$WU36=$WU36-1)*($WT$5:$WT36&gt;=10)*($WT$5:$WT36&lt;=12)),$XW$5:$XW36),IF(WT36=4,SUMPRODUCT(--(($WU$5:$WU36=$WU36)*($WT$5:$WT36&gt;=1)*($WT$5:$WT36&lt;=3)),$XW$5:$XW36),IF(WT36=7,SUMPRODUCT(--(($WU$5:$WU36=$WU36)*($WT$5:$WT36&gt;=4)*($WT$5:$WT36&lt;=6)),$XW$5:$XW36),IF(WT36=10,SUMPRODUCT(--(($WU$5:$WU36=$WU36)*($WT$5:$WT36&gt;=7)*($WT$5:$WT36&lt;=9)),$XW$5:$XW36),0)))))</f>
        <v/>
      </c>
      <c r="XY36" s="12">
        <f>XY35+XW36-XX36</f>
        <v/>
      </c>
      <c r="XZ36" s="12">
        <f>IF(ProviderDelay&gt;=1,XV35*ProviderShare,XV36*ProviderShare)</f>
        <v/>
      </c>
      <c r="YA36" s="12">
        <f>XS36*PaymentFee</f>
        <v/>
      </c>
      <c r="YB36" s="12">
        <f>XM36*OpsAI</f>
        <v/>
      </c>
      <c r="YC36" s="12">
        <f>MonthlyFixed</f>
        <v/>
      </c>
      <c r="YD36" s="12">
        <f>XA36*ReferralReward</f>
        <v/>
      </c>
      <c r="YE36" s="12">
        <f>WY36</f>
        <v/>
      </c>
      <c r="YF36" s="9">
        <f>XV36-XZ36-YA36-YB36-YC36-YD36-YE36</f>
        <v/>
      </c>
      <c r="YG36" s="9">
        <f>YG35+XS36-(XZ36+YA36+YB36+YC36+YD36+YE36+XX36)</f>
        <v/>
      </c>
      <c r="YH36" s="12">
        <f>IF(XM36&gt;0,XN36/XM36,0)</f>
        <v/>
      </c>
      <c r="YI36" s="11">
        <f>IF(XM35&gt;0,MAX(0,(XM35+XB36-XM36)/XM35),0)</f>
        <v/>
      </c>
      <c r="YK36" s="12" t="n">
        <v>32</v>
      </c>
      <c r="YL36" s="12">
        <f>MOD(YK36-1+LaunchMonth-1,12)+1</f>
        <v/>
      </c>
      <c r="YM36" s="12">
        <f>INT((YK36-1+LaunchMonth-1)/12)+1</f>
        <v/>
      </c>
      <c r="YN36" s="12">
        <f>VLOOKUP(YL36,SeasonTable,2,FALSE)</f>
        <v/>
      </c>
      <c r="YO36" s="12">
        <f>(1+InflationRate)^INT((YK36-1)/12)</f>
        <v/>
      </c>
      <c r="YP36" s="11">
        <f>MonthlyChurn*VLOOKUP(YL36,ChurnSeasonTable,4,FALSE)</f>
        <v/>
      </c>
      <c r="YQ36" s="12">
        <f>MIN(MAX(MktMin19plus,ZK35*MktPct19plus),MAX(0,ZY35-CashBuffer))</f>
        <v/>
      </c>
      <c r="YR36" s="12">
        <f>IF(YQ36&gt;0,MAX(1,ROUND(YQ36/CAC*YN36,0)),0)</f>
        <v/>
      </c>
      <c r="YS36" s="12">
        <f>IF(YR36&gt;0,ROUND(YR36*ReferralMix/(1-ReferralMix),0),0)</f>
        <v/>
      </c>
      <c r="YT36" s="12">
        <f>YR36+YS36</f>
        <v/>
      </c>
      <c r="YU36" s="12">
        <f>ROUND(YT36*(1-'Sens - Annual Mix'!$A$12),0)</f>
        <v/>
      </c>
      <c r="YV36" s="12">
        <f>YT36-YU36</f>
        <v/>
      </c>
      <c r="YW36" s="12">
        <f>ROUND(YU36*EssentialMix,0)</f>
        <v/>
      </c>
      <c r="YX36" s="12">
        <f>YU36-YW36</f>
        <v/>
      </c>
      <c r="YY36" s="12">
        <f>ROUND(YV36*EssentialMix,0)</f>
        <v/>
      </c>
      <c r="YZ36" s="12">
        <f>YV36-YY36</f>
        <v/>
      </c>
      <c r="ZA36" s="12">
        <f>YW36+YW35+YW34+MAX(0,ZA35-YW35-YW34)*(1-YP36)</f>
        <v/>
      </c>
      <c r="ZB36" s="12">
        <f>YX36+YX35+YX34+MAX(0,ZB35-YX35-YX34)*(1-YP36)</f>
        <v/>
      </c>
      <c r="ZC36" s="12">
        <f>ZC35+YY36-YY24*(AnnualChurn*VLOOKUP(YL36,ChurnSeasonTable,4,FALSE))*POWER(1-(AnnualChurn*VLOOKUP(YL36,ChurnSeasonTable,4,FALSE)),0)+YY12*(AnnualChurn*VLOOKUP(YL36,ChurnSeasonTable,4,FALSE))*POWER(1-(AnnualChurn*VLOOKUP(YL36,ChurnSeasonTable,4,FALSE)),1)</f>
        <v/>
      </c>
      <c r="ZD36" s="12">
        <f>ZD35+YZ36-YZ24*(AnnualChurn*VLOOKUP(YL36,ChurnSeasonTable,4,FALSE))*POWER(1-(AnnualChurn*VLOOKUP(YL36,ChurnSeasonTable,4,FALSE)),0)+YZ12*(AnnualChurn*VLOOKUP(YL36,ChurnSeasonTable,4,FALSE))*POWER(1-(AnnualChurn*VLOOKUP(YL36,ChurnSeasonTable,4,FALSE)),1)</f>
        <v/>
      </c>
      <c r="ZE36" s="12">
        <f>ZA36+ZB36+ZC36+ZD36</f>
        <v/>
      </c>
      <c r="ZF36" s="9">
        <f>ZA36*PriceEssMonthly*YO36+ZB36*PricePremMonthly*YO36+ZC36*PriceEssAnnual*YO36/12+ZD36*PricePremAnnual*YO36/12</f>
        <v/>
      </c>
      <c r="ZG36" s="9">
        <f>ZF36*12</f>
        <v/>
      </c>
      <c r="ZH36" s="12">
        <f>ZA36*PriceEssMonthly*YO36+ZB36*PricePremMonthly*YO36</f>
        <v/>
      </c>
      <c r="ZI36" s="12">
        <f>YY36*PriceEssAnnual*YO36+YZ36*PricePremAnnual*YO36</f>
        <v/>
      </c>
      <c r="ZJ36" s="12">
        <f>YY24*POWER(1-(AnnualChurn*VLOOKUP(YL36,ChurnSeasonTable,4,FALSE)),1)*PriceEssAnnual*YO36+YY12*POWER(1-(AnnualChurn*VLOOKUP(YL36,ChurnSeasonTable,4,FALSE)),2)*PriceEssAnnual*YO36+YZ24*POWER(1-(AnnualChurn*VLOOKUP(YL36,ChurnSeasonTable,4,FALSE)),1)*PricePremAnnual*YO36+YZ12*POWER(1-(AnnualChurn*VLOOKUP(YL36,ChurnSeasonTable,4,FALSE)),2)*PricePremAnnual*YO36</f>
        <v/>
      </c>
      <c r="ZK36" s="9">
        <f>ZH36+ZI36+ZJ36</f>
        <v/>
      </c>
      <c r="ZL36" s="12">
        <f>SUM(ZK25:ZK36)</f>
        <v/>
      </c>
      <c r="ZM36" s="12">
        <f>OR(ZM35,ZL36&gt;=VATThreshold)</f>
        <v/>
      </c>
      <c r="ZN36" s="9">
        <f>IF(ZM36,ZK36/(1+VATRate),ZK36)</f>
        <v/>
      </c>
      <c r="ZO36" s="12">
        <f>ZK36-ZN36</f>
        <v/>
      </c>
      <c r="ZP36" s="12">
        <f>IF(ZM36=0,0,IF(YL36=1,SUMPRODUCT(--(($YM$5:$YM36=$YM36-1)*($YL$5:$YL36&gt;=10)*($YL$5:$YL36&lt;=12)),$ZO$5:$ZO36),IF(YL36=4,SUMPRODUCT(--(($YM$5:$YM36=$YM36)*($YL$5:$YL36&gt;=1)*($YL$5:$YL36&lt;=3)),$ZO$5:$ZO36),IF(YL36=7,SUMPRODUCT(--(($YM$5:$YM36=$YM36)*($YL$5:$YL36&gt;=4)*($YL$5:$YL36&lt;=6)),$ZO$5:$ZO36),IF(YL36=10,SUMPRODUCT(--(($YM$5:$YM36=$YM36)*($YL$5:$YL36&gt;=7)*($YL$5:$YL36&lt;=9)),$ZO$5:$ZO36),0)))))</f>
        <v/>
      </c>
      <c r="ZQ36" s="12">
        <f>ZQ35+ZO36-ZP36</f>
        <v/>
      </c>
      <c r="ZR36" s="12">
        <f>IF(ProviderDelay&gt;=1,ZN35*ProviderShare,ZN36*ProviderShare)</f>
        <v/>
      </c>
      <c r="ZS36" s="12">
        <f>ZK36*PaymentFee</f>
        <v/>
      </c>
      <c r="ZT36" s="12">
        <f>ZE36*OpsAI</f>
        <v/>
      </c>
      <c r="ZU36" s="12">
        <f>MonthlyFixed</f>
        <v/>
      </c>
      <c r="ZV36" s="12">
        <f>YS36*ReferralReward</f>
        <v/>
      </c>
      <c r="ZW36" s="12">
        <f>YQ36</f>
        <v/>
      </c>
      <c r="ZX36" s="9">
        <f>ZN36-ZR36-ZS36-ZT36-ZU36-ZV36-ZW36</f>
        <v/>
      </c>
      <c r="ZY36" s="9">
        <f>ZY35+ZK36-(ZR36+ZS36+ZT36+ZU36+ZV36+ZW36+ZP36)</f>
        <v/>
      </c>
      <c r="ZZ36" s="12">
        <f>IF(ZE36&gt;0,ZF36/ZE36,0)</f>
        <v/>
      </c>
      <c r="AAA36" s="11">
        <f>IF(ZE35&gt;0,MAX(0,(ZE35+YT36-ZE36)/ZE35),0)</f>
        <v/>
      </c>
      <c r="AAC36" s="12" t="n">
        <v>32</v>
      </c>
      <c r="AAD36" s="12">
        <f>MOD(AAC36-1+LaunchMonth-1,12)+1</f>
        <v/>
      </c>
      <c r="AAE36" s="12">
        <f>INT((AAC36-1+LaunchMonth-1)/12)+1</f>
        <v/>
      </c>
      <c r="AAF36" s="12">
        <f>VLOOKUP(AAD36,SeasonTable,2,FALSE)</f>
        <v/>
      </c>
      <c r="AAG36" s="12">
        <f>(1+InflationRate)^INT((AAC36-1)/12)</f>
        <v/>
      </c>
      <c r="AAH36" s="11">
        <f>MonthlyChurn*VLOOKUP(AAD36,ChurnSeasonTable,4,FALSE)</f>
        <v/>
      </c>
      <c r="AAI36" s="12">
        <f>MIN(MAX(MktMin19plus,ABC35*MktPct19plus),MAX(0,ABQ35-CashBuffer))</f>
        <v/>
      </c>
      <c r="AAJ36" s="12">
        <f>IF(AAI36&gt;0,MAX(1,ROUND(AAI36/CAC*AAF36,0)),0)</f>
        <v/>
      </c>
      <c r="AAK36" s="12">
        <f>IF(AAJ36&gt;0,ROUND(AAJ36*ReferralMix/(1-ReferralMix),0),0)</f>
        <v/>
      </c>
      <c r="AAL36" s="12">
        <f>AAJ36+AAK36</f>
        <v/>
      </c>
      <c r="AAM36" s="12">
        <f>ROUND(AAL36*(1-'Sens - Annual Mix'!$A$13),0)</f>
        <v/>
      </c>
      <c r="AAN36" s="12">
        <f>AAL36-AAM36</f>
        <v/>
      </c>
      <c r="AAO36" s="12">
        <f>ROUND(AAM36*EssentialMix,0)</f>
        <v/>
      </c>
      <c r="AAP36" s="12">
        <f>AAM36-AAO36</f>
        <v/>
      </c>
      <c r="AAQ36" s="12">
        <f>ROUND(AAN36*EssentialMix,0)</f>
        <v/>
      </c>
      <c r="AAR36" s="12">
        <f>AAN36-AAQ36</f>
        <v/>
      </c>
      <c r="AAS36" s="12">
        <f>AAO36+AAO35+AAO34+MAX(0,AAS35-AAO35-AAO34)*(1-AAH36)</f>
        <v/>
      </c>
      <c r="AAT36" s="12">
        <f>AAP36+AAP35+AAP34+MAX(0,AAT35-AAP35-AAP34)*(1-AAH36)</f>
        <v/>
      </c>
      <c r="AAU36" s="12">
        <f>AAU35+AAQ36-AAQ24*(AnnualChurn*VLOOKUP(AAD36,ChurnSeasonTable,4,FALSE))*POWER(1-(AnnualChurn*VLOOKUP(AAD36,ChurnSeasonTable,4,FALSE)),0)+AAQ12*(AnnualChurn*VLOOKUP(AAD36,ChurnSeasonTable,4,FALSE))*POWER(1-(AnnualChurn*VLOOKUP(AAD36,ChurnSeasonTable,4,FALSE)),1)</f>
        <v/>
      </c>
      <c r="AAV36" s="12">
        <f>AAV35+AAR36-AAR24*(AnnualChurn*VLOOKUP(AAD36,ChurnSeasonTable,4,FALSE))*POWER(1-(AnnualChurn*VLOOKUP(AAD36,ChurnSeasonTable,4,FALSE)),0)+AAR12*(AnnualChurn*VLOOKUP(AAD36,ChurnSeasonTable,4,FALSE))*POWER(1-(AnnualChurn*VLOOKUP(AAD36,ChurnSeasonTable,4,FALSE)),1)</f>
        <v/>
      </c>
      <c r="AAW36" s="12">
        <f>AAS36+AAT36+AAU36+AAV36</f>
        <v/>
      </c>
      <c r="AAX36" s="9">
        <f>AAS36*PriceEssMonthly*AAG36+AAT36*PricePremMonthly*AAG36+AAU36*PriceEssAnnual*AAG36/12+AAV36*PricePremAnnual*AAG36/12</f>
        <v/>
      </c>
      <c r="AAY36" s="9">
        <f>AAX36*12</f>
        <v/>
      </c>
      <c r="AAZ36" s="12">
        <f>AAS36*PriceEssMonthly*AAG36+AAT36*PricePremMonthly*AAG36</f>
        <v/>
      </c>
      <c r="ABA36" s="12">
        <f>AAQ36*PriceEssAnnual*AAG36+AAR36*PricePremAnnual*AAG36</f>
        <v/>
      </c>
      <c r="ABB36" s="12">
        <f>AAQ24*POWER(1-(AnnualChurn*VLOOKUP(AAD36,ChurnSeasonTable,4,FALSE)),1)*PriceEssAnnual*AAG36+AAQ12*POWER(1-(AnnualChurn*VLOOKUP(AAD36,ChurnSeasonTable,4,FALSE)),2)*PriceEssAnnual*AAG36+AAR24*POWER(1-(AnnualChurn*VLOOKUP(AAD36,ChurnSeasonTable,4,FALSE)),1)*PricePremAnnual*AAG36+AAR12*POWER(1-(AnnualChurn*VLOOKUP(AAD36,ChurnSeasonTable,4,FALSE)),2)*PricePremAnnual*AAG36</f>
        <v/>
      </c>
      <c r="ABC36" s="9">
        <f>AAZ36+ABA36+ABB36</f>
        <v/>
      </c>
      <c r="ABD36" s="12">
        <f>SUM(ABC25:ABC36)</f>
        <v/>
      </c>
      <c r="ABE36" s="12">
        <f>OR(ABE35,ABD36&gt;=VATThreshold)</f>
        <v/>
      </c>
      <c r="ABF36" s="9">
        <f>IF(ABE36,ABC36/(1+VATRate),ABC36)</f>
        <v/>
      </c>
      <c r="ABG36" s="12">
        <f>ABC36-ABF36</f>
        <v/>
      </c>
      <c r="ABH36" s="12">
        <f>IF(ABE36=0,0,IF(AAD36=1,SUMPRODUCT(--(($AAE$5:$AAE36=$AAE36-1)*($AAD$5:$AAD36&gt;=10)*($AAD$5:$AAD36&lt;=12)),$ABG$5:$ABG36),IF(AAD36=4,SUMPRODUCT(--(($AAE$5:$AAE36=$AAE36)*($AAD$5:$AAD36&gt;=1)*($AAD$5:$AAD36&lt;=3)),$ABG$5:$ABG36),IF(AAD36=7,SUMPRODUCT(--(($AAE$5:$AAE36=$AAE36)*($AAD$5:$AAD36&gt;=4)*($AAD$5:$AAD36&lt;=6)),$ABG$5:$ABG36),IF(AAD36=10,SUMPRODUCT(--(($AAE$5:$AAE36=$AAE36)*($AAD$5:$AAD36&gt;=7)*($AAD$5:$AAD36&lt;=9)),$ABG$5:$ABG36),0)))))</f>
        <v/>
      </c>
      <c r="ABI36" s="12">
        <f>ABI35+ABG36-ABH36</f>
        <v/>
      </c>
      <c r="ABJ36" s="12">
        <f>IF(ProviderDelay&gt;=1,ABF35*ProviderShare,ABF36*ProviderShare)</f>
        <v/>
      </c>
      <c r="ABK36" s="12">
        <f>ABC36*PaymentFee</f>
        <v/>
      </c>
      <c r="ABL36" s="12">
        <f>AAW36*OpsAI</f>
        <v/>
      </c>
      <c r="ABM36" s="12">
        <f>MonthlyFixed</f>
        <v/>
      </c>
      <c r="ABN36" s="12">
        <f>AAK36*ReferralReward</f>
        <v/>
      </c>
      <c r="ABO36" s="12">
        <f>AAI36</f>
        <v/>
      </c>
      <c r="ABP36" s="9">
        <f>ABF36-ABJ36-ABK36-ABL36-ABM36-ABN36-ABO36</f>
        <v/>
      </c>
      <c r="ABQ36" s="9">
        <f>ABQ35+ABC36-(ABJ36+ABK36+ABL36+ABM36+ABN36+ABO36+ABH36)</f>
        <v/>
      </c>
      <c r="ABR36" s="12">
        <f>IF(AAW36&gt;0,AAX36/AAW36,0)</f>
        <v/>
      </c>
      <c r="ABS36" s="11">
        <f>IF(AAW35&gt;0,MAX(0,(AAW35+AAL36-AAW36)/AAW35),0)</f>
        <v/>
      </c>
      <c r="ABU36" s="12" t="n">
        <v>32</v>
      </c>
      <c r="ABV36" s="12">
        <f>MOD(ABU36-1+LaunchMonth-1,12)+1</f>
        <v/>
      </c>
      <c r="ABW36" s="12">
        <f>INT((ABU36-1+LaunchMonth-1)/12)+1</f>
        <v/>
      </c>
      <c r="ABX36" s="12">
        <f>VLOOKUP(ABV36,SeasonTable,2,FALSE)</f>
        <v/>
      </c>
      <c r="ABY36" s="12">
        <f>(1+InflationRate)^INT((ABU36-1)/12)</f>
        <v/>
      </c>
      <c r="ABZ36" s="11">
        <f>MonthlyChurn*VLOOKUP(ABV36,ChurnSeasonTable,4,FALSE)</f>
        <v/>
      </c>
      <c r="ACA36" s="12">
        <f>MIN(MAX(MktMin19plus,ACU35*MktPct19plus),MAX(0,ADI35-CashBuffer))</f>
        <v/>
      </c>
      <c r="ACB36" s="12">
        <f>IF(ACA36&gt;0,MAX(1,ROUND(ACA36/CAC*ABX36,0)),0)</f>
        <v/>
      </c>
      <c r="ACC36" s="12">
        <f>IF(ACB36&gt;0,ROUND(ACB36*ReferralMix/(1-ReferralMix),0),0)</f>
        <v/>
      </c>
      <c r="ACD36" s="12">
        <f>ACB36+ACC36</f>
        <v/>
      </c>
      <c r="ACE36" s="12">
        <f>ROUND(ACD36*(1-'Sens - Annual Mix'!$A$14),0)</f>
        <v/>
      </c>
      <c r="ACF36" s="12">
        <f>ACD36-ACE36</f>
        <v/>
      </c>
      <c r="ACG36" s="12">
        <f>ROUND(ACE36*EssentialMix,0)</f>
        <v/>
      </c>
      <c r="ACH36" s="12">
        <f>ACE36-ACG36</f>
        <v/>
      </c>
      <c r="ACI36" s="12">
        <f>ROUND(ACF36*EssentialMix,0)</f>
        <v/>
      </c>
      <c r="ACJ36" s="12">
        <f>ACF36-ACI36</f>
        <v/>
      </c>
      <c r="ACK36" s="12">
        <f>ACG36+ACG35+ACG34+MAX(0,ACK35-ACG35-ACG34)*(1-ABZ36)</f>
        <v/>
      </c>
      <c r="ACL36" s="12">
        <f>ACH36+ACH35+ACH34+MAX(0,ACL35-ACH35-ACH34)*(1-ABZ36)</f>
        <v/>
      </c>
      <c r="ACM36" s="12">
        <f>ACM35+ACI36-ACI24*(AnnualChurn*VLOOKUP(ABV36,ChurnSeasonTable,4,FALSE))*POWER(1-(AnnualChurn*VLOOKUP(ABV36,ChurnSeasonTable,4,FALSE)),0)+ACI12*(AnnualChurn*VLOOKUP(ABV36,ChurnSeasonTable,4,FALSE))*POWER(1-(AnnualChurn*VLOOKUP(ABV36,ChurnSeasonTable,4,FALSE)),1)</f>
        <v/>
      </c>
      <c r="ACN36" s="12">
        <f>ACN35+ACJ36-ACJ24*(AnnualChurn*VLOOKUP(ABV36,ChurnSeasonTable,4,FALSE))*POWER(1-(AnnualChurn*VLOOKUP(ABV36,ChurnSeasonTable,4,FALSE)),0)+ACJ12*(AnnualChurn*VLOOKUP(ABV36,ChurnSeasonTable,4,FALSE))*POWER(1-(AnnualChurn*VLOOKUP(ABV36,ChurnSeasonTable,4,FALSE)),1)</f>
        <v/>
      </c>
      <c r="ACO36" s="12">
        <f>ACK36+ACL36+ACM36+ACN36</f>
        <v/>
      </c>
      <c r="ACP36" s="9">
        <f>ACK36*PriceEssMonthly*ABY36+ACL36*PricePremMonthly*ABY36+ACM36*PriceEssAnnual*ABY36/12+ACN36*PricePremAnnual*ABY36/12</f>
        <v/>
      </c>
      <c r="ACQ36" s="9">
        <f>ACP36*12</f>
        <v/>
      </c>
      <c r="ACR36" s="12">
        <f>ACK36*PriceEssMonthly*ABY36+ACL36*PricePremMonthly*ABY36</f>
        <v/>
      </c>
      <c r="ACS36" s="12">
        <f>ACI36*PriceEssAnnual*ABY36+ACJ36*PricePremAnnual*ABY36</f>
        <v/>
      </c>
      <c r="ACT36" s="12">
        <f>ACI24*POWER(1-(AnnualChurn*VLOOKUP(ABV36,ChurnSeasonTable,4,FALSE)),1)*PriceEssAnnual*ABY36+ACI12*POWER(1-(AnnualChurn*VLOOKUP(ABV36,ChurnSeasonTable,4,FALSE)),2)*PriceEssAnnual*ABY36+ACJ24*POWER(1-(AnnualChurn*VLOOKUP(ABV36,ChurnSeasonTable,4,FALSE)),1)*PricePremAnnual*ABY36+ACJ12*POWER(1-(AnnualChurn*VLOOKUP(ABV36,ChurnSeasonTable,4,FALSE)),2)*PricePremAnnual*ABY36</f>
        <v/>
      </c>
      <c r="ACU36" s="9">
        <f>ACR36+ACS36+ACT36</f>
        <v/>
      </c>
      <c r="ACV36" s="12">
        <f>SUM(ACU25:ACU36)</f>
        <v/>
      </c>
      <c r="ACW36" s="12">
        <f>OR(ACW35,ACV36&gt;=VATThreshold)</f>
        <v/>
      </c>
      <c r="ACX36" s="9">
        <f>IF(ACW36,ACU36/(1+VATRate),ACU36)</f>
        <v/>
      </c>
      <c r="ACY36" s="12">
        <f>ACU36-ACX36</f>
        <v/>
      </c>
      <c r="ACZ36" s="12">
        <f>IF(ACW36=0,0,IF(ABV36=1,SUMPRODUCT(--(($ABW$5:$ABW36=$ABW36-1)*($ABV$5:$ABV36&gt;=10)*($ABV$5:$ABV36&lt;=12)),$ACY$5:$ACY36),IF(ABV36=4,SUMPRODUCT(--(($ABW$5:$ABW36=$ABW36)*($ABV$5:$ABV36&gt;=1)*($ABV$5:$ABV36&lt;=3)),$ACY$5:$ACY36),IF(ABV36=7,SUMPRODUCT(--(($ABW$5:$ABW36=$ABW36)*($ABV$5:$ABV36&gt;=4)*($ABV$5:$ABV36&lt;=6)),$ACY$5:$ACY36),IF(ABV36=10,SUMPRODUCT(--(($ABW$5:$ABW36=$ABW36)*($ABV$5:$ABV36&gt;=7)*($ABV$5:$ABV36&lt;=9)),$ACY$5:$ACY36),0)))))</f>
        <v/>
      </c>
      <c r="ADA36" s="12">
        <f>ADA35+ACY36-ACZ36</f>
        <v/>
      </c>
      <c r="ADB36" s="12">
        <f>IF(ProviderDelay&gt;=1,ACX35*ProviderShare,ACX36*ProviderShare)</f>
        <v/>
      </c>
      <c r="ADC36" s="12">
        <f>ACU36*PaymentFee</f>
        <v/>
      </c>
      <c r="ADD36" s="12">
        <f>ACO36*OpsAI</f>
        <v/>
      </c>
      <c r="ADE36" s="12">
        <f>MonthlyFixed</f>
        <v/>
      </c>
      <c r="ADF36" s="12">
        <f>ACC36*ReferralReward</f>
        <v/>
      </c>
      <c r="ADG36" s="12">
        <f>ACA36</f>
        <v/>
      </c>
      <c r="ADH36" s="9">
        <f>ACX36-ADB36-ADC36-ADD36-ADE36-ADF36-ADG36</f>
        <v/>
      </c>
      <c r="ADI36" s="9">
        <f>ADI35+ACU36-(ADB36+ADC36+ADD36+ADE36+ADF36+ADG36+ACZ36)</f>
        <v/>
      </c>
      <c r="ADJ36" s="12">
        <f>IF(ACO36&gt;0,ACP36/ACO36,0)</f>
        <v/>
      </c>
      <c r="ADK36" s="11">
        <f>IF(ACO35&gt;0,MAX(0,(ACO35+ACD36-ACO36)/ACO35),0)</f>
        <v/>
      </c>
      <c r="ADM36" s="12" t="n">
        <v>32</v>
      </c>
      <c r="ADN36" s="12">
        <f>MOD(ADM36-1+LaunchMonth-1,12)+1</f>
        <v/>
      </c>
      <c r="ADO36" s="12">
        <f>INT((ADM36-1+LaunchMonth-1)/12)+1</f>
        <v/>
      </c>
      <c r="ADP36" s="12">
        <f>VLOOKUP(ADN36,SeasonTable,2,FALSE)</f>
        <v/>
      </c>
      <c r="ADQ36" s="12">
        <f>(1+InflationRate)^INT((ADM36-1)/12)</f>
        <v/>
      </c>
      <c r="ADR36" s="11">
        <f>MonthlyChurn*VLOOKUP(ADN36,ChurnSeasonTable,4,FALSE)</f>
        <v/>
      </c>
      <c r="ADS36" s="12">
        <f>MIN(MAX(MktMin19plus,AEM35*MktPct19plus),MAX(0,AFA35-CashBuffer))</f>
        <v/>
      </c>
      <c r="ADT36" s="12">
        <f>IF(ADS36&gt;0,MAX(1,ROUND(ADS36/CAC*ADP36,0)),0)</f>
        <v/>
      </c>
      <c r="ADU36" s="12">
        <f>IF(ADT36&gt;0,ROUND(ADT36*ReferralMix/(1-ReferralMix),0),0)</f>
        <v/>
      </c>
      <c r="ADV36" s="12">
        <f>ADT36+ADU36</f>
        <v/>
      </c>
      <c r="ADW36" s="12">
        <f>ROUND(ADV36*(1-'Sens - Annual Mix'!$A$15),0)</f>
        <v/>
      </c>
      <c r="ADX36" s="12">
        <f>ADV36-ADW36</f>
        <v/>
      </c>
      <c r="ADY36" s="12">
        <f>ROUND(ADW36*EssentialMix,0)</f>
        <v/>
      </c>
      <c r="ADZ36" s="12">
        <f>ADW36-ADY36</f>
        <v/>
      </c>
      <c r="AEA36" s="12">
        <f>ROUND(ADX36*EssentialMix,0)</f>
        <v/>
      </c>
      <c r="AEB36" s="12">
        <f>ADX36-AEA36</f>
        <v/>
      </c>
      <c r="AEC36" s="12">
        <f>ADY36+ADY35+ADY34+MAX(0,AEC35-ADY35-ADY34)*(1-ADR36)</f>
        <v/>
      </c>
      <c r="AED36" s="12">
        <f>ADZ36+ADZ35+ADZ34+MAX(0,AED35-ADZ35-ADZ34)*(1-ADR36)</f>
        <v/>
      </c>
      <c r="AEE36" s="12">
        <f>AEE35+AEA36-AEA24*(AnnualChurn*VLOOKUP(ADN36,ChurnSeasonTable,4,FALSE))*POWER(1-(AnnualChurn*VLOOKUP(ADN36,ChurnSeasonTable,4,FALSE)),0)+AEA12*(AnnualChurn*VLOOKUP(ADN36,ChurnSeasonTable,4,FALSE))*POWER(1-(AnnualChurn*VLOOKUP(ADN36,ChurnSeasonTable,4,FALSE)),1)</f>
        <v/>
      </c>
      <c r="AEF36" s="12">
        <f>AEF35+AEB36-AEB24*(AnnualChurn*VLOOKUP(ADN36,ChurnSeasonTable,4,FALSE))*POWER(1-(AnnualChurn*VLOOKUP(ADN36,ChurnSeasonTable,4,FALSE)),0)+AEB12*(AnnualChurn*VLOOKUP(ADN36,ChurnSeasonTable,4,FALSE))*POWER(1-(AnnualChurn*VLOOKUP(ADN36,ChurnSeasonTable,4,FALSE)),1)</f>
        <v/>
      </c>
      <c r="AEG36" s="12">
        <f>AEC36+AED36+AEE36+AEF36</f>
        <v/>
      </c>
      <c r="AEH36" s="9">
        <f>AEC36*PriceEssMonthly*ADQ36+AED36*PricePremMonthly*ADQ36+AEE36*PriceEssAnnual*ADQ36/12+AEF36*PricePremAnnual*ADQ36/12</f>
        <v/>
      </c>
      <c r="AEI36" s="9">
        <f>AEH36*12</f>
        <v/>
      </c>
      <c r="AEJ36" s="12">
        <f>AEC36*PriceEssMonthly*ADQ36+AED36*PricePremMonthly*ADQ36</f>
        <v/>
      </c>
      <c r="AEK36" s="12">
        <f>AEA36*PriceEssAnnual*ADQ36+AEB36*PricePremAnnual*ADQ36</f>
        <v/>
      </c>
      <c r="AEL36" s="12">
        <f>AEA24*POWER(1-(AnnualChurn*VLOOKUP(ADN36,ChurnSeasonTable,4,FALSE)),1)*PriceEssAnnual*ADQ36+AEA12*POWER(1-(AnnualChurn*VLOOKUP(ADN36,ChurnSeasonTable,4,FALSE)),2)*PriceEssAnnual*ADQ36+AEB24*POWER(1-(AnnualChurn*VLOOKUP(ADN36,ChurnSeasonTable,4,FALSE)),1)*PricePremAnnual*ADQ36+AEB12*POWER(1-(AnnualChurn*VLOOKUP(ADN36,ChurnSeasonTable,4,FALSE)),2)*PricePremAnnual*ADQ36</f>
        <v/>
      </c>
      <c r="AEM36" s="9">
        <f>AEJ36+AEK36+AEL36</f>
        <v/>
      </c>
      <c r="AEN36" s="12">
        <f>SUM(AEM25:AEM36)</f>
        <v/>
      </c>
      <c r="AEO36" s="12">
        <f>OR(AEO35,AEN36&gt;=VATThreshold)</f>
        <v/>
      </c>
      <c r="AEP36" s="9">
        <f>IF(AEO36,AEM36/(1+VATRate),AEM36)</f>
        <v/>
      </c>
      <c r="AEQ36" s="12">
        <f>AEM36-AEP36</f>
        <v/>
      </c>
      <c r="AER36" s="12">
        <f>IF(AEO36=0,0,IF(ADN36=1,SUMPRODUCT(--(($ADO$5:$ADO36=$ADO36-1)*($ADN$5:$ADN36&gt;=10)*($ADN$5:$ADN36&lt;=12)),$AEQ$5:$AEQ36),IF(ADN36=4,SUMPRODUCT(--(($ADO$5:$ADO36=$ADO36)*($ADN$5:$ADN36&gt;=1)*($ADN$5:$ADN36&lt;=3)),$AEQ$5:$AEQ36),IF(ADN36=7,SUMPRODUCT(--(($ADO$5:$ADO36=$ADO36)*($ADN$5:$ADN36&gt;=4)*($ADN$5:$ADN36&lt;=6)),$AEQ$5:$AEQ36),IF(ADN36=10,SUMPRODUCT(--(($ADO$5:$ADO36=$ADO36)*($ADN$5:$ADN36&gt;=7)*($ADN$5:$ADN36&lt;=9)),$AEQ$5:$AEQ36),0)))))</f>
        <v/>
      </c>
      <c r="AES36" s="12">
        <f>AES35+AEQ36-AER36</f>
        <v/>
      </c>
      <c r="AET36" s="12">
        <f>IF(ProviderDelay&gt;=1,AEP35*ProviderShare,AEP36*ProviderShare)</f>
        <v/>
      </c>
      <c r="AEU36" s="12">
        <f>AEM36*PaymentFee</f>
        <v/>
      </c>
      <c r="AEV36" s="12">
        <f>AEG36*OpsAI</f>
        <v/>
      </c>
      <c r="AEW36" s="12">
        <f>MonthlyFixed</f>
        <v/>
      </c>
      <c r="AEX36" s="12">
        <f>ADU36*ReferralReward</f>
        <v/>
      </c>
      <c r="AEY36" s="12">
        <f>ADS36</f>
        <v/>
      </c>
      <c r="AEZ36" s="9">
        <f>AEP36-AET36-AEU36-AEV36-AEW36-AEX36-AEY36</f>
        <v/>
      </c>
      <c r="AFA36" s="9">
        <f>AFA35+AEM36-(AET36+AEU36+AEV36+AEW36+AEX36+AEY36+AER36)</f>
        <v/>
      </c>
      <c r="AFB36" s="12">
        <f>IF(AEG36&gt;0,AEH36/AEG36,0)</f>
        <v/>
      </c>
      <c r="AFC36" s="11">
        <f>IF(AEG35&gt;0,MAX(0,(AEG35+ADV36-AEG36)/AEG35),0)</f>
        <v/>
      </c>
      <c r="AFE36" s="12" t="n">
        <v>32</v>
      </c>
      <c r="AFF36" s="12">
        <f>MOD(AFE36-1+LaunchMonth-1,12)+1</f>
        <v/>
      </c>
      <c r="AFG36" s="12">
        <f>INT((AFE36-1+LaunchMonth-1)/12)+1</f>
        <v/>
      </c>
      <c r="AFH36" s="12">
        <f>VLOOKUP(AFF36,SeasonTable,2,FALSE)</f>
        <v/>
      </c>
      <c r="AFI36" s="12">
        <f>(1+InflationRate)^INT((AFE36-1)/12)</f>
        <v/>
      </c>
      <c r="AFJ36" s="11">
        <f>MonthlyChurn*VLOOKUP(AFF36,ChurnSeasonTable,4,FALSE)</f>
        <v/>
      </c>
      <c r="AFK36" s="12">
        <f>MIN(MAX(MktMin19plus,AGE35*MktPct19plus),MAX(0,AGS35-CashBuffer))</f>
        <v/>
      </c>
      <c r="AFL36" s="12">
        <f>IF(AFK36&gt;0,MAX(1,ROUND(AFK36/'Sens - CAC &amp; Marketing'!$A$9*AFH36,0)),0)</f>
        <v/>
      </c>
      <c r="AFM36" s="12">
        <f>IF(AFL36&gt;0,ROUND(AFL36*ReferralMix/(1-ReferralMix),0),0)</f>
        <v/>
      </c>
      <c r="AFN36" s="12">
        <f>AFL36+AFM36</f>
        <v/>
      </c>
      <c r="AFO36" s="12">
        <f>ROUND(AFN36*(1-AnnualMix),0)</f>
        <v/>
      </c>
      <c r="AFP36" s="12">
        <f>AFN36-AFO36</f>
        <v/>
      </c>
      <c r="AFQ36" s="12">
        <f>ROUND(AFO36*EssentialMix,0)</f>
        <v/>
      </c>
      <c r="AFR36" s="12">
        <f>AFO36-AFQ36</f>
        <v/>
      </c>
      <c r="AFS36" s="12">
        <f>ROUND(AFP36*EssentialMix,0)</f>
        <v/>
      </c>
      <c r="AFT36" s="12">
        <f>AFP36-AFS36</f>
        <v/>
      </c>
      <c r="AFU36" s="12">
        <f>AFQ36+AFQ35+AFQ34+MAX(0,AFU35-AFQ35-AFQ34)*(1-AFJ36)</f>
        <v/>
      </c>
      <c r="AFV36" s="12">
        <f>AFR36+AFR35+AFR34+MAX(0,AFV35-AFR35-AFR34)*(1-AFJ36)</f>
        <v/>
      </c>
      <c r="AFW36" s="12">
        <f>AFW35+AFS36-AFS24*(AnnualChurn*VLOOKUP(AFF36,ChurnSeasonTable,4,FALSE))*POWER(1-(AnnualChurn*VLOOKUP(AFF36,ChurnSeasonTable,4,FALSE)),0)+AFS12*(AnnualChurn*VLOOKUP(AFF36,ChurnSeasonTable,4,FALSE))*POWER(1-(AnnualChurn*VLOOKUP(AFF36,ChurnSeasonTable,4,FALSE)),1)</f>
        <v/>
      </c>
      <c r="AFX36" s="12">
        <f>AFX35+AFT36-AFT24*(AnnualChurn*VLOOKUP(AFF36,ChurnSeasonTable,4,FALSE))*POWER(1-(AnnualChurn*VLOOKUP(AFF36,ChurnSeasonTable,4,FALSE)),0)+AFT12*(AnnualChurn*VLOOKUP(AFF36,ChurnSeasonTable,4,FALSE))*POWER(1-(AnnualChurn*VLOOKUP(AFF36,ChurnSeasonTable,4,FALSE)),1)</f>
        <v/>
      </c>
      <c r="AFY36" s="12">
        <f>AFU36+AFV36+AFW36+AFX36</f>
        <v/>
      </c>
      <c r="AFZ36" s="9">
        <f>AFU36*PriceEssMonthly*AFI36+AFV36*PricePremMonthly*AFI36+AFW36*PriceEssAnnual*AFI36/12+AFX36*PricePremAnnual*AFI36/12</f>
        <v/>
      </c>
      <c r="AGA36" s="9">
        <f>AFZ36*12</f>
        <v/>
      </c>
      <c r="AGB36" s="12">
        <f>AFU36*PriceEssMonthly*AFI36+AFV36*PricePremMonthly*AFI36</f>
        <v/>
      </c>
      <c r="AGC36" s="12">
        <f>AFS36*PriceEssAnnual*AFI36+AFT36*PricePremAnnual*AFI36</f>
        <v/>
      </c>
      <c r="AGD36" s="12">
        <f>AFS24*POWER(1-(AnnualChurn*VLOOKUP(AFF36,ChurnSeasonTable,4,FALSE)),1)*PriceEssAnnual*AFI36+AFS12*POWER(1-(AnnualChurn*VLOOKUP(AFF36,ChurnSeasonTable,4,FALSE)),2)*PriceEssAnnual*AFI36+AFT24*POWER(1-(AnnualChurn*VLOOKUP(AFF36,ChurnSeasonTable,4,FALSE)),1)*PricePremAnnual*AFI36+AFT12*POWER(1-(AnnualChurn*VLOOKUP(AFF36,ChurnSeasonTable,4,FALSE)),2)*PricePremAnnual*AFI36</f>
        <v/>
      </c>
      <c r="AGE36" s="9">
        <f>AGB36+AGC36+AGD36</f>
        <v/>
      </c>
      <c r="AGF36" s="12">
        <f>SUM(AGE25:AGE36)</f>
        <v/>
      </c>
      <c r="AGG36" s="12">
        <f>OR(AGG35,AGF36&gt;=VATThreshold)</f>
        <v/>
      </c>
      <c r="AGH36" s="9">
        <f>IF(AGG36,AGE36/(1+VATRate),AGE36)</f>
        <v/>
      </c>
      <c r="AGI36" s="12">
        <f>AGE36-AGH36</f>
        <v/>
      </c>
      <c r="AGJ36" s="12">
        <f>IF(AGG36=0,0,IF(AFF36=1,SUMPRODUCT(--(($AFG$5:$AFG36=$AFG36-1)*($AFF$5:$AFF36&gt;=10)*($AFF$5:$AFF36&lt;=12)),$AGI$5:$AGI36),IF(AFF36=4,SUMPRODUCT(--(($AFG$5:$AFG36=$AFG36)*($AFF$5:$AFF36&gt;=1)*($AFF$5:$AFF36&lt;=3)),$AGI$5:$AGI36),IF(AFF36=7,SUMPRODUCT(--(($AFG$5:$AFG36=$AFG36)*($AFF$5:$AFF36&gt;=4)*($AFF$5:$AFF36&lt;=6)),$AGI$5:$AGI36),IF(AFF36=10,SUMPRODUCT(--(($AFG$5:$AFG36=$AFG36)*($AFF$5:$AFF36&gt;=7)*($AFF$5:$AFF36&lt;=9)),$AGI$5:$AGI36),0)))))</f>
        <v/>
      </c>
      <c r="AGK36" s="12">
        <f>AGK35+AGI36-AGJ36</f>
        <v/>
      </c>
      <c r="AGL36" s="12">
        <f>IF(ProviderDelay&gt;=1,AGH35*ProviderShare,AGH36*ProviderShare)</f>
        <v/>
      </c>
      <c r="AGM36" s="12">
        <f>AGE36*PaymentFee</f>
        <v/>
      </c>
      <c r="AGN36" s="12">
        <f>AFY36*OpsAI</f>
        <v/>
      </c>
      <c r="AGO36" s="12">
        <f>MonthlyFixed</f>
        <v/>
      </c>
      <c r="AGP36" s="12">
        <f>AFM36*ReferralReward</f>
        <v/>
      </c>
      <c r="AGQ36" s="12">
        <f>AFK36</f>
        <v/>
      </c>
      <c r="AGR36" s="9">
        <f>AGH36-AGL36-AGM36-AGN36-AGO36-AGP36-AGQ36</f>
        <v/>
      </c>
      <c r="AGS36" s="9">
        <f>AGS35+AGE36-(AGL36+AGM36+AGN36+AGO36+AGP36+AGQ36+AGJ36)</f>
        <v/>
      </c>
      <c r="AGT36" s="12">
        <f>IF(AFY36&gt;0,AFZ36/AFY36,0)</f>
        <v/>
      </c>
      <c r="AGU36" s="11">
        <f>IF(AFY35&gt;0,MAX(0,(AFY35+AFN36-AFY36)/AFY35),0)</f>
        <v/>
      </c>
      <c r="AGW36" s="12" t="n">
        <v>32</v>
      </c>
      <c r="AGX36" s="12">
        <f>MOD(AGW36-1+LaunchMonth-1,12)+1</f>
        <v/>
      </c>
      <c r="AGY36" s="12">
        <f>INT((AGW36-1+LaunchMonth-1)/12)+1</f>
        <v/>
      </c>
      <c r="AGZ36" s="12">
        <f>VLOOKUP(AGX36,SeasonTable,2,FALSE)</f>
        <v/>
      </c>
      <c r="AHA36" s="12">
        <f>(1+InflationRate)^INT((AGW36-1)/12)</f>
        <v/>
      </c>
      <c r="AHB36" s="11">
        <f>MonthlyChurn*VLOOKUP(AGX36,ChurnSeasonTable,4,FALSE)</f>
        <v/>
      </c>
      <c r="AHC36" s="12">
        <f>MIN(MAX(MktMin19plus,AHW35*MktPct19plus),MAX(0,AIK35-CashBuffer))</f>
        <v/>
      </c>
      <c r="AHD36" s="12">
        <f>IF(AHC36&gt;0,MAX(1,ROUND(AHC36/'Sens - CAC &amp; Marketing'!$A$10*AGZ36,0)),0)</f>
        <v/>
      </c>
      <c r="AHE36" s="12">
        <f>IF(AHD36&gt;0,ROUND(AHD36*ReferralMix/(1-ReferralMix),0),0)</f>
        <v/>
      </c>
      <c r="AHF36" s="12">
        <f>AHD36+AHE36</f>
        <v/>
      </c>
      <c r="AHG36" s="12">
        <f>ROUND(AHF36*(1-AnnualMix),0)</f>
        <v/>
      </c>
      <c r="AHH36" s="12">
        <f>AHF36-AHG36</f>
        <v/>
      </c>
      <c r="AHI36" s="12">
        <f>ROUND(AHG36*EssentialMix,0)</f>
        <v/>
      </c>
      <c r="AHJ36" s="12">
        <f>AHG36-AHI36</f>
        <v/>
      </c>
      <c r="AHK36" s="12">
        <f>ROUND(AHH36*EssentialMix,0)</f>
        <v/>
      </c>
      <c r="AHL36" s="12">
        <f>AHH36-AHK36</f>
        <v/>
      </c>
      <c r="AHM36" s="12">
        <f>AHI36+AHI35+AHI34+MAX(0,AHM35-AHI35-AHI34)*(1-AHB36)</f>
        <v/>
      </c>
      <c r="AHN36" s="12">
        <f>AHJ36+AHJ35+AHJ34+MAX(0,AHN35-AHJ35-AHJ34)*(1-AHB36)</f>
        <v/>
      </c>
      <c r="AHO36" s="12">
        <f>AHO35+AHK36-AHK24*(AnnualChurn*VLOOKUP(AGX36,ChurnSeasonTable,4,FALSE))*POWER(1-(AnnualChurn*VLOOKUP(AGX36,ChurnSeasonTable,4,FALSE)),0)+AHK12*(AnnualChurn*VLOOKUP(AGX36,ChurnSeasonTable,4,FALSE))*POWER(1-(AnnualChurn*VLOOKUP(AGX36,ChurnSeasonTable,4,FALSE)),1)</f>
        <v/>
      </c>
      <c r="AHP36" s="12">
        <f>AHP35+AHL36-AHL24*(AnnualChurn*VLOOKUP(AGX36,ChurnSeasonTable,4,FALSE))*POWER(1-(AnnualChurn*VLOOKUP(AGX36,ChurnSeasonTable,4,FALSE)),0)+AHL12*(AnnualChurn*VLOOKUP(AGX36,ChurnSeasonTable,4,FALSE))*POWER(1-(AnnualChurn*VLOOKUP(AGX36,ChurnSeasonTable,4,FALSE)),1)</f>
        <v/>
      </c>
      <c r="AHQ36" s="12">
        <f>AHM36+AHN36+AHO36+AHP36</f>
        <v/>
      </c>
      <c r="AHR36" s="9">
        <f>AHM36*PriceEssMonthly*AHA36+AHN36*PricePremMonthly*AHA36+AHO36*PriceEssAnnual*AHA36/12+AHP36*PricePremAnnual*AHA36/12</f>
        <v/>
      </c>
      <c r="AHS36" s="9">
        <f>AHR36*12</f>
        <v/>
      </c>
      <c r="AHT36" s="12">
        <f>AHM36*PriceEssMonthly*AHA36+AHN36*PricePremMonthly*AHA36</f>
        <v/>
      </c>
      <c r="AHU36" s="12">
        <f>AHK36*PriceEssAnnual*AHA36+AHL36*PricePremAnnual*AHA36</f>
        <v/>
      </c>
      <c r="AHV36" s="12">
        <f>AHK24*POWER(1-(AnnualChurn*VLOOKUP(AGX36,ChurnSeasonTable,4,FALSE)),1)*PriceEssAnnual*AHA36+AHK12*POWER(1-(AnnualChurn*VLOOKUP(AGX36,ChurnSeasonTable,4,FALSE)),2)*PriceEssAnnual*AHA36+AHL24*POWER(1-(AnnualChurn*VLOOKUP(AGX36,ChurnSeasonTable,4,FALSE)),1)*PricePremAnnual*AHA36+AHL12*POWER(1-(AnnualChurn*VLOOKUP(AGX36,ChurnSeasonTable,4,FALSE)),2)*PricePremAnnual*AHA36</f>
        <v/>
      </c>
      <c r="AHW36" s="9">
        <f>AHT36+AHU36+AHV36</f>
        <v/>
      </c>
      <c r="AHX36" s="12">
        <f>SUM(AHW25:AHW36)</f>
        <v/>
      </c>
      <c r="AHY36" s="12">
        <f>OR(AHY35,AHX36&gt;=VATThreshold)</f>
        <v/>
      </c>
      <c r="AHZ36" s="9">
        <f>IF(AHY36,AHW36/(1+VATRate),AHW36)</f>
        <v/>
      </c>
      <c r="AIA36" s="12">
        <f>AHW36-AHZ36</f>
        <v/>
      </c>
      <c r="AIB36" s="12">
        <f>IF(AHY36=0,0,IF(AGX36=1,SUMPRODUCT(--(($AGY$5:$AGY36=$AGY36-1)*($AGX$5:$AGX36&gt;=10)*($AGX$5:$AGX36&lt;=12)),$AIA$5:$AIA36),IF(AGX36=4,SUMPRODUCT(--(($AGY$5:$AGY36=$AGY36)*($AGX$5:$AGX36&gt;=1)*($AGX$5:$AGX36&lt;=3)),$AIA$5:$AIA36),IF(AGX36=7,SUMPRODUCT(--(($AGY$5:$AGY36=$AGY36)*($AGX$5:$AGX36&gt;=4)*($AGX$5:$AGX36&lt;=6)),$AIA$5:$AIA36),IF(AGX36=10,SUMPRODUCT(--(($AGY$5:$AGY36=$AGY36)*($AGX$5:$AGX36&gt;=7)*($AGX$5:$AGX36&lt;=9)),$AIA$5:$AIA36),0)))))</f>
        <v/>
      </c>
      <c r="AIC36" s="12">
        <f>AIC35+AIA36-AIB36</f>
        <v/>
      </c>
      <c r="AID36" s="12">
        <f>IF(ProviderDelay&gt;=1,AHZ35*ProviderShare,AHZ36*ProviderShare)</f>
        <v/>
      </c>
      <c r="AIE36" s="12">
        <f>AHW36*PaymentFee</f>
        <v/>
      </c>
      <c r="AIF36" s="12">
        <f>AHQ36*OpsAI</f>
        <v/>
      </c>
      <c r="AIG36" s="12">
        <f>MonthlyFixed</f>
        <v/>
      </c>
      <c r="AIH36" s="12">
        <f>AHE36*ReferralReward</f>
        <v/>
      </c>
      <c r="AII36" s="12">
        <f>AHC36</f>
        <v/>
      </c>
      <c r="AIJ36" s="9">
        <f>AHZ36-AID36-AIE36-AIF36-AIG36-AIH36-AII36</f>
        <v/>
      </c>
      <c r="AIK36" s="9">
        <f>AIK35+AHW36-(AID36+AIE36+AIF36+AIG36+AIH36+AII36+AIB36)</f>
        <v/>
      </c>
      <c r="AIL36" s="12">
        <f>IF(AHQ36&gt;0,AHR36/AHQ36,0)</f>
        <v/>
      </c>
      <c r="AIM36" s="11">
        <f>IF(AHQ35&gt;0,MAX(0,(AHQ35+AHF36-AHQ36)/AHQ35),0)</f>
        <v/>
      </c>
      <c r="AIO36" s="12" t="n">
        <v>32</v>
      </c>
      <c r="AIP36" s="12">
        <f>MOD(AIO36-1+LaunchMonth-1,12)+1</f>
        <v/>
      </c>
      <c r="AIQ36" s="12">
        <f>INT((AIO36-1+LaunchMonth-1)/12)+1</f>
        <v/>
      </c>
      <c r="AIR36" s="12">
        <f>VLOOKUP(AIP36,SeasonTable,2,FALSE)</f>
        <v/>
      </c>
      <c r="AIS36" s="12">
        <f>(1+InflationRate)^INT((AIO36-1)/12)</f>
        <v/>
      </c>
      <c r="AIT36" s="11">
        <f>MonthlyChurn*VLOOKUP(AIP36,ChurnSeasonTable,4,FALSE)</f>
        <v/>
      </c>
      <c r="AIU36" s="12">
        <f>MIN(MAX(MktMin19plus,AJO35*MktPct19plus),MAX(0,AKC35-CashBuffer))</f>
        <v/>
      </c>
      <c r="AIV36" s="12">
        <f>IF(AIU36&gt;0,MAX(1,ROUND(AIU36/'Sens - CAC &amp; Marketing'!$A$11*AIR36,0)),0)</f>
        <v/>
      </c>
      <c r="AIW36" s="12">
        <f>IF(AIV36&gt;0,ROUND(AIV36*ReferralMix/(1-ReferralMix),0),0)</f>
        <v/>
      </c>
      <c r="AIX36" s="12">
        <f>AIV36+AIW36</f>
        <v/>
      </c>
      <c r="AIY36" s="12">
        <f>ROUND(AIX36*(1-AnnualMix),0)</f>
        <v/>
      </c>
      <c r="AIZ36" s="12">
        <f>AIX36-AIY36</f>
        <v/>
      </c>
      <c r="AJA36" s="12">
        <f>ROUND(AIY36*EssentialMix,0)</f>
        <v/>
      </c>
      <c r="AJB36" s="12">
        <f>AIY36-AJA36</f>
        <v/>
      </c>
      <c r="AJC36" s="12">
        <f>ROUND(AIZ36*EssentialMix,0)</f>
        <v/>
      </c>
      <c r="AJD36" s="12">
        <f>AIZ36-AJC36</f>
        <v/>
      </c>
      <c r="AJE36" s="12">
        <f>AJA36+AJA35+AJA34+MAX(0,AJE35-AJA35-AJA34)*(1-AIT36)</f>
        <v/>
      </c>
      <c r="AJF36" s="12">
        <f>AJB36+AJB35+AJB34+MAX(0,AJF35-AJB35-AJB34)*(1-AIT36)</f>
        <v/>
      </c>
      <c r="AJG36" s="12">
        <f>AJG35+AJC36-AJC24*(AnnualChurn*VLOOKUP(AIP36,ChurnSeasonTable,4,FALSE))*POWER(1-(AnnualChurn*VLOOKUP(AIP36,ChurnSeasonTable,4,FALSE)),0)+AJC12*(AnnualChurn*VLOOKUP(AIP36,ChurnSeasonTable,4,FALSE))*POWER(1-(AnnualChurn*VLOOKUP(AIP36,ChurnSeasonTable,4,FALSE)),1)</f>
        <v/>
      </c>
      <c r="AJH36" s="12">
        <f>AJH35+AJD36-AJD24*(AnnualChurn*VLOOKUP(AIP36,ChurnSeasonTable,4,FALSE))*POWER(1-(AnnualChurn*VLOOKUP(AIP36,ChurnSeasonTable,4,FALSE)),0)+AJD12*(AnnualChurn*VLOOKUP(AIP36,ChurnSeasonTable,4,FALSE))*POWER(1-(AnnualChurn*VLOOKUP(AIP36,ChurnSeasonTable,4,FALSE)),1)</f>
        <v/>
      </c>
      <c r="AJI36" s="12">
        <f>AJE36+AJF36+AJG36+AJH36</f>
        <v/>
      </c>
      <c r="AJJ36" s="9">
        <f>AJE36*PriceEssMonthly*AIS36+AJF36*PricePremMonthly*AIS36+AJG36*PriceEssAnnual*AIS36/12+AJH36*PricePremAnnual*AIS36/12</f>
        <v/>
      </c>
      <c r="AJK36" s="9">
        <f>AJJ36*12</f>
        <v/>
      </c>
      <c r="AJL36" s="12">
        <f>AJE36*PriceEssMonthly*AIS36+AJF36*PricePremMonthly*AIS36</f>
        <v/>
      </c>
      <c r="AJM36" s="12">
        <f>AJC36*PriceEssAnnual*AIS36+AJD36*PricePremAnnual*AIS36</f>
        <v/>
      </c>
      <c r="AJN36" s="12">
        <f>AJC24*POWER(1-(AnnualChurn*VLOOKUP(AIP36,ChurnSeasonTable,4,FALSE)),1)*PriceEssAnnual*AIS36+AJC12*POWER(1-(AnnualChurn*VLOOKUP(AIP36,ChurnSeasonTable,4,FALSE)),2)*PriceEssAnnual*AIS36+AJD24*POWER(1-(AnnualChurn*VLOOKUP(AIP36,ChurnSeasonTable,4,FALSE)),1)*PricePremAnnual*AIS36+AJD12*POWER(1-(AnnualChurn*VLOOKUP(AIP36,ChurnSeasonTable,4,FALSE)),2)*PricePremAnnual*AIS36</f>
        <v/>
      </c>
      <c r="AJO36" s="9">
        <f>AJL36+AJM36+AJN36</f>
        <v/>
      </c>
      <c r="AJP36" s="12">
        <f>SUM(AJO25:AJO36)</f>
        <v/>
      </c>
      <c r="AJQ36" s="12">
        <f>OR(AJQ35,AJP36&gt;=VATThreshold)</f>
        <v/>
      </c>
      <c r="AJR36" s="9">
        <f>IF(AJQ36,AJO36/(1+VATRate),AJO36)</f>
        <v/>
      </c>
      <c r="AJS36" s="12">
        <f>AJO36-AJR36</f>
        <v/>
      </c>
      <c r="AJT36" s="12">
        <f>IF(AJQ36=0,0,IF(AIP36=1,SUMPRODUCT(--(($AIQ$5:$AIQ36=$AIQ36-1)*($AIP$5:$AIP36&gt;=10)*($AIP$5:$AIP36&lt;=12)),$AJS$5:$AJS36),IF(AIP36=4,SUMPRODUCT(--(($AIQ$5:$AIQ36=$AIQ36)*($AIP$5:$AIP36&gt;=1)*($AIP$5:$AIP36&lt;=3)),$AJS$5:$AJS36),IF(AIP36=7,SUMPRODUCT(--(($AIQ$5:$AIQ36=$AIQ36)*($AIP$5:$AIP36&gt;=4)*($AIP$5:$AIP36&lt;=6)),$AJS$5:$AJS36),IF(AIP36=10,SUMPRODUCT(--(($AIQ$5:$AIQ36=$AIQ36)*($AIP$5:$AIP36&gt;=7)*($AIP$5:$AIP36&lt;=9)),$AJS$5:$AJS36),0)))))</f>
        <v/>
      </c>
      <c r="AJU36" s="12">
        <f>AJU35+AJS36-AJT36</f>
        <v/>
      </c>
      <c r="AJV36" s="12">
        <f>IF(ProviderDelay&gt;=1,AJR35*ProviderShare,AJR36*ProviderShare)</f>
        <v/>
      </c>
      <c r="AJW36" s="12">
        <f>AJO36*PaymentFee</f>
        <v/>
      </c>
      <c r="AJX36" s="12">
        <f>AJI36*OpsAI</f>
        <v/>
      </c>
      <c r="AJY36" s="12">
        <f>MonthlyFixed</f>
        <v/>
      </c>
      <c r="AJZ36" s="12">
        <f>AIW36*ReferralReward</f>
        <v/>
      </c>
      <c r="AKA36" s="12">
        <f>AIU36</f>
        <v/>
      </c>
      <c r="AKB36" s="9">
        <f>AJR36-AJV36-AJW36-AJX36-AJY36-AJZ36-AKA36</f>
        <v/>
      </c>
      <c r="AKC36" s="9">
        <f>AKC35+AJO36-(AJV36+AJW36+AJX36+AJY36+AJZ36+AKA36+AJT36)</f>
        <v/>
      </c>
      <c r="AKD36" s="12">
        <f>IF(AJI36&gt;0,AJJ36/AJI36,0)</f>
        <v/>
      </c>
      <c r="AKE36" s="11">
        <f>IF(AJI35&gt;0,MAX(0,(AJI35+AIX36-AJI36)/AJI35),0)</f>
        <v/>
      </c>
      <c r="AKG36" s="12" t="n">
        <v>32</v>
      </c>
      <c r="AKH36" s="12">
        <f>MOD(AKG36-1+LaunchMonth-1,12)+1</f>
        <v/>
      </c>
      <c r="AKI36" s="12">
        <f>INT((AKG36-1+LaunchMonth-1)/12)+1</f>
        <v/>
      </c>
      <c r="AKJ36" s="12">
        <f>VLOOKUP(AKH36,SeasonTable,2,FALSE)</f>
        <v/>
      </c>
      <c r="AKK36" s="12">
        <f>(1+InflationRate)^INT((AKG36-1)/12)</f>
        <v/>
      </c>
      <c r="AKL36" s="11">
        <f>MonthlyChurn*VLOOKUP(AKH36,ChurnSeasonTable,4,FALSE)</f>
        <v/>
      </c>
      <c r="AKM36" s="12">
        <f>MIN(MAX(MktMin19plus,ALG35*MktPct19plus),MAX(0,ALU35-CashBuffer))</f>
        <v/>
      </c>
      <c r="AKN36" s="12">
        <f>IF(AKM36&gt;0,MAX(1,ROUND(AKM36/'Sens - CAC &amp; Marketing'!$A$12*AKJ36,0)),0)</f>
        <v/>
      </c>
      <c r="AKO36" s="12">
        <f>IF(AKN36&gt;0,ROUND(AKN36*ReferralMix/(1-ReferralMix),0),0)</f>
        <v/>
      </c>
      <c r="AKP36" s="12">
        <f>AKN36+AKO36</f>
        <v/>
      </c>
      <c r="AKQ36" s="12">
        <f>ROUND(AKP36*(1-AnnualMix),0)</f>
        <v/>
      </c>
      <c r="AKR36" s="12">
        <f>AKP36-AKQ36</f>
        <v/>
      </c>
      <c r="AKS36" s="12">
        <f>ROUND(AKQ36*EssentialMix,0)</f>
        <v/>
      </c>
      <c r="AKT36" s="12">
        <f>AKQ36-AKS36</f>
        <v/>
      </c>
      <c r="AKU36" s="12">
        <f>ROUND(AKR36*EssentialMix,0)</f>
        <v/>
      </c>
      <c r="AKV36" s="12">
        <f>AKR36-AKU36</f>
        <v/>
      </c>
      <c r="AKW36" s="12">
        <f>AKS36+AKS35+AKS34+MAX(0,AKW35-AKS35-AKS34)*(1-AKL36)</f>
        <v/>
      </c>
      <c r="AKX36" s="12">
        <f>AKT36+AKT35+AKT34+MAX(0,AKX35-AKT35-AKT34)*(1-AKL36)</f>
        <v/>
      </c>
      <c r="AKY36" s="12">
        <f>AKY35+AKU36-AKU24*(AnnualChurn*VLOOKUP(AKH36,ChurnSeasonTable,4,FALSE))*POWER(1-(AnnualChurn*VLOOKUP(AKH36,ChurnSeasonTable,4,FALSE)),0)+AKU12*(AnnualChurn*VLOOKUP(AKH36,ChurnSeasonTable,4,FALSE))*POWER(1-(AnnualChurn*VLOOKUP(AKH36,ChurnSeasonTable,4,FALSE)),1)</f>
        <v/>
      </c>
      <c r="AKZ36" s="12">
        <f>AKZ35+AKV36-AKV24*(AnnualChurn*VLOOKUP(AKH36,ChurnSeasonTable,4,FALSE))*POWER(1-(AnnualChurn*VLOOKUP(AKH36,ChurnSeasonTable,4,FALSE)),0)+AKV12*(AnnualChurn*VLOOKUP(AKH36,ChurnSeasonTable,4,FALSE))*POWER(1-(AnnualChurn*VLOOKUP(AKH36,ChurnSeasonTable,4,FALSE)),1)</f>
        <v/>
      </c>
      <c r="ALA36" s="12">
        <f>AKW36+AKX36+AKY36+AKZ36</f>
        <v/>
      </c>
      <c r="ALB36" s="9">
        <f>AKW36*PriceEssMonthly*AKK36+AKX36*PricePremMonthly*AKK36+AKY36*PriceEssAnnual*AKK36/12+AKZ36*PricePremAnnual*AKK36/12</f>
        <v/>
      </c>
      <c r="ALC36" s="9">
        <f>ALB36*12</f>
        <v/>
      </c>
      <c r="ALD36" s="12">
        <f>AKW36*PriceEssMonthly*AKK36+AKX36*PricePremMonthly*AKK36</f>
        <v/>
      </c>
      <c r="ALE36" s="12">
        <f>AKU36*PriceEssAnnual*AKK36+AKV36*PricePremAnnual*AKK36</f>
        <v/>
      </c>
      <c r="ALF36" s="12">
        <f>AKU24*POWER(1-(AnnualChurn*VLOOKUP(AKH36,ChurnSeasonTable,4,FALSE)),1)*PriceEssAnnual*AKK36+AKU12*POWER(1-(AnnualChurn*VLOOKUP(AKH36,ChurnSeasonTable,4,FALSE)),2)*PriceEssAnnual*AKK36+AKV24*POWER(1-(AnnualChurn*VLOOKUP(AKH36,ChurnSeasonTable,4,FALSE)),1)*PricePremAnnual*AKK36+AKV12*POWER(1-(AnnualChurn*VLOOKUP(AKH36,ChurnSeasonTable,4,FALSE)),2)*PricePremAnnual*AKK36</f>
        <v/>
      </c>
      <c r="ALG36" s="9">
        <f>ALD36+ALE36+ALF36</f>
        <v/>
      </c>
      <c r="ALH36" s="12">
        <f>SUM(ALG25:ALG36)</f>
        <v/>
      </c>
      <c r="ALI36" s="12">
        <f>OR(ALI35,ALH36&gt;=VATThreshold)</f>
        <v/>
      </c>
      <c r="ALJ36" s="9">
        <f>IF(ALI36,ALG36/(1+VATRate),ALG36)</f>
        <v/>
      </c>
      <c r="ALK36" s="12">
        <f>ALG36-ALJ36</f>
        <v/>
      </c>
      <c r="ALL36" s="12">
        <f>IF(ALI36=0,0,IF(AKH36=1,SUMPRODUCT(--(($AKI$5:$AKI36=$AKI36-1)*($AKH$5:$AKH36&gt;=10)*($AKH$5:$AKH36&lt;=12)),$ALK$5:$ALK36),IF(AKH36=4,SUMPRODUCT(--(($AKI$5:$AKI36=$AKI36)*($AKH$5:$AKH36&gt;=1)*($AKH$5:$AKH36&lt;=3)),$ALK$5:$ALK36),IF(AKH36=7,SUMPRODUCT(--(($AKI$5:$AKI36=$AKI36)*($AKH$5:$AKH36&gt;=4)*($AKH$5:$AKH36&lt;=6)),$ALK$5:$ALK36),IF(AKH36=10,SUMPRODUCT(--(($AKI$5:$AKI36=$AKI36)*($AKH$5:$AKH36&gt;=7)*($AKH$5:$AKH36&lt;=9)),$ALK$5:$ALK36),0)))))</f>
        <v/>
      </c>
      <c r="ALM36" s="12">
        <f>ALM35+ALK36-ALL36</f>
        <v/>
      </c>
      <c r="ALN36" s="12">
        <f>IF(ProviderDelay&gt;=1,ALJ35*ProviderShare,ALJ36*ProviderShare)</f>
        <v/>
      </c>
      <c r="ALO36" s="12">
        <f>ALG36*PaymentFee</f>
        <v/>
      </c>
      <c r="ALP36" s="12">
        <f>ALA36*OpsAI</f>
        <v/>
      </c>
      <c r="ALQ36" s="12">
        <f>MonthlyFixed</f>
        <v/>
      </c>
      <c r="ALR36" s="12">
        <f>AKO36*ReferralReward</f>
        <v/>
      </c>
      <c r="ALS36" s="12">
        <f>AKM36</f>
        <v/>
      </c>
      <c r="ALT36" s="9">
        <f>ALJ36-ALN36-ALO36-ALP36-ALQ36-ALR36-ALS36</f>
        <v/>
      </c>
      <c r="ALU36" s="9">
        <f>ALU35+ALG36-(ALN36+ALO36+ALP36+ALQ36+ALR36+ALS36+ALL36)</f>
        <v/>
      </c>
      <c r="ALV36" s="12">
        <f>IF(ALA36&gt;0,ALB36/ALA36,0)</f>
        <v/>
      </c>
      <c r="ALW36" s="11">
        <f>IF(ALA35&gt;0,MAX(0,(ALA35+AKP36-ALA36)/ALA35),0)</f>
        <v/>
      </c>
      <c r="ALY36" s="12" t="n">
        <v>32</v>
      </c>
      <c r="ALZ36" s="12">
        <f>MOD(ALY36-1+LaunchMonth-1,12)+1</f>
        <v/>
      </c>
      <c r="AMA36" s="12">
        <f>INT((ALY36-1+LaunchMonth-1)/12)+1</f>
        <v/>
      </c>
      <c r="AMB36" s="12">
        <f>VLOOKUP(ALZ36,SeasonTable,2,FALSE)</f>
        <v/>
      </c>
      <c r="AMC36" s="12">
        <f>(1+InflationRate)^INT((ALY36-1)/12)</f>
        <v/>
      </c>
      <c r="AMD36" s="11">
        <f>MonthlyChurn*VLOOKUP(ALZ36,ChurnSeasonTable,4,FALSE)</f>
        <v/>
      </c>
      <c r="AME36" s="12">
        <f>MIN(MAX(MktMin19plus,AMY35*MktPct19plus),MAX(0,ANM35-CashBuffer))</f>
        <v/>
      </c>
      <c r="AMF36" s="12">
        <f>IF(AME36&gt;0,MAX(1,ROUND(AME36/'Sens - CAC &amp; Marketing'!$A$13*AMB36,0)),0)</f>
        <v/>
      </c>
      <c r="AMG36" s="12">
        <f>IF(AMF36&gt;0,ROUND(AMF36*ReferralMix/(1-ReferralMix),0),0)</f>
        <v/>
      </c>
      <c r="AMH36" s="12">
        <f>AMF36+AMG36</f>
        <v/>
      </c>
      <c r="AMI36" s="12">
        <f>ROUND(AMH36*(1-AnnualMix),0)</f>
        <v/>
      </c>
      <c r="AMJ36" s="12">
        <f>AMH36-AMI36</f>
        <v/>
      </c>
      <c r="AMK36" s="12">
        <f>ROUND(AMI36*EssentialMix,0)</f>
        <v/>
      </c>
      <c r="AML36" s="12">
        <f>AMI36-AMK36</f>
        <v/>
      </c>
      <c r="AMM36" s="12">
        <f>ROUND(AMJ36*EssentialMix,0)</f>
        <v/>
      </c>
      <c r="AMN36" s="12">
        <f>AMJ36-AMM36</f>
        <v/>
      </c>
      <c r="AMO36" s="12">
        <f>AMK36+AMK35+AMK34+MAX(0,AMO35-AMK35-AMK34)*(1-AMD36)</f>
        <v/>
      </c>
      <c r="AMP36" s="12">
        <f>AML36+AML35+AML34+MAX(0,AMP35-AML35-AML34)*(1-AMD36)</f>
        <v/>
      </c>
      <c r="AMQ36" s="12">
        <f>AMQ35+AMM36-AMM24*(AnnualChurn*VLOOKUP(ALZ36,ChurnSeasonTable,4,FALSE))*POWER(1-(AnnualChurn*VLOOKUP(ALZ36,ChurnSeasonTable,4,FALSE)),0)+AMM12*(AnnualChurn*VLOOKUP(ALZ36,ChurnSeasonTable,4,FALSE))*POWER(1-(AnnualChurn*VLOOKUP(ALZ36,ChurnSeasonTable,4,FALSE)),1)</f>
        <v/>
      </c>
      <c r="AMR36" s="12">
        <f>AMR35+AMN36-AMN24*(AnnualChurn*VLOOKUP(ALZ36,ChurnSeasonTable,4,FALSE))*POWER(1-(AnnualChurn*VLOOKUP(ALZ36,ChurnSeasonTable,4,FALSE)),0)+AMN12*(AnnualChurn*VLOOKUP(ALZ36,ChurnSeasonTable,4,FALSE))*POWER(1-(AnnualChurn*VLOOKUP(ALZ36,ChurnSeasonTable,4,FALSE)),1)</f>
        <v/>
      </c>
      <c r="AMS36" s="12">
        <f>AMO36+AMP36+AMQ36+AMR36</f>
        <v/>
      </c>
      <c r="AMT36" s="9">
        <f>AMO36*PriceEssMonthly*AMC36+AMP36*PricePremMonthly*AMC36+AMQ36*PriceEssAnnual*AMC36/12+AMR36*PricePremAnnual*AMC36/12</f>
        <v/>
      </c>
      <c r="AMU36" s="9">
        <f>AMT36*12</f>
        <v/>
      </c>
      <c r="AMV36" s="12">
        <f>AMO36*PriceEssMonthly*AMC36+AMP36*PricePremMonthly*AMC36</f>
        <v/>
      </c>
      <c r="AMW36" s="12">
        <f>AMM36*PriceEssAnnual*AMC36+AMN36*PricePremAnnual*AMC36</f>
        <v/>
      </c>
      <c r="AMX36" s="12">
        <f>AMM24*POWER(1-(AnnualChurn*VLOOKUP(ALZ36,ChurnSeasonTable,4,FALSE)),1)*PriceEssAnnual*AMC36+AMM12*POWER(1-(AnnualChurn*VLOOKUP(ALZ36,ChurnSeasonTable,4,FALSE)),2)*PriceEssAnnual*AMC36+AMN24*POWER(1-(AnnualChurn*VLOOKUP(ALZ36,ChurnSeasonTable,4,FALSE)),1)*PricePremAnnual*AMC36+AMN12*POWER(1-(AnnualChurn*VLOOKUP(ALZ36,ChurnSeasonTable,4,FALSE)),2)*PricePremAnnual*AMC36</f>
        <v/>
      </c>
      <c r="AMY36" s="9">
        <f>AMV36+AMW36+AMX36</f>
        <v/>
      </c>
      <c r="AMZ36" s="12">
        <f>SUM(AMY25:AMY36)</f>
        <v/>
      </c>
      <c r="ANA36" s="12">
        <f>OR(ANA35,AMZ36&gt;=VATThreshold)</f>
        <v/>
      </c>
      <c r="ANB36" s="9">
        <f>IF(ANA36,AMY36/(1+VATRate),AMY36)</f>
        <v/>
      </c>
      <c r="ANC36" s="12">
        <f>AMY36-ANB36</f>
        <v/>
      </c>
      <c r="AND36" s="12">
        <f>IF(ANA36=0,0,IF(ALZ36=1,SUMPRODUCT(--(($AMA$5:$AMA36=$AMA36-1)*($ALZ$5:$ALZ36&gt;=10)*($ALZ$5:$ALZ36&lt;=12)),$ANC$5:$ANC36),IF(ALZ36=4,SUMPRODUCT(--(($AMA$5:$AMA36=$AMA36)*($ALZ$5:$ALZ36&gt;=1)*($ALZ$5:$ALZ36&lt;=3)),$ANC$5:$ANC36),IF(ALZ36=7,SUMPRODUCT(--(($AMA$5:$AMA36=$AMA36)*($ALZ$5:$ALZ36&gt;=4)*($ALZ$5:$ALZ36&lt;=6)),$ANC$5:$ANC36),IF(ALZ36=10,SUMPRODUCT(--(($AMA$5:$AMA36=$AMA36)*($ALZ$5:$ALZ36&gt;=7)*($ALZ$5:$ALZ36&lt;=9)),$ANC$5:$ANC36),0)))))</f>
        <v/>
      </c>
      <c r="ANE36" s="12">
        <f>ANE35+ANC36-AND36</f>
        <v/>
      </c>
      <c r="ANF36" s="12">
        <f>IF(ProviderDelay&gt;=1,ANB35*ProviderShare,ANB36*ProviderShare)</f>
        <v/>
      </c>
      <c r="ANG36" s="12">
        <f>AMY36*PaymentFee</f>
        <v/>
      </c>
      <c r="ANH36" s="12">
        <f>AMS36*OpsAI</f>
        <v/>
      </c>
      <c r="ANI36" s="12">
        <f>MonthlyFixed</f>
        <v/>
      </c>
      <c r="ANJ36" s="12">
        <f>AMG36*ReferralReward</f>
        <v/>
      </c>
      <c r="ANK36" s="12">
        <f>AME36</f>
        <v/>
      </c>
      <c r="ANL36" s="9">
        <f>ANB36-ANF36-ANG36-ANH36-ANI36-ANJ36-ANK36</f>
        <v/>
      </c>
      <c r="ANM36" s="9">
        <f>ANM35+AMY36-(ANF36+ANG36+ANH36+ANI36+ANJ36+ANK36+AND36)</f>
        <v/>
      </c>
      <c r="ANN36" s="12">
        <f>IF(AMS36&gt;0,AMT36/AMS36,0)</f>
        <v/>
      </c>
      <c r="ANO36" s="11">
        <f>IF(AMS35&gt;0,MAX(0,(AMS35+AMH36-AMS36)/AMS35),0)</f>
        <v/>
      </c>
      <c r="ANQ36" s="12" t="n">
        <v>32</v>
      </c>
      <c r="ANR36" s="12">
        <f>MOD(ANQ36-1+LaunchMonth-1,12)+1</f>
        <v/>
      </c>
      <c r="ANS36" s="12">
        <f>INT((ANQ36-1+LaunchMonth-1)/12)+1</f>
        <v/>
      </c>
      <c r="ANT36" s="12">
        <f>VLOOKUP(ANR36,SeasonTable,2,FALSE)</f>
        <v/>
      </c>
      <c r="ANU36" s="12">
        <f>(1+InflationRate)^INT((ANQ36-1)/12)</f>
        <v/>
      </c>
      <c r="ANV36" s="11">
        <f>MonthlyChurn*VLOOKUP(ANR36,ChurnSeasonTable,4,FALSE)</f>
        <v/>
      </c>
      <c r="ANW36" s="12">
        <f>MIN(MAX(MktMin19plus,AOQ35*MktPct19plus),MAX(0,APE35-CashBuffer))</f>
        <v/>
      </c>
      <c r="ANX36" s="12">
        <f>IF(ANW36&gt;0,MAX(1,ROUND(ANW36/'Sens - CAC &amp; Marketing'!$A$14*ANT36,0)),0)</f>
        <v/>
      </c>
      <c r="ANY36" s="12">
        <f>IF(ANX36&gt;0,ROUND(ANX36*ReferralMix/(1-ReferralMix),0),0)</f>
        <v/>
      </c>
      <c r="ANZ36" s="12">
        <f>ANX36+ANY36</f>
        <v/>
      </c>
      <c r="AOA36" s="12">
        <f>ROUND(ANZ36*(1-AnnualMix),0)</f>
        <v/>
      </c>
      <c r="AOB36" s="12">
        <f>ANZ36-AOA36</f>
        <v/>
      </c>
      <c r="AOC36" s="12">
        <f>ROUND(AOA36*EssentialMix,0)</f>
        <v/>
      </c>
      <c r="AOD36" s="12">
        <f>AOA36-AOC36</f>
        <v/>
      </c>
      <c r="AOE36" s="12">
        <f>ROUND(AOB36*EssentialMix,0)</f>
        <v/>
      </c>
      <c r="AOF36" s="12">
        <f>AOB36-AOE36</f>
        <v/>
      </c>
      <c r="AOG36" s="12">
        <f>AOC36+AOC35+AOC34+MAX(0,AOG35-AOC35-AOC34)*(1-ANV36)</f>
        <v/>
      </c>
      <c r="AOH36" s="12">
        <f>AOD36+AOD35+AOD34+MAX(0,AOH35-AOD35-AOD34)*(1-ANV36)</f>
        <v/>
      </c>
      <c r="AOI36" s="12">
        <f>AOI35+AOE36-AOE24*(AnnualChurn*VLOOKUP(ANR36,ChurnSeasonTable,4,FALSE))*POWER(1-(AnnualChurn*VLOOKUP(ANR36,ChurnSeasonTable,4,FALSE)),0)+AOE12*(AnnualChurn*VLOOKUP(ANR36,ChurnSeasonTable,4,FALSE))*POWER(1-(AnnualChurn*VLOOKUP(ANR36,ChurnSeasonTable,4,FALSE)),1)</f>
        <v/>
      </c>
      <c r="AOJ36" s="12">
        <f>AOJ35+AOF36-AOF24*(AnnualChurn*VLOOKUP(ANR36,ChurnSeasonTable,4,FALSE))*POWER(1-(AnnualChurn*VLOOKUP(ANR36,ChurnSeasonTable,4,FALSE)),0)+AOF12*(AnnualChurn*VLOOKUP(ANR36,ChurnSeasonTable,4,FALSE))*POWER(1-(AnnualChurn*VLOOKUP(ANR36,ChurnSeasonTable,4,FALSE)),1)</f>
        <v/>
      </c>
      <c r="AOK36" s="12">
        <f>AOG36+AOH36+AOI36+AOJ36</f>
        <v/>
      </c>
      <c r="AOL36" s="9">
        <f>AOG36*PriceEssMonthly*ANU36+AOH36*PricePremMonthly*ANU36+AOI36*PriceEssAnnual*ANU36/12+AOJ36*PricePremAnnual*ANU36/12</f>
        <v/>
      </c>
      <c r="AOM36" s="9">
        <f>AOL36*12</f>
        <v/>
      </c>
      <c r="AON36" s="12">
        <f>AOG36*PriceEssMonthly*ANU36+AOH36*PricePremMonthly*ANU36</f>
        <v/>
      </c>
      <c r="AOO36" s="12">
        <f>AOE36*PriceEssAnnual*ANU36+AOF36*PricePremAnnual*ANU36</f>
        <v/>
      </c>
      <c r="AOP36" s="12">
        <f>AOE24*POWER(1-(AnnualChurn*VLOOKUP(ANR36,ChurnSeasonTable,4,FALSE)),1)*PriceEssAnnual*ANU36+AOE12*POWER(1-(AnnualChurn*VLOOKUP(ANR36,ChurnSeasonTable,4,FALSE)),2)*PriceEssAnnual*ANU36+AOF24*POWER(1-(AnnualChurn*VLOOKUP(ANR36,ChurnSeasonTable,4,FALSE)),1)*PricePremAnnual*ANU36+AOF12*POWER(1-(AnnualChurn*VLOOKUP(ANR36,ChurnSeasonTable,4,FALSE)),2)*PricePremAnnual*ANU36</f>
        <v/>
      </c>
      <c r="AOQ36" s="9">
        <f>AON36+AOO36+AOP36</f>
        <v/>
      </c>
      <c r="AOR36" s="12">
        <f>SUM(AOQ25:AOQ36)</f>
        <v/>
      </c>
      <c r="AOS36" s="12">
        <f>OR(AOS35,AOR36&gt;=VATThreshold)</f>
        <v/>
      </c>
      <c r="AOT36" s="9">
        <f>IF(AOS36,AOQ36/(1+VATRate),AOQ36)</f>
        <v/>
      </c>
      <c r="AOU36" s="12">
        <f>AOQ36-AOT36</f>
        <v/>
      </c>
      <c r="AOV36" s="12">
        <f>IF(AOS36=0,0,IF(ANR36=1,SUMPRODUCT(--(($ANS$5:$ANS36=$ANS36-1)*($ANR$5:$ANR36&gt;=10)*($ANR$5:$ANR36&lt;=12)),$AOU$5:$AOU36),IF(ANR36=4,SUMPRODUCT(--(($ANS$5:$ANS36=$ANS36)*($ANR$5:$ANR36&gt;=1)*($ANR$5:$ANR36&lt;=3)),$AOU$5:$AOU36),IF(ANR36=7,SUMPRODUCT(--(($ANS$5:$ANS36=$ANS36)*($ANR$5:$ANR36&gt;=4)*($ANR$5:$ANR36&lt;=6)),$AOU$5:$AOU36),IF(ANR36=10,SUMPRODUCT(--(($ANS$5:$ANS36=$ANS36)*($ANR$5:$ANR36&gt;=7)*($ANR$5:$ANR36&lt;=9)),$AOU$5:$AOU36),0)))))</f>
        <v/>
      </c>
      <c r="AOW36" s="12">
        <f>AOW35+AOU36-AOV36</f>
        <v/>
      </c>
      <c r="AOX36" s="12">
        <f>IF(ProviderDelay&gt;=1,AOT35*ProviderShare,AOT36*ProviderShare)</f>
        <v/>
      </c>
      <c r="AOY36" s="12">
        <f>AOQ36*PaymentFee</f>
        <v/>
      </c>
      <c r="AOZ36" s="12">
        <f>AOK36*OpsAI</f>
        <v/>
      </c>
      <c r="APA36" s="12">
        <f>MonthlyFixed</f>
        <v/>
      </c>
      <c r="APB36" s="12">
        <f>ANY36*ReferralReward</f>
        <v/>
      </c>
      <c r="APC36" s="12">
        <f>ANW36</f>
        <v/>
      </c>
      <c r="APD36" s="9">
        <f>AOT36-AOX36-AOY36-AOZ36-APA36-APB36-APC36</f>
        <v/>
      </c>
      <c r="APE36" s="9">
        <f>APE35+AOQ36-(AOX36+AOY36+AOZ36+APA36+APB36+APC36+AOV36)</f>
        <v/>
      </c>
      <c r="APF36" s="12">
        <f>IF(AOK36&gt;0,AOL36/AOK36,0)</f>
        <v/>
      </c>
      <c r="APG36" s="11">
        <f>IF(AOK35&gt;0,MAX(0,(AOK35+ANZ36-AOK36)/AOK35),0)</f>
        <v/>
      </c>
      <c r="API36" s="12" t="n">
        <v>32</v>
      </c>
      <c r="APJ36" s="12">
        <f>MOD(API36-1+LaunchMonth-1,12)+1</f>
        <v/>
      </c>
      <c r="APK36" s="12">
        <f>INT((API36-1+LaunchMonth-1)/12)+1</f>
        <v/>
      </c>
      <c r="APL36" s="12">
        <f>VLOOKUP(APJ36,SeasonTable,2,FALSE)</f>
        <v/>
      </c>
      <c r="APM36" s="12">
        <f>(1+InflationRate)^INT((API36-1)/12)</f>
        <v/>
      </c>
      <c r="APN36" s="11">
        <f>MonthlyChurn*VLOOKUP(APJ36,ChurnSeasonTable,4,FALSE)</f>
        <v/>
      </c>
      <c r="APO36" s="12">
        <f>MIN(MAX(MktMin19plus,AQI35*MktPct19plus),MAX(0,AQW35-CashBuffer))</f>
        <v/>
      </c>
      <c r="APP36" s="12">
        <f>IF(APO36&gt;0,MAX(1,ROUND(APO36/'Sens - CAC &amp; Marketing'!$A$15*APL36,0)),0)</f>
        <v/>
      </c>
      <c r="APQ36" s="12">
        <f>IF(APP36&gt;0,ROUND(APP36*ReferralMix/(1-ReferralMix),0),0)</f>
        <v/>
      </c>
      <c r="APR36" s="12">
        <f>APP36+APQ36</f>
        <v/>
      </c>
      <c r="APS36" s="12">
        <f>ROUND(APR36*(1-AnnualMix),0)</f>
        <v/>
      </c>
      <c r="APT36" s="12">
        <f>APR36-APS36</f>
        <v/>
      </c>
      <c r="APU36" s="12">
        <f>ROUND(APS36*EssentialMix,0)</f>
        <v/>
      </c>
      <c r="APV36" s="12">
        <f>APS36-APU36</f>
        <v/>
      </c>
      <c r="APW36" s="12">
        <f>ROUND(APT36*EssentialMix,0)</f>
        <v/>
      </c>
      <c r="APX36" s="12">
        <f>APT36-APW36</f>
        <v/>
      </c>
      <c r="APY36" s="12">
        <f>APU36+APU35+APU34+MAX(0,APY35-APU35-APU34)*(1-APN36)</f>
        <v/>
      </c>
      <c r="APZ36" s="12">
        <f>APV36+APV35+APV34+MAX(0,APZ35-APV35-APV34)*(1-APN36)</f>
        <v/>
      </c>
      <c r="AQA36" s="12">
        <f>AQA35+APW36-APW24*(AnnualChurn*VLOOKUP(APJ36,ChurnSeasonTable,4,FALSE))*POWER(1-(AnnualChurn*VLOOKUP(APJ36,ChurnSeasonTable,4,FALSE)),0)+APW12*(AnnualChurn*VLOOKUP(APJ36,ChurnSeasonTable,4,FALSE))*POWER(1-(AnnualChurn*VLOOKUP(APJ36,ChurnSeasonTable,4,FALSE)),1)</f>
        <v/>
      </c>
      <c r="AQB36" s="12">
        <f>AQB35+APX36-APX24*(AnnualChurn*VLOOKUP(APJ36,ChurnSeasonTable,4,FALSE))*POWER(1-(AnnualChurn*VLOOKUP(APJ36,ChurnSeasonTable,4,FALSE)),0)+APX12*(AnnualChurn*VLOOKUP(APJ36,ChurnSeasonTable,4,FALSE))*POWER(1-(AnnualChurn*VLOOKUP(APJ36,ChurnSeasonTable,4,FALSE)),1)</f>
        <v/>
      </c>
      <c r="AQC36" s="12">
        <f>APY36+APZ36+AQA36+AQB36</f>
        <v/>
      </c>
      <c r="AQD36" s="9">
        <f>APY36*PriceEssMonthly*APM36+APZ36*PricePremMonthly*APM36+AQA36*PriceEssAnnual*APM36/12+AQB36*PricePremAnnual*APM36/12</f>
        <v/>
      </c>
      <c r="AQE36" s="9">
        <f>AQD36*12</f>
        <v/>
      </c>
      <c r="AQF36" s="12">
        <f>APY36*PriceEssMonthly*APM36+APZ36*PricePremMonthly*APM36</f>
        <v/>
      </c>
      <c r="AQG36" s="12">
        <f>APW36*PriceEssAnnual*APM36+APX36*PricePremAnnual*APM36</f>
        <v/>
      </c>
      <c r="AQH36" s="12">
        <f>APW24*POWER(1-(AnnualChurn*VLOOKUP(APJ36,ChurnSeasonTable,4,FALSE)),1)*PriceEssAnnual*APM36+APW12*POWER(1-(AnnualChurn*VLOOKUP(APJ36,ChurnSeasonTable,4,FALSE)),2)*PriceEssAnnual*APM36+APX24*POWER(1-(AnnualChurn*VLOOKUP(APJ36,ChurnSeasonTable,4,FALSE)),1)*PricePremAnnual*APM36+APX12*POWER(1-(AnnualChurn*VLOOKUP(APJ36,ChurnSeasonTable,4,FALSE)),2)*PricePremAnnual*APM36</f>
        <v/>
      </c>
      <c r="AQI36" s="9">
        <f>AQF36+AQG36+AQH36</f>
        <v/>
      </c>
      <c r="AQJ36" s="12">
        <f>SUM(AQI25:AQI36)</f>
        <v/>
      </c>
      <c r="AQK36" s="12">
        <f>OR(AQK35,AQJ36&gt;=VATThreshold)</f>
        <v/>
      </c>
      <c r="AQL36" s="9">
        <f>IF(AQK36,AQI36/(1+VATRate),AQI36)</f>
        <v/>
      </c>
      <c r="AQM36" s="12">
        <f>AQI36-AQL36</f>
        <v/>
      </c>
      <c r="AQN36" s="12">
        <f>IF(AQK36=0,0,IF(APJ36=1,SUMPRODUCT(--(($APK$5:$APK36=$APK36-1)*($APJ$5:$APJ36&gt;=10)*($APJ$5:$APJ36&lt;=12)),$AQM$5:$AQM36),IF(APJ36=4,SUMPRODUCT(--(($APK$5:$APK36=$APK36)*($APJ$5:$APJ36&gt;=1)*($APJ$5:$APJ36&lt;=3)),$AQM$5:$AQM36),IF(APJ36=7,SUMPRODUCT(--(($APK$5:$APK36=$APK36)*($APJ$5:$APJ36&gt;=4)*($APJ$5:$APJ36&lt;=6)),$AQM$5:$AQM36),IF(APJ36=10,SUMPRODUCT(--(($APK$5:$APK36=$APK36)*($APJ$5:$APJ36&gt;=7)*($APJ$5:$APJ36&lt;=9)),$AQM$5:$AQM36),0)))))</f>
        <v/>
      </c>
      <c r="AQO36" s="12">
        <f>AQO35+AQM36-AQN36</f>
        <v/>
      </c>
      <c r="AQP36" s="12">
        <f>IF(ProviderDelay&gt;=1,AQL35*ProviderShare,AQL36*ProviderShare)</f>
        <v/>
      </c>
      <c r="AQQ36" s="12">
        <f>AQI36*PaymentFee</f>
        <v/>
      </c>
      <c r="AQR36" s="12">
        <f>AQC36*OpsAI</f>
        <v/>
      </c>
      <c r="AQS36" s="12">
        <f>MonthlyFixed</f>
        <v/>
      </c>
      <c r="AQT36" s="12">
        <f>APQ36*ReferralReward</f>
        <v/>
      </c>
      <c r="AQU36" s="12">
        <f>APO36</f>
        <v/>
      </c>
      <c r="AQV36" s="9">
        <f>AQL36-AQP36-AQQ36-AQR36-AQS36-AQT36-AQU36</f>
        <v/>
      </c>
      <c r="AQW36" s="9">
        <f>AQW35+AQI36-(AQP36+AQQ36+AQR36+AQS36+AQT36+AQU36+AQN36)</f>
        <v/>
      </c>
      <c r="AQX36" s="12">
        <f>IF(AQC36&gt;0,AQD36/AQC36,0)</f>
        <v/>
      </c>
      <c r="AQY36" s="11">
        <f>IF(AQC35&gt;0,MAX(0,(AQC35+APR36-AQC36)/AQC35),0)</f>
        <v/>
      </c>
      <c r="ARA36" s="12" t="n">
        <v>32</v>
      </c>
      <c r="ARB36" s="12">
        <f>MOD(ARA36-1+LaunchMonth-1,12)+1</f>
        <v/>
      </c>
      <c r="ARC36" s="12">
        <f>INT((ARA36-1+LaunchMonth-1)/12)+1</f>
        <v/>
      </c>
      <c r="ARD36" s="12">
        <f>VLOOKUP(ARB36,WinterPivotSeasonTable,5,FALSE)</f>
        <v/>
      </c>
      <c r="ARE36" s="12">
        <f>(1+InflationRate)^INT((ARA36-1)/12)</f>
        <v/>
      </c>
      <c r="ARF36" s="11">
        <f>MonthlyChurn*VLOOKUP(ARB36,WinterPivotChurnTable,6,FALSE)</f>
        <v/>
      </c>
      <c r="ARG36" s="12">
        <f>MIN(MAX(MktMin19plus,ASA35*MktPct19plus),MAX(0,ASO35-CashBuffer))</f>
        <v/>
      </c>
      <c r="ARH36" s="12">
        <f>IF(ARG36&gt;0,MAX(1,ROUND(ARG36/CAC*ARD36,0)),0)</f>
        <v/>
      </c>
      <c r="ARI36" s="12">
        <f>IF(ARH36&gt;0,ROUND(ARH36*ReferralMix/(1-ReferralMix),0),0)</f>
        <v/>
      </c>
      <c r="ARJ36" s="12">
        <f>ARH36+ARI36</f>
        <v/>
      </c>
      <c r="ARK36" s="12">
        <f>ROUND(ARJ36*(1-AnnualMix),0)</f>
        <v/>
      </c>
      <c r="ARL36" s="12">
        <f>ARJ36-ARK36</f>
        <v/>
      </c>
      <c r="ARM36" s="12">
        <f>ROUND(ARK36*'Sens - Winter Pivot'!$B$6,0)</f>
        <v/>
      </c>
      <c r="ARN36" s="12">
        <f>ARK36-ARM36</f>
        <v/>
      </c>
      <c r="ARO36" s="12">
        <f>ROUND(ARL36*'Sens - Winter Pivot'!$B$6,0)</f>
        <v/>
      </c>
      <c r="ARP36" s="12">
        <f>ARL36-ARO36</f>
        <v/>
      </c>
      <c r="ARQ36" s="12">
        <f>ARM36+ARM35+ARM34+MAX(0,ARQ35-ARM35-ARM34)*(1-ARF36)</f>
        <v/>
      </c>
      <c r="ARR36" s="12">
        <f>ARN36+ARN35+ARN34+MAX(0,ARR35-ARN35-ARN34)*(1-ARF36)</f>
        <v/>
      </c>
      <c r="ARS36" s="12">
        <f>ARS35+ARO36-ARO24*(AnnualChurn*VLOOKUP(ARB36,WinterPivotChurnTable,6,FALSE))*POWER(1-(AnnualChurn*VLOOKUP(ARB36,WinterPivotChurnTable,6,FALSE)),0)+ARO12*(AnnualChurn*VLOOKUP(ARB36,WinterPivotChurnTable,6,FALSE))*POWER(1-(AnnualChurn*VLOOKUP(ARB36,WinterPivotChurnTable,6,FALSE)),1)</f>
        <v/>
      </c>
      <c r="ART36" s="12">
        <f>ART35+ARP36-ARP24*(AnnualChurn*VLOOKUP(ARB36,WinterPivotChurnTable,6,FALSE))*POWER(1-(AnnualChurn*VLOOKUP(ARB36,WinterPivotChurnTable,6,FALSE)),0)+ARP12*(AnnualChurn*VLOOKUP(ARB36,WinterPivotChurnTable,6,FALSE))*POWER(1-(AnnualChurn*VLOOKUP(ARB36,WinterPivotChurnTable,6,FALSE)),1)</f>
        <v/>
      </c>
      <c r="ARU36" s="12">
        <f>ARQ36+ARR36+ARS36+ART36</f>
        <v/>
      </c>
      <c r="ARV36" s="9">
        <f>ARQ36*PriceEssMonthly*ARE36+ARR36*(PricePremMonthly+'Sens - Winter Pivot'!$B$7)*ARE36+ARS36*PriceEssAnnual*ARE36/12+ART36*(PricePremAnnual+'Sens - Winter Pivot'!$B$7*12)*ARE36/12</f>
        <v/>
      </c>
      <c r="ARW36" s="9">
        <f>ARV36*12</f>
        <v/>
      </c>
      <c r="ARX36" s="12">
        <f>ARQ36*PriceEssMonthly*ARE36+ARR36*(PricePremMonthly+'Sens - Winter Pivot'!$B$7)*ARE36</f>
        <v/>
      </c>
      <c r="ARY36" s="12">
        <f>ARO36*PriceEssAnnual*ARE36+ARP36*(PricePremAnnual+'Sens - Winter Pivot'!$B$7*12)*ARE36</f>
        <v/>
      </c>
      <c r="ARZ36" s="12">
        <f>ARO24*POWER(1-(AnnualChurn*VLOOKUP(ARB36,WinterPivotChurnTable,6,FALSE)),1)*PriceEssAnnual*ARE36+ARO12*POWER(1-(AnnualChurn*VLOOKUP(ARB36,WinterPivotChurnTable,6,FALSE)),2)*PriceEssAnnual*ARE36+ARP24*POWER(1-(AnnualChurn*VLOOKUP(ARB36,WinterPivotChurnTable,6,FALSE)),1)*PricePremAnnual*ARE36+ARP12*POWER(1-(AnnualChurn*VLOOKUP(ARB36,WinterPivotChurnTable,6,FALSE)),2)*PricePremAnnual*ARE36</f>
        <v/>
      </c>
      <c r="ASA36" s="9">
        <f>ARX36+ARY36+ARZ36</f>
        <v/>
      </c>
      <c r="ASB36" s="12">
        <f>SUM(ASA25:ASA36)</f>
        <v/>
      </c>
      <c r="ASC36" s="12">
        <f>OR(ASC35,ASB36&gt;=VATThreshold)</f>
        <v/>
      </c>
      <c r="ASD36" s="9">
        <f>IF(ASC36,ASA36/(1+VATRate),ASA36)</f>
        <v/>
      </c>
      <c r="ASE36" s="12">
        <f>ASA36-ASD36</f>
        <v/>
      </c>
      <c r="ASF36" s="12">
        <f>IF(ASC36=0,0,IF(ARB36=1,SUMPRODUCT(--(($ARC$5:$ARC36=$ARC36-1)*($ARB$5:$ARB36&gt;=10)*($ARB$5:$ARB36&lt;=12)),$ASE$5:$ASE36),IF(ARB36=4,SUMPRODUCT(--(($ARC$5:$ARC36=$ARC36)*($ARB$5:$ARB36&gt;=1)*($ARB$5:$ARB36&lt;=3)),$ASE$5:$ASE36),IF(ARB36=7,SUMPRODUCT(--(($ARC$5:$ARC36=$ARC36)*($ARB$5:$ARB36&gt;=4)*($ARB$5:$ARB36&lt;=6)),$ASE$5:$ASE36),IF(ARB36=10,SUMPRODUCT(--(($ARC$5:$ARC36=$ARC36)*($ARB$5:$ARB36&gt;=7)*($ARB$5:$ARB36&lt;=9)),$ASE$5:$ASE36),0)))))</f>
        <v/>
      </c>
      <c r="ASG36" s="12">
        <f>ASG35+ASE36-ASF36</f>
        <v/>
      </c>
      <c r="ASH36" s="12">
        <f>IF(ProviderDelay&gt;=1,ASD35*ProviderShare,ASD36*ProviderShare)</f>
        <v/>
      </c>
      <c r="ASI36" s="12">
        <f>ASA36*PaymentFee</f>
        <v/>
      </c>
      <c r="ASJ36" s="12">
        <f>ARU36*OpsAI</f>
        <v/>
      </c>
      <c r="ASK36" s="12">
        <f>MonthlyFixed</f>
        <v/>
      </c>
      <c r="ASL36" s="12">
        <f>ARI36*ReferralReward</f>
        <v/>
      </c>
      <c r="ASM36" s="12">
        <f>ARG36</f>
        <v/>
      </c>
      <c r="ASN36" s="9">
        <f>ASD36-ASH36-ASI36-ASJ36-ASK36-ASL36-ASM36</f>
        <v/>
      </c>
      <c r="ASO36" s="9">
        <f>ASO35+ASA36-(ASH36+ASI36+ASJ36+ASK36+ASL36+ASM36+ASF36)</f>
        <v/>
      </c>
      <c r="ASP36" s="12">
        <f>IF(ARU36&gt;0,ARV36/ARU36,0)</f>
        <v/>
      </c>
      <c r="ASQ36" s="11">
        <f>IF(ARU35&gt;0,MAX(0,(ARU35+ARJ36-ARU36)/ARU35),0)</f>
        <v/>
      </c>
    </row>
    <row r="37">
      <c r="A37" s="12" t="n">
        <v>33</v>
      </c>
      <c r="B37" s="12">
        <f>MOD(A37-1+LaunchMonth-1,12)+1</f>
        <v/>
      </c>
      <c r="C37" s="12">
        <f>INT((A37-1+LaunchMonth-1)/12)+1</f>
        <v/>
      </c>
      <c r="D37" s="12">
        <f>VLOOKUP(B37,SeasonTable,2,FALSE)</f>
        <v/>
      </c>
      <c r="E37" s="12">
        <f>(1+InflationRate)^INT((A37-1)/12)</f>
        <v/>
      </c>
      <c r="F37" s="11">
        <f>'Sens - Scenarios'!$B$5*VLOOKUP(B37,ChurnSeasonTable,4,FALSE)</f>
        <v/>
      </c>
      <c r="G37" s="12">
        <f>MIN(MAX(MktMin19plus,AA36*MktPct19plus),MAX(0,AO36-CashBuffer))</f>
        <v/>
      </c>
      <c r="H37" s="12">
        <f>IF(G37&gt;0,MAX(1,ROUND(G37/'Sens - Scenarios'!$B$8*D37,0)),0)</f>
        <v/>
      </c>
      <c r="I37" s="12">
        <f>IF(H37&gt;0,ROUND(H37*ReferralMix/(1-ReferralMix),0),0)</f>
        <v/>
      </c>
      <c r="J37" s="12">
        <f>H37+I37</f>
        <v/>
      </c>
      <c r="K37" s="12">
        <f>ROUND(J37*(1-'Sens - Scenarios'!$B$7),0)</f>
        <v/>
      </c>
      <c r="L37" s="12">
        <f>J37-K37</f>
        <v/>
      </c>
      <c r="M37" s="12">
        <f>ROUND(K37*EssentialMix,0)</f>
        <v/>
      </c>
      <c r="N37" s="12">
        <f>K37-M37</f>
        <v/>
      </c>
      <c r="O37" s="12">
        <f>ROUND(L37*EssentialMix,0)</f>
        <v/>
      </c>
      <c r="P37" s="12">
        <f>L37-O37</f>
        <v/>
      </c>
      <c r="Q37" s="12">
        <f>M37+M36+M35+MAX(0,Q36-M36-M35)*(1-F37)</f>
        <v/>
      </c>
      <c r="R37" s="12">
        <f>N37+N36+N35+MAX(0,R36-N36-N35)*(1-F37)</f>
        <v/>
      </c>
      <c r="S37" s="12">
        <f>S36+O37-O25*('Sens - Scenarios'!$B$6*VLOOKUP(B37,ChurnSeasonTable,4,FALSE))*POWER(1-('Sens - Scenarios'!$B$6*VLOOKUP(B37,ChurnSeasonTable,4,FALSE)),0)+O13*('Sens - Scenarios'!$B$6*VLOOKUP(B37,ChurnSeasonTable,4,FALSE))*POWER(1-('Sens - Scenarios'!$B$6*VLOOKUP(B37,ChurnSeasonTable,4,FALSE)),1)</f>
        <v/>
      </c>
      <c r="T37" s="12">
        <f>T36+P37-P25*('Sens - Scenarios'!$B$6*VLOOKUP(B37,ChurnSeasonTable,4,FALSE))*POWER(1-('Sens - Scenarios'!$B$6*VLOOKUP(B37,ChurnSeasonTable,4,FALSE)),0)+P13*('Sens - Scenarios'!$B$6*VLOOKUP(B37,ChurnSeasonTable,4,FALSE))*POWER(1-('Sens - Scenarios'!$B$6*VLOOKUP(B37,ChurnSeasonTable,4,FALSE)),1)</f>
        <v/>
      </c>
      <c r="U37" s="12">
        <f>Q37+R37+S37+T37</f>
        <v/>
      </c>
      <c r="V37" s="9">
        <f>Q37*PriceEssMonthly*E37+R37*PricePremMonthly*E37+S37*PriceEssAnnual*E37/12+T37*PricePremAnnual*E37/12</f>
        <v/>
      </c>
      <c r="W37" s="9">
        <f>V37*12</f>
        <v/>
      </c>
      <c r="X37" s="12">
        <f>Q37*PriceEssMonthly*E37+R37*PricePremMonthly*E37</f>
        <v/>
      </c>
      <c r="Y37" s="12">
        <f>O37*PriceEssAnnual*E37+P37*PricePremAnnual*E37</f>
        <v/>
      </c>
      <c r="Z37" s="12">
        <f>O25*POWER(1-('Sens - Scenarios'!$B$6*VLOOKUP(B37,ChurnSeasonTable,4,FALSE)),1)*PriceEssAnnual*E37+O13*POWER(1-('Sens - Scenarios'!$B$6*VLOOKUP(B37,ChurnSeasonTable,4,FALSE)),2)*PriceEssAnnual*E37+P25*POWER(1-('Sens - Scenarios'!$B$6*VLOOKUP(B37,ChurnSeasonTable,4,FALSE)),1)*PricePremAnnual*E37+P13*POWER(1-('Sens - Scenarios'!$B$6*VLOOKUP(B37,ChurnSeasonTable,4,FALSE)),2)*PricePremAnnual*E37</f>
        <v/>
      </c>
      <c r="AA37" s="9">
        <f>X37+Y37+Z37</f>
        <v/>
      </c>
      <c r="AB37" s="12">
        <f>SUM(AA26:AA37)</f>
        <v/>
      </c>
      <c r="AC37" s="12">
        <f>OR(AC36,AB37&gt;=VATThreshold)</f>
        <v/>
      </c>
      <c r="AD37" s="9">
        <f>IF(AC37,AA37/(1+VATRate),AA37)</f>
        <v/>
      </c>
      <c r="AE37" s="12">
        <f>AA37-AD37</f>
        <v/>
      </c>
      <c r="AF37" s="12">
        <f>IF(AC37=0,0,IF(B37=1,SUMPRODUCT(--(($C$5:$C37=$C37-1)*($B$5:$B37&gt;=10)*($B$5:$B37&lt;=12)),$AE$5:$AE37),IF(B37=4,SUMPRODUCT(--(($C$5:$C37=$C37)*($B$5:$B37&gt;=1)*($B$5:$B37&lt;=3)),$AE$5:$AE37),IF(B37=7,SUMPRODUCT(--(($C$5:$C37=$C37)*($B$5:$B37&gt;=4)*($B$5:$B37&lt;=6)),$AE$5:$AE37),IF(B37=10,SUMPRODUCT(--(($C$5:$C37=$C37)*($B$5:$B37&gt;=7)*($B$5:$B37&lt;=9)),$AE$5:$AE37),0)))))</f>
        <v/>
      </c>
      <c r="AG37" s="12">
        <f>AG36+AE37-AF37</f>
        <v/>
      </c>
      <c r="AH37" s="12">
        <f>IF(ProviderDelay&gt;=1,AD36*ProviderShare,AD37*ProviderShare)</f>
        <v/>
      </c>
      <c r="AI37" s="12">
        <f>AA37*PaymentFee</f>
        <v/>
      </c>
      <c r="AJ37" s="12">
        <f>U37*OpsAI</f>
        <v/>
      </c>
      <c r="AK37" s="12">
        <f>MonthlyFixed</f>
        <v/>
      </c>
      <c r="AL37" s="12">
        <f>I37*ReferralReward</f>
        <v/>
      </c>
      <c r="AM37" s="12">
        <f>G37</f>
        <v/>
      </c>
      <c r="AN37" s="9">
        <f>AD37-AH37-AI37-AJ37-AK37-AL37-AM37</f>
        <v/>
      </c>
      <c r="AO37" s="9">
        <f>AO36+AA37-(AH37+AI37+AJ37+AK37+AL37+AM37+AF37)</f>
        <v/>
      </c>
      <c r="AP37" s="12">
        <f>IF(U37&gt;0,V37/U37,0)</f>
        <v/>
      </c>
      <c r="AQ37" s="11">
        <f>IF(U36&gt;0,MAX(0,(U36+J37-U37)/U36),0)</f>
        <v/>
      </c>
      <c r="AS37" s="12" t="n">
        <v>33</v>
      </c>
      <c r="AT37" s="12">
        <f>MOD(AS37-1+LaunchMonth-1,12)+1</f>
        <v/>
      </c>
      <c r="AU37" s="12">
        <f>INT((AS37-1+LaunchMonth-1)/12)+1</f>
        <v/>
      </c>
      <c r="AV37" s="12">
        <f>VLOOKUP(AT37,SeasonTable,2,FALSE)</f>
        <v/>
      </c>
      <c r="AW37" s="12">
        <f>(1+InflationRate)^INT((AS37-1)/12)</f>
        <v/>
      </c>
      <c r="AX37" s="11">
        <f>MonthlyChurn*VLOOKUP(AT37,ChurnSeasonTable,4,FALSE)</f>
        <v/>
      </c>
      <c r="AY37" s="12">
        <f>MIN(MAX(MktMin19plus,BS36*MktPct19plus),MAX(0,CG36-CashBuffer))</f>
        <v/>
      </c>
      <c r="AZ37" s="12">
        <f>IF(AY37&gt;0,MAX(1,ROUND(AY37/CAC*AV37,0)),0)</f>
        <v/>
      </c>
      <c r="BA37" s="12">
        <f>IF(AZ37&gt;0,ROUND(AZ37*ReferralMix/(1-ReferralMix),0),0)</f>
        <v/>
      </c>
      <c r="BB37" s="12">
        <f>AZ37+BA37</f>
        <v/>
      </c>
      <c r="BC37" s="12">
        <f>ROUND(BB37*(1-AnnualMix),0)</f>
        <v/>
      </c>
      <c r="BD37" s="12">
        <f>BB37-BC37</f>
        <v/>
      </c>
      <c r="BE37" s="12">
        <f>ROUND(BC37*EssentialMix,0)</f>
        <v/>
      </c>
      <c r="BF37" s="12">
        <f>BC37-BE37</f>
        <v/>
      </c>
      <c r="BG37" s="12">
        <f>ROUND(BD37*EssentialMix,0)</f>
        <v/>
      </c>
      <c r="BH37" s="12">
        <f>BD37-BG37</f>
        <v/>
      </c>
      <c r="BI37" s="12">
        <f>BE37+BE36+BE35+MAX(0,BI36-BE36-BE35)*(1-AX37)</f>
        <v/>
      </c>
      <c r="BJ37" s="12">
        <f>BF37+BF36+BF35+MAX(0,BJ36-BF36-BF35)*(1-AX37)</f>
        <v/>
      </c>
      <c r="BK37" s="12">
        <f>BK36+BG37-BG25*(AnnualChurn*VLOOKUP(AT37,ChurnSeasonTable,4,FALSE))*POWER(1-(AnnualChurn*VLOOKUP(AT37,ChurnSeasonTable,4,FALSE)),0)+BG13*(AnnualChurn*VLOOKUP(AT37,ChurnSeasonTable,4,FALSE))*POWER(1-(AnnualChurn*VLOOKUP(AT37,ChurnSeasonTable,4,FALSE)),1)</f>
        <v/>
      </c>
      <c r="BL37" s="12">
        <f>BL36+BH37-BH25*(AnnualChurn*VLOOKUP(AT37,ChurnSeasonTable,4,FALSE))*POWER(1-(AnnualChurn*VLOOKUP(AT37,ChurnSeasonTable,4,FALSE)),0)+BH13*(AnnualChurn*VLOOKUP(AT37,ChurnSeasonTable,4,FALSE))*POWER(1-(AnnualChurn*VLOOKUP(AT37,ChurnSeasonTable,4,FALSE)),1)</f>
        <v/>
      </c>
      <c r="BM37" s="12">
        <f>BI37+BJ37+BK37+BL37</f>
        <v/>
      </c>
      <c r="BN37" s="9">
        <f>BI37*PriceEssMonthly*AW37+BJ37*PricePremMonthly*AW37+BK37*PriceEssAnnual*AW37/12+BL37*PricePremAnnual*AW37/12</f>
        <v/>
      </c>
      <c r="BO37" s="9">
        <f>BN37*12</f>
        <v/>
      </c>
      <c r="BP37" s="12">
        <f>BI37*PriceEssMonthly*AW37+BJ37*PricePremMonthly*AW37</f>
        <v/>
      </c>
      <c r="BQ37" s="12">
        <f>BG37*PriceEssAnnual*AW37+BH37*PricePremAnnual*AW37</f>
        <v/>
      </c>
      <c r="BR37" s="12">
        <f>BG25*POWER(1-(AnnualChurn*VLOOKUP(AT37,ChurnSeasonTable,4,FALSE)),1)*PriceEssAnnual*AW37+BG13*POWER(1-(AnnualChurn*VLOOKUP(AT37,ChurnSeasonTable,4,FALSE)),2)*PriceEssAnnual*AW37+BH25*POWER(1-(AnnualChurn*VLOOKUP(AT37,ChurnSeasonTable,4,FALSE)),1)*PricePremAnnual*AW37+BH13*POWER(1-(AnnualChurn*VLOOKUP(AT37,ChurnSeasonTable,4,FALSE)),2)*PricePremAnnual*AW37</f>
        <v/>
      </c>
      <c r="BS37" s="9">
        <f>BP37+BQ37+BR37</f>
        <v/>
      </c>
      <c r="BT37" s="12">
        <f>SUM(BS26:BS37)</f>
        <v/>
      </c>
      <c r="BU37" s="12">
        <f>OR(BU36,BT37&gt;=VATThreshold)</f>
        <v/>
      </c>
      <c r="BV37" s="9">
        <f>IF(BU37,BS37/(1+VATRate),BS37)</f>
        <v/>
      </c>
      <c r="BW37" s="12">
        <f>BS37-BV37</f>
        <v/>
      </c>
      <c r="BX37" s="12">
        <f>IF(BU37=0,0,IF(AT37=1,SUMPRODUCT(--(($AU$5:$AU37=$AU37-1)*($AT$5:$AT37&gt;=10)*($AT$5:$AT37&lt;=12)),$BW$5:$BW37),IF(AT37=4,SUMPRODUCT(--(($AU$5:$AU37=$AU37)*($AT$5:$AT37&gt;=1)*($AT$5:$AT37&lt;=3)),$BW$5:$BW37),IF(AT37=7,SUMPRODUCT(--(($AU$5:$AU37=$AU37)*($AT$5:$AT37&gt;=4)*($AT$5:$AT37&lt;=6)),$BW$5:$BW37),IF(AT37=10,SUMPRODUCT(--(($AU$5:$AU37=$AU37)*($AT$5:$AT37&gt;=7)*($AT$5:$AT37&lt;=9)),$BW$5:$BW37),0)))))</f>
        <v/>
      </c>
      <c r="BY37" s="12">
        <f>BY36+BW37-BX37</f>
        <v/>
      </c>
      <c r="BZ37" s="12">
        <f>IF(ProviderDelay&gt;=1,BV36*ProviderShare,BV37*ProviderShare)</f>
        <v/>
      </c>
      <c r="CA37" s="12">
        <f>BS37*PaymentFee</f>
        <v/>
      </c>
      <c r="CB37" s="12">
        <f>BM37*OpsAI</f>
        <v/>
      </c>
      <c r="CC37" s="12">
        <f>MonthlyFixed</f>
        <v/>
      </c>
      <c r="CD37" s="12">
        <f>BA37*ReferralReward</f>
        <v/>
      </c>
      <c r="CE37" s="12">
        <f>AY37</f>
        <v/>
      </c>
      <c r="CF37" s="9">
        <f>BV37-BZ37-CA37-CB37-CC37-CD37-CE37</f>
        <v/>
      </c>
      <c r="CG37" s="9">
        <f>CG36+BS37-(BZ37+CA37+CB37+CC37+CD37+CE37+BX37)</f>
        <v/>
      </c>
      <c r="CH37" s="12">
        <f>IF(BM37&gt;0,BN37/BM37,0)</f>
        <v/>
      </c>
      <c r="CI37" s="11">
        <f>IF(BM36&gt;0,MAX(0,(BM36+BB37-BM37)/BM36),0)</f>
        <v/>
      </c>
      <c r="CK37" s="12" t="n">
        <v>33</v>
      </c>
      <c r="CL37" s="12">
        <f>MOD(CK37-1+LaunchMonth-1,12)+1</f>
        <v/>
      </c>
      <c r="CM37" s="12">
        <f>INT((CK37-1+LaunchMonth-1)/12)+1</f>
        <v/>
      </c>
      <c r="CN37" s="12">
        <f>VLOOKUP(CL37,SeasonTable,2,FALSE)</f>
        <v/>
      </c>
      <c r="CO37" s="12">
        <f>(1+InflationRate)^INT((CK37-1)/12)</f>
        <v/>
      </c>
      <c r="CP37" s="11">
        <f>'Sens - Scenarios'!$D$5*VLOOKUP(CL37,ChurnSeasonTable,4,FALSE)</f>
        <v/>
      </c>
      <c r="CQ37" s="12">
        <f>MIN(MAX(MktMin19plus,DK36*MktPct19plus),MAX(0,DY36-CashBuffer))</f>
        <v/>
      </c>
      <c r="CR37" s="12">
        <f>IF(CQ37&gt;0,MAX(1,ROUND(CQ37/'Sens - Scenarios'!$D$8*CN37,0)),0)</f>
        <v/>
      </c>
      <c r="CS37" s="12">
        <f>IF(CR37&gt;0,ROUND(CR37*ReferralMix/(1-ReferralMix),0),0)</f>
        <v/>
      </c>
      <c r="CT37" s="12">
        <f>CR37+CS37</f>
        <v/>
      </c>
      <c r="CU37" s="12">
        <f>ROUND(CT37*(1-'Sens - Scenarios'!$D$7),0)</f>
        <v/>
      </c>
      <c r="CV37" s="12">
        <f>CT37-CU37</f>
        <v/>
      </c>
      <c r="CW37" s="12">
        <f>ROUND(CU37*EssentialMix,0)</f>
        <v/>
      </c>
      <c r="CX37" s="12">
        <f>CU37-CW37</f>
        <v/>
      </c>
      <c r="CY37" s="12">
        <f>ROUND(CV37*EssentialMix,0)</f>
        <v/>
      </c>
      <c r="CZ37" s="12">
        <f>CV37-CY37</f>
        <v/>
      </c>
      <c r="DA37" s="12">
        <f>CW37+CW36+CW35+MAX(0,DA36-CW36-CW35)*(1-CP37)</f>
        <v/>
      </c>
      <c r="DB37" s="12">
        <f>CX37+CX36+CX35+MAX(0,DB36-CX36-CX35)*(1-CP37)</f>
        <v/>
      </c>
      <c r="DC37" s="12">
        <f>DC36+CY37-CY25*('Sens - Scenarios'!$D$6*VLOOKUP(CL37,ChurnSeasonTable,4,FALSE))*POWER(1-('Sens - Scenarios'!$D$6*VLOOKUP(CL37,ChurnSeasonTable,4,FALSE)),0)+CY13*('Sens - Scenarios'!$D$6*VLOOKUP(CL37,ChurnSeasonTable,4,FALSE))*POWER(1-('Sens - Scenarios'!$D$6*VLOOKUP(CL37,ChurnSeasonTable,4,FALSE)),1)</f>
        <v/>
      </c>
      <c r="DD37" s="12">
        <f>DD36+CZ37-CZ25*('Sens - Scenarios'!$D$6*VLOOKUP(CL37,ChurnSeasonTable,4,FALSE))*POWER(1-('Sens - Scenarios'!$D$6*VLOOKUP(CL37,ChurnSeasonTable,4,FALSE)),0)+CZ13*('Sens - Scenarios'!$D$6*VLOOKUP(CL37,ChurnSeasonTable,4,FALSE))*POWER(1-('Sens - Scenarios'!$D$6*VLOOKUP(CL37,ChurnSeasonTable,4,FALSE)),1)</f>
        <v/>
      </c>
      <c r="DE37" s="12">
        <f>DA37+DB37+DC37+DD37</f>
        <v/>
      </c>
      <c r="DF37" s="9">
        <f>DA37*PriceEssMonthly*CO37+DB37*PricePremMonthly*CO37+DC37*PriceEssAnnual*CO37/12+DD37*PricePremAnnual*CO37/12</f>
        <v/>
      </c>
      <c r="DG37" s="9">
        <f>DF37*12</f>
        <v/>
      </c>
      <c r="DH37" s="12">
        <f>DA37*PriceEssMonthly*CO37+DB37*PricePremMonthly*CO37</f>
        <v/>
      </c>
      <c r="DI37" s="12">
        <f>CY37*PriceEssAnnual*CO37+CZ37*PricePremAnnual*CO37</f>
        <v/>
      </c>
      <c r="DJ37" s="12">
        <f>CY25*POWER(1-('Sens - Scenarios'!$D$6*VLOOKUP(CL37,ChurnSeasonTable,4,FALSE)),1)*PriceEssAnnual*CO37+CY13*POWER(1-('Sens - Scenarios'!$D$6*VLOOKUP(CL37,ChurnSeasonTable,4,FALSE)),2)*PriceEssAnnual*CO37+CZ25*POWER(1-('Sens - Scenarios'!$D$6*VLOOKUP(CL37,ChurnSeasonTable,4,FALSE)),1)*PricePremAnnual*CO37+CZ13*POWER(1-('Sens - Scenarios'!$D$6*VLOOKUP(CL37,ChurnSeasonTable,4,FALSE)),2)*PricePremAnnual*CO37</f>
        <v/>
      </c>
      <c r="DK37" s="9">
        <f>DH37+DI37+DJ37</f>
        <v/>
      </c>
      <c r="DL37" s="12">
        <f>SUM(DK26:DK37)</f>
        <v/>
      </c>
      <c r="DM37" s="12">
        <f>OR(DM36,DL37&gt;=VATThreshold)</f>
        <v/>
      </c>
      <c r="DN37" s="9">
        <f>IF(DM37,DK37/(1+VATRate),DK37)</f>
        <v/>
      </c>
      <c r="DO37" s="12">
        <f>DK37-DN37</f>
        <v/>
      </c>
      <c r="DP37" s="12">
        <f>IF(DM37=0,0,IF(CL37=1,SUMPRODUCT(--(($CM$5:$CM37=$CM37-1)*($CL$5:$CL37&gt;=10)*($CL$5:$CL37&lt;=12)),$DO$5:$DO37),IF(CL37=4,SUMPRODUCT(--(($CM$5:$CM37=$CM37)*($CL$5:$CL37&gt;=1)*($CL$5:$CL37&lt;=3)),$DO$5:$DO37),IF(CL37=7,SUMPRODUCT(--(($CM$5:$CM37=$CM37)*($CL$5:$CL37&gt;=4)*($CL$5:$CL37&lt;=6)),$DO$5:$DO37),IF(CL37=10,SUMPRODUCT(--(($CM$5:$CM37=$CM37)*($CL$5:$CL37&gt;=7)*($CL$5:$CL37&lt;=9)),$DO$5:$DO37),0)))))</f>
        <v/>
      </c>
      <c r="DQ37" s="12">
        <f>DQ36+DO37-DP37</f>
        <v/>
      </c>
      <c r="DR37" s="12">
        <f>IF(ProviderDelay&gt;=1,DN36*ProviderShare,DN37*ProviderShare)</f>
        <v/>
      </c>
      <c r="DS37" s="12">
        <f>DK37*PaymentFee</f>
        <v/>
      </c>
      <c r="DT37" s="12">
        <f>DE37*OpsAI</f>
        <v/>
      </c>
      <c r="DU37" s="12">
        <f>MonthlyFixed</f>
        <v/>
      </c>
      <c r="DV37" s="12">
        <f>CS37*ReferralReward</f>
        <v/>
      </c>
      <c r="DW37" s="12">
        <f>CQ37</f>
        <v/>
      </c>
      <c r="DX37" s="9">
        <f>DN37-DR37-DS37-DT37-DU37-DV37-DW37</f>
        <v/>
      </c>
      <c r="DY37" s="9">
        <f>DY36+DK37-(DR37+DS37+DT37+DU37+DV37+DW37+DP37)</f>
        <v/>
      </c>
      <c r="DZ37" s="12">
        <f>IF(DE37&gt;0,DF37/DE37,0)</f>
        <v/>
      </c>
      <c r="EA37" s="11">
        <f>IF(DE36&gt;0,MAX(0,(DE36+CT37-DE37)/DE36),0)</f>
        <v/>
      </c>
      <c r="EC37" s="12" t="n">
        <v>33</v>
      </c>
      <c r="ED37" s="12">
        <f>MOD(EC37-1+LaunchMonth-1,12)+1</f>
        <v/>
      </c>
      <c r="EE37" s="12">
        <f>INT((EC37-1+LaunchMonth-1)/12)+1</f>
        <v/>
      </c>
      <c r="EF37" s="12">
        <f>VLOOKUP(ED37,SeasonTable,2,FALSE)</f>
        <v/>
      </c>
      <c r="EG37" s="12">
        <f>(1+InflationRate)^INT((EC37-1)/12)</f>
        <v/>
      </c>
      <c r="EH37" s="11">
        <f>'Sens - Churn'!$A$13*VLOOKUP(ED37,ChurnSeasonTable,4,FALSE)</f>
        <v/>
      </c>
      <c r="EI37" s="12">
        <f>MIN(MAX(MktMin19plus,FC36*MktPct19plus),MAX(0,FQ36-CashBuffer))</f>
        <v/>
      </c>
      <c r="EJ37" s="12">
        <f>IF(EI37&gt;0,MAX(1,ROUND(EI37/CAC*EF37,0)),0)</f>
        <v/>
      </c>
      <c r="EK37" s="12">
        <f>IF(EJ37&gt;0,ROUND(EJ37*ReferralMix/(1-ReferralMix),0),0)</f>
        <v/>
      </c>
      <c r="EL37" s="12">
        <f>EJ37+EK37</f>
        <v/>
      </c>
      <c r="EM37" s="12">
        <f>ROUND(EL37*(1-AnnualMix),0)</f>
        <v/>
      </c>
      <c r="EN37" s="12">
        <f>EL37-EM37</f>
        <v/>
      </c>
      <c r="EO37" s="12">
        <f>ROUND(EM37*EssentialMix,0)</f>
        <v/>
      </c>
      <c r="EP37" s="12">
        <f>EM37-EO37</f>
        <v/>
      </c>
      <c r="EQ37" s="12">
        <f>ROUND(EN37*EssentialMix,0)</f>
        <v/>
      </c>
      <c r="ER37" s="12">
        <f>EN37-EQ37</f>
        <v/>
      </c>
      <c r="ES37" s="12">
        <f>EO37+EO36+EO35+MAX(0,ES36-EO36-EO35)*(1-EH37)</f>
        <v/>
      </c>
      <c r="ET37" s="12">
        <f>EP37+EP36+EP35+MAX(0,ET36-EP36-EP35)*(1-EH37)</f>
        <v/>
      </c>
      <c r="EU37" s="12">
        <f>EU36+EQ37-EQ25*(AnnualChurn*VLOOKUP(ED37,ChurnSeasonTable,4,FALSE))*POWER(1-(AnnualChurn*VLOOKUP(ED37,ChurnSeasonTable,4,FALSE)),0)+EQ13*(AnnualChurn*VLOOKUP(ED37,ChurnSeasonTable,4,FALSE))*POWER(1-(AnnualChurn*VLOOKUP(ED37,ChurnSeasonTable,4,FALSE)),1)</f>
        <v/>
      </c>
      <c r="EV37" s="12">
        <f>EV36+ER37-ER25*(AnnualChurn*VLOOKUP(ED37,ChurnSeasonTable,4,FALSE))*POWER(1-(AnnualChurn*VLOOKUP(ED37,ChurnSeasonTable,4,FALSE)),0)+ER13*(AnnualChurn*VLOOKUP(ED37,ChurnSeasonTable,4,FALSE))*POWER(1-(AnnualChurn*VLOOKUP(ED37,ChurnSeasonTable,4,FALSE)),1)</f>
        <v/>
      </c>
      <c r="EW37" s="12">
        <f>ES37+ET37+EU37+EV37</f>
        <v/>
      </c>
      <c r="EX37" s="9">
        <f>ES37*PriceEssMonthly*EG37+ET37*PricePremMonthly*EG37+EU37*PriceEssAnnual*EG37/12+EV37*PricePremAnnual*EG37/12</f>
        <v/>
      </c>
      <c r="EY37" s="9">
        <f>EX37*12</f>
        <v/>
      </c>
      <c r="EZ37" s="12">
        <f>ES37*PriceEssMonthly*EG37+ET37*PricePremMonthly*EG37</f>
        <v/>
      </c>
      <c r="FA37" s="12">
        <f>EQ37*PriceEssAnnual*EG37+ER37*PricePremAnnual*EG37</f>
        <v/>
      </c>
      <c r="FB37" s="12">
        <f>EQ25*POWER(1-(AnnualChurn*VLOOKUP(ED37,ChurnSeasonTable,4,FALSE)),1)*PriceEssAnnual*EG37+EQ13*POWER(1-(AnnualChurn*VLOOKUP(ED37,ChurnSeasonTable,4,FALSE)),2)*PriceEssAnnual*EG37+ER25*POWER(1-(AnnualChurn*VLOOKUP(ED37,ChurnSeasonTable,4,FALSE)),1)*PricePremAnnual*EG37+ER13*POWER(1-(AnnualChurn*VLOOKUP(ED37,ChurnSeasonTable,4,FALSE)),2)*PricePremAnnual*EG37</f>
        <v/>
      </c>
      <c r="FC37" s="9">
        <f>EZ37+FA37+FB37</f>
        <v/>
      </c>
      <c r="FD37" s="12">
        <f>SUM(FC26:FC37)</f>
        <v/>
      </c>
      <c r="FE37" s="12">
        <f>OR(FE36,FD37&gt;=VATThreshold)</f>
        <v/>
      </c>
      <c r="FF37" s="9">
        <f>IF(FE37,FC37/(1+VATRate),FC37)</f>
        <v/>
      </c>
      <c r="FG37" s="12">
        <f>FC37-FF37</f>
        <v/>
      </c>
      <c r="FH37" s="12">
        <f>IF(FE37=0,0,IF(ED37=1,SUMPRODUCT(--(($EE$5:$EE37=$EE37-1)*($ED$5:$ED37&gt;=10)*($ED$5:$ED37&lt;=12)),$FG$5:$FG37),IF(ED37=4,SUMPRODUCT(--(($EE$5:$EE37=$EE37)*($ED$5:$ED37&gt;=1)*($ED$5:$ED37&lt;=3)),$FG$5:$FG37),IF(ED37=7,SUMPRODUCT(--(($EE$5:$EE37=$EE37)*($ED$5:$ED37&gt;=4)*($ED$5:$ED37&lt;=6)),$FG$5:$FG37),IF(ED37=10,SUMPRODUCT(--(($EE$5:$EE37=$EE37)*($ED$5:$ED37&gt;=7)*($ED$5:$ED37&lt;=9)),$FG$5:$FG37),0)))))</f>
        <v/>
      </c>
      <c r="FI37" s="12">
        <f>FI36+FG37-FH37</f>
        <v/>
      </c>
      <c r="FJ37" s="12">
        <f>IF(ProviderDelay&gt;=1,FF36*ProviderShare,FF37*ProviderShare)</f>
        <v/>
      </c>
      <c r="FK37" s="12">
        <f>FC37*PaymentFee</f>
        <v/>
      </c>
      <c r="FL37" s="12">
        <f>EW37*OpsAI</f>
        <v/>
      </c>
      <c r="FM37" s="12">
        <f>MonthlyFixed</f>
        <v/>
      </c>
      <c r="FN37" s="12">
        <f>EK37*ReferralReward</f>
        <v/>
      </c>
      <c r="FO37" s="12">
        <f>EI37</f>
        <v/>
      </c>
      <c r="FP37" s="9">
        <f>FF37-FJ37-FK37-FL37-FM37-FN37-FO37</f>
        <v/>
      </c>
      <c r="FQ37" s="9">
        <f>FQ36+FC37-(FJ37+FK37+FL37+FM37+FN37+FO37+FH37)</f>
        <v/>
      </c>
      <c r="FR37" s="12">
        <f>IF(EW37&gt;0,EX37/EW37,0)</f>
        <v/>
      </c>
      <c r="FS37" s="11">
        <f>IF(EW36&gt;0,MAX(0,(EW36+EL37-EW37)/EW36),0)</f>
        <v/>
      </c>
      <c r="FU37" s="12" t="n">
        <v>33</v>
      </c>
      <c r="FV37" s="12">
        <f>MOD(FU37-1+LaunchMonth-1,12)+1</f>
        <v/>
      </c>
      <c r="FW37" s="12">
        <f>INT((FU37-1+LaunchMonth-1)/12)+1</f>
        <v/>
      </c>
      <c r="FX37" s="12">
        <f>VLOOKUP(FV37,SeasonTable,2,FALSE)</f>
        <v/>
      </c>
      <c r="FY37" s="12">
        <f>(1+InflationRate)^INT((FU37-1)/12)</f>
        <v/>
      </c>
      <c r="FZ37" s="11">
        <f>'Sens - Churn'!$A$14*VLOOKUP(FV37,ChurnSeasonTable,4,FALSE)</f>
        <v/>
      </c>
      <c r="GA37" s="12">
        <f>MIN(MAX(MktMin19plus,GU36*MktPct19plus),MAX(0,HI36-CashBuffer))</f>
        <v/>
      </c>
      <c r="GB37" s="12">
        <f>IF(GA37&gt;0,MAX(1,ROUND(GA37/CAC*FX37,0)),0)</f>
        <v/>
      </c>
      <c r="GC37" s="12">
        <f>IF(GB37&gt;0,ROUND(GB37*ReferralMix/(1-ReferralMix),0),0)</f>
        <v/>
      </c>
      <c r="GD37" s="12">
        <f>GB37+GC37</f>
        <v/>
      </c>
      <c r="GE37" s="12">
        <f>ROUND(GD37*(1-AnnualMix),0)</f>
        <v/>
      </c>
      <c r="GF37" s="12">
        <f>GD37-GE37</f>
        <v/>
      </c>
      <c r="GG37" s="12">
        <f>ROUND(GE37*EssentialMix,0)</f>
        <v/>
      </c>
      <c r="GH37" s="12">
        <f>GE37-GG37</f>
        <v/>
      </c>
      <c r="GI37" s="12">
        <f>ROUND(GF37*EssentialMix,0)</f>
        <v/>
      </c>
      <c r="GJ37" s="12">
        <f>GF37-GI37</f>
        <v/>
      </c>
      <c r="GK37" s="12">
        <f>GG37+GG36+GG35+MAX(0,GK36-GG36-GG35)*(1-FZ37)</f>
        <v/>
      </c>
      <c r="GL37" s="12">
        <f>GH37+GH36+GH35+MAX(0,GL36-GH36-GH35)*(1-FZ37)</f>
        <v/>
      </c>
      <c r="GM37" s="12">
        <f>GM36+GI37-GI25*(AnnualChurn*VLOOKUP(FV37,ChurnSeasonTable,4,FALSE))*POWER(1-(AnnualChurn*VLOOKUP(FV37,ChurnSeasonTable,4,FALSE)),0)+GI13*(AnnualChurn*VLOOKUP(FV37,ChurnSeasonTable,4,FALSE))*POWER(1-(AnnualChurn*VLOOKUP(FV37,ChurnSeasonTable,4,FALSE)),1)</f>
        <v/>
      </c>
      <c r="GN37" s="12">
        <f>GN36+GJ37-GJ25*(AnnualChurn*VLOOKUP(FV37,ChurnSeasonTable,4,FALSE))*POWER(1-(AnnualChurn*VLOOKUP(FV37,ChurnSeasonTable,4,FALSE)),0)+GJ13*(AnnualChurn*VLOOKUP(FV37,ChurnSeasonTable,4,FALSE))*POWER(1-(AnnualChurn*VLOOKUP(FV37,ChurnSeasonTable,4,FALSE)),1)</f>
        <v/>
      </c>
      <c r="GO37" s="12">
        <f>GK37+GL37+GM37+GN37</f>
        <v/>
      </c>
      <c r="GP37" s="9">
        <f>GK37*PriceEssMonthly*FY37+GL37*PricePremMonthly*FY37+GM37*PriceEssAnnual*FY37/12+GN37*PricePremAnnual*FY37/12</f>
        <v/>
      </c>
      <c r="GQ37" s="9">
        <f>GP37*12</f>
        <v/>
      </c>
      <c r="GR37" s="12">
        <f>GK37*PriceEssMonthly*FY37+GL37*PricePremMonthly*FY37</f>
        <v/>
      </c>
      <c r="GS37" s="12">
        <f>GI37*PriceEssAnnual*FY37+GJ37*PricePremAnnual*FY37</f>
        <v/>
      </c>
      <c r="GT37" s="12">
        <f>GI25*POWER(1-(AnnualChurn*VLOOKUP(FV37,ChurnSeasonTable,4,FALSE)),1)*PriceEssAnnual*FY37+GI13*POWER(1-(AnnualChurn*VLOOKUP(FV37,ChurnSeasonTable,4,FALSE)),2)*PriceEssAnnual*FY37+GJ25*POWER(1-(AnnualChurn*VLOOKUP(FV37,ChurnSeasonTable,4,FALSE)),1)*PricePremAnnual*FY37+GJ13*POWER(1-(AnnualChurn*VLOOKUP(FV37,ChurnSeasonTable,4,FALSE)),2)*PricePremAnnual*FY37</f>
        <v/>
      </c>
      <c r="GU37" s="9">
        <f>GR37+GS37+GT37</f>
        <v/>
      </c>
      <c r="GV37" s="12">
        <f>SUM(GU26:GU37)</f>
        <v/>
      </c>
      <c r="GW37" s="12">
        <f>OR(GW36,GV37&gt;=VATThreshold)</f>
        <v/>
      </c>
      <c r="GX37" s="9">
        <f>IF(GW37,GU37/(1+VATRate),GU37)</f>
        <v/>
      </c>
      <c r="GY37" s="12">
        <f>GU37-GX37</f>
        <v/>
      </c>
      <c r="GZ37" s="12">
        <f>IF(GW37=0,0,IF(FV37=1,SUMPRODUCT(--(($FW$5:$FW37=$FW37-1)*($FV$5:$FV37&gt;=10)*($FV$5:$FV37&lt;=12)),$GY$5:$GY37),IF(FV37=4,SUMPRODUCT(--(($FW$5:$FW37=$FW37)*($FV$5:$FV37&gt;=1)*($FV$5:$FV37&lt;=3)),$GY$5:$GY37),IF(FV37=7,SUMPRODUCT(--(($FW$5:$FW37=$FW37)*($FV$5:$FV37&gt;=4)*($FV$5:$FV37&lt;=6)),$GY$5:$GY37),IF(FV37=10,SUMPRODUCT(--(($FW$5:$FW37=$FW37)*($FV$5:$FV37&gt;=7)*($FV$5:$FV37&lt;=9)),$GY$5:$GY37),0)))))</f>
        <v/>
      </c>
      <c r="HA37" s="12">
        <f>HA36+GY37-GZ37</f>
        <v/>
      </c>
      <c r="HB37" s="12">
        <f>IF(ProviderDelay&gt;=1,GX36*ProviderShare,GX37*ProviderShare)</f>
        <v/>
      </c>
      <c r="HC37" s="12">
        <f>GU37*PaymentFee</f>
        <v/>
      </c>
      <c r="HD37" s="12">
        <f>GO37*OpsAI</f>
        <v/>
      </c>
      <c r="HE37" s="12">
        <f>MonthlyFixed</f>
        <v/>
      </c>
      <c r="HF37" s="12">
        <f>GC37*ReferralReward</f>
        <v/>
      </c>
      <c r="HG37" s="12">
        <f>GA37</f>
        <v/>
      </c>
      <c r="HH37" s="9">
        <f>GX37-HB37-HC37-HD37-HE37-HF37-HG37</f>
        <v/>
      </c>
      <c r="HI37" s="9">
        <f>HI36+GU37-(HB37+HC37+HD37+HE37+HF37+HG37+GZ37)</f>
        <v/>
      </c>
      <c r="HJ37" s="12">
        <f>IF(GO37&gt;0,GP37/GO37,0)</f>
        <v/>
      </c>
      <c r="HK37" s="11">
        <f>IF(GO36&gt;0,MAX(0,(GO36+GD37-GO37)/GO36),0)</f>
        <v/>
      </c>
      <c r="HM37" s="12" t="n">
        <v>33</v>
      </c>
      <c r="HN37" s="12">
        <f>MOD(HM37-1+LaunchMonth-1,12)+1</f>
        <v/>
      </c>
      <c r="HO37" s="12">
        <f>INT((HM37-1+LaunchMonth-1)/12)+1</f>
        <v/>
      </c>
      <c r="HP37" s="12">
        <f>VLOOKUP(HN37,SeasonTable,2,FALSE)</f>
        <v/>
      </c>
      <c r="HQ37" s="12">
        <f>(1+InflationRate)^INT((HM37-1)/12)</f>
        <v/>
      </c>
      <c r="HR37" s="11">
        <f>'Sens - Churn'!$A$15*VLOOKUP(HN37,ChurnSeasonTable,4,FALSE)</f>
        <v/>
      </c>
      <c r="HS37" s="12">
        <f>MIN(MAX(MktMin19plus,IM36*MktPct19plus),MAX(0,JA36-CashBuffer))</f>
        <v/>
      </c>
      <c r="HT37" s="12">
        <f>IF(HS37&gt;0,MAX(1,ROUND(HS37/CAC*HP37,0)),0)</f>
        <v/>
      </c>
      <c r="HU37" s="12">
        <f>IF(HT37&gt;0,ROUND(HT37*ReferralMix/(1-ReferralMix),0),0)</f>
        <v/>
      </c>
      <c r="HV37" s="12">
        <f>HT37+HU37</f>
        <v/>
      </c>
      <c r="HW37" s="12">
        <f>ROUND(HV37*(1-AnnualMix),0)</f>
        <v/>
      </c>
      <c r="HX37" s="12">
        <f>HV37-HW37</f>
        <v/>
      </c>
      <c r="HY37" s="12">
        <f>ROUND(HW37*EssentialMix,0)</f>
        <v/>
      </c>
      <c r="HZ37" s="12">
        <f>HW37-HY37</f>
        <v/>
      </c>
      <c r="IA37" s="12">
        <f>ROUND(HX37*EssentialMix,0)</f>
        <v/>
      </c>
      <c r="IB37" s="12">
        <f>HX37-IA37</f>
        <v/>
      </c>
      <c r="IC37" s="12">
        <f>HY37+HY36+HY35+MAX(0,IC36-HY36-HY35)*(1-HR37)</f>
        <v/>
      </c>
      <c r="ID37" s="12">
        <f>HZ37+HZ36+HZ35+MAX(0,ID36-HZ36-HZ35)*(1-HR37)</f>
        <v/>
      </c>
      <c r="IE37" s="12">
        <f>IE36+IA37-IA25*(AnnualChurn*VLOOKUP(HN37,ChurnSeasonTable,4,FALSE))*POWER(1-(AnnualChurn*VLOOKUP(HN37,ChurnSeasonTable,4,FALSE)),0)+IA13*(AnnualChurn*VLOOKUP(HN37,ChurnSeasonTable,4,FALSE))*POWER(1-(AnnualChurn*VLOOKUP(HN37,ChurnSeasonTable,4,FALSE)),1)</f>
        <v/>
      </c>
      <c r="IF37" s="12">
        <f>IF36+IB37-IB25*(AnnualChurn*VLOOKUP(HN37,ChurnSeasonTable,4,FALSE))*POWER(1-(AnnualChurn*VLOOKUP(HN37,ChurnSeasonTable,4,FALSE)),0)+IB13*(AnnualChurn*VLOOKUP(HN37,ChurnSeasonTable,4,FALSE))*POWER(1-(AnnualChurn*VLOOKUP(HN37,ChurnSeasonTable,4,FALSE)),1)</f>
        <v/>
      </c>
      <c r="IG37" s="12">
        <f>IC37+ID37+IE37+IF37</f>
        <v/>
      </c>
      <c r="IH37" s="9">
        <f>IC37*PriceEssMonthly*HQ37+ID37*PricePremMonthly*HQ37+IE37*PriceEssAnnual*HQ37/12+IF37*PricePremAnnual*HQ37/12</f>
        <v/>
      </c>
      <c r="II37" s="9">
        <f>IH37*12</f>
        <v/>
      </c>
      <c r="IJ37" s="12">
        <f>IC37*PriceEssMonthly*HQ37+ID37*PricePremMonthly*HQ37</f>
        <v/>
      </c>
      <c r="IK37" s="12">
        <f>IA37*PriceEssAnnual*HQ37+IB37*PricePremAnnual*HQ37</f>
        <v/>
      </c>
      <c r="IL37" s="12">
        <f>IA25*POWER(1-(AnnualChurn*VLOOKUP(HN37,ChurnSeasonTable,4,FALSE)),1)*PriceEssAnnual*HQ37+IA13*POWER(1-(AnnualChurn*VLOOKUP(HN37,ChurnSeasonTable,4,FALSE)),2)*PriceEssAnnual*HQ37+IB25*POWER(1-(AnnualChurn*VLOOKUP(HN37,ChurnSeasonTable,4,FALSE)),1)*PricePremAnnual*HQ37+IB13*POWER(1-(AnnualChurn*VLOOKUP(HN37,ChurnSeasonTable,4,FALSE)),2)*PricePremAnnual*HQ37</f>
        <v/>
      </c>
      <c r="IM37" s="9">
        <f>IJ37+IK37+IL37</f>
        <v/>
      </c>
      <c r="IN37" s="12">
        <f>SUM(IM26:IM37)</f>
        <v/>
      </c>
      <c r="IO37" s="12">
        <f>OR(IO36,IN37&gt;=VATThreshold)</f>
        <v/>
      </c>
      <c r="IP37" s="9">
        <f>IF(IO37,IM37/(1+VATRate),IM37)</f>
        <v/>
      </c>
      <c r="IQ37" s="12">
        <f>IM37-IP37</f>
        <v/>
      </c>
      <c r="IR37" s="12">
        <f>IF(IO37=0,0,IF(HN37=1,SUMPRODUCT(--(($HO$5:$HO37=$HO37-1)*($HN$5:$HN37&gt;=10)*($HN$5:$HN37&lt;=12)),$IQ$5:$IQ37),IF(HN37=4,SUMPRODUCT(--(($HO$5:$HO37=$HO37)*($HN$5:$HN37&gt;=1)*($HN$5:$HN37&lt;=3)),$IQ$5:$IQ37),IF(HN37=7,SUMPRODUCT(--(($HO$5:$HO37=$HO37)*($HN$5:$HN37&gt;=4)*($HN$5:$HN37&lt;=6)),$IQ$5:$IQ37),IF(HN37=10,SUMPRODUCT(--(($HO$5:$HO37=$HO37)*($HN$5:$HN37&gt;=7)*($HN$5:$HN37&lt;=9)),$IQ$5:$IQ37),0)))))</f>
        <v/>
      </c>
      <c r="IS37" s="12">
        <f>IS36+IQ37-IR37</f>
        <v/>
      </c>
      <c r="IT37" s="12">
        <f>IF(ProviderDelay&gt;=1,IP36*ProviderShare,IP37*ProviderShare)</f>
        <v/>
      </c>
      <c r="IU37" s="12">
        <f>IM37*PaymentFee</f>
        <v/>
      </c>
      <c r="IV37" s="12">
        <f>IG37*OpsAI</f>
        <v/>
      </c>
      <c r="IW37" s="12">
        <f>MonthlyFixed</f>
        <v/>
      </c>
      <c r="IX37" s="12">
        <f>HU37*ReferralReward</f>
        <v/>
      </c>
      <c r="IY37" s="12">
        <f>HS37</f>
        <v/>
      </c>
      <c r="IZ37" s="9">
        <f>IP37-IT37-IU37-IV37-IW37-IX37-IY37</f>
        <v/>
      </c>
      <c r="JA37" s="9">
        <f>JA36+IM37-(IT37+IU37+IV37+IW37+IX37+IY37+IR37)</f>
        <v/>
      </c>
      <c r="JB37" s="12">
        <f>IF(IG37&gt;0,IH37/IG37,0)</f>
        <v/>
      </c>
      <c r="JC37" s="11">
        <f>IF(IG36&gt;0,MAX(0,(IG36+HV37-IG37)/IG36),0)</f>
        <v/>
      </c>
      <c r="JE37" s="12" t="n">
        <v>33</v>
      </c>
      <c r="JF37" s="12">
        <f>MOD(JE37-1+LaunchMonth-1,12)+1</f>
        <v/>
      </c>
      <c r="JG37" s="12">
        <f>INT((JE37-1+LaunchMonth-1)/12)+1</f>
        <v/>
      </c>
      <c r="JH37" s="12">
        <f>VLOOKUP(JF37,SeasonTable,2,FALSE)</f>
        <v/>
      </c>
      <c r="JI37" s="12">
        <f>(1+InflationRate)^INT((JE37-1)/12)</f>
        <v/>
      </c>
      <c r="JJ37" s="11">
        <f>'Sens - Churn'!$A$16*VLOOKUP(JF37,ChurnSeasonTable,4,FALSE)</f>
        <v/>
      </c>
      <c r="JK37" s="12">
        <f>MIN(MAX(MktMin19plus,KE36*MktPct19plus),MAX(0,KS36-CashBuffer))</f>
        <v/>
      </c>
      <c r="JL37" s="12">
        <f>IF(JK37&gt;0,MAX(1,ROUND(JK37/CAC*JH37,0)),0)</f>
        <v/>
      </c>
      <c r="JM37" s="12">
        <f>IF(JL37&gt;0,ROUND(JL37*ReferralMix/(1-ReferralMix),0),0)</f>
        <v/>
      </c>
      <c r="JN37" s="12">
        <f>JL37+JM37</f>
        <v/>
      </c>
      <c r="JO37" s="12">
        <f>ROUND(JN37*(1-AnnualMix),0)</f>
        <v/>
      </c>
      <c r="JP37" s="12">
        <f>JN37-JO37</f>
        <v/>
      </c>
      <c r="JQ37" s="12">
        <f>ROUND(JO37*EssentialMix,0)</f>
        <v/>
      </c>
      <c r="JR37" s="12">
        <f>JO37-JQ37</f>
        <v/>
      </c>
      <c r="JS37" s="12">
        <f>ROUND(JP37*EssentialMix,0)</f>
        <v/>
      </c>
      <c r="JT37" s="12">
        <f>JP37-JS37</f>
        <v/>
      </c>
      <c r="JU37" s="12">
        <f>JQ37+JQ36+JQ35+MAX(0,JU36-JQ36-JQ35)*(1-JJ37)</f>
        <v/>
      </c>
      <c r="JV37" s="12">
        <f>JR37+JR36+JR35+MAX(0,JV36-JR36-JR35)*(1-JJ37)</f>
        <v/>
      </c>
      <c r="JW37" s="12">
        <f>JW36+JS37-JS25*(AnnualChurn*VLOOKUP(JF37,ChurnSeasonTable,4,FALSE))*POWER(1-(AnnualChurn*VLOOKUP(JF37,ChurnSeasonTable,4,FALSE)),0)+JS13*(AnnualChurn*VLOOKUP(JF37,ChurnSeasonTable,4,FALSE))*POWER(1-(AnnualChurn*VLOOKUP(JF37,ChurnSeasonTable,4,FALSE)),1)</f>
        <v/>
      </c>
      <c r="JX37" s="12">
        <f>JX36+JT37-JT25*(AnnualChurn*VLOOKUP(JF37,ChurnSeasonTable,4,FALSE))*POWER(1-(AnnualChurn*VLOOKUP(JF37,ChurnSeasonTable,4,FALSE)),0)+JT13*(AnnualChurn*VLOOKUP(JF37,ChurnSeasonTable,4,FALSE))*POWER(1-(AnnualChurn*VLOOKUP(JF37,ChurnSeasonTable,4,FALSE)),1)</f>
        <v/>
      </c>
      <c r="JY37" s="12">
        <f>JU37+JV37+JW37+JX37</f>
        <v/>
      </c>
      <c r="JZ37" s="9">
        <f>JU37*PriceEssMonthly*JI37+JV37*PricePremMonthly*JI37+JW37*PriceEssAnnual*JI37/12+JX37*PricePremAnnual*JI37/12</f>
        <v/>
      </c>
      <c r="KA37" s="9">
        <f>JZ37*12</f>
        <v/>
      </c>
      <c r="KB37" s="12">
        <f>JU37*PriceEssMonthly*JI37+JV37*PricePremMonthly*JI37</f>
        <v/>
      </c>
      <c r="KC37" s="12">
        <f>JS37*PriceEssAnnual*JI37+JT37*PricePremAnnual*JI37</f>
        <v/>
      </c>
      <c r="KD37" s="12">
        <f>JS25*POWER(1-(AnnualChurn*VLOOKUP(JF37,ChurnSeasonTable,4,FALSE)),1)*PriceEssAnnual*JI37+JS13*POWER(1-(AnnualChurn*VLOOKUP(JF37,ChurnSeasonTable,4,FALSE)),2)*PriceEssAnnual*JI37+JT25*POWER(1-(AnnualChurn*VLOOKUP(JF37,ChurnSeasonTable,4,FALSE)),1)*PricePremAnnual*JI37+JT13*POWER(1-(AnnualChurn*VLOOKUP(JF37,ChurnSeasonTable,4,FALSE)),2)*PricePremAnnual*JI37</f>
        <v/>
      </c>
      <c r="KE37" s="9">
        <f>KB37+KC37+KD37</f>
        <v/>
      </c>
      <c r="KF37" s="12">
        <f>SUM(KE26:KE37)</f>
        <v/>
      </c>
      <c r="KG37" s="12">
        <f>OR(KG36,KF37&gt;=VATThreshold)</f>
        <v/>
      </c>
      <c r="KH37" s="9">
        <f>IF(KG37,KE37/(1+VATRate),KE37)</f>
        <v/>
      </c>
      <c r="KI37" s="12">
        <f>KE37-KH37</f>
        <v/>
      </c>
      <c r="KJ37" s="12">
        <f>IF(KG37=0,0,IF(JF37=1,SUMPRODUCT(--(($JG$5:$JG37=$JG37-1)*($JF$5:$JF37&gt;=10)*($JF$5:$JF37&lt;=12)),$KI$5:$KI37),IF(JF37=4,SUMPRODUCT(--(($JG$5:$JG37=$JG37)*($JF$5:$JF37&gt;=1)*($JF$5:$JF37&lt;=3)),$KI$5:$KI37),IF(JF37=7,SUMPRODUCT(--(($JG$5:$JG37=$JG37)*($JF$5:$JF37&gt;=4)*($JF$5:$JF37&lt;=6)),$KI$5:$KI37),IF(JF37=10,SUMPRODUCT(--(($JG$5:$JG37=$JG37)*($JF$5:$JF37&gt;=7)*($JF$5:$JF37&lt;=9)),$KI$5:$KI37),0)))))</f>
        <v/>
      </c>
      <c r="KK37" s="12">
        <f>KK36+KI37-KJ37</f>
        <v/>
      </c>
      <c r="KL37" s="12">
        <f>IF(ProviderDelay&gt;=1,KH36*ProviderShare,KH37*ProviderShare)</f>
        <v/>
      </c>
      <c r="KM37" s="12">
        <f>KE37*PaymentFee</f>
        <v/>
      </c>
      <c r="KN37" s="12">
        <f>JY37*OpsAI</f>
        <v/>
      </c>
      <c r="KO37" s="12">
        <f>MonthlyFixed</f>
        <v/>
      </c>
      <c r="KP37" s="12">
        <f>JM37*ReferralReward</f>
        <v/>
      </c>
      <c r="KQ37" s="12">
        <f>JK37</f>
        <v/>
      </c>
      <c r="KR37" s="9">
        <f>KH37-KL37-KM37-KN37-KO37-KP37-KQ37</f>
        <v/>
      </c>
      <c r="KS37" s="9">
        <f>KS36+KE37-(KL37+KM37+KN37+KO37+KP37+KQ37+KJ37)</f>
        <v/>
      </c>
      <c r="KT37" s="12">
        <f>IF(JY37&gt;0,JZ37/JY37,0)</f>
        <v/>
      </c>
      <c r="KU37" s="11">
        <f>IF(JY36&gt;0,MAX(0,(JY36+JN37-JY37)/JY36),0)</f>
        <v/>
      </c>
      <c r="KW37" s="12" t="n">
        <v>33</v>
      </c>
      <c r="KX37" s="12">
        <f>MOD(KW37-1+LaunchMonth-1,12)+1</f>
        <v/>
      </c>
      <c r="KY37" s="12">
        <f>INT((KW37-1+LaunchMonth-1)/12)+1</f>
        <v/>
      </c>
      <c r="KZ37" s="12">
        <f>VLOOKUP(KX37,SeasonTable,2,FALSE)</f>
        <v/>
      </c>
      <c r="LA37" s="12">
        <f>(1+InflationRate)^INT((KW37-1)/12)</f>
        <v/>
      </c>
      <c r="LB37" s="11">
        <f>'Sens - Churn'!$A$17*VLOOKUP(KX37,ChurnSeasonTable,4,FALSE)</f>
        <v/>
      </c>
      <c r="LC37" s="12">
        <f>MIN(MAX(MktMin19plus,LW36*MktPct19plus),MAX(0,MK36-CashBuffer))</f>
        <v/>
      </c>
      <c r="LD37" s="12">
        <f>IF(LC37&gt;0,MAX(1,ROUND(LC37/CAC*KZ37,0)),0)</f>
        <v/>
      </c>
      <c r="LE37" s="12">
        <f>IF(LD37&gt;0,ROUND(LD37*ReferralMix/(1-ReferralMix),0),0)</f>
        <v/>
      </c>
      <c r="LF37" s="12">
        <f>LD37+LE37</f>
        <v/>
      </c>
      <c r="LG37" s="12">
        <f>ROUND(LF37*(1-AnnualMix),0)</f>
        <v/>
      </c>
      <c r="LH37" s="12">
        <f>LF37-LG37</f>
        <v/>
      </c>
      <c r="LI37" s="12">
        <f>ROUND(LG37*EssentialMix,0)</f>
        <v/>
      </c>
      <c r="LJ37" s="12">
        <f>LG37-LI37</f>
        <v/>
      </c>
      <c r="LK37" s="12">
        <f>ROUND(LH37*EssentialMix,0)</f>
        <v/>
      </c>
      <c r="LL37" s="12">
        <f>LH37-LK37</f>
        <v/>
      </c>
      <c r="LM37" s="12">
        <f>LI37+LI36+LI35+MAX(0,LM36-LI36-LI35)*(1-LB37)</f>
        <v/>
      </c>
      <c r="LN37" s="12">
        <f>LJ37+LJ36+LJ35+MAX(0,LN36-LJ36-LJ35)*(1-LB37)</f>
        <v/>
      </c>
      <c r="LO37" s="12">
        <f>LO36+LK37-LK25*(AnnualChurn*VLOOKUP(KX37,ChurnSeasonTable,4,FALSE))*POWER(1-(AnnualChurn*VLOOKUP(KX37,ChurnSeasonTable,4,FALSE)),0)+LK13*(AnnualChurn*VLOOKUP(KX37,ChurnSeasonTable,4,FALSE))*POWER(1-(AnnualChurn*VLOOKUP(KX37,ChurnSeasonTable,4,FALSE)),1)</f>
        <v/>
      </c>
      <c r="LP37" s="12">
        <f>LP36+LL37-LL25*(AnnualChurn*VLOOKUP(KX37,ChurnSeasonTable,4,FALSE))*POWER(1-(AnnualChurn*VLOOKUP(KX37,ChurnSeasonTable,4,FALSE)),0)+LL13*(AnnualChurn*VLOOKUP(KX37,ChurnSeasonTable,4,FALSE))*POWER(1-(AnnualChurn*VLOOKUP(KX37,ChurnSeasonTable,4,FALSE)),1)</f>
        <v/>
      </c>
      <c r="LQ37" s="12">
        <f>LM37+LN37+LO37+LP37</f>
        <v/>
      </c>
      <c r="LR37" s="9">
        <f>LM37*PriceEssMonthly*LA37+LN37*PricePremMonthly*LA37+LO37*PriceEssAnnual*LA37/12+LP37*PricePremAnnual*LA37/12</f>
        <v/>
      </c>
      <c r="LS37" s="9">
        <f>LR37*12</f>
        <v/>
      </c>
      <c r="LT37" s="12">
        <f>LM37*PriceEssMonthly*LA37+LN37*PricePremMonthly*LA37</f>
        <v/>
      </c>
      <c r="LU37" s="12">
        <f>LK37*PriceEssAnnual*LA37+LL37*PricePremAnnual*LA37</f>
        <v/>
      </c>
      <c r="LV37" s="12">
        <f>LK25*POWER(1-(AnnualChurn*VLOOKUP(KX37,ChurnSeasonTable,4,FALSE)),1)*PriceEssAnnual*LA37+LK13*POWER(1-(AnnualChurn*VLOOKUP(KX37,ChurnSeasonTable,4,FALSE)),2)*PriceEssAnnual*LA37+LL25*POWER(1-(AnnualChurn*VLOOKUP(KX37,ChurnSeasonTable,4,FALSE)),1)*PricePremAnnual*LA37+LL13*POWER(1-(AnnualChurn*VLOOKUP(KX37,ChurnSeasonTable,4,FALSE)),2)*PricePremAnnual*LA37</f>
        <v/>
      </c>
      <c r="LW37" s="9">
        <f>LT37+LU37+LV37</f>
        <v/>
      </c>
      <c r="LX37" s="12">
        <f>SUM(LW26:LW37)</f>
        <v/>
      </c>
      <c r="LY37" s="12">
        <f>OR(LY36,LX37&gt;=VATThreshold)</f>
        <v/>
      </c>
      <c r="LZ37" s="9">
        <f>IF(LY37,LW37/(1+VATRate),LW37)</f>
        <v/>
      </c>
      <c r="MA37" s="12">
        <f>LW37-LZ37</f>
        <v/>
      </c>
      <c r="MB37" s="12">
        <f>IF(LY37=0,0,IF(KX37=1,SUMPRODUCT(--(($KY$5:$KY37=$KY37-1)*($KX$5:$KX37&gt;=10)*($KX$5:$KX37&lt;=12)),$MA$5:$MA37),IF(KX37=4,SUMPRODUCT(--(($KY$5:$KY37=$KY37)*($KX$5:$KX37&gt;=1)*($KX$5:$KX37&lt;=3)),$MA$5:$MA37),IF(KX37=7,SUMPRODUCT(--(($KY$5:$KY37=$KY37)*($KX$5:$KX37&gt;=4)*($KX$5:$KX37&lt;=6)),$MA$5:$MA37),IF(KX37=10,SUMPRODUCT(--(($KY$5:$KY37=$KY37)*($KX$5:$KX37&gt;=7)*($KX$5:$KX37&lt;=9)),$MA$5:$MA37),0)))))</f>
        <v/>
      </c>
      <c r="MC37" s="12">
        <f>MC36+MA37-MB37</f>
        <v/>
      </c>
      <c r="MD37" s="12">
        <f>IF(ProviderDelay&gt;=1,LZ36*ProviderShare,LZ37*ProviderShare)</f>
        <v/>
      </c>
      <c r="ME37" s="12">
        <f>LW37*PaymentFee</f>
        <v/>
      </c>
      <c r="MF37" s="12">
        <f>LQ37*OpsAI</f>
        <v/>
      </c>
      <c r="MG37" s="12">
        <f>MonthlyFixed</f>
        <v/>
      </c>
      <c r="MH37" s="12">
        <f>LE37*ReferralReward</f>
        <v/>
      </c>
      <c r="MI37" s="12">
        <f>LC37</f>
        <v/>
      </c>
      <c r="MJ37" s="9">
        <f>LZ37-MD37-ME37-MF37-MG37-MH37-MI37</f>
        <v/>
      </c>
      <c r="MK37" s="9">
        <f>MK36+LW37-(MD37+ME37+MF37+MG37+MH37+MI37+MB37)</f>
        <v/>
      </c>
      <c r="ML37" s="12">
        <f>IF(LQ37&gt;0,LR37/LQ37,0)</f>
        <v/>
      </c>
      <c r="MM37" s="11">
        <f>IF(LQ36&gt;0,MAX(0,(LQ36+LF37-LQ37)/LQ36),0)</f>
        <v/>
      </c>
      <c r="MO37" s="12" t="n">
        <v>33</v>
      </c>
      <c r="MP37" s="12">
        <f>MOD(MO37-1+LaunchMonth-1,12)+1</f>
        <v/>
      </c>
      <c r="MQ37" s="12">
        <f>INT((MO37-1+LaunchMonth-1)/12)+1</f>
        <v/>
      </c>
      <c r="MR37" s="12">
        <f>VLOOKUP(MP37,SeasonTable,2,FALSE)</f>
        <v/>
      </c>
      <c r="MS37" s="12">
        <f>(1+InflationRate)^INT((MO37-1)/12)</f>
        <v/>
      </c>
      <c r="MT37" s="11">
        <f>'Sens - Churn'!$A$18*VLOOKUP(MP37,ChurnSeasonTable,4,FALSE)</f>
        <v/>
      </c>
      <c r="MU37" s="12">
        <f>MIN(MAX(MktMin19plus,NO36*MktPct19plus),MAX(0,OC36-CashBuffer))</f>
        <v/>
      </c>
      <c r="MV37" s="12">
        <f>IF(MU37&gt;0,MAX(1,ROUND(MU37/CAC*MR37,0)),0)</f>
        <v/>
      </c>
      <c r="MW37" s="12">
        <f>IF(MV37&gt;0,ROUND(MV37*ReferralMix/(1-ReferralMix),0),0)</f>
        <v/>
      </c>
      <c r="MX37" s="12">
        <f>MV37+MW37</f>
        <v/>
      </c>
      <c r="MY37" s="12">
        <f>ROUND(MX37*(1-AnnualMix),0)</f>
        <v/>
      </c>
      <c r="MZ37" s="12">
        <f>MX37-MY37</f>
        <v/>
      </c>
      <c r="NA37" s="12">
        <f>ROUND(MY37*EssentialMix,0)</f>
        <v/>
      </c>
      <c r="NB37" s="12">
        <f>MY37-NA37</f>
        <v/>
      </c>
      <c r="NC37" s="12">
        <f>ROUND(MZ37*EssentialMix,0)</f>
        <v/>
      </c>
      <c r="ND37" s="12">
        <f>MZ37-NC37</f>
        <v/>
      </c>
      <c r="NE37" s="12">
        <f>NA37+NA36+NA35+MAX(0,NE36-NA36-NA35)*(1-MT37)</f>
        <v/>
      </c>
      <c r="NF37" s="12">
        <f>NB37+NB36+NB35+MAX(0,NF36-NB36-NB35)*(1-MT37)</f>
        <v/>
      </c>
      <c r="NG37" s="12">
        <f>NG36+NC37-NC25*(AnnualChurn*VLOOKUP(MP37,ChurnSeasonTable,4,FALSE))*POWER(1-(AnnualChurn*VLOOKUP(MP37,ChurnSeasonTable,4,FALSE)),0)+NC13*(AnnualChurn*VLOOKUP(MP37,ChurnSeasonTable,4,FALSE))*POWER(1-(AnnualChurn*VLOOKUP(MP37,ChurnSeasonTable,4,FALSE)),1)</f>
        <v/>
      </c>
      <c r="NH37" s="12">
        <f>NH36+ND37-ND25*(AnnualChurn*VLOOKUP(MP37,ChurnSeasonTable,4,FALSE))*POWER(1-(AnnualChurn*VLOOKUP(MP37,ChurnSeasonTable,4,FALSE)),0)+ND13*(AnnualChurn*VLOOKUP(MP37,ChurnSeasonTable,4,FALSE))*POWER(1-(AnnualChurn*VLOOKUP(MP37,ChurnSeasonTable,4,FALSE)),1)</f>
        <v/>
      </c>
      <c r="NI37" s="12">
        <f>NE37+NF37+NG37+NH37</f>
        <v/>
      </c>
      <c r="NJ37" s="9">
        <f>NE37*PriceEssMonthly*MS37+NF37*PricePremMonthly*MS37+NG37*PriceEssAnnual*MS37/12+NH37*PricePremAnnual*MS37/12</f>
        <v/>
      </c>
      <c r="NK37" s="9">
        <f>NJ37*12</f>
        <v/>
      </c>
      <c r="NL37" s="12">
        <f>NE37*PriceEssMonthly*MS37+NF37*PricePremMonthly*MS37</f>
        <v/>
      </c>
      <c r="NM37" s="12">
        <f>NC37*PriceEssAnnual*MS37+ND37*PricePremAnnual*MS37</f>
        <v/>
      </c>
      <c r="NN37" s="12">
        <f>NC25*POWER(1-(AnnualChurn*VLOOKUP(MP37,ChurnSeasonTable,4,FALSE)),1)*PriceEssAnnual*MS37+NC13*POWER(1-(AnnualChurn*VLOOKUP(MP37,ChurnSeasonTable,4,FALSE)),2)*PriceEssAnnual*MS37+ND25*POWER(1-(AnnualChurn*VLOOKUP(MP37,ChurnSeasonTable,4,FALSE)),1)*PricePremAnnual*MS37+ND13*POWER(1-(AnnualChurn*VLOOKUP(MP37,ChurnSeasonTable,4,FALSE)),2)*PricePremAnnual*MS37</f>
        <v/>
      </c>
      <c r="NO37" s="9">
        <f>NL37+NM37+NN37</f>
        <v/>
      </c>
      <c r="NP37" s="12">
        <f>SUM(NO26:NO37)</f>
        <v/>
      </c>
      <c r="NQ37" s="12">
        <f>OR(NQ36,NP37&gt;=VATThreshold)</f>
        <v/>
      </c>
      <c r="NR37" s="9">
        <f>IF(NQ37,NO37/(1+VATRate),NO37)</f>
        <v/>
      </c>
      <c r="NS37" s="12">
        <f>NO37-NR37</f>
        <v/>
      </c>
      <c r="NT37" s="12">
        <f>IF(NQ37=0,0,IF(MP37=1,SUMPRODUCT(--(($MQ$5:$MQ37=$MQ37-1)*($MP$5:$MP37&gt;=10)*($MP$5:$MP37&lt;=12)),$NS$5:$NS37),IF(MP37=4,SUMPRODUCT(--(($MQ$5:$MQ37=$MQ37)*($MP$5:$MP37&gt;=1)*($MP$5:$MP37&lt;=3)),$NS$5:$NS37),IF(MP37=7,SUMPRODUCT(--(($MQ$5:$MQ37=$MQ37)*($MP$5:$MP37&gt;=4)*($MP$5:$MP37&lt;=6)),$NS$5:$NS37),IF(MP37=10,SUMPRODUCT(--(($MQ$5:$MQ37=$MQ37)*($MP$5:$MP37&gt;=7)*($MP$5:$MP37&lt;=9)),$NS$5:$NS37),0)))))</f>
        <v/>
      </c>
      <c r="NU37" s="12">
        <f>NU36+NS37-NT37</f>
        <v/>
      </c>
      <c r="NV37" s="12">
        <f>IF(ProviderDelay&gt;=1,NR36*ProviderShare,NR37*ProviderShare)</f>
        <v/>
      </c>
      <c r="NW37" s="12">
        <f>NO37*PaymentFee</f>
        <v/>
      </c>
      <c r="NX37" s="12">
        <f>NI37*OpsAI</f>
        <v/>
      </c>
      <c r="NY37" s="12">
        <f>MonthlyFixed</f>
        <v/>
      </c>
      <c r="NZ37" s="12">
        <f>MW37*ReferralReward</f>
        <v/>
      </c>
      <c r="OA37" s="12">
        <f>MU37</f>
        <v/>
      </c>
      <c r="OB37" s="9">
        <f>NR37-NV37-NW37-NX37-NY37-NZ37-OA37</f>
        <v/>
      </c>
      <c r="OC37" s="9">
        <f>OC36+NO37-(NV37+NW37+NX37+NY37+NZ37+OA37+NT37)</f>
        <v/>
      </c>
      <c r="OD37" s="12">
        <f>IF(NI37&gt;0,NJ37/NI37,0)</f>
        <v/>
      </c>
      <c r="OE37" s="11">
        <f>IF(NI36&gt;0,MAX(0,(NI36+MX37-NI37)/NI36),0)</f>
        <v/>
      </c>
      <c r="OG37" s="12" t="n">
        <v>33</v>
      </c>
      <c r="OH37" s="12">
        <f>MOD(OG37-1+LaunchMonth-1,12)+1</f>
        <v/>
      </c>
      <c r="OI37" s="12">
        <f>INT((OG37-1+LaunchMonth-1)/12)+1</f>
        <v/>
      </c>
      <c r="OJ37" s="12">
        <f>VLOOKUP(OH37,SeasonTable,2,FALSE)</f>
        <v/>
      </c>
      <c r="OK37" s="12">
        <f>(1+InflationRate)^INT((OG37-1)/12)</f>
        <v/>
      </c>
      <c r="OL37" s="11">
        <f>'Sens - Churn'!$A$19*VLOOKUP(OH37,ChurnSeasonTable,4,FALSE)</f>
        <v/>
      </c>
      <c r="OM37" s="12">
        <f>MIN(MAX(MktMin19plus,PG36*MktPct19plus),MAX(0,PU36-CashBuffer))</f>
        <v/>
      </c>
      <c r="ON37" s="12">
        <f>IF(OM37&gt;0,MAX(1,ROUND(OM37/CAC*OJ37,0)),0)</f>
        <v/>
      </c>
      <c r="OO37" s="12">
        <f>IF(ON37&gt;0,ROUND(ON37*ReferralMix/(1-ReferralMix),0),0)</f>
        <v/>
      </c>
      <c r="OP37" s="12">
        <f>ON37+OO37</f>
        <v/>
      </c>
      <c r="OQ37" s="12">
        <f>ROUND(OP37*(1-AnnualMix),0)</f>
        <v/>
      </c>
      <c r="OR37" s="12">
        <f>OP37-OQ37</f>
        <v/>
      </c>
      <c r="OS37" s="12">
        <f>ROUND(OQ37*EssentialMix,0)</f>
        <v/>
      </c>
      <c r="OT37" s="12">
        <f>OQ37-OS37</f>
        <v/>
      </c>
      <c r="OU37" s="12">
        <f>ROUND(OR37*EssentialMix,0)</f>
        <v/>
      </c>
      <c r="OV37" s="12">
        <f>OR37-OU37</f>
        <v/>
      </c>
      <c r="OW37" s="12">
        <f>OS37+OS36+OS35+MAX(0,OW36-OS36-OS35)*(1-OL37)</f>
        <v/>
      </c>
      <c r="OX37" s="12">
        <f>OT37+OT36+OT35+MAX(0,OX36-OT36-OT35)*(1-OL37)</f>
        <v/>
      </c>
      <c r="OY37" s="12">
        <f>OY36+OU37-OU25*(AnnualChurn*VLOOKUP(OH37,ChurnSeasonTable,4,FALSE))*POWER(1-(AnnualChurn*VLOOKUP(OH37,ChurnSeasonTable,4,FALSE)),0)+OU13*(AnnualChurn*VLOOKUP(OH37,ChurnSeasonTable,4,FALSE))*POWER(1-(AnnualChurn*VLOOKUP(OH37,ChurnSeasonTable,4,FALSE)),1)</f>
        <v/>
      </c>
      <c r="OZ37" s="12">
        <f>OZ36+OV37-OV25*(AnnualChurn*VLOOKUP(OH37,ChurnSeasonTable,4,FALSE))*POWER(1-(AnnualChurn*VLOOKUP(OH37,ChurnSeasonTable,4,FALSE)),0)+OV13*(AnnualChurn*VLOOKUP(OH37,ChurnSeasonTable,4,FALSE))*POWER(1-(AnnualChurn*VLOOKUP(OH37,ChurnSeasonTable,4,FALSE)),1)</f>
        <v/>
      </c>
      <c r="PA37" s="12">
        <f>OW37+OX37+OY37+OZ37</f>
        <v/>
      </c>
      <c r="PB37" s="9">
        <f>OW37*PriceEssMonthly*OK37+OX37*PricePremMonthly*OK37+OY37*PriceEssAnnual*OK37/12+OZ37*PricePremAnnual*OK37/12</f>
        <v/>
      </c>
      <c r="PC37" s="9">
        <f>PB37*12</f>
        <v/>
      </c>
      <c r="PD37" s="12">
        <f>OW37*PriceEssMonthly*OK37+OX37*PricePremMonthly*OK37</f>
        <v/>
      </c>
      <c r="PE37" s="12">
        <f>OU37*PriceEssAnnual*OK37+OV37*PricePremAnnual*OK37</f>
        <v/>
      </c>
      <c r="PF37" s="12">
        <f>OU25*POWER(1-(AnnualChurn*VLOOKUP(OH37,ChurnSeasonTable,4,FALSE)),1)*PriceEssAnnual*OK37+OU13*POWER(1-(AnnualChurn*VLOOKUP(OH37,ChurnSeasonTable,4,FALSE)),2)*PriceEssAnnual*OK37+OV25*POWER(1-(AnnualChurn*VLOOKUP(OH37,ChurnSeasonTable,4,FALSE)),1)*PricePremAnnual*OK37+OV13*POWER(1-(AnnualChurn*VLOOKUP(OH37,ChurnSeasonTable,4,FALSE)),2)*PricePremAnnual*OK37</f>
        <v/>
      </c>
      <c r="PG37" s="9">
        <f>PD37+PE37+PF37</f>
        <v/>
      </c>
      <c r="PH37" s="12">
        <f>SUM(PG26:PG37)</f>
        <v/>
      </c>
      <c r="PI37" s="12">
        <f>OR(PI36,PH37&gt;=VATThreshold)</f>
        <v/>
      </c>
      <c r="PJ37" s="9">
        <f>IF(PI37,PG37/(1+VATRate),PG37)</f>
        <v/>
      </c>
      <c r="PK37" s="12">
        <f>PG37-PJ37</f>
        <v/>
      </c>
      <c r="PL37" s="12">
        <f>IF(PI37=0,0,IF(OH37=1,SUMPRODUCT(--(($OI$5:$OI37=$OI37-1)*($OH$5:$OH37&gt;=10)*($OH$5:$OH37&lt;=12)),$PK$5:$PK37),IF(OH37=4,SUMPRODUCT(--(($OI$5:$OI37=$OI37)*($OH$5:$OH37&gt;=1)*($OH$5:$OH37&lt;=3)),$PK$5:$PK37),IF(OH37=7,SUMPRODUCT(--(($OI$5:$OI37=$OI37)*($OH$5:$OH37&gt;=4)*($OH$5:$OH37&lt;=6)),$PK$5:$PK37),IF(OH37=10,SUMPRODUCT(--(($OI$5:$OI37=$OI37)*($OH$5:$OH37&gt;=7)*($OH$5:$OH37&lt;=9)),$PK$5:$PK37),0)))))</f>
        <v/>
      </c>
      <c r="PM37" s="12">
        <f>PM36+PK37-PL37</f>
        <v/>
      </c>
      <c r="PN37" s="12">
        <f>IF(ProviderDelay&gt;=1,PJ36*ProviderShare,PJ37*ProviderShare)</f>
        <v/>
      </c>
      <c r="PO37" s="12">
        <f>PG37*PaymentFee</f>
        <v/>
      </c>
      <c r="PP37" s="12">
        <f>PA37*OpsAI</f>
        <v/>
      </c>
      <c r="PQ37" s="12">
        <f>MonthlyFixed</f>
        <v/>
      </c>
      <c r="PR37" s="12">
        <f>OO37*ReferralReward</f>
        <v/>
      </c>
      <c r="PS37" s="12">
        <f>OM37</f>
        <v/>
      </c>
      <c r="PT37" s="9">
        <f>PJ37-PN37-PO37-PP37-PQ37-PR37-PS37</f>
        <v/>
      </c>
      <c r="PU37" s="9">
        <f>PU36+PG37-(PN37+PO37+PP37+PQ37+PR37+PS37+PL37)</f>
        <v/>
      </c>
      <c r="PV37" s="12">
        <f>IF(PA37&gt;0,PB37/PA37,0)</f>
        <v/>
      </c>
      <c r="PW37" s="11">
        <f>IF(PA36&gt;0,MAX(0,(PA36+OP37-PA37)/PA36),0)</f>
        <v/>
      </c>
      <c r="PY37" s="12" t="n">
        <v>33</v>
      </c>
      <c r="PZ37" s="12">
        <f>MOD(PY37-1+LaunchMonth-1,12)+1</f>
        <v/>
      </c>
      <c r="QA37" s="12">
        <f>INT((PY37-1+LaunchMonth-1)/12)+1</f>
        <v/>
      </c>
      <c r="QB37" s="12">
        <f>VLOOKUP(PZ37,SeasonTable,2,FALSE)</f>
        <v/>
      </c>
      <c r="QC37" s="12">
        <f>(1+InflationRate)^INT((PY37-1)/12)</f>
        <v/>
      </c>
      <c r="QD37" s="11">
        <f>'Sens - Churn'!$A$20*VLOOKUP(PZ37,ChurnSeasonTable,4,FALSE)</f>
        <v/>
      </c>
      <c r="QE37" s="12">
        <f>MIN(MAX(MktMin19plus,QY36*MktPct19plus),MAX(0,RM36-CashBuffer))</f>
        <v/>
      </c>
      <c r="QF37" s="12">
        <f>IF(QE37&gt;0,MAX(1,ROUND(QE37/CAC*QB37,0)),0)</f>
        <v/>
      </c>
      <c r="QG37" s="12">
        <f>IF(QF37&gt;0,ROUND(QF37*ReferralMix/(1-ReferralMix),0),0)</f>
        <v/>
      </c>
      <c r="QH37" s="12">
        <f>QF37+QG37</f>
        <v/>
      </c>
      <c r="QI37" s="12">
        <f>ROUND(QH37*(1-AnnualMix),0)</f>
        <v/>
      </c>
      <c r="QJ37" s="12">
        <f>QH37-QI37</f>
        <v/>
      </c>
      <c r="QK37" s="12">
        <f>ROUND(QI37*EssentialMix,0)</f>
        <v/>
      </c>
      <c r="QL37" s="12">
        <f>QI37-QK37</f>
        <v/>
      </c>
      <c r="QM37" s="12">
        <f>ROUND(QJ37*EssentialMix,0)</f>
        <v/>
      </c>
      <c r="QN37" s="12">
        <f>QJ37-QM37</f>
        <v/>
      </c>
      <c r="QO37" s="12">
        <f>QK37+QK36+QK35+MAX(0,QO36-QK36-QK35)*(1-QD37)</f>
        <v/>
      </c>
      <c r="QP37" s="12">
        <f>QL37+QL36+QL35+MAX(0,QP36-QL36-QL35)*(1-QD37)</f>
        <v/>
      </c>
      <c r="QQ37" s="12">
        <f>QQ36+QM37-QM25*(AnnualChurn*VLOOKUP(PZ37,ChurnSeasonTable,4,FALSE))*POWER(1-(AnnualChurn*VLOOKUP(PZ37,ChurnSeasonTable,4,FALSE)),0)+QM13*(AnnualChurn*VLOOKUP(PZ37,ChurnSeasonTable,4,FALSE))*POWER(1-(AnnualChurn*VLOOKUP(PZ37,ChurnSeasonTable,4,FALSE)),1)</f>
        <v/>
      </c>
      <c r="QR37" s="12">
        <f>QR36+QN37-QN25*(AnnualChurn*VLOOKUP(PZ37,ChurnSeasonTable,4,FALSE))*POWER(1-(AnnualChurn*VLOOKUP(PZ37,ChurnSeasonTable,4,FALSE)),0)+QN13*(AnnualChurn*VLOOKUP(PZ37,ChurnSeasonTable,4,FALSE))*POWER(1-(AnnualChurn*VLOOKUP(PZ37,ChurnSeasonTable,4,FALSE)),1)</f>
        <v/>
      </c>
      <c r="QS37" s="12">
        <f>QO37+QP37+QQ37+QR37</f>
        <v/>
      </c>
      <c r="QT37" s="9">
        <f>QO37*PriceEssMonthly*QC37+QP37*PricePremMonthly*QC37+QQ37*PriceEssAnnual*QC37/12+QR37*PricePremAnnual*QC37/12</f>
        <v/>
      </c>
      <c r="QU37" s="9">
        <f>QT37*12</f>
        <v/>
      </c>
      <c r="QV37" s="12">
        <f>QO37*PriceEssMonthly*QC37+QP37*PricePremMonthly*QC37</f>
        <v/>
      </c>
      <c r="QW37" s="12">
        <f>QM37*PriceEssAnnual*QC37+QN37*PricePremAnnual*QC37</f>
        <v/>
      </c>
      <c r="QX37" s="12">
        <f>QM25*POWER(1-(AnnualChurn*VLOOKUP(PZ37,ChurnSeasonTable,4,FALSE)),1)*PriceEssAnnual*QC37+QM13*POWER(1-(AnnualChurn*VLOOKUP(PZ37,ChurnSeasonTable,4,FALSE)),2)*PriceEssAnnual*QC37+QN25*POWER(1-(AnnualChurn*VLOOKUP(PZ37,ChurnSeasonTable,4,FALSE)),1)*PricePremAnnual*QC37+QN13*POWER(1-(AnnualChurn*VLOOKUP(PZ37,ChurnSeasonTable,4,FALSE)),2)*PricePremAnnual*QC37</f>
        <v/>
      </c>
      <c r="QY37" s="9">
        <f>QV37+QW37+QX37</f>
        <v/>
      </c>
      <c r="QZ37" s="12">
        <f>SUM(QY26:QY37)</f>
        <v/>
      </c>
      <c r="RA37" s="12">
        <f>OR(RA36,QZ37&gt;=VATThreshold)</f>
        <v/>
      </c>
      <c r="RB37" s="9">
        <f>IF(RA37,QY37/(1+VATRate),QY37)</f>
        <v/>
      </c>
      <c r="RC37" s="12">
        <f>QY37-RB37</f>
        <v/>
      </c>
      <c r="RD37" s="12">
        <f>IF(RA37=0,0,IF(PZ37=1,SUMPRODUCT(--(($QA$5:$QA37=$QA37-1)*($PZ$5:$PZ37&gt;=10)*($PZ$5:$PZ37&lt;=12)),$RC$5:$RC37),IF(PZ37=4,SUMPRODUCT(--(($QA$5:$QA37=$QA37)*($PZ$5:$PZ37&gt;=1)*($PZ$5:$PZ37&lt;=3)),$RC$5:$RC37),IF(PZ37=7,SUMPRODUCT(--(($QA$5:$QA37=$QA37)*($PZ$5:$PZ37&gt;=4)*($PZ$5:$PZ37&lt;=6)),$RC$5:$RC37),IF(PZ37=10,SUMPRODUCT(--(($QA$5:$QA37=$QA37)*($PZ$5:$PZ37&gt;=7)*($PZ$5:$PZ37&lt;=9)),$RC$5:$RC37),0)))))</f>
        <v/>
      </c>
      <c r="RE37" s="12">
        <f>RE36+RC37-RD37</f>
        <v/>
      </c>
      <c r="RF37" s="12">
        <f>IF(ProviderDelay&gt;=1,RB36*ProviderShare,RB37*ProviderShare)</f>
        <v/>
      </c>
      <c r="RG37" s="12">
        <f>QY37*PaymentFee</f>
        <v/>
      </c>
      <c r="RH37" s="12">
        <f>QS37*OpsAI</f>
        <v/>
      </c>
      <c r="RI37" s="12">
        <f>MonthlyFixed</f>
        <v/>
      </c>
      <c r="RJ37" s="12">
        <f>QG37*ReferralReward</f>
        <v/>
      </c>
      <c r="RK37" s="12">
        <f>QE37</f>
        <v/>
      </c>
      <c r="RL37" s="9">
        <f>RB37-RF37-RG37-RH37-RI37-RJ37-RK37</f>
        <v/>
      </c>
      <c r="RM37" s="9">
        <f>RM36+QY37-(RF37+RG37+RH37+RI37+RJ37+RK37+RD37)</f>
        <v/>
      </c>
      <c r="RN37" s="12">
        <f>IF(QS37&gt;0,QT37/QS37,0)</f>
        <v/>
      </c>
      <c r="RO37" s="11">
        <f>IF(QS36&gt;0,MAX(0,(QS36+QH37-QS37)/QS36),0)</f>
        <v/>
      </c>
      <c r="RQ37" s="12" t="n">
        <v>33</v>
      </c>
      <c r="RR37" s="12">
        <f>MOD(RQ37-1+LaunchMonth-1,12)+1</f>
        <v/>
      </c>
      <c r="RS37" s="12">
        <f>INT((RQ37-1+LaunchMonth-1)/12)+1</f>
        <v/>
      </c>
      <c r="RT37" s="12">
        <f>VLOOKUP(RR37,SeasonTable,2,FALSE)</f>
        <v/>
      </c>
      <c r="RU37" s="12">
        <f>(1+InflationRate)^INT((RQ37-1)/12)</f>
        <v/>
      </c>
      <c r="RV37" s="11">
        <f>'Sens - Churn'!$A$21*VLOOKUP(RR37,ChurnSeasonTable,4,FALSE)</f>
        <v/>
      </c>
      <c r="RW37" s="12">
        <f>MIN(MAX(MktMin19plus,SQ36*MktPct19plus),MAX(0,TE36-CashBuffer))</f>
        <v/>
      </c>
      <c r="RX37" s="12">
        <f>IF(RW37&gt;0,MAX(1,ROUND(RW37/CAC*RT37,0)),0)</f>
        <v/>
      </c>
      <c r="RY37" s="12">
        <f>IF(RX37&gt;0,ROUND(RX37*ReferralMix/(1-ReferralMix),0),0)</f>
        <v/>
      </c>
      <c r="RZ37" s="12">
        <f>RX37+RY37</f>
        <v/>
      </c>
      <c r="SA37" s="12">
        <f>ROUND(RZ37*(1-AnnualMix),0)</f>
        <v/>
      </c>
      <c r="SB37" s="12">
        <f>RZ37-SA37</f>
        <v/>
      </c>
      <c r="SC37" s="12">
        <f>ROUND(SA37*EssentialMix,0)</f>
        <v/>
      </c>
      <c r="SD37" s="12">
        <f>SA37-SC37</f>
        <v/>
      </c>
      <c r="SE37" s="12">
        <f>ROUND(SB37*EssentialMix,0)</f>
        <v/>
      </c>
      <c r="SF37" s="12">
        <f>SB37-SE37</f>
        <v/>
      </c>
      <c r="SG37" s="12">
        <f>SC37+SC36+SC35+MAX(0,SG36-SC36-SC35)*(1-RV37)</f>
        <v/>
      </c>
      <c r="SH37" s="12">
        <f>SD37+SD36+SD35+MAX(0,SH36-SD36-SD35)*(1-RV37)</f>
        <v/>
      </c>
      <c r="SI37" s="12">
        <f>SI36+SE37-SE25*(AnnualChurn*VLOOKUP(RR37,ChurnSeasonTable,4,FALSE))*POWER(1-(AnnualChurn*VLOOKUP(RR37,ChurnSeasonTable,4,FALSE)),0)+SE13*(AnnualChurn*VLOOKUP(RR37,ChurnSeasonTable,4,FALSE))*POWER(1-(AnnualChurn*VLOOKUP(RR37,ChurnSeasonTable,4,FALSE)),1)</f>
        <v/>
      </c>
      <c r="SJ37" s="12">
        <f>SJ36+SF37-SF25*(AnnualChurn*VLOOKUP(RR37,ChurnSeasonTable,4,FALSE))*POWER(1-(AnnualChurn*VLOOKUP(RR37,ChurnSeasonTable,4,FALSE)),0)+SF13*(AnnualChurn*VLOOKUP(RR37,ChurnSeasonTable,4,FALSE))*POWER(1-(AnnualChurn*VLOOKUP(RR37,ChurnSeasonTable,4,FALSE)),1)</f>
        <v/>
      </c>
      <c r="SK37" s="12">
        <f>SG37+SH37+SI37+SJ37</f>
        <v/>
      </c>
      <c r="SL37" s="9">
        <f>SG37*PriceEssMonthly*RU37+SH37*PricePremMonthly*RU37+SI37*PriceEssAnnual*RU37/12+SJ37*PricePremAnnual*RU37/12</f>
        <v/>
      </c>
      <c r="SM37" s="9">
        <f>SL37*12</f>
        <v/>
      </c>
      <c r="SN37" s="12">
        <f>SG37*PriceEssMonthly*RU37+SH37*PricePremMonthly*RU37</f>
        <v/>
      </c>
      <c r="SO37" s="12">
        <f>SE37*PriceEssAnnual*RU37+SF37*PricePremAnnual*RU37</f>
        <v/>
      </c>
      <c r="SP37" s="12">
        <f>SE25*POWER(1-(AnnualChurn*VLOOKUP(RR37,ChurnSeasonTable,4,FALSE)),1)*PriceEssAnnual*RU37+SE13*POWER(1-(AnnualChurn*VLOOKUP(RR37,ChurnSeasonTable,4,FALSE)),2)*PriceEssAnnual*RU37+SF25*POWER(1-(AnnualChurn*VLOOKUP(RR37,ChurnSeasonTable,4,FALSE)),1)*PricePremAnnual*RU37+SF13*POWER(1-(AnnualChurn*VLOOKUP(RR37,ChurnSeasonTable,4,FALSE)),2)*PricePremAnnual*RU37</f>
        <v/>
      </c>
      <c r="SQ37" s="9">
        <f>SN37+SO37+SP37</f>
        <v/>
      </c>
      <c r="SR37" s="12">
        <f>SUM(SQ26:SQ37)</f>
        <v/>
      </c>
      <c r="SS37" s="12">
        <f>OR(SS36,SR37&gt;=VATThreshold)</f>
        <v/>
      </c>
      <c r="ST37" s="9">
        <f>IF(SS37,SQ37/(1+VATRate),SQ37)</f>
        <v/>
      </c>
      <c r="SU37" s="12">
        <f>SQ37-ST37</f>
        <v/>
      </c>
      <c r="SV37" s="12">
        <f>IF(SS37=0,0,IF(RR37=1,SUMPRODUCT(--(($RS$5:$RS37=$RS37-1)*($RR$5:$RR37&gt;=10)*($RR$5:$RR37&lt;=12)),$SU$5:$SU37),IF(RR37=4,SUMPRODUCT(--(($RS$5:$RS37=$RS37)*($RR$5:$RR37&gt;=1)*($RR$5:$RR37&lt;=3)),$SU$5:$SU37),IF(RR37=7,SUMPRODUCT(--(($RS$5:$RS37=$RS37)*($RR$5:$RR37&gt;=4)*($RR$5:$RR37&lt;=6)),$SU$5:$SU37),IF(RR37=10,SUMPRODUCT(--(($RS$5:$RS37=$RS37)*($RR$5:$RR37&gt;=7)*($RR$5:$RR37&lt;=9)),$SU$5:$SU37),0)))))</f>
        <v/>
      </c>
      <c r="SW37" s="12">
        <f>SW36+SU37-SV37</f>
        <v/>
      </c>
      <c r="SX37" s="12">
        <f>IF(ProviderDelay&gt;=1,ST36*ProviderShare,ST37*ProviderShare)</f>
        <v/>
      </c>
      <c r="SY37" s="12">
        <f>SQ37*PaymentFee</f>
        <v/>
      </c>
      <c r="SZ37" s="12">
        <f>SK37*OpsAI</f>
        <v/>
      </c>
      <c r="TA37" s="12">
        <f>MonthlyFixed</f>
        <v/>
      </c>
      <c r="TB37" s="12">
        <f>RY37*ReferralReward</f>
        <v/>
      </c>
      <c r="TC37" s="12">
        <f>RW37</f>
        <v/>
      </c>
      <c r="TD37" s="9">
        <f>ST37-SX37-SY37-SZ37-TA37-TB37-TC37</f>
        <v/>
      </c>
      <c r="TE37" s="9">
        <f>TE36+SQ37-(SX37+SY37+SZ37+TA37+TB37+TC37+SV37)</f>
        <v/>
      </c>
      <c r="TF37" s="12">
        <f>IF(SK37&gt;0,SL37/SK37,0)</f>
        <v/>
      </c>
      <c r="TG37" s="11">
        <f>IF(SK36&gt;0,MAX(0,(SK36+RZ37-SK37)/SK36),0)</f>
        <v/>
      </c>
      <c r="TI37" s="12" t="n">
        <v>33</v>
      </c>
      <c r="TJ37" s="12">
        <f>MOD(TI37-1+LaunchMonth-1,12)+1</f>
        <v/>
      </c>
      <c r="TK37" s="12">
        <f>INT((TI37-1+LaunchMonth-1)/12)+1</f>
        <v/>
      </c>
      <c r="TL37" s="12">
        <f>VLOOKUP(TJ37,SeasonTable,2,FALSE)</f>
        <v/>
      </c>
      <c r="TM37" s="12">
        <f>(1+InflationRate)^INT((TI37-1)/12)</f>
        <v/>
      </c>
      <c r="TN37" s="11">
        <f>MonthlyChurn*VLOOKUP(TJ37,ChurnSeasonTable,4,FALSE)</f>
        <v/>
      </c>
      <c r="TO37" s="12">
        <f>MIN(MAX(MktMin19plus,UI36*MktPct19plus),MAX(0,UW36-CashBuffer))</f>
        <v/>
      </c>
      <c r="TP37" s="12">
        <f>IF(TO37&gt;0,MAX(1,ROUND(TO37/CAC*TL37,0)),0)</f>
        <v/>
      </c>
      <c r="TQ37" s="12">
        <f>IF(TP37&gt;0,ROUND(TP37*ReferralMix/(1-ReferralMix),0),0)</f>
        <v/>
      </c>
      <c r="TR37" s="12">
        <f>TP37+TQ37</f>
        <v/>
      </c>
      <c r="TS37" s="12">
        <f>ROUND(TR37*(1-'Sens - Annual Mix'!$A$9),0)</f>
        <v/>
      </c>
      <c r="TT37" s="12">
        <f>TR37-TS37</f>
        <v/>
      </c>
      <c r="TU37" s="12">
        <f>ROUND(TS37*EssentialMix,0)</f>
        <v/>
      </c>
      <c r="TV37" s="12">
        <f>TS37-TU37</f>
        <v/>
      </c>
      <c r="TW37" s="12">
        <f>ROUND(TT37*EssentialMix,0)</f>
        <v/>
      </c>
      <c r="TX37" s="12">
        <f>TT37-TW37</f>
        <v/>
      </c>
      <c r="TY37" s="12">
        <f>TU37+TU36+TU35+MAX(0,TY36-TU36-TU35)*(1-TN37)</f>
        <v/>
      </c>
      <c r="TZ37" s="12">
        <f>TV37+TV36+TV35+MAX(0,TZ36-TV36-TV35)*(1-TN37)</f>
        <v/>
      </c>
      <c r="UA37" s="12">
        <f>UA36+TW37-TW25*(AnnualChurn*VLOOKUP(TJ37,ChurnSeasonTable,4,FALSE))*POWER(1-(AnnualChurn*VLOOKUP(TJ37,ChurnSeasonTable,4,FALSE)),0)+TW13*(AnnualChurn*VLOOKUP(TJ37,ChurnSeasonTable,4,FALSE))*POWER(1-(AnnualChurn*VLOOKUP(TJ37,ChurnSeasonTable,4,FALSE)),1)</f>
        <v/>
      </c>
      <c r="UB37" s="12">
        <f>UB36+TX37-TX25*(AnnualChurn*VLOOKUP(TJ37,ChurnSeasonTable,4,FALSE))*POWER(1-(AnnualChurn*VLOOKUP(TJ37,ChurnSeasonTable,4,FALSE)),0)+TX13*(AnnualChurn*VLOOKUP(TJ37,ChurnSeasonTable,4,FALSE))*POWER(1-(AnnualChurn*VLOOKUP(TJ37,ChurnSeasonTable,4,FALSE)),1)</f>
        <v/>
      </c>
      <c r="UC37" s="12">
        <f>TY37+TZ37+UA37+UB37</f>
        <v/>
      </c>
      <c r="UD37" s="9">
        <f>TY37*PriceEssMonthly*TM37+TZ37*PricePremMonthly*TM37+UA37*PriceEssAnnual*TM37/12+UB37*PricePremAnnual*TM37/12</f>
        <v/>
      </c>
      <c r="UE37" s="9">
        <f>UD37*12</f>
        <v/>
      </c>
      <c r="UF37" s="12">
        <f>TY37*PriceEssMonthly*TM37+TZ37*PricePremMonthly*TM37</f>
        <v/>
      </c>
      <c r="UG37" s="12">
        <f>TW37*PriceEssAnnual*TM37+TX37*PricePremAnnual*TM37</f>
        <v/>
      </c>
      <c r="UH37" s="12">
        <f>TW25*POWER(1-(AnnualChurn*VLOOKUP(TJ37,ChurnSeasonTable,4,FALSE)),1)*PriceEssAnnual*TM37+TW13*POWER(1-(AnnualChurn*VLOOKUP(TJ37,ChurnSeasonTable,4,FALSE)),2)*PriceEssAnnual*TM37+TX25*POWER(1-(AnnualChurn*VLOOKUP(TJ37,ChurnSeasonTable,4,FALSE)),1)*PricePremAnnual*TM37+TX13*POWER(1-(AnnualChurn*VLOOKUP(TJ37,ChurnSeasonTable,4,FALSE)),2)*PricePremAnnual*TM37</f>
        <v/>
      </c>
      <c r="UI37" s="9">
        <f>UF37+UG37+UH37</f>
        <v/>
      </c>
      <c r="UJ37" s="12">
        <f>SUM(UI26:UI37)</f>
        <v/>
      </c>
      <c r="UK37" s="12">
        <f>OR(UK36,UJ37&gt;=VATThreshold)</f>
        <v/>
      </c>
      <c r="UL37" s="9">
        <f>IF(UK37,UI37/(1+VATRate),UI37)</f>
        <v/>
      </c>
      <c r="UM37" s="12">
        <f>UI37-UL37</f>
        <v/>
      </c>
      <c r="UN37" s="12">
        <f>IF(UK37=0,0,IF(TJ37=1,SUMPRODUCT(--(($TK$5:$TK37=$TK37-1)*($TJ$5:$TJ37&gt;=10)*($TJ$5:$TJ37&lt;=12)),$UM$5:$UM37),IF(TJ37=4,SUMPRODUCT(--(($TK$5:$TK37=$TK37)*($TJ$5:$TJ37&gt;=1)*($TJ$5:$TJ37&lt;=3)),$UM$5:$UM37),IF(TJ37=7,SUMPRODUCT(--(($TK$5:$TK37=$TK37)*($TJ$5:$TJ37&gt;=4)*($TJ$5:$TJ37&lt;=6)),$UM$5:$UM37),IF(TJ37=10,SUMPRODUCT(--(($TK$5:$TK37=$TK37)*($TJ$5:$TJ37&gt;=7)*($TJ$5:$TJ37&lt;=9)),$UM$5:$UM37),0)))))</f>
        <v/>
      </c>
      <c r="UO37" s="12">
        <f>UO36+UM37-UN37</f>
        <v/>
      </c>
      <c r="UP37" s="12">
        <f>IF(ProviderDelay&gt;=1,UL36*ProviderShare,UL37*ProviderShare)</f>
        <v/>
      </c>
      <c r="UQ37" s="12">
        <f>UI37*PaymentFee</f>
        <v/>
      </c>
      <c r="UR37" s="12">
        <f>UC37*OpsAI</f>
        <v/>
      </c>
      <c r="US37" s="12">
        <f>MonthlyFixed</f>
        <v/>
      </c>
      <c r="UT37" s="12">
        <f>TQ37*ReferralReward</f>
        <v/>
      </c>
      <c r="UU37" s="12">
        <f>TO37</f>
        <v/>
      </c>
      <c r="UV37" s="9">
        <f>UL37-UP37-UQ37-UR37-US37-UT37-UU37</f>
        <v/>
      </c>
      <c r="UW37" s="9">
        <f>UW36+UI37-(UP37+UQ37+UR37+US37+UT37+UU37+UN37)</f>
        <v/>
      </c>
      <c r="UX37" s="12">
        <f>IF(UC37&gt;0,UD37/UC37,0)</f>
        <v/>
      </c>
      <c r="UY37" s="11">
        <f>IF(UC36&gt;0,MAX(0,(UC36+TR37-UC37)/UC36),0)</f>
        <v/>
      </c>
      <c r="VA37" s="12" t="n">
        <v>33</v>
      </c>
      <c r="VB37" s="12">
        <f>MOD(VA37-1+LaunchMonth-1,12)+1</f>
        <v/>
      </c>
      <c r="VC37" s="12">
        <f>INT((VA37-1+LaunchMonth-1)/12)+1</f>
        <v/>
      </c>
      <c r="VD37" s="12">
        <f>VLOOKUP(VB37,SeasonTable,2,FALSE)</f>
        <v/>
      </c>
      <c r="VE37" s="12">
        <f>(1+InflationRate)^INT((VA37-1)/12)</f>
        <v/>
      </c>
      <c r="VF37" s="11">
        <f>MonthlyChurn*VLOOKUP(VB37,ChurnSeasonTable,4,FALSE)</f>
        <v/>
      </c>
      <c r="VG37" s="12">
        <f>MIN(MAX(MktMin19plus,WA36*MktPct19plus),MAX(0,WO36-CashBuffer))</f>
        <v/>
      </c>
      <c r="VH37" s="12">
        <f>IF(VG37&gt;0,MAX(1,ROUND(VG37/CAC*VD37,0)),0)</f>
        <v/>
      </c>
      <c r="VI37" s="12">
        <f>IF(VH37&gt;0,ROUND(VH37*ReferralMix/(1-ReferralMix),0),0)</f>
        <v/>
      </c>
      <c r="VJ37" s="12">
        <f>VH37+VI37</f>
        <v/>
      </c>
      <c r="VK37" s="12">
        <f>ROUND(VJ37*(1-'Sens - Annual Mix'!$A$10),0)</f>
        <v/>
      </c>
      <c r="VL37" s="12">
        <f>VJ37-VK37</f>
        <v/>
      </c>
      <c r="VM37" s="12">
        <f>ROUND(VK37*EssentialMix,0)</f>
        <v/>
      </c>
      <c r="VN37" s="12">
        <f>VK37-VM37</f>
        <v/>
      </c>
      <c r="VO37" s="12">
        <f>ROUND(VL37*EssentialMix,0)</f>
        <v/>
      </c>
      <c r="VP37" s="12">
        <f>VL37-VO37</f>
        <v/>
      </c>
      <c r="VQ37" s="12">
        <f>VM37+VM36+VM35+MAX(0,VQ36-VM36-VM35)*(1-VF37)</f>
        <v/>
      </c>
      <c r="VR37" s="12">
        <f>VN37+VN36+VN35+MAX(0,VR36-VN36-VN35)*(1-VF37)</f>
        <v/>
      </c>
      <c r="VS37" s="12">
        <f>VS36+VO37-VO25*(AnnualChurn*VLOOKUP(VB37,ChurnSeasonTable,4,FALSE))*POWER(1-(AnnualChurn*VLOOKUP(VB37,ChurnSeasonTable,4,FALSE)),0)+VO13*(AnnualChurn*VLOOKUP(VB37,ChurnSeasonTable,4,FALSE))*POWER(1-(AnnualChurn*VLOOKUP(VB37,ChurnSeasonTable,4,FALSE)),1)</f>
        <v/>
      </c>
      <c r="VT37" s="12">
        <f>VT36+VP37-VP25*(AnnualChurn*VLOOKUP(VB37,ChurnSeasonTable,4,FALSE))*POWER(1-(AnnualChurn*VLOOKUP(VB37,ChurnSeasonTable,4,FALSE)),0)+VP13*(AnnualChurn*VLOOKUP(VB37,ChurnSeasonTable,4,FALSE))*POWER(1-(AnnualChurn*VLOOKUP(VB37,ChurnSeasonTable,4,FALSE)),1)</f>
        <v/>
      </c>
      <c r="VU37" s="12">
        <f>VQ37+VR37+VS37+VT37</f>
        <v/>
      </c>
      <c r="VV37" s="9">
        <f>VQ37*PriceEssMonthly*VE37+VR37*PricePremMonthly*VE37+VS37*PriceEssAnnual*VE37/12+VT37*PricePremAnnual*VE37/12</f>
        <v/>
      </c>
      <c r="VW37" s="9">
        <f>VV37*12</f>
        <v/>
      </c>
      <c r="VX37" s="12">
        <f>VQ37*PriceEssMonthly*VE37+VR37*PricePremMonthly*VE37</f>
        <v/>
      </c>
      <c r="VY37" s="12">
        <f>VO37*PriceEssAnnual*VE37+VP37*PricePremAnnual*VE37</f>
        <v/>
      </c>
      <c r="VZ37" s="12">
        <f>VO25*POWER(1-(AnnualChurn*VLOOKUP(VB37,ChurnSeasonTable,4,FALSE)),1)*PriceEssAnnual*VE37+VO13*POWER(1-(AnnualChurn*VLOOKUP(VB37,ChurnSeasonTable,4,FALSE)),2)*PriceEssAnnual*VE37+VP25*POWER(1-(AnnualChurn*VLOOKUP(VB37,ChurnSeasonTable,4,FALSE)),1)*PricePremAnnual*VE37+VP13*POWER(1-(AnnualChurn*VLOOKUP(VB37,ChurnSeasonTable,4,FALSE)),2)*PricePremAnnual*VE37</f>
        <v/>
      </c>
      <c r="WA37" s="9">
        <f>VX37+VY37+VZ37</f>
        <v/>
      </c>
      <c r="WB37" s="12">
        <f>SUM(WA26:WA37)</f>
        <v/>
      </c>
      <c r="WC37" s="12">
        <f>OR(WC36,WB37&gt;=VATThreshold)</f>
        <v/>
      </c>
      <c r="WD37" s="9">
        <f>IF(WC37,WA37/(1+VATRate),WA37)</f>
        <v/>
      </c>
      <c r="WE37" s="12">
        <f>WA37-WD37</f>
        <v/>
      </c>
      <c r="WF37" s="12">
        <f>IF(WC37=0,0,IF(VB37=1,SUMPRODUCT(--(($VC$5:$VC37=$VC37-1)*($VB$5:$VB37&gt;=10)*($VB$5:$VB37&lt;=12)),$WE$5:$WE37),IF(VB37=4,SUMPRODUCT(--(($VC$5:$VC37=$VC37)*($VB$5:$VB37&gt;=1)*($VB$5:$VB37&lt;=3)),$WE$5:$WE37),IF(VB37=7,SUMPRODUCT(--(($VC$5:$VC37=$VC37)*($VB$5:$VB37&gt;=4)*($VB$5:$VB37&lt;=6)),$WE$5:$WE37),IF(VB37=10,SUMPRODUCT(--(($VC$5:$VC37=$VC37)*($VB$5:$VB37&gt;=7)*($VB$5:$VB37&lt;=9)),$WE$5:$WE37),0)))))</f>
        <v/>
      </c>
      <c r="WG37" s="12">
        <f>WG36+WE37-WF37</f>
        <v/>
      </c>
      <c r="WH37" s="12">
        <f>IF(ProviderDelay&gt;=1,WD36*ProviderShare,WD37*ProviderShare)</f>
        <v/>
      </c>
      <c r="WI37" s="12">
        <f>WA37*PaymentFee</f>
        <v/>
      </c>
      <c r="WJ37" s="12">
        <f>VU37*OpsAI</f>
        <v/>
      </c>
      <c r="WK37" s="12">
        <f>MonthlyFixed</f>
        <v/>
      </c>
      <c r="WL37" s="12">
        <f>VI37*ReferralReward</f>
        <v/>
      </c>
      <c r="WM37" s="12">
        <f>VG37</f>
        <v/>
      </c>
      <c r="WN37" s="9">
        <f>WD37-WH37-WI37-WJ37-WK37-WL37-WM37</f>
        <v/>
      </c>
      <c r="WO37" s="9">
        <f>WO36+WA37-(WH37+WI37+WJ37+WK37+WL37+WM37+WF37)</f>
        <v/>
      </c>
      <c r="WP37" s="12">
        <f>IF(VU37&gt;0,VV37/VU37,0)</f>
        <v/>
      </c>
      <c r="WQ37" s="11">
        <f>IF(VU36&gt;0,MAX(0,(VU36+VJ37-VU37)/VU36),0)</f>
        <v/>
      </c>
      <c r="WS37" s="12" t="n">
        <v>33</v>
      </c>
      <c r="WT37" s="12">
        <f>MOD(WS37-1+LaunchMonth-1,12)+1</f>
        <v/>
      </c>
      <c r="WU37" s="12">
        <f>INT((WS37-1+LaunchMonth-1)/12)+1</f>
        <v/>
      </c>
      <c r="WV37" s="12">
        <f>VLOOKUP(WT37,SeasonTable,2,FALSE)</f>
        <v/>
      </c>
      <c r="WW37" s="12">
        <f>(1+InflationRate)^INT((WS37-1)/12)</f>
        <v/>
      </c>
      <c r="WX37" s="11">
        <f>MonthlyChurn*VLOOKUP(WT37,ChurnSeasonTable,4,FALSE)</f>
        <v/>
      </c>
      <c r="WY37" s="12">
        <f>MIN(MAX(MktMin19plus,XS36*MktPct19plus),MAX(0,YG36-CashBuffer))</f>
        <v/>
      </c>
      <c r="WZ37" s="12">
        <f>IF(WY37&gt;0,MAX(1,ROUND(WY37/CAC*WV37,0)),0)</f>
        <v/>
      </c>
      <c r="XA37" s="12">
        <f>IF(WZ37&gt;0,ROUND(WZ37*ReferralMix/(1-ReferralMix),0),0)</f>
        <v/>
      </c>
      <c r="XB37" s="12">
        <f>WZ37+XA37</f>
        <v/>
      </c>
      <c r="XC37" s="12">
        <f>ROUND(XB37*(1-'Sens - Annual Mix'!$A$11),0)</f>
        <v/>
      </c>
      <c r="XD37" s="12">
        <f>XB37-XC37</f>
        <v/>
      </c>
      <c r="XE37" s="12">
        <f>ROUND(XC37*EssentialMix,0)</f>
        <v/>
      </c>
      <c r="XF37" s="12">
        <f>XC37-XE37</f>
        <v/>
      </c>
      <c r="XG37" s="12">
        <f>ROUND(XD37*EssentialMix,0)</f>
        <v/>
      </c>
      <c r="XH37" s="12">
        <f>XD37-XG37</f>
        <v/>
      </c>
      <c r="XI37" s="12">
        <f>XE37+XE36+XE35+MAX(0,XI36-XE36-XE35)*(1-WX37)</f>
        <v/>
      </c>
      <c r="XJ37" s="12">
        <f>XF37+XF36+XF35+MAX(0,XJ36-XF36-XF35)*(1-WX37)</f>
        <v/>
      </c>
      <c r="XK37" s="12">
        <f>XK36+XG37-XG25*(AnnualChurn*VLOOKUP(WT37,ChurnSeasonTable,4,FALSE))*POWER(1-(AnnualChurn*VLOOKUP(WT37,ChurnSeasonTable,4,FALSE)),0)+XG13*(AnnualChurn*VLOOKUP(WT37,ChurnSeasonTable,4,FALSE))*POWER(1-(AnnualChurn*VLOOKUP(WT37,ChurnSeasonTable,4,FALSE)),1)</f>
        <v/>
      </c>
      <c r="XL37" s="12">
        <f>XL36+XH37-XH25*(AnnualChurn*VLOOKUP(WT37,ChurnSeasonTable,4,FALSE))*POWER(1-(AnnualChurn*VLOOKUP(WT37,ChurnSeasonTable,4,FALSE)),0)+XH13*(AnnualChurn*VLOOKUP(WT37,ChurnSeasonTable,4,FALSE))*POWER(1-(AnnualChurn*VLOOKUP(WT37,ChurnSeasonTable,4,FALSE)),1)</f>
        <v/>
      </c>
      <c r="XM37" s="12">
        <f>XI37+XJ37+XK37+XL37</f>
        <v/>
      </c>
      <c r="XN37" s="9">
        <f>XI37*PriceEssMonthly*WW37+XJ37*PricePremMonthly*WW37+XK37*PriceEssAnnual*WW37/12+XL37*PricePremAnnual*WW37/12</f>
        <v/>
      </c>
      <c r="XO37" s="9">
        <f>XN37*12</f>
        <v/>
      </c>
      <c r="XP37" s="12">
        <f>XI37*PriceEssMonthly*WW37+XJ37*PricePremMonthly*WW37</f>
        <v/>
      </c>
      <c r="XQ37" s="12">
        <f>XG37*PriceEssAnnual*WW37+XH37*PricePremAnnual*WW37</f>
        <v/>
      </c>
      <c r="XR37" s="12">
        <f>XG25*POWER(1-(AnnualChurn*VLOOKUP(WT37,ChurnSeasonTable,4,FALSE)),1)*PriceEssAnnual*WW37+XG13*POWER(1-(AnnualChurn*VLOOKUP(WT37,ChurnSeasonTable,4,FALSE)),2)*PriceEssAnnual*WW37+XH25*POWER(1-(AnnualChurn*VLOOKUP(WT37,ChurnSeasonTable,4,FALSE)),1)*PricePremAnnual*WW37+XH13*POWER(1-(AnnualChurn*VLOOKUP(WT37,ChurnSeasonTable,4,FALSE)),2)*PricePremAnnual*WW37</f>
        <v/>
      </c>
      <c r="XS37" s="9">
        <f>XP37+XQ37+XR37</f>
        <v/>
      </c>
      <c r="XT37" s="12">
        <f>SUM(XS26:XS37)</f>
        <v/>
      </c>
      <c r="XU37" s="12">
        <f>OR(XU36,XT37&gt;=VATThreshold)</f>
        <v/>
      </c>
      <c r="XV37" s="9">
        <f>IF(XU37,XS37/(1+VATRate),XS37)</f>
        <v/>
      </c>
      <c r="XW37" s="12">
        <f>XS37-XV37</f>
        <v/>
      </c>
      <c r="XX37" s="12">
        <f>IF(XU37=0,0,IF(WT37=1,SUMPRODUCT(--(($WU$5:$WU37=$WU37-1)*($WT$5:$WT37&gt;=10)*($WT$5:$WT37&lt;=12)),$XW$5:$XW37),IF(WT37=4,SUMPRODUCT(--(($WU$5:$WU37=$WU37)*($WT$5:$WT37&gt;=1)*($WT$5:$WT37&lt;=3)),$XW$5:$XW37),IF(WT37=7,SUMPRODUCT(--(($WU$5:$WU37=$WU37)*($WT$5:$WT37&gt;=4)*($WT$5:$WT37&lt;=6)),$XW$5:$XW37),IF(WT37=10,SUMPRODUCT(--(($WU$5:$WU37=$WU37)*($WT$5:$WT37&gt;=7)*($WT$5:$WT37&lt;=9)),$XW$5:$XW37),0)))))</f>
        <v/>
      </c>
      <c r="XY37" s="12">
        <f>XY36+XW37-XX37</f>
        <v/>
      </c>
      <c r="XZ37" s="12">
        <f>IF(ProviderDelay&gt;=1,XV36*ProviderShare,XV37*ProviderShare)</f>
        <v/>
      </c>
      <c r="YA37" s="12">
        <f>XS37*PaymentFee</f>
        <v/>
      </c>
      <c r="YB37" s="12">
        <f>XM37*OpsAI</f>
        <v/>
      </c>
      <c r="YC37" s="12">
        <f>MonthlyFixed</f>
        <v/>
      </c>
      <c r="YD37" s="12">
        <f>XA37*ReferralReward</f>
        <v/>
      </c>
      <c r="YE37" s="12">
        <f>WY37</f>
        <v/>
      </c>
      <c r="YF37" s="9">
        <f>XV37-XZ37-YA37-YB37-YC37-YD37-YE37</f>
        <v/>
      </c>
      <c r="YG37" s="9">
        <f>YG36+XS37-(XZ37+YA37+YB37+YC37+YD37+YE37+XX37)</f>
        <v/>
      </c>
      <c r="YH37" s="12">
        <f>IF(XM37&gt;0,XN37/XM37,0)</f>
        <v/>
      </c>
      <c r="YI37" s="11">
        <f>IF(XM36&gt;0,MAX(0,(XM36+XB37-XM37)/XM36),0)</f>
        <v/>
      </c>
      <c r="YK37" s="12" t="n">
        <v>33</v>
      </c>
      <c r="YL37" s="12">
        <f>MOD(YK37-1+LaunchMonth-1,12)+1</f>
        <v/>
      </c>
      <c r="YM37" s="12">
        <f>INT((YK37-1+LaunchMonth-1)/12)+1</f>
        <v/>
      </c>
      <c r="YN37" s="12">
        <f>VLOOKUP(YL37,SeasonTable,2,FALSE)</f>
        <v/>
      </c>
      <c r="YO37" s="12">
        <f>(1+InflationRate)^INT((YK37-1)/12)</f>
        <v/>
      </c>
      <c r="YP37" s="11">
        <f>MonthlyChurn*VLOOKUP(YL37,ChurnSeasonTable,4,FALSE)</f>
        <v/>
      </c>
      <c r="YQ37" s="12">
        <f>MIN(MAX(MktMin19plus,ZK36*MktPct19plus),MAX(0,ZY36-CashBuffer))</f>
        <v/>
      </c>
      <c r="YR37" s="12">
        <f>IF(YQ37&gt;0,MAX(1,ROUND(YQ37/CAC*YN37,0)),0)</f>
        <v/>
      </c>
      <c r="YS37" s="12">
        <f>IF(YR37&gt;0,ROUND(YR37*ReferralMix/(1-ReferralMix),0),0)</f>
        <v/>
      </c>
      <c r="YT37" s="12">
        <f>YR37+YS37</f>
        <v/>
      </c>
      <c r="YU37" s="12">
        <f>ROUND(YT37*(1-'Sens - Annual Mix'!$A$12),0)</f>
        <v/>
      </c>
      <c r="YV37" s="12">
        <f>YT37-YU37</f>
        <v/>
      </c>
      <c r="YW37" s="12">
        <f>ROUND(YU37*EssentialMix,0)</f>
        <v/>
      </c>
      <c r="YX37" s="12">
        <f>YU37-YW37</f>
        <v/>
      </c>
      <c r="YY37" s="12">
        <f>ROUND(YV37*EssentialMix,0)</f>
        <v/>
      </c>
      <c r="YZ37" s="12">
        <f>YV37-YY37</f>
        <v/>
      </c>
      <c r="ZA37" s="12">
        <f>YW37+YW36+YW35+MAX(0,ZA36-YW36-YW35)*(1-YP37)</f>
        <v/>
      </c>
      <c r="ZB37" s="12">
        <f>YX37+YX36+YX35+MAX(0,ZB36-YX36-YX35)*(1-YP37)</f>
        <v/>
      </c>
      <c r="ZC37" s="12">
        <f>ZC36+YY37-YY25*(AnnualChurn*VLOOKUP(YL37,ChurnSeasonTable,4,FALSE))*POWER(1-(AnnualChurn*VLOOKUP(YL37,ChurnSeasonTable,4,FALSE)),0)+YY13*(AnnualChurn*VLOOKUP(YL37,ChurnSeasonTable,4,FALSE))*POWER(1-(AnnualChurn*VLOOKUP(YL37,ChurnSeasonTable,4,FALSE)),1)</f>
        <v/>
      </c>
      <c r="ZD37" s="12">
        <f>ZD36+YZ37-YZ25*(AnnualChurn*VLOOKUP(YL37,ChurnSeasonTable,4,FALSE))*POWER(1-(AnnualChurn*VLOOKUP(YL37,ChurnSeasonTable,4,FALSE)),0)+YZ13*(AnnualChurn*VLOOKUP(YL37,ChurnSeasonTable,4,FALSE))*POWER(1-(AnnualChurn*VLOOKUP(YL37,ChurnSeasonTable,4,FALSE)),1)</f>
        <v/>
      </c>
      <c r="ZE37" s="12">
        <f>ZA37+ZB37+ZC37+ZD37</f>
        <v/>
      </c>
      <c r="ZF37" s="9">
        <f>ZA37*PriceEssMonthly*YO37+ZB37*PricePremMonthly*YO37+ZC37*PriceEssAnnual*YO37/12+ZD37*PricePremAnnual*YO37/12</f>
        <v/>
      </c>
      <c r="ZG37" s="9">
        <f>ZF37*12</f>
        <v/>
      </c>
      <c r="ZH37" s="12">
        <f>ZA37*PriceEssMonthly*YO37+ZB37*PricePremMonthly*YO37</f>
        <v/>
      </c>
      <c r="ZI37" s="12">
        <f>YY37*PriceEssAnnual*YO37+YZ37*PricePremAnnual*YO37</f>
        <v/>
      </c>
      <c r="ZJ37" s="12">
        <f>YY25*POWER(1-(AnnualChurn*VLOOKUP(YL37,ChurnSeasonTable,4,FALSE)),1)*PriceEssAnnual*YO37+YY13*POWER(1-(AnnualChurn*VLOOKUP(YL37,ChurnSeasonTable,4,FALSE)),2)*PriceEssAnnual*YO37+YZ25*POWER(1-(AnnualChurn*VLOOKUP(YL37,ChurnSeasonTable,4,FALSE)),1)*PricePremAnnual*YO37+YZ13*POWER(1-(AnnualChurn*VLOOKUP(YL37,ChurnSeasonTable,4,FALSE)),2)*PricePremAnnual*YO37</f>
        <v/>
      </c>
      <c r="ZK37" s="9">
        <f>ZH37+ZI37+ZJ37</f>
        <v/>
      </c>
      <c r="ZL37" s="12">
        <f>SUM(ZK26:ZK37)</f>
        <v/>
      </c>
      <c r="ZM37" s="12">
        <f>OR(ZM36,ZL37&gt;=VATThreshold)</f>
        <v/>
      </c>
      <c r="ZN37" s="9">
        <f>IF(ZM37,ZK37/(1+VATRate),ZK37)</f>
        <v/>
      </c>
      <c r="ZO37" s="12">
        <f>ZK37-ZN37</f>
        <v/>
      </c>
      <c r="ZP37" s="12">
        <f>IF(ZM37=0,0,IF(YL37=1,SUMPRODUCT(--(($YM$5:$YM37=$YM37-1)*($YL$5:$YL37&gt;=10)*($YL$5:$YL37&lt;=12)),$ZO$5:$ZO37),IF(YL37=4,SUMPRODUCT(--(($YM$5:$YM37=$YM37)*($YL$5:$YL37&gt;=1)*($YL$5:$YL37&lt;=3)),$ZO$5:$ZO37),IF(YL37=7,SUMPRODUCT(--(($YM$5:$YM37=$YM37)*($YL$5:$YL37&gt;=4)*($YL$5:$YL37&lt;=6)),$ZO$5:$ZO37),IF(YL37=10,SUMPRODUCT(--(($YM$5:$YM37=$YM37)*($YL$5:$YL37&gt;=7)*($YL$5:$YL37&lt;=9)),$ZO$5:$ZO37),0)))))</f>
        <v/>
      </c>
      <c r="ZQ37" s="12">
        <f>ZQ36+ZO37-ZP37</f>
        <v/>
      </c>
      <c r="ZR37" s="12">
        <f>IF(ProviderDelay&gt;=1,ZN36*ProviderShare,ZN37*ProviderShare)</f>
        <v/>
      </c>
      <c r="ZS37" s="12">
        <f>ZK37*PaymentFee</f>
        <v/>
      </c>
      <c r="ZT37" s="12">
        <f>ZE37*OpsAI</f>
        <v/>
      </c>
      <c r="ZU37" s="12">
        <f>MonthlyFixed</f>
        <v/>
      </c>
      <c r="ZV37" s="12">
        <f>YS37*ReferralReward</f>
        <v/>
      </c>
      <c r="ZW37" s="12">
        <f>YQ37</f>
        <v/>
      </c>
      <c r="ZX37" s="9">
        <f>ZN37-ZR37-ZS37-ZT37-ZU37-ZV37-ZW37</f>
        <v/>
      </c>
      <c r="ZY37" s="9">
        <f>ZY36+ZK37-(ZR37+ZS37+ZT37+ZU37+ZV37+ZW37+ZP37)</f>
        <v/>
      </c>
      <c r="ZZ37" s="12">
        <f>IF(ZE37&gt;0,ZF37/ZE37,0)</f>
        <v/>
      </c>
      <c r="AAA37" s="11">
        <f>IF(ZE36&gt;0,MAX(0,(ZE36+YT37-ZE37)/ZE36),0)</f>
        <v/>
      </c>
      <c r="AAC37" s="12" t="n">
        <v>33</v>
      </c>
      <c r="AAD37" s="12">
        <f>MOD(AAC37-1+LaunchMonth-1,12)+1</f>
        <v/>
      </c>
      <c r="AAE37" s="12">
        <f>INT((AAC37-1+LaunchMonth-1)/12)+1</f>
        <v/>
      </c>
      <c r="AAF37" s="12">
        <f>VLOOKUP(AAD37,SeasonTable,2,FALSE)</f>
        <v/>
      </c>
      <c r="AAG37" s="12">
        <f>(1+InflationRate)^INT((AAC37-1)/12)</f>
        <v/>
      </c>
      <c r="AAH37" s="11">
        <f>MonthlyChurn*VLOOKUP(AAD37,ChurnSeasonTable,4,FALSE)</f>
        <v/>
      </c>
      <c r="AAI37" s="12">
        <f>MIN(MAX(MktMin19plus,ABC36*MktPct19plus),MAX(0,ABQ36-CashBuffer))</f>
        <v/>
      </c>
      <c r="AAJ37" s="12">
        <f>IF(AAI37&gt;0,MAX(1,ROUND(AAI37/CAC*AAF37,0)),0)</f>
        <v/>
      </c>
      <c r="AAK37" s="12">
        <f>IF(AAJ37&gt;0,ROUND(AAJ37*ReferralMix/(1-ReferralMix),0),0)</f>
        <v/>
      </c>
      <c r="AAL37" s="12">
        <f>AAJ37+AAK37</f>
        <v/>
      </c>
      <c r="AAM37" s="12">
        <f>ROUND(AAL37*(1-'Sens - Annual Mix'!$A$13),0)</f>
        <v/>
      </c>
      <c r="AAN37" s="12">
        <f>AAL37-AAM37</f>
        <v/>
      </c>
      <c r="AAO37" s="12">
        <f>ROUND(AAM37*EssentialMix,0)</f>
        <v/>
      </c>
      <c r="AAP37" s="12">
        <f>AAM37-AAO37</f>
        <v/>
      </c>
      <c r="AAQ37" s="12">
        <f>ROUND(AAN37*EssentialMix,0)</f>
        <v/>
      </c>
      <c r="AAR37" s="12">
        <f>AAN37-AAQ37</f>
        <v/>
      </c>
      <c r="AAS37" s="12">
        <f>AAO37+AAO36+AAO35+MAX(0,AAS36-AAO36-AAO35)*(1-AAH37)</f>
        <v/>
      </c>
      <c r="AAT37" s="12">
        <f>AAP37+AAP36+AAP35+MAX(0,AAT36-AAP36-AAP35)*(1-AAH37)</f>
        <v/>
      </c>
      <c r="AAU37" s="12">
        <f>AAU36+AAQ37-AAQ25*(AnnualChurn*VLOOKUP(AAD37,ChurnSeasonTable,4,FALSE))*POWER(1-(AnnualChurn*VLOOKUP(AAD37,ChurnSeasonTable,4,FALSE)),0)+AAQ13*(AnnualChurn*VLOOKUP(AAD37,ChurnSeasonTable,4,FALSE))*POWER(1-(AnnualChurn*VLOOKUP(AAD37,ChurnSeasonTable,4,FALSE)),1)</f>
        <v/>
      </c>
      <c r="AAV37" s="12">
        <f>AAV36+AAR37-AAR25*(AnnualChurn*VLOOKUP(AAD37,ChurnSeasonTable,4,FALSE))*POWER(1-(AnnualChurn*VLOOKUP(AAD37,ChurnSeasonTable,4,FALSE)),0)+AAR13*(AnnualChurn*VLOOKUP(AAD37,ChurnSeasonTable,4,FALSE))*POWER(1-(AnnualChurn*VLOOKUP(AAD37,ChurnSeasonTable,4,FALSE)),1)</f>
        <v/>
      </c>
      <c r="AAW37" s="12">
        <f>AAS37+AAT37+AAU37+AAV37</f>
        <v/>
      </c>
      <c r="AAX37" s="9">
        <f>AAS37*PriceEssMonthly*AAG37+AAT37*PricePremMonthly*AAG37+AAU37*PriceEssAnnual*AAG37/12+AAV37*PricePremAnnual*AAG37/12</f>
        <v/>
      </c>
      <c r="AAY37" s="9">
        <f>AAX37*12</f>
        <v/>
      </c>
      <c r="AAZ37" s="12">
        <f>AAS37*PriceEssMonthly*AAG37+AAT37*PricePremMonthly*AAG37</f>
        <v/>
      </c>
      <c r="ABA37" s="12">
        <f>AAQ37*PriceEssAnnual*AAG37+AAR37*PricePremAnnual*AAG37</f>
        <v/>
      </c>
      <c r="ABB37" s="12">
        <f>AAQ25*POWER(1-(AnnualChurn*VLOOKUP(AAD37,ChurnSeasonTable,4,FALSE)),1)*PriceEssAnnual*AAG37+AAQ13*POWER(1-(AnnualChurn*VLOOKUP(AAD37,ChurnSeasonTable,4,FALSE)),2)*PriceEssAnnual*AAG37+AAR25*POWER(1-(AnnualChurn*VLOOKUP(AAD37,ChurnSeasonTable,4,FALSE)),1)*PricePremAnnual*AAG37+AAR13*POWER(1-(AnnualChurn*VLOOKUP(AAD37,ChurnSeasonTable,4,FALSE)),2)*PricePremAnnual*AAG37</f>
        <v/>
      </c>
      <c r="ABC37" s="9">
        <f>AAZ37+ABA37+ABB37</f>
        <v/>
      </c>
      <c r="ABD37" s="12">
        <f>SUM(ABC26:ABC37)</f>
        <v/>
      </c>
      <c r="ABE37" s="12">
        <f>OR(ABE36,ABD37&gt;=VATThreshold)</f>
        <v/>
      </c>
      <c r="ABF37" s="9">
        <f>IF(ABE37,ABC37/(1+VATRate),ABC37)</f>
        <v/>
      </c>
      <c r="ABG37" s="12">
        <f>ABC37-ABF37</f>
        <v/>
      </c>
      <c r="ABH37" s="12">
        <f>IF(ABE37=0,0,IF(AAD37=1,SUMPRODUCT(--(($AAE$5:$AAE37=$AAE37-1)*($AAD$5:$AAD37&gt;=10)*($AAD$5:$AAD37&lt;=12)),$ABG$5:$ABG37),IF(AAD37=4,SUMPRODUCT(--(($AAE$5:$AAE37=$AAE37)*($AAD$5:$AAD37&gt;=1)*($AAD$5:$AAD37&lt;=3)),$ABG$5:$ABG37),IF(AAD37=7,SUMPRODUCT(--(($AAE$5:$AAE37=$AAE37)*($AAD$5:$AAD37&gt;=4)*($AAD$5:$AAD37&lt;=6)),$ABG$5:$ABG37),IF(AAD37=10,SUMPRODUCT(--(($AAE$5:$AAE37=$AAE37)*($AAD$5:$AAD37&gt;=7)*($AAD$5:$AAD37&lt;=9)),$ABG$5:$ABG37),0)))))</f>
        <v/>
      </c>
      <c r="ABI37" s="12">
        <f>ABI36+ABG37-ABH37</f>
        <v/>
      </c>
      <c r="ABJ37" s="12">
        <f>IF(ProviderDelay&gt;=1,ABF36*ProviderShare,ABF37*ProviderShare)</f>
        <v/>
      </c>
      <c r="ABK37" s="12">
        <f>ABC37*PaymentFee</f>
        <v/>
      </c>
      <c r="ABL37" s="12">
        <f>AAW37*OpsAI</f>
        <v/>
      </c>
      <c r="ABM37" s="12">
        <f>MonthlyFixed</f>
        <v/>
      </c>
      <c r="ABN37" s="12">
        <f>AAK37*ReferralReward</f>
        <v/>
      </c>
      <c r="ABO37" s="12">
        <f>AAI37</f>
        <v/>
      </c>
      <c r="ABP37" s="9">
        <f>ABF37-ABJ37-ABK37-ABL37-ABM37-ABN37-ABO37</f>
        <v/>
      </c>
      <c r="ABQ37" s="9">
        <f>ABQ36+ABC37-(ABJ37+ABK37+ABL37+ABM37+ABN37+ABO37+ABH37)</f>
        <v/>
      </c>
      <c r="ABR37" s="12">
        <f>IF(AAW37&gt;0,AAX37/AAW37,0)</f>
        <v/>
      </c>
      <c r="ABS37" s="11">
        <f>IF(AAW36&gt;0,MAX(0,(AAW36+AAL37-AAW37)/AAW36),0)</f>
        <v/>
      </c>
      <c r="ABU37" s="12" t="n">
        <v>33</v>
      </c>
      <c r="ABV37" s="12">
        <f>MOD(ABU37-1+LaunchMonth-1,12)+1</f>
        <v/>
      </c>
      <c r="ABW37" s="12">
        <f>INT((ABU37-1+LaunchMonth-1)/12)+1</f>
        <v/>
      </c>
      <c r="ABX37" s="12">
        <f>VLOOKUP(ABV37,SeasonTable,2,FALSE)</f>
        <v/>
      </c>
      <c r="ABY37" s="12">
        <f>(1+InflationRate)^INT((ABU37-1)/12)</f>
        <v/>
      </c>
      <c r="ABZ37" s="11">
        <f>MonthlyChurn*VLOOKUP(ABV37,ChurnSeasonTable,4,FALSE)</f>
        <v/>
      </c>
      <c r="ACA37" s="12">
        <f>MIN(MAX(MktMin19plus,ACU36*MktPct19plus),MAX(0,ADI36-CashBuffer))</f>
        <v/>
      </c>
      <c r="ACB37" s="12">
        <f>IF(ACA37&gt;0,MAX(1,ROUND(ACA37/CAC*ABX37,0)),0)</f>
        <v/>
      </c>
      <c r="ACC37" s="12">
        <f>IF(ACB37&gt;0,ROUND(ACB37*ReferralMix/(1-ReferralMix),0),0)</f>
        <v/>
      </c>
      <c r="ACD37" s="12">
        <f>ACB37+ACC37</f>
        <v/>
      </c>
      <c r="ACE37" s="12">
        <f>ROUND(ACD37*(1-'Sens - Annual Mix'!$A$14),0)</f>
        <v/>
      </c>
      <c r="ACF37" s="12">
        <f>ACD37-ACE37</f>
        <v/>
      </c>
      <c r="ACG37" s="12">
        <f>ROUND(ACE37*EssentialMix,0)</f>
        <v/>
      </c>
      <c r="ACH37" s="12">
        <f>ACE37-ACG37</f>
        <v/>
      </c>
      <c r="ACI37" s="12">
        <f>ROUND(ACF37*EssentialMix,0)</f>
        <v/>
      </c>
      <c r="ACJ37" s="12">
        <f>ACF37-ACI37</f>
        <v/>
      </c>
      <c r="ACK37" s="12">
        <f>ACG37+ACG36+ACG35+MAX(0,ACK36-ACG36-ACG35)*(1-ABZ37)</f>
        <v/>
      </c>
      <c r="ACL37" s="12">
        <f>ACH37+ACH36+ACH35+MAX(0,ACL36-ACH36-ACH35)*(1-ABZ37)</f>
        <v/>
      </c>
      <c r="ACM37" s="12">
        <f>ACM36+ACI37-ACI25*(AnnualChurn*VLOOKUP(ABV37,ChurnSeasonTable,4,FALSE))*POWER(1-(AnnualChurn*VLOOKUP(ABV37,ChurnSeasonTable,4,FALSE)),0)+ACI13*(AnnualChurn*VLOOKUP(ABV37,ChurnSeasonTable,4,FALSE))*POWER(1-(AnnualChurn*VLOOKUP(ABV37,ChurnSeasonTable,4,FALSE)),1)</f>
        <v/>
      </c>
      <c r="ACN37" s="12">
        <f>ACN36+ACJ37-ACJ25*(AnnualChurn*VLOOKUP(ABV37,ChurnSeasonTable,4,FALSE))*POWER(1-(AnnualChurn*VLOOKUP(ABV37,ChurnSeasonTable,4,FALSE)),0)+ACJ13*(AnnualChurn*VLOOKUP(ABV37,ChurnSeasonTable,4,FALSE))*POWER(1-(AnnualChurn*VLOOKUP(ABV37,ChurnSeasonTable,4,FALSE)),1)</f>
        <v/>
      </c>
      <c r="ACO37" s="12">
        <f>ACK37+ACL37+ACM37+ACN37</f>
        <v/>
      </c>
      <c r="ACP37" s="9">
        <f>ACK37*PriceEssMonthly*ABY37+ACL37*PricePremMonthly*ABY37+ACM37*PriceEssAnnual*ABY37/12+ACN37*PricePremAnnual*ABY37/12</f>
        <v/>
      </c>
      <c r="ACQ37" s="9">
        <f>ACP37*12</f>
        <v/>
      </c>
      <c r="ACR37" s="12">
        <f>ACK37*PriceEssMonthly*ABY37+ACL37*PricePremMonthly*ABY37</f>
        <v/>
      </c>
      <c r="ACS37" s="12">
        <f>ACI37*PriceEssAnnual*ABY37+ACJ37*PricePremAnnual*ABY37</f>
        <v/>
      </c>
      <c r="ACT37" s="12">
        <f>ACI25*POWER(1-(AnnualChurn*VLOOKUP(ABV37,ChurnSeasonTable,4,FALSE)),1)*PriceEssAnnual*ABY37+ACI13*POWER(1-(AnnualChurn*VLOOKUP(ABV37,ChurnSeasonTable,4,FALSE)),2)*PriceEssAnnual*ABY37+ACJ25*POWER(1-(AnnualChurn*VLOOKUP(ABV37,ChurnSeasonTable,4,FALSE)),1)*PricePremAnnual*ABY37+ACJ13*POWER(1-(AnnualChurn*VLOOKUP(ABV37,ChurnSeasonTable,4,FALSE)),2)*PricePremAnnual*ABY37</f>
        <v/>
      </c>
      <c r="ACU37" s="9">
        <f>ACR37+ACS37+ACT37</f>
        <v/>
      </c>
      <c r="ACV37" s="12">
        <f>SUM(ACU26:ACU37)</f>
        <v/>
      </c>
      <c r="ACW37" s="12">
        <f>OR(ACW36,ACV37&gt;=VATThreshold)</f>
        <v/>
      </c>
      <c r="ACX37" s="9">
        <f>IF(ACW37,ACU37/(1+VATRate),ACU37)</f>
        <v/>
      </c>
      <c r="ACY37" s="12">
        <f>ACU37-ACX37</f>
        <v/>
      </c>
      <c r="ACZ37" s="12">
        <f>IF(ACW37=0,0,IF(ABV37=1,SUMPRODUCT(--(($ABW$5:$ABW37=$ABW37-1)*($ABV$5:$ABV37&gt;=10)*($ABV$5:$ABV37&lt;=12)),$ACY$5:$ACY37),IF(ABV37=4,SUMPRODUCT(--(($ABW$5:$ABW37=$ABW37)*($ABV$5:$ABV37&gt;=1)*($ABV$5:$ABV37&lt;=3)),$ACY$5:$ACY37),IF(ABV37=7,SUMPRODUCT(--(($ABW$5:$ABW37=$ABW37)*($ABV$5:$ABV37&gt;=4)*($ABV$5:$ABV37&lt;=6)),$ACY$5:$ACY37),IF(ABV37=10,SUMPRODUCT(--(($ABW$5:$ABW37=$ABW37)*($ABV$5:$ABV37&gt;=7)*($ABV$5:$ABV37&lt;=9)),$ACY$5:$ACY37),0)))))</f>
        <v/>
      </c>
      <c r="ADA37" s="12">
        <f>ADA36+ACY37-ACZ37</f>
        <v/>
      </c>
      <c r="ADB37" s="12">
        <f>IF(ProviderDelay&gt;=1,ACX36*ProviderShare,ACX37*ProviderShare)</f>
        <v/>
      </c>
      <c r="ADC37" s="12">
        <f>ACU37*PaymentFee</f>
        <v/>
      </c>
      <c r="ADD37" s="12">
        <f>ACO37*OpsAI</f>
        <v/>
      </c>
      <c r="ADE37" s="12">
        <f>MonthlyFixed</f>
        <v/>
      </c>
      <c r="ADF37" s="12">
        <f>ACC37*ReferralReward</f>
        <v/>
      </c>
      <c r="ADG37" s="12">
        <f>ACA37</f>
        <v/>
      </c>
      <c r="ADH37" s="9">
        <f>ACX37-ADB37-ADC37-ADD37-ADE37-ADF37-ADG37</f>
        <v/>
      </c>
      <c r="ADI37" s="9">
        <f>ADI36+ACU37-(ADB37+ADC37+ADD37+ADE37+ADF37+ADG37+ACZ37)</f>
        <v/>
      </c>
      <c r="ADJ37" s="12">
        <f>IF(ACO37&gt;0,ACP37/ACO37,0)</f>
        <v/>
      </c>
      <c r="ADK37" s="11">
        <f>IF(ACO36&gt;0,MAX(0,(ACO36+ACD37-ACO37)/ACO36),0)</f>
        <v/>
      </c>
      <c r="ADM37" s="12" t="n">
        <v>33</v>
      </c>
      <c r="ADN37" s="12">
        <f>MOD(ADM37-1+LaunchMonth-1,12)+1</f>
        <v/>
      </c>
      <c r="ADO37" s="12">
        <f>INT((ADM37-1+LaunchMonth-1)/12)+1</f>
        <v/>
      </c>
      <c r="ADP37" s="12">
        <f>VLOOKUP(ADN37,SeasonTable,2,FALSE)</f>
        <v/>
      </c>
      <c r="ADQ37" s="12">
        <f>(1+InflationRate)^INT((ADM37-1)/12)</f>
        <v/>
      </c>
      <c r="ADR37" s="11">
        <f>MonthlyChurn*VLOOKUP(ADN37,ChurnSeasonTable,4,FALSE)</f>
        <v/>
      </c>
      <c r="ADS37" s="12">
        <f>MIN(MAX(MktMin19plus,AEM36*MktPct19plus),MAX(0,AFA36-CashBuffer))</f>
        <v/>
      </c>
      <c r="ADT37" s="12">
        <f>IF(ADS37&gt;0,MAX(1,ROUND(ADS37/CAC*ADP37,0)),0)</f>
        <v/>
      </c>
      <c r="ADU37" s="12">
        <f>IF(ADT37&gt;0,ROUND(ADT37*ReferralMix/(1-ReferralMix),0),0)</f>
        <v/>
      </c>
      <c r="ADV37" s="12">
        <f>ADT37+ADU37</f>
        <v/>
      </c>
      <c r="ADW37" s="12">
        <f>ROUND(ADV37*(1-'Sens - Annual Mix'!$A$15),0)</f>
        <v/>
      </c>
      <c r="ADX37" s="12">
        <f>ADV37-ADW37</f>
        <v/>
      </c>
      <c r="ADY37" s="12">
        <f>ROUND(ADW37*EssentialMix,0)</f>
        <v/>
      </c>
      <c r="ADZ37" s="12">
        <f>ADW37-ADY37</f>
        <v/>
      </c>
      <c r="AEA37" s="12">
        <f>ROUND(ADX37*EssentialMix,0)</f>
        <v/>
      </c>
      <c r="AEB37" s="12">
        <f>ADX37-AEA37</f>
        <v/>
      </c>
      <c r="AEC37" s="12">
        <f>ADY37+ADY36+ADY35+MAX(0,AEC36-ADY36-ADY35)*(1-ADR37)</f>
        <v/>
      </c>
      <c r="AED37" s="12">
        <f>ADZ37+ADZ36+ADZ35+MAX(0,AED36-ADZ36-ADZ35)*(1-ADR37)</f>
        <v/>
      </c>
      <c r="AEE37" s="12">
        <f>AEE36+AEA37-AEA25*(AnnualChurn*VLOOKUP(ADN37,ChurnSeasonTable,4,FALSE))*POWER(1-(AnnualChurn*VLOOKUP(ADN37,ChurnSeasonTable,4,FALSE)),0)+AEA13*(AnnualChurn*VLOOKUP(ADN37,ChurnSeasonTable,4,FALSE))*POWER(1-(AnnualChurn*VLOOKUP(ADN37,ChurnSeasonTable,4,FALSE)),1)</f>
        <v/>
      </c>
      <c r="AEF37" s="12">
        <f>AEF36+AEB37-AEB25*(AnnualChurn*VLOOKUP(ADN37,ChurnSeasonTable,4,FALSE))*POWER(1-(AnnualChurn*VLOOKUP(ADN37,ChurnSeasonTable,4,FALSE)),0)+AEB13*(AnnualChurn*VLOOKUP(ADN37,ChurnSeasonTable,4,FALSE))*POWER(1-(AnnualChurn*VLOOKUP(ADN37,ChurnSeasonTable,4,FALSE)),1)</f>
        <v/>
      </c>
      <c r="AEG37" s="12">
        <f>AEC37+AED37+AEE37+AEF37</f>
        <v/>
      </c>
      <c r="AEH37" s="9">
        <f>AEC37*PriceEssMonthly*ADQ37+AED37*PricePremMonthly*ADQ37+AEE37*PriceEssAnnual*ADQ37/12+AEF37*PricePremAnnual*ADQ37/12</f>
        <v/>
      </c>
      <c r="AEI37" s="9">
        <f>AEH37*12</f>
        <v/>
      </c>
      <c r="AEJ37" s="12">
        <f>AEC37*PriceEssMonthly*ADQ37+AED37*PricePremMonthly*ADQ37</f>
        <v/>
      </c>
      <c r="AEK37" s="12">
        <f>AEA37*PriceEssAnnual*ADQ37+AEB37*PricePremAnnual*ADQ37</f>
        <v/>
      </c>
      <c r="AEL37" s="12">
        <f>AEA25*POWER(1-(AnnualChurn*VLOOKUP(ADN37,ChurnSeasonTable,4,FALSE)),1)*PriceEssAnnual*ADQ37+AEA13*POWER(1-(AnnualChurn*VLOOKUP(ADN37,ChurnSeasonTable,4,FALSE)),2)*PriceEssAnnual*ADQ37+AEB25*POWER(1-(AnnualChurn*VLOOKUP(ADN37,ChurnSeasonTable,4,FALSE)),1)*PricePremAnnual*ADQ37+AEB13*POWER(1-(AnnualChurn*VLOOKUP(ADN37,ChurnSeasonTable,4,FALSE)),2)*PricePremAnnual*ADQ37</f>
        <v/>
      </c>
      <c r="AEM37" s="9">
        <f>AEJ37+AEK37+AEL37</f>
        <v/>
      </c>
      <c r="AEN37" s="12">
        <f>SUM(AEM26:AEM37)</f>
        <v/>
      </c>
      <c r="AEO37" s="12">
        <f>OR(AEO36,AEN37&gt;=VATThreshold)</f>
        <v/>
      </c>
      <c r="AEP37" s="9">
        <f>IF(AEO37,AEM37/(1+VATRate),AEM37)</f>
        <v/>
      </c>
      <c r="AEQ37" s="12">
        <f>AEM37-AEP37</f>
        <v/>
      </c>
      <c r="AER37" s="12">
        <f>IF(AEO37=0,0,IF(ADN37=1,SUMPRODUCT(--(($ADO$5:$ADO37=$ADO37-1)*($ADN$5:$ADN37&gt;=10)*($ADN$5:$ADN37&lt;=12)),$AEQ$5:$AEQ37),IF(ADN37=4,SUMPRODUCT(--(($ADO$5:$ADO37=$ADO37)*($ADN$5:$ADN37&gt;=1)*($ADN$5:$ADN37&lt;=3)),$AEQ$5:$AEQ37),IF(ADN37=7,SUMPRODUCT(--(($ADO$5:$ADO37=$ADO37)*($ADN$5:$ADN37&gt;=4)*($ADN$5:$ADN37&lt;=6)),$AEQ$5:$AEQ37),IF(ADN37=10,SUMPRODUCT(--(($ADO$5:$ADO37=$ADO37)*($ADN$5:$ADN37&gt;=7)*($ADN$5:$ADN37&lt;=9)),$AEQ$5:$AEQ37),0)))))</f>
        <v/>
      </c>
      <c r="AES37" s="12">
        <f>AES36+AEQ37-AER37</f>
        <v/>
      </c>
      <c r="AET37" s="12">
        <f>IF(ProviderDelay&gt;=1,AEP36*ProviderShare,AEP37*ProviderShare)</f>
        <v/>
      </c>
      <c r="AEU37" s="12">
        <f>AEM37*PaymentFee</f>
        <v/>
      </c>
      <c r="AEV37" s="12">
        <f>AEG37*OpsAI</f>
        <v/>
      </c>
      <c r="AEW37" s="12">
        <f>MonthlyFixed</f>
        <v/>
      </c>
      <c r="AEX37" s="12">
        <f>ADU37*ReferralReward</f>
        <v/>
      </c>
      <c r="AEY37" s="12">
        <f>ADS37</f>
        <v/>
      </c>
      <c r="AEZ37" s="9">
        <f>AEP37-AET37-AEU37-AEV37-AEW37-AEX37-AEY37</f>
        <v/>
      </c>
      <c r="AFA37" s="9">
        <f>AFA36+AEM37-(AET37+AEU37+AEV37+AEW37+AEX37+AEY37+AER37)</f>
        <v/>
      </c>
      <c r="AFB37" s="12">
        <f>IF(AEG37&gt;0,AEH37/AEG37,0)</f>
        <v/>
      </c>
      <c r="AFC37" s="11">
        <f>IF(AEG36&gt;0,MAX(0,(AEG36+ADV37-AEG37)/AEG36),0)</f>
        <v/>
      </c>
      <c r="AFE37" s="12" t="n">
        <v>33</v>
      </c>
      <c r="AFF37" s="12">
        <f>MOD(AFE37-1+LaunchMonth-1,12)+1</f>
        <v/>
      </c>
      <c r="AFG37" s="12">
        <f>INT((AFE37-1+LaunchMonth-1)/12)+1</f>
        <v/>
      </c>
      <c r="AFH37" s="12">
        <f>VLOOKUP(AFF37,SeasonTable,2,FALSE)</f>
        <v/>
      </c>
      <c r="AFI37" s="12">
        <f>(1+InflationRate)^INT((AFE37-1)/12)</f>
        <v/>
      </c>
      <c r="AFJ37" s="11">
        <f>MonthlyChurn*VLOOKUP(AFF37,ChurnSeasonTable,4,FALSE)</f>
        <v/>
      </c>
      <c r="AFK37" s="12">
        <f>MIN(MAX(MktMin19plus,AGE36*MktPct19plus),MAX(0,AGS36-CashBuffer))</f>
        <v/>
      </c>
      <c r="AFL37" s="12">
        <f>IF(AFK37&gt;0,MAX(1,ROUND(AFK37/'Sens - CAC &amp; Marketing'!$A$9*AFH37,0)),0)</f>
        <v/>
      </c>
      <c r="AFM37" s="12">
        <f>IF(AFL37&gt;0,ROUND(AFL37*ReferralMix/(1-ReferralMix),0),0)</f>
        <v/>
      </c>
      <c r="AFN37" s="12">
        <f>AFL37+AFM37</f>
        <v/>
      </c>
      <c r="AFO37" s="12">
        <f>ROUND(AFN37*(1-AnnualMix),0)</f>
        <v/>
      </c>
      <c r="AFP37" s="12">
        <f>AFN37-AFO37</f>
        <v/>
      </c>
      <c r="AFQ37" s="12">
        <f>ROUND(AFO37*EssentialMix,0)</f>
        <v/>
      </c>
      <c r="AFR37" s="12">
        <f>AFO37-AFQ37</f>
        <v/>
      </c>
      <c r="AFS37" s="12">
        <f>ROUND(AFP37*EssentialMix,0)</f>
        <v/>
      </c>
      <c r="AFT37" s="12">
        <f>AFP37-AFS37</f>
        <v/>
      </c>
      <c r="AFU37" s="12">
        <f>AFQ37+AFQ36+AFQ35+MAX(0,AFU36-AFQ36-AFQ35)*(1-AFJ37)</f>
        <v/>
      </c>
      <c r="AFV37" s="12">
        <f>AFR37+AFR36+AFR35+MAX(0,AFV36-AFR36-AFR35)*(1-AFJ37)</f>
        <v/>
      </c>
      <c r="AFW37" s="12">
        <f>AFW36+AFS37-AFS25*(AnnualChurn*VLOOKUP(AFF37,ChurnSeasonTable,4,FALSE))*POWER(1-(AnnualChurn*VLOOKUP(AFF37,ChurnSeasonTable,4,FALSE)),0)+AFS13*(AnnualChurn*VLOOKUP(AFF37,ChurnSeasonTable,4,FALSE))*POWER(1-(AnnualChurn*VLOOKUP(AFF37,ChurnSeasonTable,4,FALSE)),1)</f>
        <v/>
      </c>
      <c r="AFX37" s="12">
        <f>AFX36+AFT37-AFT25*(AnnualChurn*VLOOKUP(AFF37,ChurnSeasonTable,4,FALSE))*POWER(1-(AnnualChurn*VLOOKUP(AFF37,ChurnSeasonTable,4,FALSE)),0)+AFT13*(AnnualChurn*VLOOKUP(AFF37,ChurnSeasonTable,4,FALSE))*POWER(1-(AnnualChurn*VLOOKUP(AFF37,ChurnSeasonTable,4,FALSE)),1)</f>
        <v/>
      </c>
      <c r="AFY37" s="12">
        <f>AFU37+AFV37+AFW37+AFX37</f>
        <v/>
      </c>
      <c r="AFZ37" s="9">
        <f>AFU37*PriceEssMonthly*AFI37+AFV37*PricePremMonthly*AFI37+AFW37*PriceEssAnnual*AFI37/12+AFX37*PricePremAnnual*AFI37/12</f>
        <v/>
      </c>
      <c r="AGA37" s="9">
        <f>AFZ37*12</f>
        <v/>
      </c>
      <c r="AGB37" s="12">
        <f>AFU37*PriceEssMonthly*AFI37+AFV37*PricePremMonthly*AFI37</f>
        <v/>
      </c>
      <c r="AGC37" s="12">
        <f>AFS37*PriceEssAnnual*AFI37+AFT37*PricePremAnnual*AFI37</f>
        <v/>
      </c>
      <c r="AGD37" s="12">
        <f>AFS25*POWER(1-(AnnualChurn*VLOOKUP(AFF37,ChurnSeasonTable,4,FALSE)),1)*PriceEssAnnual*AFI37+AFS13*POWER(1-(AnnualChurn*VLOOKUP(AFF37,ChurnSeasonTable,4,FALSE)),2)*PriceEssAnnual*AFI37+AFT25*POWER(1-(AnnualChurn*VLOOKUP(AFF37,ChurnSeasonTable,4,FALSE)),1)*PricePremAnnual*AFI37+AFT13*POWER(1-(AnnualChurn*VLOOKUP(AFF37,ChurnSeasonTable,4,FALSE)),2)*PricePremAnnual*AFI37</f>
        <v/>
      </c>
      <c r="AGE37" s="9">
        <f>AGB37+AGC37+AGD37</f>
        <v/>
      </c>
      <c r="AGF37" s="12">
        <f>SUM(AGE26:AGE37)</f>
        <v/>
      </c>
      <c r="AGG37" s="12">
        <f>OR(AGG36,AGF37&gt;=VATThreshold)</f>
        <v/>
      </c>
      <c r="AGH37" s="9">
        <f>IF(AGG37,AGE37/(1+VATRate),AGE37)</f>
        <v/>
      </c>
      <c r="AGI37" s="12">
        <f>AGE37-AGH37</f>
        <v/>
      </c>
      <c r="AGJ37" s="12">
        <f>IF(AGG37=0,0,IF(AFF37=1,SUMPRODUCT(--(($AFG$5:$AFG37=$AFG37-1)*($AFF$5:$AFF37&gt;=10)*($AFF$5:$AFF37&lt;=12)),$AGI$5:$AGI37),IF(AFF37=4,SUMPRODUCT(--(($AFG$5:$AFG37=$AFG37)*($AFF$5:$AFF37&gt;=1)*($AFF$5:$AFF37&lt;=3)),$AGI$5:$AGI37),IF(AFF37=7,SUMPRODUCT(--(($AFG$5:$AFG37=$AFG37)*($AFF$5:$AFF37&gt;=4)*($AFF$5:$AFF37&lt;=6)),$AGI$5:$AGI37),IF(AFF37=10,SUMPRODUCT(--(($AFG$5:$AFG37=$AFG37)*($AFF$5:$AFF37&gt;=7)*($AFF$5:$AFF37&lt;=9)),$AGI$5:$AGI37),0)))))</f>
        <v/>
      </c>
      <c r="AGK37" s="12">
        <f>AGK36+AGI37-AGJ37</f>
        <v/>
      </c>
      <c r="AGL37" s="12">
        <f>IF(ProviderDelay&gt;=1,AGH36*ProviderShare,AGH37*ProviderShare)</f>
        <v/>
      </c>
      <c r="AGM37" s="12">
        <f>AGE37*PaymentFee</f>
        <v/>
      </c>
      <c r="AGN37" s="12">
        <f>AFY37*OpsAI</f>
        <v/>
      </c>
      <c r="AGO37" s="12">
        <f>MonthlyFixed</f>
        <v/>
      </c>
      <c r="AGP37" s="12">
        <f>AFM37*ReferralReward</f>
        <v/>
      </c>
      <c r="AGQ37" s="12">
        <f>AFK37</f>
        <v/>
      </c>
      <c r="AGR37" s="9">
        <f>AGH37-AGL37-AGM37-AGN37-AGO37-AGP37-AGQ37</f>
        <v/>
      </c>
      <c r="AGS37" s="9">
        <f>AGS36+AGE37-(AGL37+AGM37+AGN37+AGO37+AGP37+AGQ37+AGJ37)</f>
        <v/>
      </c>
      <c r="AGT37" s="12">
        <f>IF(AFY37&gt;0,AFZ37/AFY37,0)</f>
        <v/>
      </c>
      <c r="AGU37" s="11">
        <f>IF(AFY36&gt;0,MAX(0,(AFY36+AFN37-AFY37)/AFY36),0)</f>
        <v/>
      </c>
      <c r="AGW37" s="12" t="n">
        <v>33</v>
      </c>
      <c r="AGX37" s="12">
        <f>MOD(AGW37-1+LaunchMonth-1,12)+1</f>
        <v/>
      </c>
      <c r="AGY37" s="12">
        <f>INT((AGW37-1+LaunchMonth-1)/12)+1</f>
        <v/>
      </c>
      <c r="AGZ37" s="12">
        <f>VLOOKUP(AGX37,SeasonTable,2,FALSE)</f>
        <v/>
      </c>
      <c r="AHA37" s="12">
        <f>(1+InflationRate)^INT((AGW37-1)/12)</f>
        <v/>
      </c>
      <c r="AHB37" s="11">
        <f>MonthlyChurn*VLOOKUP(AGX37,ChurnSeasonTable,4,FALSE)</f>
        <v/>
      </c>
      <c r="AHC37" s="12">
        <f>MIN(MAX(MktMin19plus,AHW36*MktPct19plus),MAX(0,AIK36-CashBuffer))</f>
        <v/>
      </c>
      <c r="AHD37" s="12">
        <f>IF(AHC37&gt;0,MAX(1,ROUND(AHC37/'Sens - CAC &amp; Marketing'!$A$10*AGZ37,0)),0)</f>
        <v/>
      </c>
      <c r="AHE37" s="12">
        <f>IF(AHD37&gt;0,ROUND(AHD37*ReferralMix/(1-ReferralMix),0),0)</f>
        <v/>
      </c>
      <c r="AHF37" s="12">
        <f>AHD37+AHE37</f>
        <v/>
      </c>
      <c r="AHG37" s="12">
        <f>ROUND(AHF37*(1-AnnualMix),0)</f>
        <v/>
      </c>
      <c r="AHH37" s="12">
        <f>AHF37-AHG37</f>
        <v/>
      </c>
      <c r="AHI37" s="12">
        <f>ROUND(AHG37*EssentialMix,0)</f>
        <v/>
      </c>
      <c r="AHJ37" s="12">
        <f>AHG37-AHI37</f>
        <v/>
      </c>
      <c r="AHK37" s="12">
        <f>ROUND(AHH37*EssentialMix,0)</f>
        <v/>
      </c>
      <c r="AHL37" s="12">
        <f>AHH37-AHK37</f>
        <v/>
      </c>
      <c r="AHM37" s="12">
        <f>AHI37+AHI36+AHI35+MAX(0,AHM36-AHI36-AHI35)*(1-AHB37)</f>
        <v/>
      </c>
      <c r="AHN37" s="12">
        <f>AHJ37+AHJ36+AHJ35+MAX(0,AHN36-AHJ36-AHJ35)*(1-AHB37)</f>
        <v/>
      </c>
      <c r="AHO37" s="12">
        <f>AHO36+AHK37-AHK25*(AnnualChurn*VLOOKUP(AGX37,ChurnSeasonTable,4,FALSE))*POWER(1-(AnnualChurn*VLOOKUP(AGX37,ChurnSeasonTable,4,FALSE)),0)+AHK13*(AnnualChurn*VLOOKUP(AGX37,ChurnSeasonTable,4,FALSE))*POWER(1-(AnnualChurn*VLOOKUP(AGX37,ChurnSeasonTable,4,FALSE)),1)</f>
        <v/>
      </c>
      <c r="AHP37" s="12">
        <f>AHP36+AHL37-AHL25*(AnnualChurn*VLOOKUP(AGX37,ChurnSeasonTable,4,FALSE))*POWER(1-(AnnualChurn*VLOOKUP(AGX37,ChurnSeasonTable,4,FALSE)),0)+AHL13*(AnnualChurn*VLOOKUP(AGX37,ChurnSeasonTable,4,FALSE))*POWER(1-(AnnualChurn*VLOOKUP(AGX37,ChurnSeasonTable,4,FALSE)),1)</f>
        <v/>
      </c>
      <c r="AHQ37" s="12">
        <f>AHM37+AHN37+AHO37+AHP37</f>
        <v/>
      </c>
      <c r="AHR37" s="9">
        <f>AHM37*PriceEssMonthly*AHA37+AHN37*PricePremMonthly*AHA37+AHO37*PriceEssAnnual*AHA37/12+AHP37*PricePremAnnual*AHA37/12</f>
        <v/>
      </c>
      <c r="AHS37" s="9">
        <f>AHR37*12</f>
        <v/>
      </c>
      <c r="AHT37" s="12">
        <f>AHM37*PriceEssMonthly*AHA37+AHN37*PricePremMonthly*AHA37</f>
        <v/>
      </c>
      <c r="AHU37" s="12">
        <f>AHK37*PriceEssAnnual*AHA37+AHL37*PricePremAnnual*AHA37</f>
        <v/>
      </c>
      <c r="AHV37" s="12">
        <f>AHK25*POWER(1-(AnnualChurn*VLOOKUP(AGX37,ChurnSeasonTable,4,FALSE)),1)*PriceEssAnnual*AHA37+AHK13*POWER(1-(AnnualChurn*VLOOKUP(AGX37,ChurnSeasonTable,4,FALSE)),2)*PriceEssAnnual*AHA37+AHL25*POWER(1-(AnnualChurn*VLOOKUP(AGX37,ChurnSeasonTable,4,FALSE)),1)*PricePremAnnual*AHA37+AHL13*POWER(1-(AnnualChurn*VLOOKUP(AGX37,ChurnSeasonTable,4,FALSE)),2)*PricePremAnnual*AHA37</f>
        <v/>
      </c>
      <c r="AHW37" s="9">
        <f>AHT37+AHU37+AHV37</f>
        <v/>
      </c>
      <c r="AHX37" s="12">
        <f>SUM(AHW26:AHW37)</f>
        <v/>
      </c>
      <c r="AHY37" s="12">
        <f>OR(AHY36,AHX37&gt;=VATThreshold)</f>
        <v/>
      </c>
      <c r="AHZ37" s="9">
        <f>IF(AHY37,AHW37/(1+VATRate),AHW37)</f>
        <v/>
      </c>
      <c r="AIA37" s="12">
        <f>AHW37-AHZ37</f>
        <v/>
      </c>
      <c r="AIB37" s="12">
        <f>IF(AHY37=0,0,IF(AGX37=1,SUMPRODUCT(--(($AGY$5:$AGY37=$AGY37-1)*($AGX$5:$AGX37&gt;=10)*($AGX$5:$AGX37&lt;=12)),$AIA$5:$AIA37),IF(AGX37=4,SUMPRODUCT(--(($AGY$5:$AGY37=$AGY37)*($AGX$5:$AGX37&gt;=1)*($AGX$5:$AGX37&lt;=3)),$AIA$5:$AIA37),IF(AGX37=7,SUMPRODUCT(--(($AGY$5:$AGY37=$AGY37)*($AGX$5:$AGX37&gt;=4)*($AGX$5:$AGX37&lt;=6)),$AIA$5:$AIA37),IF(AGX37=10,SUMPRODUCT(--(($AGY$5:$AGY37=$AGY37)*($AGX$5:$AGX37&gt;=7)*($AGX$5:$AGX37&lt;=9)),$AIA$5:$AIA37),0)))))</f>
        <v/>
      </c>
      <c r="AIC37" s="12">
        <f>AIC36+AIA37-AIB37</f>
        <v/>
      </c>
      <c r="AID37" s="12">
        <f>IF(ProviderDelay&gt;=1,AHZ36*ProviderShare,AHZ37*ProviderShare)</f>
        <v/>
      </c>
      <c r="AIE37" s="12">
        <f>AHW37*PaymentFee</f>
        <v/>
      </c>
      <c r="AIF37" s="12">
        <f>AHQ37*OpsAI</f>
        <v/>
      </c>
      <c r="AIG37" s="12">
        <f>MonthlyFixed</f>
        <v/>
      </c>
      <c r="AIH37" s="12">
        <f>AHE37*ReferralReward</f>
        <v/>
      </c>
      <c r="AII37" s="12">
        <f>AHC37</f>
        <v/>
      </c>
      <c r="AIJ37" s="9">
        <f>AHZ37-AID37-AIE37-AIF37-AIG37-AIH37-AII37</f>
        <v/>
      </c>
      <c r="AIK37" s="9">
        <f>AIK36+AHW37-(AID37+AIE37+AIF37+AIG37+AIH37+AII37+AIB37)</f>
        <v/>
      </c>
      <c r="AIL37" s="12">
        <f>IF(AHQ37&gt;0,AHR37/AHQ37,0)</f>
        <v/>
      </c>
      <c r="AIM37" s="11">
        <f>IF(AHQ36&gt;0,MAX(0,(AHQ36+AHF37-AHQ37)/AHQ36),0)</f>
        <v/>
      </c>
      <c r="AIO37" s="12" t="n">
        <v>33</v>
      </c>
      <c r="AIP37" s="12">
        <f>MOD(AIO37-1+LaunchMonth-1,12)+1</f>
        <v/>
      </c>
      <c r="AIQ37" s="12">
        <f>INT((AIO37-1+LaunchMonth-1)/12)+1</f>
        <v/>
      </c>
      <c r="AIR37" s="12">
        <f>VLOOKUP(AIP37,SeasonTable,2,FALSE)</f>
        <v/>
      </c>
      <c r="AIS37" s="12">
        <f>(1+InflationRate)^INT((AIO37-1)/12)</f>
        <v/>
      </c>
      <c r="AIT37" s="11">
        <f>MonthlyChurn*VLOOKUP(AIP37,ChurnSeasonTable,4,FALSE)</f>
        <v/>
      </c>
      <c r="AIU37" s="12">
        <f>MIN(MAX(MktMin19plus,AJO36*MktPct19plus),MAX(0,AKC36-CashBuffer))</f>
        <v/>
      </c>
      <c r="AIV37" s="12">
        <f>IF(AIU37&gt;0,MAX(1,ROUND(AIU37/'Sens - CAC &amp; Marketing'!$A$11*AIR37,0)),0)</f>
        <v/>
      </c>
      <c r="AIW37" s="12">
        <f>IF(AIV37&gt;0,ROUND(AIV37*ReferralMix/(1-ReferralMix),0),0)</f>
        <v/>
      </c>
      <c r="AIX37" s="12">
        <f>AIV37+AIW37</f>
        <v/>
      </c>
      <c r="AIY37" s="12">
        <f>ROUND(AIX37*(1-AnnualMix),0)</f>
        <v/>
      </c>
      <c r="AIZ37" s="12">
        <f>AIX37-AIY37</f>
        <v/>
      </c>
      <c r="AJA37" s="12">
        <f>ROUND(AIY37*EssentialMix,0)</f>
        <v/>
      </c>
      <c r="AJB37" s="12">
        <f>AIY37-AJA37</f>
        <v/>
      </c>
      <c r="AJC37" s="12">
        <f>ROUND(AIZ37*EssentialMix,0)</f>
        <v/>
      </c>
      <c r="AJD37" s="12">
        <f>AIZ37-AJC37</f>
        <v/>
      </c>
      <c r="AJE37" s="12">
        <f>AJA37+AJA36+AJA35+MAX(0,AJE36-AJA36-AJA35)*(1-AIT37)</f>
        <v/>
      </c>
      <c r="AJF37" s="12">
        <f>AJB37+AJB36+AJB35+MAX(0,AJF36-AJB36-AJB35)*(1-AIT37)</f>
        <v/>
      </c>
      <c r="AJG37" s="12">
        <f>AJG36+AJC37-AJC25*(AnnualChurn*VLOOKUP(AIP37,ChurnSeasonTable,4,FALSE))*POWER(1-(AnnualChurn*VLOOKUP(AIP37,ChurnSeasonTable,4,FALSE)),0)+AJC13*(AnnualChurn*VLOOKUP(AIP37,ChurnSeasonTable,4,FALSE))*POWER(1-(AnnualChurn*VLOOKUP(AIP37,ChurnSeasonTable,4,FALSE)),1)</f>
        <v/>
      </c>
      <c r="AJH37" s="12">
        <f>AJH36+AJD37-AJD25*(AnnualChurn*VLOOKUP(AIP37,ChurnSeasonTable,4,FALSE))*POWER(1-(AnnualChurn*VLOOKUP(AIP37,ChurnSeasonTable,4,FALSE)),0)+AJD13*(AnnualChurn*VLOOKUP(AIP37,ChurnSeasonTable,4,FALSE))*POWER(1-(AnnualChurn*VLOOKUP(AIP37,ChurnSeasonTable,4,FALSE)),1)</f>
        <v/>
      </c>
      <c r="AJI37" s="12">
        <f>AJE37+AJF37+AJG37+AJH37</f>
        <v/>
      </c>
      <c r="AJJ37" s="9">
        <f>AJE37*PriceEssMonthly*AIS37+AJF37*PricePremMonthly*AIS37+AJG37*PriceEssAnnual*AIS37/12+AJH37*PricePremAnnual*AIS37/12</f>
        <v/>
      </c>
      <c r="AJK37" s="9">
        <f>AJJ37*12</f>
        <v/>
      </c>
      <c r="AJL37" s="12">
        <f>AJE37*PriceEssMonthly*AIS37+AJF37*PricePremMonthly*AIS37</f>
        <v/>
      </c>
      <c r="AJM37" s="12">
        <f>AJC37*PriceEssAnnual*AIS37+AJD37*PricePremAnnual*AIS37</f>
        <v/>
      </c>
      <c r="AJN37" s="12">
        <f>AJC25*POWER(1-(AnnualChurn*VLOOKUP(AIP37,ChurnSeasonTable,4,FALSE)),1)*PriceEssAnnual*AIS37+AJC13*POWER(1-(AnnualChurn*VLOOKUP(AIP37,ChurnSeasonTable,4,FALSE)),2)*PriceEssAnnual*AIS37+AJD25*POWER(1-(AnnualChurn*VLOOKUP(AIP37,ChurnSeasonTable,4,FALSE)),1)*PricePremAnnual*AIS37+AJD13*POWER(1-(AnnualChurn*VLOOKUP(AIP37,ChurnSeasonTable,4,FALSE)),2)*PricePremAnnual*AIS37</f>
        <v/>
      </c>
      <c r="AJO37" s="9">
        <f>AJL37+AJM37+AJN37</f>
        <v/>
      </c>
      <c r="AJP37" s="12">
        <f>SUM(AJO26:AJO37)</f>
        <v/>
      </c>
      <c r="AJQ37" s="12">
        <f>OR(AJQ36,AJP37&gt;=VATThreshold)</f>
        <v/>
      </c>
      <c r="AJR37" s="9">
        <f>IF(AJQ37,AJO37/(1+VATRate),AJO37)</f>
        <v/>
      </c>
      <c r="AJS37" s="12">
        <f>AJO37-AJR37</f>
        <v/>
      </c>
      <c r="AJT37" s="12">
        <f>IF(AJQ37=0,0,IF(AIP37=1,SUMPRODUCT(--(($AIQ$5:$AIQ37=$AIQ37-1)*($AIP$5:$AIP37&gt;=10)*($AIP$5:$AIP37&lt;=12)),$AJS$5:$AJS37),IF(AIP37=4,SUMPRODUCT(--(($AIQ$5:$AIQ37=$AIQ37)*($AIP$5:$AIP37&gt;=1)*($AIP$5:$AIP37&lt;=3)),$AJS$5:$AJS37),IF(AIP37=7,SUMPRODUCT(--(($AIQ$5:$AIQ37=$AIQ37)*($AIP$5:$AIP37&gt;=4)*($AIP$5:$AIP37&lt;=6)),$AJS$5:$AJS37),IF(AIP37=10,SUMPRODUCT(--(($AIQ$5:$AIQ37=$AIQ37)*($AIP$5:$AIP37&gt;=7)*($AIP$5:$AIP37&lt;=9)),$AJS$5:$AJS37),0)))))</f>
        <v/>
      </c>
      <c r="AJU37" s="12">
        <f>AJU36+AJS37-AJT37</f>
        <v/>
      </c>
      <c r="AJV37" s="12">
        <f>IF(ProviderDelay&gt;=1,AJR36*ProviderShare,AJR37*ProviderShare)</f>
        <v/>
      </c>
      <c r="AJW37" s="12">
        <f>AJO37*PaymentFee</f>
        <v/>
      </c>
      <c r="AJX37" s="12">
        <f>AJI37*OpsAI</f>
        <v/>
      </c>
      <c r="AJY37" s="12">
        <f>MonthlyFixed</f>
        <v/>
      </c>
      <c r="AJZ37" s="12">
        <f>AIW37*ReferralReward</f>
        <v/>
      </c>
      <c r="AKA37" s="12">
        <f>AIU37</f>
        <v/>
      </c>
      <c r="AKB37" s="9">
        <f>AJR37-AJV37-AJW37-AJX37-AJY37-AJZ37-AKA37</f>
        <v/>
      </c>
      <c r="AKC37" s="9">
        <f>AKC36+AJO37-(AJV37+AJW37+AJX37+AJY37+AJZ37+AKA37+AJT37)</f>
        <v/>
      </c>
      <c r="AKD37" s="12">
        <f>IF(AJI37&gt;0,AJJ37/AJI37,0)</f>
        <v/>
      </c>
      <c r="AKE37" s="11">
        <f>IF(AJI36&gt;0,MAX(0,(AJI36+AIX37-AJI37)/AJI36),0)</f>
        <v/>
      </c>
      <c r="AKG37" s="12" t="n">
        <v>33</v>
      </c>
      <c r="AKH37" s="12">
        <f>MOD(AKG37-1+LaunchMonth-1,12)+1</f>
        <v/>
      </c>
      <c r="AKI37" s="12">
        <f>INT((AKG37-1+LaunchMonth-1)/12)+1</f>
        <v/>
      </c>
      <c r="AKJ37" s="12">
        <f>VLOOKUP(AKH37,SeasonTable,2,FALSE)</f>
        <v/>
      </c>
      <c r="AKK37" s="12">
        <f>(1+InflationRate)^INT((AKG37-1)/12)</f>
        <v/>
      </c>
      <c r="AKL37" s="11">
        <f>MonthlyChurn*VLOOKUP(AKH37,ChurnSeasonTable,4,FALSE)</f>
        <v/>
      </c>
      <c r="AKM37" s="12">
        <f>MIN(MAX(MktMin19plus,ALG36*MktPct19plus),MAX(0,ALU36-CashBuffer))</f>
        <v/>
      </c>
      <c r="AKN37" s="12">
        <f>IF(AKM37&gt;0,MAX(1,ROUND(AKM37/'Sens - CAC &amp; Marketing'!$A$12*AKJ37,0)),0)</f>
        <v/>
      </c>
      <c r="AKO37" s="12">
        <f>IF(AKN37&gt;0,ROUND(AKN37*ReferralMix/(1-ReferralMix),0),0)</f>
        <v/>
      </c>
      <c r="AKP37" s="12">
        <f>AKN37+AKO37</f>
        <v/>
      </c>
      <c r="AKQ37" s="12">
        <f>ROUND(AKP37*(1-AnnualMix),0)</f>
        <v/>
      </c>
      <c r="AKR37" s="12">
        <f>AKP37-AKQ37</f>
        <v/>
      </c>
      <c r="AKS37" s="12">
        <f>ROUND(AKQ37*EssentialMix,0)</f>
        <v/>
      </c>
      <c r="AKT37" s="12">
        <f>AKQ37-AKS37</f>
        <v/>
      </c>
      <c r="AKU37" s="12">
        <f>ROUND(AKR37*EssentialMix,0)</f>
        <v/>
      </c>
      <c r="AKV37" s="12">
        <f>AKR37-AKU37</f>
        <v/>
      </c>
      <c r="AKW37" s="12">
        <f>AKS37+AKS36+AKS35+MAX(0,AKW36-AKS36-AKS35)*(1-AKL37)</f>
        <v/>
      </c>
      <c r="AKX37" s="12">
        <f>AKT37+AKT36+AKT35+MAX(0,AKX36-AKT36-AKT35)*(1-AKL37)</f>
        <v/>
      </c>
      <c r="AKY37" s="12">
        <f>AKY36+AKU37-AKU25*(AnnualChurn*VLOOKUP(AKH37,ChurnSeasonTable,4,FALSE))*POWER(1-(AnnualChurn*VLOOKUP(AKH37,ChurnSeasonTable,4,FALSE)),0)+AKU13*(AnnualChurn*VLOOKUP(AKH37,ChurnSeasonTable,4,FALSE))*POWER(1-(AnnualChurn*VLOOKUP(AKH37,ChurnSeasonTable,4,FALSE)),1)</f>
        <v/>
      </c>
      <c r="AKZ37" s="12">
        <f>AKZ36+AKV37-AKV25*(AnnualChurn*VLOOKUP(AKH37,ChurnSeasonTable,4,FALSE))*POWER(1-(AnnualChurn*VLOOKUP(AKH37,ChurnSeasonTable,4,FALSE)),0)+AKV13*(AnnualChurn*VLOOKUP(AKH37,ChurnSeasonTable,4,FALSE))*POWER(1-(AnnualChurn*VLOOKUP(AKH37,ChurnSeasonTable,4,FALSE)),1)</f>
        <v/>
      </c>
      <c r="ALA37" s="12">
        <f>AKW37+AKX37+AKY37+AKZ37</f>
        <v/>
      </c>
      <c r="ALB37" s="9">
        <f>AKW37*PriceEssMonthly*AKK37+AKX37*PricePremMonthly*AKK37+AKY37*PriceEssAnnual*AKK37/12+AKZ37*PricePremAnnual*AKK37/12</f>
        <v/>
      </c>
      <c r="ALC37" s="9">
        <f>ALB37*12</f>
        <v/>
      </c>
      <c r="ALD37" s="12">
        <f>AKW37*PriceEssMonthly*AKK37+AKX37*PricePremMonthly*AKK37</f>
        <v/>
      </c>
      <c r="ALE37" s="12">
        <f>AKU37*PriceEssAnnual*AKK37+AKV37*PricePremAnnual*AKK37</f>
        <v/>
      </c>
      <c r="ALF37" s="12">
        <f>AKU25*POWER(1-(AnnualChurn*VLOOKUP(AKH37,ChurnSeasonTable,4,FALSE)),1)*PriceEssAnnual*AKK37+AKU13*POWER(1-(AnnualChurn*VLOOKUP(AKH37,ChurnSeasonTable,4,FALSE)),2)*PriceEssAnnual*AKK37+AKV25*POWER(1-(AnnualChurn*VLOOKUP(AKH37,ChurnSeasonTable,4,FALSE)),1)*PricePremAnnual*AKK37+AKV13*POWER(1-(AnnualChurn*VLOOKUP(AKH37,ChurnSeasonTable,4,FALSE)),2)*PricePremAnnual*AKK37</f>
        <v/>
      </c>
      <c r="ALG37" s="9">
        <f>ALD37+ALE37+ALF37</f>
        <v/>
      </c>
      <c r="ALH37" s="12">
        <f>SUM(ALG26:ALG37)</f>
        <v/>
      </c>
      <c r="ALI37" s="12">
        <f>OR(ALI36,ALH37&gt;=VATThreshold)</f>
        <v/>
      </c>
      <c r="ALJ37" s="9">
        <f>IF(ALI37,ALG37/(1+VATRate),ALG37)</f>
        <v/>
      </c>
      <c r="ALK37" s="12">
        <f>ALG37-ALJ37</f>
        <v/>
      </c>
      <c r="ALL37" s="12">
        <f>IF(ALI37=0,0,IF(AKH37=1,SUMPRODUCT(--(($AKI$5:$AKI37=$AKI37-1)*($AKH$5:$AKH37&gt;=10)*($AKH$5:$AKH37&lt;=12)),$ALK$5:$ALK37),IF(AKH37=4,SUMPRODUCT(--(($AKI$5:$AKI37=$AKI37)*($AKH$5:$AKH37&gt;=1)*($AKH$5:$AKH37&lt;=3)),$ALK$5:$ALK37),IF(AKH37=7,SUMPRODUCT(--(($AKI$5:$AKI37=$AKI37)*($AKH$5:$AKH37&gt;=4)*($AKH$5:$AKH37&lt;=6)),$ALK$5:$ALK37),IF(AKH37=10,SUMPRODUCT(--(($AKI$5:$AKI37=$AKI37)*($AKH$5:$AKH37&gt;=7)*($AKH$5:$AKH37&lt;=9)),$ALK$5:$ALK37),0)))))</f>
        <v/>
      </c>
      <c r="ALM37" s="12">
        <f>ALM36+ALK37-ALL37</f>
        <v/>
      </c>
      <c r="ALN37" s="12">
        <f>IF(ProviderDelay&gt;=1,ALJ36*ProviderShare,ALJ37*ProviderShare)</f>
        <v/>
      </c>
      <c r="ALO37" s="12">
        <f>ALG37*PaymentFee</f>
        <v/>
      </c>
      <c r="ALP37" s="12">
        <f>ALA37*OpsAI</f>
        <v/>
      </c>
      <c r="ALQ37" s="12">
        <f>MonthlyFixed</f>
        <v/>
      </c>
      <c r="ALR37" s="12">
        <f>AKO37*ReferralReward</f>
        <v/>
      </c>
      <c r="ALS37" s="12">
        <f>AKM37</f>
        <v/>
      </c>
      <c r="ALT37" s="9">
        <f>ALJ37-ALN37-ALO37-ALP37-ALQ37-ALR37-ALS37</f>
        <v/>
      </c>
      <c r="ALU37" s="9">
        <f>ALU36+ALG37-(ALN37+ALO37+ALP37+ALQ37+ALR37+ALS37+ALL37)</f>
        <v/>
      </c>
      <c r="ALV37" s="12">
        <f>IF(ALA37&gt;0,ALB37/ALA37,0)</f>
        <v/>
      </c>
      <c r="ALW37" s="11">
        <f>IF(ALA36&gt;0,MAX(0,(ALA36+AKP37-ALA37)/ALA36),0)</f>
        <v/>
      </c>
      <c r="ALY37" s="12" t="n">
        <v>33</v>
      </c>
      <c r="ALZ37" s="12">
        <f>MOD(ALY37-1+LaunchMonth-1,12)+1</f>
        <v/>
      </c>
      <c r="AMA37" s="12">
        <f>INT((ALY37-1+LaunchMonth-1)/12)+1</f>
        <v/>
      </c>
      <c r="AMB37" s="12">
        <f>VLOOKUP(ALZ37,SeasonTable,2,FALSE)</f>
        <v/>
      </c>
      <c r="AMC37" s="12">
        <f>(1+InflationRate)^INT((ALY37-1)/12)</f>
        <v/>
      </c>
      <c r="AMD37" s="11">
        <f>MonthlyChurn*VLOOKUP(ALZ37,ChurnSeasonTable,4,FALSE)</f>
        <v/>
      </c>
      <c r="AME37" s="12">
        <f>MIN(MAX(MktMin19plus,AMY36*MktPct19plus),MAX(0,ANM36-CashBuffer))</f>
        <v/>
      </c>
      <c r="AMF37" s="12">
        <f>IF(AME37&gt;0,MAX(1,ROUND(AME37/'Sens - CAC &amp; Marketing'!$A$13*AMB37,0)),0)</f>
        <v/>
      </c>
      <c r="AMG37" s="12">
        <f>IF(AMF37&gt;0,ROUND(AMF37*ReferralMix/(1-ReferralMix),0),0)</f>
        <v/>
      </c>
      <c r="AMH37" s="12">
        <f>AMF37+AMG37</f>
        <v/>
      </c>
      <c r="AMI37" s="12">
        <f>ROUND(AMH37*(1-AnnualMix),0)</f>
        <v/>
      </c>
      <c r="AMJ37" s="12">
        <f>AMH37-AMI37</f>
        <v/>
      </c>
      <c r="AMK37" s="12">
        <f>ROUND(AMI37*EssentialMix,0)</f>
        <v/>
      </c>
      <c r="AML37" s="12">
        <f>AMI37-AMK37</f>
        <v/>
      </c>
      <c r="AMM37" s="12">
        <f>ROUND(AMJ37*EssentialMix,0)</f>
        <v/>
      </c>
      <c r="AMN37" s="12">
        <f>AMJ37-AMM37</f>
        <v/>
      </c>
      <c r="AMO37" s="12">
        <f>AMK37+AMK36+AMK35+MAX(0,AMO36-AMK36-AMK35)*(1-AMD37)</f>
        <v/>
      </c>
      <c r="AMP37" s="12">
        <f>AML37+AML36+AML35+MAX(0,AMP36-AML36-AML35)*(1-AMD37)</f>
        <v/>
      </c>
      <c r="AMQ37" s="12">
        <f>AMQ36+AMM37-AMM25*(AnnualChurn*VLOOKUP(ALZ37,ChurnSeasonTable,4,FALSE))*POWER(1-(AnnualChurn*VLOOKUP(ALZ37,ChurnSeasonTable,4,FALSE)),0)+AMM13*(AnnualChurn*VLOOKUP(ALZ37,ChurnSeasonTable,4,FALSE))*POWER(1-(AnnualChurn*VLOOKUP(ALZ37,ChurnSeasonTable,4,FALSE)),1)</f>
        <v/>
      </c>
      <c r="AMR37" s="12">
        <f>AMR36+AMN37-AMN25*(AnnualChurn*VLOOKUP(ALZ37,ChurnSeasonTable,4,FALSE))*POWER(1-(AnnualChurn*VLOOKUP(ALZ37,ChurnSeasonTable,4,FALSE)),0)+AMN13*(AnnualChurn*VLOOKUP(ALZ37,ChurnSeasonTable,4,FALSE))*POWER(1-(AnnualChurn*VLOOKUP(ALZ37,ChurnSeasonTable,4,FALSE)),1)</f>
        <v/>
      </c>
      <c r="AMS37" s="12">
        <f>AMO37+AMP37+AMQ37+AMR37</f>
        <v/>
      </c>
      <c r="AMT37" s="9">
        <f>AMO37*PriceEssMonthly*AMC37+AMP37*PricePremMonthly*AMC37+AMQ37*PriceEssAnnual*AMC37/12+AMR37*PricePremAnnual*AMC37/12</f>
        <v/>
      </c>
      <c r="AMU37" s="9">
        <f>AMT37*12</f>
        <v/>
      </c>
      <c r="AMV37" s="12">
        <f>AMO37*PriceEssMonthly*AMC37+AMP37*PricePremMonthly*AMC37</f>
        <v/>
      </c>
      <c r="AMW37" s="12">
        <f>AMM37*PriceEssAnnual*AMC37+AMN37*PricePremAnnual*AMC37</f>
        <v/>
      </c>
      <c r="AMX37" s="12">
        <f>AMM25*POWER(1-(AnnualChurn*VLOOKUP(ALZ37,ChurnSeasonTable,4,FALSE)),1)*PriceEssAnnual*AMC37+AMM13*POWER(1-(AnnualChurn*VLOOKUP(ALZ37,ChurnSeasonTable,4,FALSE)),2)*PriceEssAnnual*AMC37+AMN25*POWER(1-(AnnualChurn*VLOOKUP(ALZ37,ChurnSeasonTable,4,FALSE)),1)*PricePremAnnual*AMC37+AMN13*POWER(1-(AnnualChurn*VLOOKUP(ALZ37,ChurnSeasonTable,4,FALSE)),2)*PricePremAnnual*AMC37</f>
        <v/>
      </c>
      <c r="AMY37" s="9">
        <f>AMV37+AMW37+AMX37</f>
        <v/>
      </c>
      <c r="AMZ37" s="12">
        <f>SUM(AMY26:AMY37)</f>
        <v/>
      </c>
      <c r="ANA37" s="12">
        <f>OR(ANA36,AMZ37&gt;=VATThreshold)</f>
        <v/>
      </c>
      <c r="ANB37" s="9">
        <f>IF(ANA37,AMY37/(1+VATRate),AMY37)</f>
        <v/>
      </c>
      <c r="ANC37" s="12">
        <f>AMY37-ANB37</f>
        <v/>
      </c>
      <c r="AND37" s="12">
        <f>IF(ANA37=0,0,IF(ALZ37=1,SUMPRODUCT(--(($AMA$5:$AMA37=$AMA37-1)*($ALZ$5:$ALZ37&gt;=10)*($ALZ$5:$ALZ37&lt;=12)),$ANC$5:$ANC37),IF(ALZ37=4,SUMPRODUCT(--(($AMA$5:$AMA37=$AMA37)*($ALZ$5:$ALZ37&gt;=1)*($ALZ$5:$ALZ37&lt;=3)),$ANC$5:$ANC37),IF(ALZ37=7,SUMPRODUCT(--(($AMA$5:$AMA37=$AMA37)*($ALZ$5:$ALZ37&gt;=4)*($ALZ$5:$ALZ37&lt;=6)),$ANC$5:$ANC37),IF(ALZ37=10,SUMPRODUCT(--(($AMA$5:$AMA37=$AMA37)*($ALZ$5:$ALZ37&gt;=7)*($ALZ$5:$ALZ37&lt;=9)),$ANC$5:$ANC37),0)))))</f>
        <v/>
      </c>
      <c r="ANE37" s="12">
        <f>ANE36+ANC37-AND37</f>
        <v/>
      </c>
      <c r="ANF37" s="12">
        <f>IF(ProviderDelay&gt;=1,ANB36*ProviderShare,ANB37*ProviderShare)</f>
        <v/>
      </c>
      <c r="ANG37" s="12">
        <f>AMY37*PaymentFee</f>
        <v/>
      </c>
      <c r="ANH37" s="12">
        <f>AMS37*OpsAI</f>
        <v/>
      </c>
      <c r="ANI37" s="12">
        <f>MonthlyFixed</f>
        <v/>
      </c>
      <c r="ANJ37" s="12">
        <f>AMG37*ReferralReward</f>
        <v/>
      </c>
      <c r="ANK37" s="12">
        <f>AME37</f>
        <v/>
      </c>
      <c r="ANL37" s="9">
        <f>ANB37-ANF37-ANG37-ANH37-ANI37-ANJ37-ANK37</f>
        <v/>
      </c>
      <c r="ANM37" s="9">
        <f>ANM36+AMY37-(ANF37+ANG37+ANH37+ANI37+ANJ37+ANK37+AND37)</f>
        <v/>
      </c>
      <c r="ANN37" s="12">
        <f>IF(AMS37&gt;0,AMT37/AMS37,0)</f>
        <v/>
      </c>
      <c r="ANO37" s="11">
        <f>IF(AMS36&gt;0,MAX(0,(AMS36+AMH37-AMS37)/AMS36),0)</f>
        <v/>
      </c>
      <c r="ANQ37" s="12" t="n">
        <v>33</v>
      </c>
      <c r="ANR37" s="12">
        <f>MOD(ANQ37-1+LaunchMonth-1,12)+1</f>
        <v/>
      </c>
      <c r="ANS37" s="12">
        <f>INT((ANQ37-1+LaunchMonth-1)/12)+1</f>
        <v/>
      </c>
      <c r="ANT37" s="12">
        <f>VLOOKUP(ANR37,SeasonTable,2,FALSE)</f>
        <v/>
      </c>
      <c r="ANU37" s="12">
        <f>(1+InflationRate)^INT((ANQ37-1)/12)</f>
        <v/>
      </c>
      <c r="ANV37" s="11">
        <f>MonthlyChurn*VLOOKUP(ANR37,ChurnSeasonTable,4,FALSE)</f>
        <v/>
      </c>
      <c r="ANW37" s="12">
        <f>MIN(MAX(MktMin19plus,AOQ36*MktPct19plus),MAX(0,APE36-CashBuffer))</f>
        <v/>
      </c>
      <c r="ANX37" s="12">
        <f>IF(ANW37&gt;0,MAX(1,ROUND(ANW37/'Sens - CAC &amp; Marketing'!$A$14*ANT37,0)),0)</f>
        <v/>
      </c>
      <c r="ANY37" s="12">
        <f>IF(ANX37&gt;0,ROUND(ANX37*ReferralMix/(1-ReferralMix),0),0)</f>
        <v/>
      </c>
      <c r="ANZ37" s="12">
        <f>ANX37+ANY37</f>
        <v/>
      </c>
      <c r="AOA37" s="12">
        <f>ROUND(ANZ37*(1-AnnualMix),0)</f>
        <v/>
      </c>
      <c r="AOB37" s="12">
        <f>ANZ37-AOA37</f>
        <v/>
      </c>
      <c r="AOC37" s="12">
        <f>ROUND(AOA37*EssentialMix,0)</f>
        <v/>
      </c>
      <c r="AOD37" s="12">
        <f>AOA37-AOC37</f>
        <v/>
      </c>
      <c r="AOE37" s="12">
        <f>ROUND(AOB37*EssentialMix,0)</f>
        <v/>
      </c>
      <c r="AOF37" s="12">
        <f>AOB37-AOE37</f>
        <v/>
      </c>
      <c r="AOG37" s="12">
        <f>AOC37+AOC36+AOC35+MAX(0,AOG36-AOC36-AOC35)*(1-ANV37)</f>
        <v/>
      </c>
      <c r="AOH37" s="12">
        <f>AOD37+AOD36+AOD35+MAX(0,AOH36-AOD36-AOD35)*(1-ANV37)</f>
        <v/>
      </c>
      <c r="AOI37" s="12">
        <f>AOI36+AOE37-AOE25*(AnnualChurn*VLOOKUP(ANR37,ChurnSeasonTable,4,FALSE))*POWER(1-(AnnualChurn*VLOOKUP(ANR37,ChurnSeasonTable,4,FALSE)),0)+AOE13*(AnnualChurn*VLOOKUP(ANR37,ChurnSeasonTable,4,FALSE))*POWER(1-(AnnualChurn*VLOOKUP(ANR37,ChurnSeasonTable,4,FALSE)),1)</f>
        <v/>
      </c>
      <c r="AOJ37" s="12">
        <f>AOJ36+AOF37-AOF25*(AnnualChurn*VLOOKUP(ANR37,ChurnSeasonTable,4,FALSE))*POWER(1-(AnnualChurn*VLOOKUP(ANR37,ChurnSeasonTable,4,FALSE)),0)+AOF13*(AnnualChurn*VLOOKUP(ANR37,ChurnSeasonTable,4,FALSE))*POWER(1-(AnnualChurn*VLOOKUP(ANR37,ChurnSeasonTable,4,FALSE)),1)</f>
        <v/>
      </c>
      <c r="AOK37" s="12">
        <f>AOG37+AOH37+AOI37+AOJ37</f>
        <v/>
      </c>
      <c r="AOL37" s="9">
        <f>AOG37*PriceEssMonthly*ANU37+AOH37*PricePremMonthly*ANU37+AOI37*PriceEssAnnual*ANU37/12+AOJ37*PricePremAnnual*ANU37/12</f>
        <v/>
      </c>
      <c r="AOM37" s="9">
        <f>AOL37*12</f>
        <v/>
      </c>
      <c r="AON37" s="12">
        <f>AOG37*PriceEssMonthly*ANU37+AOH37*PricePremMonthly*ANU37</f>
        <v/>
      </c>
      <c r="AOO37" s="12">
        <f>AOE37*PriceEssAnnual*ANU37+AOF37*PricePremAnnual*ANU37</f>
        <v/>
      </c>
      <c r="AOP37" s="12">
        <f>AOE25*POWER(1-(AnnualChurn*VLOOKUP(ANR37,ChurnSeasonTable,4,FALSE)),1)*PriceEssAnnual*ANU37+AOE13*POWER(1-(AnnualChurn*VLOOKUP(ANR37,ChurnSeasonTable,4,FALSE)),2)*PriceEssAnnual*ANU37+AOF25*POWER(1-(AnnualChurn*VLOOKUP(ANR37,ChurnSeasonTable,4,FALSE)),1)*PricePremAnnual*ANU37+AOF13*POWER(1-(AnnualChurn*VLOOKUP(ANR37,ChurnSeasonTable,4,FALSE)),2)*PricePremAnnual*ANU37</f>
        <v/>
      </c>
      <c r="AOQ37" s="9">
        <f>AON37+AOO37+AOP37</f>
        <v/>
      </c>
      <c r="AOR37" s="12">
        <f>SUM(AOQ26:AOQ37)</f>
        <v/>
      </c>
      <c r="AOS37" s="12">
        <f>OR(AOS36,AOR37&gt;=VATThreshold)</f>
        <v/>
      </c>
      <c r="AOT37" s="9">
        <f>IF(AOS37,AOQ37/(1+VATRate),AOQ37)</f>
        <v/>
      </c>
      <c r="AOU37" s="12">
        <f>AOQ37-AOT37</f>
        <v/>
      </c>
      <c r="AOV37" s="12">
        <f>IF(AOS37=0,0,IF(ANR37=1,SUMPRODUCT(--(($ANS$5:$ANS37=$ANS37-1)*($ANR$5:$ANR37&gt;=10)*($ANR$5:$ANR37&lt;=12)),$AOU$5:$AOU37),IF(ANR37=4,SUMPRODUCT(--(($ANS$5:$ANS37=$ANS37)*($ANR$5:$ANR37&gt;=1)*($ANR$5:$ANR37&lt;=3)),$AOU$5:$AOU37),IF(ANR37=7,SUMPRODUCT(--(($ANS$5:$ANS37=$ANS37)*($ANR$5:$ANR37&gt;=4)*($ANR$5:$ANR37&lt;=6)),$AOU$5:$AOU37),IF(ANR37=10,SUMPRODUCT(--(($ANS$5:$ANS37=$ANS37)*($ANR$5:$ANR37&gt;=7)*($ANR$5:$ANR37&lt;=9)),$AOU$5:$AOU37),0)))))</f>
        <v/>
      </c>
      <c r="AOW37" s="12">
        <f>AOW36+AOU37-AOV37</f>
        <v/>
      </c>
      <c r="AOX37" s="12">
        <f>IF(ProviderDelay&gt;=1,AOT36*ProviderShare,AOT37*ProviderShare)</f>
        <v/>
      </c>
      <c r="AOY37" s="12">
        <f>AOQ37*PaymentFee</f>
        <v/>
      </c>
      <c r="AOZ37" s="12">
        <f>AOK37*OpsAI</f>
        <v/>
      </c>
      <c r="APA37" s="12">
        <f>MonthlyFixed</f>
        <v/>
      </c>
      <c r="APB37" s="12">
        <f>ANY37*ReferralReward</f>
        <v/>
      </c>
      <c r="APC37" s="12">
        <f>ANW37</f>
        <v/>
      </c>
      <c r="APD37" s="9">
        <f>AOT37-AOX37-AOY37-AOZ37-APA37-APB37-APC37</f>
        <v/>
      </c>
      <c r="APE37" s="9">
        <f>APE36+AOQ37-(AOX37+AOY37+AOZ37+APA37+APB37+APC37+AOV37)</f>
        <v/>
      </c>
      <c r="APF37" s="12">
        <f>IF(AOK37&gt;0,AOL37/AOK37,0)</f>
        <v/>
      </c>
      <c r="APG37" s="11">
        <f>IF(AOK36&gt;0,MAX(0,(AOK36+ANZ37-AOK37)/AOK36),0)</f>
        <v/>
      </c>
      <c r="API37" s="12" t="n">
        <v>33</v>
      </c>
      <c r="APJ37" s="12">
        <f>MOD(API37-1+LaunchMonth-1,12)+1</f>
        <v/>
      </c>
      <c r="APK37" s="12">
        <f>INT((API37-1+LaunchMonth-1)/12)+1</f>
        <v/>
      </c>
      <c r="APL37" s="12">
        <f>VLOOKUP(APJ37,SeasonTable,2,FALSE)</f>
        <v/>
      </c>
      <c r="APM37" s="12">
        <f>(1+InflationRate)^INT((API37-1)/12)</f>
        <v/>
      </c>
      <c r="APN37" s="11">
        <f>MonthlyChurn*VLOOKUP(APJ37,ChurnSeasonTable,4,FALSE)</f>
        <v/>
      </c>
      <c r="APO37" s="12">
        <f>MIN(MAX(MktMin19plus,AQI36*MktPct19plus),MAX(0,AQW36-CashBuffer))</f>
        <v/>
      </c>
      <c r="APP37" s="12">
        <f>IF(APO37&gt;0,MAX(1,ROUND(APO37/'Sens - CAC &amp; Marketing'!$A$15*APL37,0)),0)</f>
        <v/>
      </c>
      <c r="APQ37" s="12">
        <f>IF(APP37&gt;0,ROUND(APP37*ReferralMix/(1-ReferralMix),0),0)</f>
        <v/>
      </c>
      <c r="APR37" s="12">
        <f>APP37+APQ37</f>
        <v/>
      </c>
      <c r="APS37" s="12">
        <f>ROUND(APR37*(1-AnnualMix),0)</f>
        <v/>
      </c>
      <c r="APT37" s="12">
        <f>APR37-APS37</f>
        <v/>
      </c>
      <c r="APU37" s="12">
        <f>ROUND(APS37*EssentialMix,0)</f>
        <v/>
      </c>
      <c r="APV37" s="12">
        <f>APS37-APU37</f>
        <v/>
      </c>
      <c r="APW37" s="12">
        <f>ROUND(APT37*EssentialMix,0)</f>
        <v/>
      </c>
      <c r="APX37" s="12">
        <f>APT37-APW37</f>
        <v/>
      </c>
      <c r="APY37" s="12">
        <f>APU37+APU36+APU35+MAX(0,APY36-APU36-APU35)*(1-APN37)</f>
        <v/>
      </c>
      <c r="APZ37" s="12">
        <f>APV37+APV36+APV35+MAX(0,APZ36-APV36-APV35)*(1-APN37)</f>
        <v/>
      </c>
      <c r="AQA37" s="12">
        <f>AQA36+APW37-APW25*(AnnualChurn*VLOOKUP(APJ37,ChurnSeasonTable,4,FALSE))*POWER(1-(AnnualChurn*VLOOKUP(APJ37,ChurnSeasonTable,4,FALSE)),0)+APW13*(AnnualChurn*VLOOKUP(APJ37,ChurnSeasonTable,4,FALSE))*POWER(1-(AnnualChurn*VLOOKUP(APJ37,ChurnSeasonTable,4,FALSE)),1)</f>
        <v/>
      </c>
      <c r="AQB37" s="12">
        <f>AQB36+APX37-APX25*(AnnualChurn*VLOOKUP(APJ37,ChurnSeasonTable,4,FALSE))*POWER(1-(AnnualChurn*VLOOKUP(APJ37,ChurnSeasonTable,4,FALSE)),0)+APX13*(AnnualChurn*VLOOKUP(APJ37,ChurnSeasonTable,4,FALSE))*POWER(1-(AnnualChurn*VLOOKUP(APJ37,ChurnSeasonTable,4,FALSE)),1)</f>
        <v/>
      </c>
      <c r="AQC37" s="12">
        <f>APY37+APZ37+AQA37+AQB37</f>
        <v/>
      </c>
      <c r="AQD37" s="9">
        <f>APY37*PriceEssMonthly*APM37+APZ37*PricePremMonthly*APM37+AQA37*PriceEssAnnual*APM37/12+AQB37*PricePremAnnual*APM37/12</f>
        <v/>
      </c>
      <c r="AQE37" s="9">
        <f>AQD37*12</f>
        <v/>
      </c>
      <c r="AQF37" s="12">
        <f>APY37*PriceEssMonthly*APM37+APZ37*PricePremMonthly*APM37</f>
        <v/>
      </c>
      <c r="AQG37" s="12">
        <f>APW37*PriceEssAnnual*APM37+APX37*PricePremAnnual*APM37</f>
        <v/>
      </c>
      <c r="AQH37" s="12">
        <f>APW25*POWER(1-(AnnualChurn*VLOOKUP(APJ37,ChurnSeasonTable,4,FALSE)),1)*PriceEssAnnual*APM37+APW13*POWER(1-(AnnualChurn*VLOOKUP(APJ37,ChurnSeasonTable,4,FALSE)),2)*PriceEssAnnual*APM37+APX25*POWER(1-(AnnualChurn*VLOOKUP(APJ37,ChurnSeasonTable,4,FALSE)),1)*PricePremAnnual*APM37+APX13*POWER(1-(AnnualChurn*VLOOKUP(APJ37,ChurnSeasonTable,4,FALSE)),2)*PricePremAnnual*APM37</f>
        <v/>
      </c>
      <c r="AQI37" s="9">
        <f>AQF37+AQG37+AQH37</f>
        <v/>
      </c>
      <c r="AQJ37" s="12">
        <f>SUM(AQI26:AQI37)</f>
        <v/>
      </c>
      <c r="AQK37" s="12">
        <f>OR(AQK36,AQJ37&gt;=VATThreshold)</f>
        <v/>
      </c>
      <c r="AQL37" s="9">
        <f>IF(AQK37,AQI37/(1+VATRate),AQI37)</f>
        <v/>
      </c>
      <c r="AQM37" s="12">
        <f>AQI37-AQL37</f>
        <v/>
      </c>
      <c r="AQN37" s="12">
        <f>IF(AQK37=0,0,IF(APJ37=1,SUMPRODUCT(--(($APK$5:$APK37=$APK37-1)*($APJ$5:$APJ37&gt;=10)*($APJ$5:$APJ37&lt;=12)),$AQM$5:$AQM37),IF(APJ37=4,SUMPRODUCT(--(($APK$5:$APK37=$APK37)*($APJ$5:$APJ37&gt;=1)*($APJ$5:$APJ37&lt;=3)),$AQM$5:$AQM37),IF(APJ37=7,SUMPRODUCT(--(($APK$5:$APK37=$APK37)*($APJ$5:$APJ37&gt;=4)*($APJ$5:$APJ37&lt;=6)),$AQM$5:$AQM37),IF(APJ37=10,SUMPRODUCT(--(($APK$5:$APK37=$APK37)*($APJ$5:$APJ37&gt;=7)*($APJ$5:$APJ37&lt;=9)),$AQM$5:$AQM37),0)))))</f>
        <v/>
      </c>
      <c r="AQO37" s="12">
        <f>AQO36+AQM37-AQN37</f>
        <v/>
      </c>
      <c r="AQP37" s="12">
        <f>IF(ProviderDelay&gt;=1,AQL36*ProviderShare,AQL37*ProviderShare)</f>
        <v/>
      </c>
      <c r="AQQ37" s="12">
        <f>AQI37*PaymentFee</f>
        <v/>
      </c>
      <c r="AQR37" s="12">
        <f>AQC37*OpsAI</f>
        <v/>
      </c>
      <c r="AQS37" s="12">
        <f>MonthlyFixed</f>
        <v/>
      </c>
      <c r="AQT37" s="12">
        <f>APQ37*ReferralReward</f>
        <v/>
      </c>
      <c r="AQU37" s="12">
        <f>APO37</f>
        <v/>
      </c>
      <c r="AQV37" s="9">
        <f>AQL37-AQP37-AQQ37-AQR37-AQS37-AQT37-AQU37</f>
        <v/>
      </c>
      <c r="AQW37" s="9">
        <f>AQW36+AQI37-(AQP37+AQQ37+AQR37+AQS37+AQT37+AQU37+AQN37)</f>
        <v/>
      </c>
      <c r="AQX37" s="12">
        <f>IF(AQC37&gt;0,AQD37/AQC37,0)</f>
        <v/>
      </c>
      <c r="AQY37" s="11">
        <f>IF(AQC36&gt;0,MAX(0,(AQC36+APR37-AQC37)/AQC36),0)</f>
        <v/>
      </c>
      <c r="ARA37" s="12" t="n">
        <v>33</v>
      </c>
      <c r="ARB37" s="12">
        <f>MOD(ARA37-1+LaunchMonth-1,12)+1</f>
        <v/>
      </c>
      <c r="ARC37" s="12">
        <f>INT((ARA37-1+LaunchMonth-1)/12)+1</f>
        <v/>
      </c>
      <c r="ARD37" s="12">
        <f>VLOOKUP(ARB37,WinterPivotSeasonTable,5,FALSE)</f>
        <v/>
      </c>
      <c r="ARE37" s="12">
        <f>(1+InflationRate)^INT((ARA37-1)/12)</f>
        <v/>
      </c>
      <c r="ARF37" s="11">
        <f>MonthlyChurn*VLOOKUP(ARB37,WinterPivotChurnTable,6,FALSE)</f>
        <v/>
      </c>
      <c r="ARG37" s="12">
        <f>MIN(MAX(MktMin19plus,ASA36*MktPct19plus),MAX(0,ASO36-CashBuffer))</f>
        <v/>
      </c>
      <c r="ARH37" s="12">
        <f>IF(ARG37&gt;0,MAX(1,ROUND(ARG37/CAC*ARD37,0)),0)</f>
        <v/>
      </c>
      <c r="ARI37" s="12">
        <f>IF(ARH37&gt;0,ROUND(ARH37*ReferralMix/(1-ReferralMix),0),0)</f>
        <v/>
      </c>
      <c r="ARJ37" s="12">
        <f>ARH37+ARI37</f>
        <v/>
      </c>
      <c r="ARK37" s="12">
        <f>ROUND(ARJ37*(1-AnnualMix),0)</f>
        <v/>
      </c>
      <c r="ARL37" s="12">
        <f>ARJ37-ARK37</f>
        <v/>
      </c>
      <c r="ARM37" s="12">
        <f>ROUND(ARK37*'Sens - Winter Pivot'!$B$6,0)</f>
        <v/>
      </c>
      <c r="ARN37" s="12">
        <f>ARK37-ARM37</f>
        <v/>
      </c>
      <c r="ARO37" s="12">
        <f>ROUND(ARL37*'Sens - Winter Pivot'!$B$6,0)</f>
        <v/>
      </c>
      <c r="ARP37" s="12">
        <f>ARL37-ARO37</f>
        <v/>
      </c>
      <c r="ARQ37" s="12">
        <f>ARM37+ARM36+ARM35+MAX(0,ARQ36-ARM36-ARM35)*(1-ARF37)</f>
        <v/>
      </c>
      <c r="ARR37" s="12">
        <f>ARN37+ARN36+ARN35+MAX(0,ARR36-ARN36-ARN35)*(1-ARF37)</f>
        <v/>
      </c>
      <c r="ARS37" s="12">
        <f>ARS36+ARO37-ARO25*(AnnualChurn*VLOOKUP(ARB37,WinterPivotChurnTable,6,FALSE))*POWER(1-(AnnualChurn*VLOOKUP(ARB37,WinterPivotChurnTable,6,FALSE)),0)+ARO13*(AnnualChurn*VLOOKUP(ARB37,WinterPivotChurnTable,6,FALSE))*POWER(1-(AnnualChurn*VLOOKUP(ARB37,WinterPivotChurnTable,6,FALSE)),1)</f>
        <v/>
      </c>
      <c r="ART37" s="12">
        <f>ART36+ARP37-ARP25*(AnnualChurn*VLOOKUP(ARB37,WinterPivotChurnTable,6,FALSE))*POWER(1-(AnnualChurn*VLOOKUP(ARB37,WinterPivotChurnTable,6,FALSE)),0)+ARP13*(AnnualChurn*VLOOKUP(ARB37,WinterPivotChurnTable,6,FALSE))*POWER(1-(AnnualChurn*VLOOKUP(ARB37,WinterPivotChurnTable,6,FALSE)),1)</f>
        <v/>
      </c>
      <c r="ARU37" s="12">
        <f>ARQ37+ARR37+ARS37+ART37</f>
        <v/>
      </c>
      <c r="ARV37" s="9">
        <f>ARQ37*PriceEssMonthly*ARE37+ARR37*(PricePremMonthly+'Sens - Winter Pivot'!$B$7)*ARE37+ARS37*PriceEssAnnual*ARE37/12+ART37*(PricePremAnnual+'Sens - Winter Pivot'!$B$7*12)*ARE37/12</f>
        <v/>
      </c>
      <c r="ARW37" s="9">
        <f>ARV37*12</f>
        <v/>
      </c>
      <c r="ARX37" s="12">
        <f>ARQ37*PriceEssMonthly*ARE37+ARR37*(PricePremMonthly+'Sens - Winter Pivot'!$B$7)*ARE37</f>
        <v/>
      </c>
      <c r="ARY37" s="12">
        <f>ARO37*PriceEssAnnual*ARE37+ARP37*(PricePremAnnual+'Sens - Winter Pivot'!$B$7*12)*ARE37</f>
        <v/>
      </c>
      <c r="ARZ37" s="12">
        <f>ARO25*POWER(1-(AnnualChurn*VLOOKUP(ARB37,WinterPivotChurnTable,6,FALSE)),1)*PriceEssAnnual*ARE37+ARO13*POWER(1-(AnnualChurn*VLOOKUP(ARB37,WinterPivotChurnTable,6,FALSE)),2)*PriceEssAnnual*ARE37+ARP25*POWER(1-(AnnualChurn*VLOOKUP(ARB37,WinterPivotChurnTable,6,FALSE)),1)*PricePremAnnual*ARE37+ARP13*POWER(1-(AnnualChurn*VLOOKUP(ARB37,WinterPivotChurnTable,6,FALSE)),2)*PricePremAnnual*ARE37</f>
        <v/>
      </c>
      <c r="ASA37" s="9">
        <f>ARX37+ARY37+ARZ37</f>
        <v/>
      </c>
      <c r="ASB37" s="12">
        <f>SUM(ASA26:ASA37)</f>
        <v/>
      </c>
      <c r="ASC37" s="12">
        <f>OR(ASC36,ASB37&gt;=VATThreshold)</f>
        <v/>
      </c>
      <c r="ASD37" s="9">
        <f>IF(ASC37,ASA37/(1+VATRate),ASA37)</f>
        <v/>
      </c>
      <c r="ASE37" s="12">
        <f>ASA37-ASD37</f>
        <v/>
      </c>
      <c r="ASF37" s="12">
        <f>IF(ASC37=0,0,IF(ARB37=1,SUMPRODUCT(--(($ARC$5:$ARC37=$ARC37-1)*($ARB$5:$ARB37&gt;=10)*($ARB$5:$ARB37&lt;=12)),$ASE$5:$ASE37),IF(ARB37=4,SUMPRODUCT(--(($ARC$5:$ARC37=$ARC37)*($ARB$5:$ARB37&gt;=1)*($ARB$5:$ARB37&lt;=3)),$ASE$5:$ASE37),IF(ARB37=7,SUMPRODUCT(--(($ARC$5:$ARC37=$ARC37)*($ARB$5:$ARB37&gt;=4)*($ARB$5:$ARB37&lt;=6)),$ASE$5:$ASE37),IF(ARB37=10,SUMPRODUCT(--(($ARC$5:$ARC37=$ARC37)*($ARB$5:$ARB37&gt;=7)*($ARB$5:$ARB37&lt;=9)),$ASE$5:$ASE37),0)))))</f>
        <v/>
      </c>
      <c r="ASG37" s="12">
        <f>ASG36+ASE37-ASF37</f>
        <v/>
      </c>
      <c r="ASH37" s="12">
        <f>IF(ProviderDelay&gt;=1,ASD36*ProviderShare,ASD37*ProviderShare)</f>
        <v/>
      </c>
      <c r="ASI37" s="12">
        <f>ASA37*PaymentFee</f>
        <v/>
      </c>
      <c r="ASJ37" s="12">
        <f>ARU37*OpsAI</f>
        <v/>
      </c>
      <c r="ASK37" s="12">
        <f>MonthlyFixed</f>
        <v/>
      </c>
      <c r="ASL37" s="12">
        <f>ARI37*ReferralReward</f>
        <v/>
      </c>
      <c r="ASM37" s="12">
        <f>ARG37</f>
        <v/>
      </c>
      <c r="ASN37" s="9">
        <f>ASD37-ASH37-ASI37-ASJ37-ASK37-ASL37-ASM37</f>
        <v/>
      </c>
      <c r="ASO37" s="9">
        <f>ASO36+ASA37-(ASH37+ASI37+ASJ37+ASK37+ASL37+ASM37+ASF37)</f>
        <v/>
      </c>
      <c r="ASP37" s="12">
        <f>IF(ARU37&gt;0,ARV37/ARU37,0)</f>
        <v/>
      </c>
      <c r="ASQ37" s="11">
        <f>IF(ARU36&gt;0,MAX(0,(ARU36+ARJ37-ARU37)/ARU36),0)</f>
        <v/>
      </c>
    </row>
    <row r="38">
      <c r="A38" s="12" t="n">
        <v>34</v>
      </c>
      <c r="B38" s="12">
        <f>MOD(A38-1+LaunchMonth-1,12)+1</f>
        <v/>
      </c>
      <c r="C38" s="12">
        <f>INT((A38-1+LaunchMonth-1)/12)+1</f>
        <v/>
      </c>
      <c r="D38" s="12">
        <f>VLOOKUP(B38,SeasonTable,2,FALSE)</f>
        <v/>
      </c>
      <c r="E38" s="12">
        <f>(1+InflationRate)^INT((A38-1)/12)</f>
        <v/>
      </c>
      <c r="F38" s="11">
        <f>'Sens - Scenarios'!$B$5*VLOOKUP(B38,ChurnSeasonTable,4,FALSE)</f>
        <v/>
      </c>
      <c r="G38" s="12">
        <f>MIN(MAX(MktMin19plus,AA37*MktPct19plus),MAX(0,AO37-CashBuffer))</f>
        <v/>
      </c>
      <c r="H38" s="12">
        <f>IF(G38&gt;0,MAX(1,ROUND(G38/'Sens - Scenarios'!$B$8*D38,0)),0)</f>
        <v/>
      </c>
      <c r="I38" s="12">
        <f>IF(H38&gt;0,ROUND(H38*ReferralMix/(1-ReferralMix),0),0)</f>
        <v/>
      </c>
      <c r="J38" s="12">
        <f>H38+I38</f>
        <v/>
      </c>
      <c r="K38" s="12">
        <f>ROUND(J38*(1-'Sens - Scenarios'!$B$7),0)</f>
        <v/>
      </c>
      <c r="L38" s="12">
        <f>J38-K38</f>
        <v/>
      </c>
      <c r="M38" s="12">
        <f>ROUND(K38*EssentialMix,0)</f>
        <v/>
      </c>
      <c r="N38" s="12">
        <f>K38-M38</f>
        <v/>
      </c>
      <c r="O38" s="12">
        <f>ROUND(L38*EssentialMix,0)</f>
        <v/>
      </c>
      <c r="P38" s="12">
        <f>L38-O38</f>
        <v/>
      </c>
      <c r="Q38" s="12">
        <f>M38+M37+M36+MAX(0,Q37-M37-M36)*(1-F38)</f>
        <v/>
      </c>
      <c r="R38" s="12">
        <f>N38+N37+N36+MAX(0,R37-N37-N36)*(1-F38)</f>
        <v/>
      </c>
      <c r="S38" s="12">
        <f>S37+O38-O26*('Sens - Scenarios'!$B$6*VLOOKUP(B38,ChurnSeasonTable,4,FALSE))*POWER(1-('Sens - Scenarios'!$B$6*VLOOKUP(B38,ChurnSeasonTable,4,FALSE)),0)+O14*('Sens - Scenarios'!$B$6*VLOOKUP(B38,ChurnSeasonTable,4,FALSE))*POWER(1-('Sens - Scenarios'!$B$6*VLOOKUP(B38,ChurnSeasonTable,4,FALSE)),1)</f>
        <v/>
      </c>
      <c r="T38" s="12">
        <f>T37+P38-P26*('Sens - Scenarios'!$B$6*VLOOKUP(B38,ChurnSeasonTable,4,FALSE))*POWER(1-('Sens - Scenarios'!$B$6*VLOOKUP(B38,ChurnSeasonTable,4,FALSE)),0)+P14*('Sens - Scenarios'!$B$6*VLOOKUP(B38,ChurnSeasonTable,4,FALSE))*POWER(1-('Sens - Scenarios'!$B$6*VLOOKUP(B38,ChurnSeasonTable,4,FALSE)),1)</f>
        <v/>
      </c>
      <c r="U38" s="12">
        <f>Q38+R38+S38+T38</f>
        <v/>
      </c>
      <c r="V38" s="9">
        <f>Q38*PriceEssMonthly*E38+R38*PricePremMonthly*E38+S38*PriceEssAnnual*E38/12+T38*PricePremAnnual*E38/12</f>
        <v/>
      </c>
      <c r="W38" s="9">
        <f>V38*12</f>
        <v/>
      </c>
      <c r="X38" s="12">
        <f>Q38*PriceEssMonthly*E38+R38*PricePremMonthly*E38</f>
        <v/>
      </c>
      <c r="Y38" s="12">
        <f>O38*PriceEssAnnual*E38+P38*PricePremAnnual*E38</f>
        <v/>
      </c>
      <c r="Z38" s="12">
        <f>O26*POWER(1-('Sens - Scenarios'!$B$6*VLOOKUP(B38,ChurnSeasonTable,4,FALSE)),1)*PriceEssAnnual*E38+O14*POWER(1-('Sens - Scenarios'!$B$6*VLOOKUP(B38,ChurnSeasonTable,4,FALSE)),2)*PriceEssAnnual*E38+P26*POWER(1-('Sens - Scenarios'!$B$6*VLOOKUP(B38,ChurnSeasonTable,4,FALSE)),1)*PricePremAnnual*E38+P14*POWER(1-('Sens - Scenarios'!$B$6*VLOOKUP(B38,ChurnSeasonTable,4,FALSE)),2)*PricePremAnnual*E38</f>
        <v/>
      </c>
      <c r="AA38" s="9">
        <f>X38+Y38+Z38</f>
        <v/>
      </c>
      <c r="AB38" s="12">
        <f>SUM(AA27:AA38)</f>
        <v/>
      </c>
      <c r="AC38" s="12">
        <f>OR(AC37,AB38&gt;=VATThreshold)</f>
        <v/>
      </c>
      <c r="AD38" s="9">
        <f>IF(AC38,AA38/(1+VATRate),AA38)</f>
        <v/>
      </c>
      <c r="AE38" s="12">
        <f>AA38-AD38</f>
        <v/>
      </c>
      <c r="AF38" s="12">
        <f>IF(AC38=0,0,IF(B38=1,SUMPRODUCT(--(($C$5:$C38=$C38-1)*($B$5:$B38&gt;=10)*($B$5:$B38&lt;=12)),$AE$5:$AE38),IF(B38=4,SUMPRODUCT(--(($C$5:$C38=$C38)*($B$5:$B38&gt;=1)*($B$5:$B38&lt;=3)),$AE$5:$AE38),IF(B38=7,SUMPRODUCT(--(($C$5:$C38=$C38)*($B$5:$B38&gt;=4)*($B$5:$B38&lt;=6)),$AE$5:$AE38),IF(B38=10,SUMPRODUCT(--(($C$5:$C38=$C38)*($B$5:$B38&gt;=7)*($B$5:$B38&lt;=9)),$AE$5:$AE38),0)))))</f>
        <v/>
      </c>
      <c r="AG38" s="12">
        <f>AG37+AE38-AF38</f>
        <v/>
      </c>
      <c r="AH38" s="12">
        <f>IF(ProviderDelay&gt;=1,AD37*ProviderShare,AD38*ProviderShare)</f>
        <v/>
      </c>
      <c r="AI38" s="12">
        <f>AA38*PaymentFee</f>
        <v/>
      </c>
      <c r="AJ38" s="12">
        <f>U38*OpsAI</f>
        <v/>
      </c>
      <c r="AK38" s="12">
        <f>MonthlyFixed</f>
        <v/>
      </c>
      <c r="AL38" s="12">
        <f>I38*ReferralReward</f>
        <v/>
      </c>
      <c r="AM38" s="12">
        <f>G38</f>
        <v/>
      </c>
      <c r="AN38" s="9">
        <f>AD38-AH38-AI38-AJ38-AK38-AL38-AM38</f>
        <v/>
      </c>
      <c r="AO38" s="9">
        <f>AO37+AA38-(AH38+AI38+AJ38+AK38+AL38+AM38+AF38)</f>
        <v/>
      </c>
      <c r="AP38" s="12">
        <f>IF(U38&gt;0,V38/U38,0)</f>
        <v/>
      </c>
      <c r="AQ38" s="11">
        <f>IF(U37&gt;0,MAX(0,(U37+J38-U38)/U37),0)</f>
        <v/>
      </c>
      <c r="AS38" s="12" t="n">
        <v>34</v>
      </c>
      <c r="AT38" s="12">
        <f>MOD(AS38-1+LaunchMonth-1,12)+1</f>
        <v/>
      </c>
      <c r="AU38" s="12">
        <f>INT((AS38-1+LaunchMonth-1)/12)+1</f>
        <v/>
      </c>
      <c r="AV38" s="12">
        <f>VLOOKUP(AT38,SeasonTable,2,FALSE)</f>
        <v/>
      </c>
      <c r="AW38" s="12">
        <f>(1+InflationRate)^INT((AS38-1)/12)</f>
        <v/>
      </c>
      <c r="AX38" s="11">
        <f>MonthlyChurn*VLOOKUP(AT38,ChurnSeasonTable,4,FALSE)</f>
        <v/>
      </c>
      <c r="AY38" s="12">
        <f>MIN(MAX(MktMin19plus,BS37*MktPct19plus),MAX(0,CG37-CashBuffer))</f>
        <v/>
      </c>
      <c r="AZ38" s="12">
        <f>IF(AY38&gt;0,MAX(1,ROUND(AY38/CAC*AV38,0)),0)</f>
        <v/>
      </c>
      <c r="BA38" s="12">
        <f>IF(AZ38&gt;0,ROUND(AZ38*ReferralMix/(1-ReferralMix),0),0)</f>
        <v/>
      </c>
      <c r="BB38" s="12">
        <f>AZ38+BA38</f>
        <v/>
      </c>
      <c r="BC38" s="12">
        <f>ROUND(BB38*(1-AnnualMix),0)</f>
        <v/>
      </c>
      <c r="BD38" s="12">
        <f>BB38-BC38</f>
        <v/>
      </c>
      <c r="BE38" s="12">
        <f>ROUND(BC38*EssentialMix,0)</f>
        <v/>
      </c>
      <c r="BF38" s="12">
        <f>BC38-BE38</f>
        <v/>
      </c>
      <c r="BG38" s="12">
        <f>ROUND(BD38*EssentialMix,0)</f>
        <v/>
      </c>
      <c r="BH38" s="12">
        <f>BD38-BG38</f>
        <v/>
      </c>
      <c r="BI38" s="12">
        <f>BE38+BE37+BE36+MAX(0,BI37-BE37-BE36)*(1-AX38)</f>
        <v/>
      </c>
      <c r="BJ38" s="12">
        <f>BF38+BF37+BF36+MAX(0,BJ37-BF37-BF36)*(1-AX38)</f>
        <v/>
      </c>
      <c r="BK38" s="12">
        <f>BK37+BG38-BG26*(AnnualChurn*VLOOKUP(AT38,ChurnSeasonTable,4,FALSE))*POWER(1-(AnnualChurn*VLOOKUP(AT38,ChurnSeasonTable,4,FALSE)),0)+BG14*(AnnualChurn*VLOOKUP(AT38,ChurnSeasonTable,4,FALSE))*POWER(1-(AnnualChurn*VLOOKUP(AT38,ChurnSeasonTable,4,FALSE)),1)</f>
        <v/>
      </c>
      <c r="BL38" s="12">
        <f>BL37+BH38-BH26*(AnnualChurn*VLOOKUP(AT38,ChurnSeasonTable,4,FALSE))*POWER(1-(AnnualChurn*VLOOKUP(AT38,ChurnSeasonTable,4,FALSE)),0)+BH14*(AnnualChurn*VLOOKUP(AT38,ChurnSeasonTable,4,FALSE))*POWER(1-(AnnualChurn*VLOOKUP(AT38,ChurnSeasonTable,4,FALSE)),1)</f>
        <v/>
      </c>
      <c r="BM38" s="12">
        <f>BI38+BJ38+BK38+BL38</f>
        <v/>
      </c>
      <c r="BN38" s="9">
        <f>BI38*PriceEssMonthly*AW38+BJ38*PricePremMonthly*AW38+BK38*PriceEssAnnual*AW38/12+BL38*PricePremAnnual*AW38/12</f>
        <v/>
      </c>
      <c r="BO38" s="9">
        <f>BN38*12</f>
        <v/>
      </c>
      <c r="BP38" s="12">
        <f>BI38*PriceEssMonthly*AW38+BJ38*PricePremMonthly*AW38</f>
        <v/>
      </c>
      <c r="BQ38" s="12">
        <f>BG38*PriceEssAnnual*AW38+BH38*PricePremAnnual*AW38</f>
        <v/>
      </c>
      <c r="BR38" s="12">
        <f>BG26*POWER(1-(AnnualChurn*VLOOKUP(AT38,ChurnSeasonTable,4,FALSE)),1)*PriceEssAnnual*AW38+BG14*POWER(1-(AnnualChurn*VLOOKUP(AT38,ChurnSeasonTable,4,FALSE)),2)*PriceEssAnnual*AW38+BH26*POWER(1-(AnnualChurn*VLOOKUP(AT38,ChurnSeasonTable,4,FALSE)),1)*PricePremAnnual*AW38+BH14*POWER(1-(AnnualChurn*VLOOKUP(AT38,ChurnSeasonTable,4,FALSE)),2)*PricePremAnnual*AW38</f>
        <v/>
      </c>
      <c r="BS38" s="9">
        <f>BP38+BQ38+BR38</f>
        <v/>
      </c>
      <c r="BT38" s="12">
        <f>SUM(BS27:BS38)</f>
        <v/>
      </c>
      <c r="BU38" s="12">
        <f>OR(BU37,BT38&gt;=VATThreshold)</f>
        <v/>
      </c>
      <c r="BV38" s="9">
        <f>IF(BU38,BS38/(1+VATRate),BS38)</f>
        <v/>
      </c>
      <c r="BW38" s="12">
        <f>BS38-BV38</f>
        <v/>
      </c>
      <c r="BX38" s="12">
        <f>IF(BU38=0,0,IF(AT38=1,SUMPRODUCT(--(($AU$5:$AU38=$AU38-1)*($AT$5:$AT38&gt;=10)*($AT$5:$AT38&lt;=12)),$BW$5:$BW38),IF(AT38=4,SUMPRODUCT(--(($AU$5:$AU38=$AU38)*($AT$5:$AT38&gt;=1)*($AT$5:$AT38&lt;=3)),$BW$5:$BW38),IF(AT38=7,SUMPRODUCT(--(($AU$5:$AU38=$AU38)*($AT$5:$AT38&gt;=4)*($AT$5:$AT38&lt;=6)),$BW$5:$BW38),IF(AT38=10,SUMPRODUCT(--(($AU$5:$AU38=$AU38)*($AT$5:$AT38&gt;=7)*($AT$5:$AT38&lt;=9)),$BW$5:$BW38),0)))))</f>
        <v/>
      </c>
      <c r="BY38" s="12">
        <f>BY37+BW38-BX38</f>
        <v/>
      </c>
      <c r="BZ38" s="12">
        <f>IF(ProviderDelay&gt;=1,BV37*ProviderShare,BV38*ProviderShare)</f>
        <v/>
      </c>
      <c r="CA38" s="12">
        <f>BS38*PaymentFee</f>
        <v/>
      </c>
      <c r="CB38" s="12">
        <f>BM38*OpsAI</f>
        <v/>
      </c>
      <c r="CC38" s="12">
        <f>MonthlyFixed</f>
        <v/>
      </c>
      <c r="CD38" s="12">
        <f>BA38*ReferralReward</f>
        <v/>
      </c>
      <c r="CE38" s="12">
        <f>AY38</f>
        <v/>
      </c>
      <c r="CF38" s="9">
        <f>BV38-BZ38-CA38-CB38-CC38-CD38-CE38</f>
        <v/>
      </c>
      <c r="CG38" s="9">
        <f>CG37+BS38-(BZ38+CA38+CB38+CC38+CD38+CE38+BX38)</f>
        <v/>
      </c>
      <c r="CH38" s="12">
        <f>IF(BM38&gt;0,BN38/BM38,0)</f>
        <v/>
      </c>
      <c r="CI38" s="11">
        <f>IF(BM37&gt;0,MAX(0,(BM37+BB38-BM38)/BM37),0)</f>
        <v/>
      </c>
      <c r="CK38" s="12" t="n">
        <v>34</v>
      </c>
      <c r="CL38" s="12">
        <f>MOD(CK38-1+LaunchMonth-1,12)+1</f>
        <v/>
      </c>
      <c r="CM38" s="12">
        <f>INT((CK38-1+LaunchMonth-1)/12)+1</f>
        <v/>
      </c>
      <c r="CN38" s="12">
        <f>VLOOKUP(CL38,SeasonTable,2,FALSE)</f>
        <v/>
      </c>
      <c r="CO38" s="12">
        <f>(1+InflationRate)^INT((CK38-1)/12)</f>
        <v/>
      </c>
      <c r="CP38" s="11">
        <f>'Sens - Scenarios'!$D$5*VLOOKUP(CL38,ChurnSeasonTable,4,FALSE)</f>
        <v/>
      </c>
      <c r="CQ38" s="12">
        <f>MIN(MAX(MktMin19plus,DK37*MktPct19plus),MAX(0,DY37-CashBuffer))</f>
        <v/>
      </c>
      <c r="CR38" s="12">
        <f>IF(CQ38&gt;0,MAX(1,ROUND(CQ38/'Sens - Scenarios'!$D$8*CN38,0)),0)</f>
        <v/>
      </c>
      <c r="CS38" s="12">
        <f>IF(CR38&gt;0,ROUND(CR38*ReferralMix/(1-ReferralMix),0),0)</f>
        <v/>
      </c>
      <c r="CT38" s="12">
        <f>CR38+CS38</f>
        <v/>
      </c>
      <c r="CU38" s="12">
        <f>ROUND(CT38*(1-'Sens - Scenarios'!$D$7),0)</f>
        <v/>
      </c>
      <c r="CV38" s="12">
        <f>CT38-CU38</f>
        <v/>
      </c>
      <c r="CW38" s="12">
        <f>ROUND(CU38*EssentialMix,0)</f>
        <v/>
      </c>
      <c r="CX38" s="12">
        <f>CU38-CW38</f>
        <v/>
      </c>
      <c r="CY38" s="12">
        <f>ROUND(CV38*EssentialMix,0)</f>
        <v/>
      </c>
      <c r="CZ38" s="12">
        <f>CV38-CY38</f>
        <v/>
      </c>
      <c r="DA38" s="12">
        <f>CW38+CW37+CW36+MAX(0,DA37-CW37-CW36)*(1-CP38)</f>
        <v/>
      </c>
      <c r="DB38" s="12">
        <f>CX38+CX37+CX36+MAX(0,DB37-CX37-CX36)*(1-CP38)</f>
        <v/>
      </c>
      <c r="DC38" s="12">
        <f>DC37+CY38-CY26*('Sens - Scenarios'!$D$6*VLOOKUP(CL38,ChurnSeasonTable,4,FALSE))*POWER(1-('Sens - Scenarios'!$D$6*VLOOKUP(CL38,ChurnSeasonTable,4,FALSE)),0)+CY14*('Sens - Scenarios'!$D$6*VLOOKUP(CL38,ChurnSeasonTable,4,FALSE))*POWER(1-('Sens - Scenarios'!$D$6*VLOOKUP(CL38,ChurnSeasonTable,4,FALSE)),1)</f>
        <v/>
      </c>
      <c r="DD38" s="12">
        <f>DD37+CZ38-CZ26*('Sens - Scenarios'!$D$6*VLOOKUP(CL38,ChurnSeasonTable,4,FALSE))*POWER(1-('Sens - Scenarios'!$D$6*VLOOKUP(CL38,ChurnSeasonTable,4,FALSE)),0)+CZ14*('Sens - Scenarios'!$D$6*VLOOKUP(CL38,ChurnSeasonTable,4,FALSE))*POWER(1-('Sens - Scenarios'!$D$6*VLOOKUP(CL38,ChurnSeasonTable,4,FALSE)),1)</f>
        <v/>
      </c>
      <c r="DE38" s="12">
        <f>DA38+DB38+DC38+DD38</f>
        <v/>
      </c>
      <c r="DF38" s="9">
        <f>DA38*PriceEssMonthly*CO38+DB38*PricePremMonthly*CO38+DC38*PriceEssAnnual*CO38/12+DD38*PricePremAnnual*CO38/12</f>
        <v/>
      </c>
      <c r="DG38" s="9">
        <f>DF38*12</f>
        <v/>
      </c>
      <c r="DH38" s="12">
        <f>DA38*PriceEssMonthly*CO38+DB38*PricePremMonthly*CO38</f>
        <v/>
      </c>
      <c r="DI38" s="12">
        <f>CY38*PriceEssAnnual*CO38+CZ38*PricePremAnnual*CO38</f>
        <v/>
      </c>
      <c r="DJ38" s="12">
        <f>CY26*POWER(1-('Sens - Scenarios'!$D$6*VLOOKUP(CL38,ChurnSeasonTable,4,FALSE)),1)*PriceEssAnnual*CO38+CY14*POWER(1-('Sens - Scenarios'!$D$6*VLOOKUP(CL38,ChurnSeasonTable,4,FALSE)),2)*PriceEssAnnual*CO38+CZ26*POWER(1-('Sens - Scenarios'!$D$6*VLOOKUP(CL38,ChurnSeasonTable,4,FALSE)),1)*PricePremAnnual*CO38+CZ14*POWER(1-('Sens - Scenarios'!$D$6*VLOOKUP(CL38,ChurnSeasonTable,4,FALSE)),2)*PricePremAnnual*CO38</f>
        <v/>
      </c>
      <c r="DK38" s="9">
        <f>DH38+DI38+DJ38</f>
        <v/>
      </c>
      <c r="DL38" s="12">
        <f>SUM(DK27:DK38)</f>
        <v/>
      </c>
      <c r="DM38" s="12">
        <f>OR(DM37,DL38&gt;=VATThreshold)</f>
        <v/>
      </c>
      <c r="DN38" s="9">
        <f>IF(DM38,DK38/(1+VATRate),DK38)</f>
        <v/>
      </c>
      <c r="DO38" s="12">
        <f>DK38-DN38</f>
        <v/>
      </c>
      <c r="DP38" s="12">
        <f>IF(DM38=0,0,IF(CL38=1,SUMPRODUCT(--(($CM$5:$CM38=$CM38-1)*($CL$5:$CL38&gt;=10)*($CL$5:$CL38&lt;=12)),$DO$5:$DO38),IF(CL38=4,SUMPRODUCT(--(($CM$5:$CM38=$CM38)*($CL$5:$CL38&gt;=1)*($CL$5:$CL38&lt;=3)),$DO$5:$DO38),IF(CL38=7,SUMPRODUCT(--(($CM$5:$CM38=$CM38)*($CL$5:$CL38&gt;=4)*($CL$5:$CL38&lt;=6)),$DO$5:$DO38),IF(CL38=10,SUMPRODUCT(--(($CM$5:$CM38=$CM38)*($CL$5:$CL38&gt;=7)*($CL$5:$CL38&lt;=9)),$DO$5:$DO38),0)))))</f>
        <v/>
      </c>
      <c r="DQ38" s="12">
        <f>DQ37+DO38-DP38</f>
        <v/>
      </c>
      <c r="DR38" s="12">
        <f>IF(ProviderDelay&gt;=1,DN37*ProviderShare,DN38*ProviderShare)</f>
        <v/>
      </c>
      <c r="DS38" s="12">
        <f>DK38*PaymentFee</f>
        <v/>
      </c>
      <c r="DT38" s="12">
        <f>DE38*OpsAI</f>
        <v/>
      </c>
      <c r="DU38" s="12">
        <f>MonthlyFixed</f>
        <v/>
      </c>
      <c r="DV38" s="12">
        <f>CS38*ReferralReward</f>
        <v/>
      </c>
      <c r="DW38" s="12">
        <f>CQ38</f>
        <v/>
      </c>
      <c r="DX38" s="9">
        <f>DN38-DR38-DS38-DT38-DU38-DV38-DW38</f>
        <v/>
      </c>
      <c r="DY38" s="9">
        <f>DY37+DK38-(DR38+DS38+DT38+DU38+DV38+DW38+DP38)</f>
        <v/>
      </c>
      <c r="DZ38" s="12">
        <f>IF(DE38&gt;0,DF38/DE38,0)</f>
        <v/>
      </c>
      <c r="EA38" s="11">
        <f>IF(DE37&gt;0,MAX(0,(DE37+CT38-DE38)/DE37),0)</f>
        <v/>
      </c>
      <c r="EC38" s="12" t="n">
        <v>34</v>
      </c>
      <c r="ED38" s="12">
        <f>MOD(EC38-1+LaunchMonth-1,12)+1</f>
        <v/>
      </c>
      <c r="EE38" s="12">
        <f>INT((EC38-1+LaunchMonth-1)/12)+1</f>
        <v/>
      </c>
      <c r="EF38" s="12">
        <f>VLOOKUP(ED38,SeasonTable,2,FALSE)</f>
        <v/>
      </c>
      <c r="EG38" s="12">
        <f>(1+InflationRate)^INT((EC38-1)/12)</f>
        <v/>
      </c>
      <c r="EH38" s="11">
        <f>'Sens - Churn'!$A$13*VLOOKUP(ED38,ChurnSeasonTable,4,FALSE)</f>
        <v/>
      </c>
      <c r="EI38" s="12">
        <f>MIN(MAX(MktMin19plus,FC37*MktPct19plus),MAX(0,FQ37-CashBuffer))</f>
        <v/>
      </c>
      <c r="EJ38" s="12">
        <f>IF(EI38&gt;0,MAX(1,ROUND(EI38/CAC*EF38,0)),0)</f>
        <v/>
      </c>
      <c r="EK38" s="12">
        <f>IF(EJ38&gt;0,ROUND(EJ38*ReferralMix/(1-ReferralMix),0),0)</f>
        <v/>
      </c>
      <c r="EL38" s="12">
        <f>EJ38+EK38</f>
        <v/>
      </c>
      <c r="EM38" s="12">
        <f>ROUND(EL38*(1-AnnualMix),0)</f>
        <v/>
      </c>
      <c r="EN38" s="12">
        <f>EL38-EM38</f>
        <v/>
      </c>
      <c r="EO38" s="12">
        <f>ROUND(EM38*EssentialMix,0)</f>
        <v/>
      </c>
      <c r="EP38" s="12">
        <f>EM38-EO38</f>
        <v/>
      </c>
      <c r="EQ38" s="12">
        <f>ROUND(EN38*EssentialMix,0)</f>
        <v/>
      </c>
      <c r="ER38" s="12">
        <f>EN38-EQ38</f>
        <v/>
      </c>
      <c r="ES38" s="12">
        <f>EO38+EO37+EO36+MAX(0,ES37-EO37-EO36)*(1-EH38)</f>
        <v/>
      </c>
      <c r="ET38" s="12">
        <f>EP38+EP37+EP36+MAX(0,ET37-EP37-EP36)*(1-EH38)</f>
        <v/>
      </c>
      <c r="EU38" s="12">
        <f>EU37+EQ38-EQ26*(AnnualChurn*VLOOKUP(ED38,ChurnSeasonTable,4,FALSE))*POWER(1-(AnnualChurn*VLOOKUP(ED38,ChurnSeasonTable,4,FALSE)),0)+EQ14*(AnnualChurn*VLOOKUP(ED38,ChurnSeasonTable,4,FALSE))*POWER(1-(AnnualChurn*VLOOKUP(ED38,ChurnSeasonTable,4,FALSE)),1)</f>
        <v/>
      </c>
      <c r="EV38" s="12">
        <f>EV37+ER38-ER26*(AnnualChurn*VLOOKUP(ED38,ChurnSeasonTable,4,FALSE))*POWER(1-(AnnualChurn*VLOOKUP(ED38,ChurnSeasonTable,4,FALSE)),0)+ER14*(AnnualChurn*VLOOKUP(ED38,ChurnSeasonTable,4,FALSE))*POWER(1-(AnnualChurn*VLOOKUP(ED38,ChurnSeasonTable,4,FALSE)),1)</f>
        <v/>
      </c>
      <c r="EW38" s="12">
        <f>ES38+ET38+EU38+EV38</f>
        <v/>
      </c>
      <c r="EX38" s="9">
        <f>ES38*PriceEssMonthly*EG38+ET38*PricePremMonthly*EG38+EU38*PriceEssAnnual*EG38/12+EV38*PricePremAnnual*EG38/12</f>
        <v/>
      </c>
      <c r="EY38" s="9">
        <f>EX38*12</f>
        <v/>
      </c>
      <c r="EZ38" s="12">
        <f>ES38*PriceEssMonthly*EG38+ET38*PricePremMonthly*EG38</f>
        <v/>
      </c>
      <c r="FA38" s="12">
        <f>EQ38*PriceEssAnnual*EG38+ER38*PricePremAnnual*EG38</f>
        <v/>
      </c>
      <c r="FB38" s="12">
        <f>EQ26*POWER(1-(AnnualChurn*VLOOKUP(ED38,ChurnSeasonTable,4,FALSE)),1)*PriceEssAnnual*EG38+EQ14*POWER(1-(AnnualChurn*VLOOKUP(ED38,ChurnSeasonTable,4,FALSE)),2)*PriceEssAnnual*EG38+ER26*POWER(1-(AnnualChurn*VLOOKUP(ED38,ChurnSeasonTable,4,FALSE)),1)*PricePremAnnual*EG38+ER14*POWER(1-(AnnualChurn*VLOOKUP(ED38,ChurnSeasonTable,4,FALSE)),2)*PricePremAnnual*EG38</f>
        <v/>
      </c>
      <c r="FC38" s="9">
        <f>EZ38+FA38+FB38</f>
        <v/>
      </c>
      <c r="FD38" s="12">
        <f>SUM(FC27:FC38)</f>
        <v/>
      </c>
      <c r="FE38" s="12">
        <f>OR(FE37,FD38&gt;=VATThreshold)</f>
        <v/>
      </c>
      <c r="FF38" s="9">
        <f>IF(FE38,FC38/(1+VATRate),FC38)</f>
        <v/>
      </c>
      <c r="FG38" s="12">
        <f>FC38-FF38</f>
        <v/>
      </c>
      <c r="FH38" s="12">
        <f>IF(FE38=0,0,IF(ED38=1,SUMPRODUCT(--(($EE$5:$EE38=$EE38-1)*($ED$5:$ED38&gt;=10)*($ED$5:$ED38&lt;=12)),$FG$5:$FG38),IF(ED38=4,SUMPRODUCT(--(($EE$5:$EE38=$EE38)*($ED$5:$ED38&gt;=1)*($ED$5:$ED38&lt;=3)),$FG$5:$FG38),IF(ED38=7,SUMPRODUCT(--(($EE$5:$EE38=$EE38)*($ED$5:$ED38&gt;=4)*($ED$5:$ED38&lt;=6)),$FG$5:$FG38),IF(ED38=10,SUMPRODUCT(--(($EE$5:$EE38=$EE38)*($ED$5:$ED38&gt;=7)*($ED$5:$ED38&lt;=9)),$FG$5:$FG38),0)))))</f>
        <v/>
      </c>
      <c r="FI38" s="12">
        <f>FI37+FG38-FH38</f>
        <v/>
      </c>
      <c r="FJ38" s="12">
        <f>IF(ProviderDelay&gt;=1,FF37*ProviderShare,FF38*ProviderShare)</f>
        <v/>
      </c>
      <c r="FK38" s="12">
        <f>FC38*PaymentFee</f>
        <v/>
      </c>
      <c r="FL38" s="12">
        <f>EW38*OpsAI</f>
        <v/>
      </c>
      <c r="FM38" s="12">
        <f>MonthlyFixed</f>
        <v/>
      </c>
      <c r="FN38" s="12">
        <f>EK38*ReferralReward</f>
        <v/>
      </c>
      <c r="FO38" s="12">
        <f>EI38</f>
        <v/>
      </c>
      <c r="FP38" s="9">
        <f>FF38-FJ38-FK38-FL38-FM38-FN38-FO38</f>
        <v/>
      </c>
      <c r="FQ38" s="9">
        <f>FQ37+FC38-(FJ38+FK38+FL38+FM38+FN38+FO38+FH38)</f>
        <v/>
      </c>
      <c r="FR38" s="12">
        <f>IF(EW38&gt;0,EX38/EW38,0)</f>
        <v/>
      </c>
      <c r="FS38" s="11">
        <f>IF(EW37&gt;0,MAX(0,(EW37+EL38-EW38)/EW37),0)</f>
        <v/>
      </c>
      <c r="FU38" s="12" t="n">
        <v>34</v>
      </c>
      <c r="FV38" s="12">
        <f>MOD(FU38-1+LaunchMonth-1,12)+1</f>
        <v/>
      </c>
      <c r="FW38" s="12">
        <f>INT((FU38-1+LaunchMonth-1)/12)+1</f>
        <v/>
      </c>
      <c r="FX38" s="12">
        <f>VLOOKUP(FV38,SeasonTable,2,FALSE)</f>
        <v/>
      </c>
      <c r="FY38" s="12">
        <f>(1+InflationRate)^INT((FU38-1)/12)</f>
        <v/>
      </c>
      <c r="FZ38" s="11">
        <f>'Sens - Churn'!$A$14*VLOOKUP(FV38,ChurnSeasonTable,4,FALSE)</f>
        <v/>
      </c>
      <c r="GA38" s="12">
        <f>MIN(MAX(MktMin19plus,GU37*MktPct19plus),MAX(0,HI37-CashBuffer))</f>
        <v/>
      </c>
      <c r="GB38" s="12">
        <f>IF(GA38&gt;0,MAX(1,ROUND(GA38/CAC*FX38,0)),0)</f>
        <v/>
      </c>
      <c r="GC38" s="12">
        <f>IF(GB38&gt;0,ROUND(GB38*ReferralMix/(1-ReferralMix),0),0)</f>
        <v/>
      </c>
      <c r="GD38" s="12">
        <f>GB38+GC38</f>
        <v/>
      </c>
      <c r="GE38" s="12">
        <f>ROUND(GD38*(1-AnnualMix),0)</f>
        <v/>
      </c>
      <c r="GF38" s="12">
        <f>GD38-GE38</f>
        <v/>
      </c>
      <c r="GG38" s="12">
        <f>ROUND(GE38*EssentialMix,0)</f>
        <v/>
      </c>
      <c r="GH38" s="12">
        <f>GE38-GG38</f>
        <v/>
      </c>
      <c r="GI38" s="12">
        <f>ROUND(GF38*EssentialMix,0)</f>
        <v/>
      </c>
      <c r="GJ38" s="12">
        <f>GF38-GI38</f>
        <v/>
      </c>
      <c r="GK38" s="12">
        <f>GG38+GG37+GG36+MAX(0,GK37-GG37-GG36)*(1-FZ38)</f>
        <v/>
      </c>
      <c r="GL38" s="12">
        <f>GH38+GH37+GH36+MAX(0,GL37-GH37-GH36)*(1-FZ38)</f>
        <v/>
      </c>
      <c r="GM38" s="12">
        <f>GM37+GI38-GI26*(AnnualChurn*VLOOKUP(FV38,ChurnSeasonTable,4,FALSE))*POWER(1-(AnnualChurn*VLOOKUP(FV38,ChurnSeasonTable,4,FALSE)),0)+GI14*(AnnualChurn*VLOOKUP(FV38,ChurnSeasonTable,4,FALSE))*POWER(1-(AnnualChurn*VLOOKUP(FV38,ChurnSeasonTable,4,FALSE)),1)</f>
        <v/>
      </c>
      <c r="GN38" s="12">
        <f>GN37+GJ38-GJ26*(AnnualChurn*VLOOKUP(FV38,ChurnSeasonTable,4,FALSE))*POWER(1-(AnnualChurn*VLOOKUP(FV38,ChurnSeasonTable,4,FALSE)),0)+GJ14*(AnnualChurn*VLOOKUP(FV38,ChurnSeasonTable,4,FALSE))*POWER(1-(AnnualChurn*VLOOKUP(FV38,ChurnSeasonTable,4,FALSE)),1)</f>
        <v/>
      </c>
      <c r="GO38" s="12">
        <f>GK38+GL38+GM38+GN38</f>
        <v/>
      </c>
      <c r="GP38" s="9">
        <f>GK38*PriceEssMonthly*FY38+GL38*PricePremMonthly*FY38+GM38*PriceEssAnnual*FY38/12+GN38*PricePremAnnual*FY38/12</f>
        <v/>
      </c>
      <c r="GQ38" s="9">
        <f>GP38*12</f>
        <v/>
      </c>
      <c r="GR38" s="12">
        <f>GK38*PriceEssMonthly*FY38+GL38*PricePremMonthly*FY38</f>
        <v/>
      </c>
      <c r="GS38" s="12">
        <f>GI38*PriceEssAnnual*FY38+GJ38*PricePremAnnual*FY38</f>
        <v/>
      </c>
      <c r="GT38" s="12">
        <f>GI26*POWER(1-(AnnualChurn*VLOOKUP(FV38,ChurnSeasonTable,4,FALSE)),1)*PriceEssAnnual*FY38+GI14*POWER(1-(AnnualChurn*VLOOKUP(FV38,ChurnSeasonTable,4,FALSE)),2)*PriceEssAnnual*FY38+GJ26*POWER(1-(AnnualChurn*VLOOKUP(FV38,ChurnSeasonTable,4,FALSE)),1)*PricePremAnnual*FY38+GJ14*POWER(1-(AnnualChurn*VLOOKUP(FV38,ChurnSeasonTable,4,FALSE)),2)*PricePremAnnual*FY38</f>
        <v/>
      </c>
      <c r="GU38" s="9">
        <f>GR38+GS38+GT38</f>
        <v/>
      </c>
      <c r="GV38" s="12">
        <f>SUM(GU27:GU38)</f>
        <v/>
      </c>
      <c r="GW38" s="12">
        <f>OR(GW37,GV38&gt;=VATThreshold)</f>
        <v/>
      </c>
      <c r="GX38" s="9">
        <f>IF(GW38,GU38/(1+VATRate),GU38)</f>
        <v/>
      </c>
      <c r="GY38" s="12">
        <f>GU38-GX38</f>
        <v/>
      </c>
      <c r="GZ38" s="12">
        <f>IF(GW38=0,0,IF(FV38=1,SUMPRODUCT(--(($FW$5:$FW38=$FW38-1)*($FV$5:$FV38&gt;=10)*($FV$5:$FV38&lt;=12)),$GY$5:$GY38),IF(FV38=4,SUMPRODUCT(--(($FW$5:$FW38=$FW38)*($FV$5:$FV38&gt;=1)*($FV$5:$FV38&lt;=3)),$GY$5:$GY38),IF(FV38=7,SUMPRODUCT(--(($FW$5:$FW38=$FW38)*($FV$5:$FV38&gt;=4)*($FV$5:$FV38&lt;=6)),$GY$5:$GY38),IF(FV38=10,SUMPRODUCT(--(($FW$5:$FW38=$FW38)*($FV$5:$FV38&gt;=7)*($FV$5:$FV38&lt;=9)),$GY$5:$GY38),0)))))</f>
        <v/>
      </c>
      <c r="HA38" s="12">
        <f>HA37+GY38-GZ38</f>
        <v/>
      </c>
      <c r="HB38" s="12">
        <f>IF(ProviderDelay&gt;=1,GX37*ProviderShare,GX38*ProviderShare)</f>
        <v/>
      </c>
      <c r="HC38" s="12">
        <f>GU38*PaymentFee</f>
        <v/>
      </c>
      <c r="HD38" s="12">
        <f>GO38*OpsAI</f>
        <v/>
      </c>
      <c r="HE38" s="12">
        <f>MonthlyFixed</f>
        <v/>
      </c>
      <c r="HF38" s="12">
        <f>GC38*ReferralReward</f>
        <v/>
      </c>
      <c r="HG38" s="12">
        <f>GA38</f>
        <v/>
      </c>
      <c r="HH38" s="9">
        <f>GX38-HB38-HC38-HD38-HE38-HF38-HG38</f>
        <v/>
      </c>
      <c r="HI38" s="9">
        <f>HI37+GU38-(HB38+HC38+HD38+HE38+HF38+HG38+GZ38)</f>
        <v/>
      </c>
      <c r="HJ38" s="12">
        <f>IF(GO38&gt;0,GP38/GO38,0)</f>
        <v/>
      </c>
      <c r="HK38" s="11">
        <f>IF(GO37&gt;0,MAX(0,(GO37+GD38-GO38)/GO37),0)</f>
        <v/>
      </c>
      <c r="HM38" s="12" t="n">
        <v>34</v>
      </c>
      <c r="HN38" s="12">
        <f>MOD(HM38-1+LaunchMonth-1,12)+1</f>
        <v/>
      </c>
      <c r="HO38" s="12">
        <f>INT((HM38-1+LaunchMonth-1)/12)+1</f>
        <v/>
      </c>
      <c r="HP38" s="12">
        <f>VLOOKUP(HN38,SeasonTable,2,FALSE)</f>
        <v/>
      </c>
      <c r="HQ38" s="12">
        <f>(1+InflationRate)^INT((HM38-1)/12)</f>
        <v/>
      </c>
      <c r="HR38" s="11">
        <f>'Sens - Churn'!$A$15*VLOOKUP(HN38,ChurnSeasonTable,4,FALSE)</f>
        <v/>
      </c>
      <c r="HS38" s="12">
        <f>MIN(MAX(MktMin19plus,IM37*MktPct19plus),MAX(0,JA37-CashBuffer))</f>
        <v/>
      </c>
      <c r="HT38" s="12">
        <f>IF(HS38&gt;0,MAX(1,ROUND(HS38/CAC*HP38,0)),0)</f>
        <v/>
      </c>
      <c r="HU38" s="12">
        <f>IF(HT38&gt;0,ROUND(HT38*ReferralMix/(1-ReferralMix),0),0)</f>
        <v/>
      </c>
      <c r="HV38" s="12">
        <f>HT38+HU38</f>
        <v/>
      </c>
      <c r="HW38" s="12">
        <f>ROUND(HV38*(1-AnnualMix),0)</f>
        <v/>
      </c>
      <c r="HX38" s="12">
        <f>HV38-HW38</f>
        <v/>
      </c>
      <c r="HY38" s="12">
        <f>ROUND(HW38*EssentialMix,0)</f>
        <v/>
      </c>
      <c r="HZ38" s="12">
        <f>HW38-HY38</f>
        <v/>
      </c>
      <c r="IA38" s="12">
        <f>ROUND(HX38*EssentialMix,0)</f>
        <v/>
      </c>
      <c r="IB38" s="12">
        <f>HX38-IA38</f>
        <v/>
      </c>
      <c r="IC38" s="12">
        <f>HY38+HY37+HY36+MAX(0,IC37-HY37-HY36)*(1-HR38)</f>
        <v/>
      </c>
      <c r="ID38" s="12">
        <f>HZ38+HZ37+HZ36+MAX(0,ID37-HZ37-HZ36)*(1-HR38)</f>
        <v/>
      </c>
      <c r="IE38" s="12">
        <f>IE37+IA38-IA26*(AnnualChurn*VLOOKUP(HN38,ChurnSeasonTable,4,FALSE))*POWER(1-(AnnualChurn*VLOOKUP(HN38,ChurnSeasonTable,4,FALSE)),0)+IA14*(AnnualChurn*VLOOKUP(HN38,ChurnSeasonTable,4,FALSE))*POWER(1-(AnnualChurn*VLOOKUP(HN38,ChurnSeasonTable,4,FALSE)),1)</f>
        <v/>
      </c>
      <c r="IF38" s="12">
        <f>IF37+IB38-IB26*(AnnualChurn*VLOOKUP(HN38,ChurnSeasonTable,4,FALSE))*POWER(1-(AnnualChurn*VLOOKUP(HN38,ChurnSeasonTable,4,FALSE)),0)+IB14*(AnnualChurn*VLOOKUP(HN38,ChurnSeasonTable,4,FALSE))*POWER(1-(AnnualChurn*VLOOKUP(HN38,ChurnSeasonTable,4,FALSE)),1)</f>
        <v/>
      </c>
      <c r="IG38" s="12">
        <f>IC38+ID38+IE38+IF38</f>
        <v/>
      </c>
      <c r="IH38" s="9">
        <f>IC38*PriceEssMonthly*HQ38+ID38*PricePremMonthly*HQ38+IE38*PriceEssAnnual*HQ38/12+IF38*PricePremAnnual*HQ38/12</f>
        <v/>
      </c>
      <c r="II38" s="9">
        <f>IH38*12</f>
        <v/>
      </c>
      <c r="IJ38" s="12">
        <f>IC38*PriceEssMonthly*HQ38+ID38*PricePremMonthly*HQ38</f>
        <v/>
      </c>
      <c r="IK38" s="12">
        <f>IA38*PriceEssAnnual*HQ38+IB38*PricePremAnnual*HQ38</f>
        <v/>
      </c>
      <c r="IL38" s="12">
        <f>IA26*POWER(1-(AnnualChurn*VLOOKUP(HN38,ChurnSeasonTable,4,FALSE)),1)*PriceEssAnnual*HQ38+IA14*POWER(1-(AnnualChurn*VLOOKUP(HN38,ChurnSeasonTable,4,FALSE)),2)*PriceEssAnnual*HQ38+IB26*POWER(1-(AnnualChurn*VLOOKUP(HN38,ChurnSeasonTable,4,FALSE)),1)*PricePremAnnual*HQ38+IB14*POWER(1-(AnnualChurn*VLOOKUP(HN38,ChurnSeasonTable,4,FALSE)),2)*PricePremAnnual*HQ38</f>
        <v/>
      </c>
      <c r="IM38" s="9">
        <f>IJ38+IK38+IL38</f>
        <v/>
      </c>
      <c r="IN38" s="12">
        <f>SUM(IM27:IM38)</f>
        <v/>
      </c>
      <c r="IO38" s="12">
        <f>OR(IO37,IN38&gt;=VATThreshold)</f>
        <v/>
      </c>
      <c r="IP38" s="9">
        <f>IF(IO38,IM38/(1+VATRate),IM38)</f>
        <v/>
      </c>
      <c r="IQ38" s="12">
        <f>IM38-IP38</f>
        <v/>
      </c>
      <c r="IR38" s="12">
        <f>IF(IO38=0,0,IF(HN38=1,SUMPRODUCT(--(($HO$5:$HO38=$HO38-1)*($HN$5:$HN38&gt;=10)*($HN$5:$HN38&lt;=12)),$IQ$5:$IQ38),IF(HN38=4,SUMPRODUCT(--(($HO$5:$HO38=$HO38)*($HN$5:$HN38&gt;=1)*($HN$5:$HN38&lt;=3)),$IQ$5:$IQ38),IF(HN38=7,SUMPRODUCT(--(($HO$5:$HO38=$HO38)*($HN$5:$HN38&gt;=4)*($HN$5:$HN38&lt;=6)),$IQ$5:$IQ38),IF(HN38=10,SUMPRODUCT(--(($HO$5:$HO38=$HO38)*($HN$5:$HN38&gt;=7)*($HN$5:$HN38&lt;=9)),$IQ$5:$IQ38),0)))))</f>
        <v/>
      </c>
      <c r="IS38" s="12">
        <f>IS37+IQ38-IR38</f>
        <v/>
      </c>
      <c r="IT38" s="12">
        <f>IF(ProviderDelay&gt;=1,IP37*ProviderShare,IP38*ProviderShare)</f>
        <v/>
      </c>
      <c r="IU38" s="12">
        <f>IM38*PaymentFee</f>
        <v/>
      </c>
      <c r="IV38" s="12">
        <f>IG38*OpsAI</f>
        <v/>
      </c>
      <c r="IW38" s="12">
        <f>MonthlyFixed</f>
        <v/>
      </c>
      <c r="IX38" s="12">
        <f>HU38*ReferralReward</f>
        <v/>
      </c>
      <c r="IY38" s="12">
        <f>HS38</f>
        <v/>
      </c>
      <c r="IZ38" s="9">
        <f>IP38-IT38-IU38-IV38-IW38-IX38-IY38</f>
        <v/>
      </c>
      <c r="JA38" s="9">
        <f>JA37+IM38-(IT38+IU38+IV38+IW38+IX38+IY38+IR38)</f>
        <v/>
      </c>
      <c r="JB38" s="12">
        <f>IF(IG38&gt;0,IH38/IG38,0)</f>
        <v/>
      </c>
      <c r="JC38" s="11">
        <f>IF(IG37&gt;0,MAX(0,(IG37+HV38-IG38)/IG37),0)</f>
        <v/>
      </c>
      <c r="JE38" s="12" t="n">
        <v>34</v>
      </c>
      <c r="JF38" s="12">
        <f>MOD(JE38-1+LaunchMonth-1,12)+1</f>
        <v/>
      </c>
      <c r="JG38" s="12">
        <f>INT((JE38-1+LaunchMonth-1)/12)+1</f>
        <v/>
      </c>
      <c r="JH38" s="12">
        <f>VLOOKUP(JF38,SeasonTable,2,FALSE)</f>
        <v/>
      </c>
      <c r="JI38" s="12">
        <f>(1+InflationRate)^INT((JE38-1)/12)</f>
        <v/>
      </c>
      <c r="JJ38" s="11">
        <f>'Sens - Churn'!$A$16*VLOOKUP(JF38,ChurnSeasonTable,4,FALSE)</f>
        <v/>
      </c>
      <c r="JK38" s="12">
        <f>MIN(MAX(MktMin19plus,KE37*MktPct19plus),MAX(0,KS37-CashBuffer))</f>
        <v/>
      </c>
      <c r="JL38" s="12">
        <f>IF(JK38&gt;0,MAX(1,ROUND(JK38/CAC*JH38,0)),0)</f>
        <v/>
      </c>
      <c r="JM38" s="12">
        <f>IF(JL38&gt;0,ROUND(JL38*ReferralMix/(1-ReferralMix),0),0)</f>
        <v/>
      </c>
      <c r="JN38" s="12">
        <f>JL38+JM38</f>
        <v/>
      </c>
      <c r="JO38" s="12">
        <f>ROUND(JN38*(1-AnnualMix),0)</f>
        <v/>
      </c>
      <c r="JP38" s="12">
        <f>JN38-JO38</f>
        <v/>
      </c>
      <c r="JQ38" s="12">
        <f>ROUND(JO38*EssentialMix,0)</f>
        <v/>
      </c>
      <c r="JR38" s="12">
        <f>JO38-JQ38</f>
        <v/>
      </c>
      <c r="JS38" s="12">
        <f>ROUND(JP38*EssentialMix,0)</f>
        <v/>
      </c>
      <c r="JT38" s="12">
        <f>JP38-JS38</f>
        <v/>
      </c>
      <c r="JU38" s="12">
        <f>JQ38+JQ37+JQ36+MAX(0,JU37-JQ37-JQ36)*(1-JJ38)</f>
        <v/>
      </c>
      <c r="JV38" s="12">
        <f>JR38+JR37+JR36+MAX(0,JV37-JR37-JR36)*(1-JJ38)</f>
        <v/>
      </c>
      <c r="JW38" s="12">
        <f>JW37+JS38-JS26*(AnnualChurn*VLOOKUP(JF38,ChurnSeasonTable,4,FALSE))*POWER(1-(AnnualChurn*VLOOKUP(JF38,ChurnSeasonTable,4,FALSE)),0)+JS14*(AnnualChurn*VLOOKUP(JF38,ChurnSeasonTable,4,FALSE))*POWER(1-(AnnualChurn*VLOOKUP(JF38,ChurnSeasonTable,4,FALSE)),1)</f>
        <v/>
      </c>
      <c r="JX38" s="12">
        <f>JX37+JT38-JT26*(AnnualChurn*VLOOKUP(JF38,ChurnSeasonTable,4,FALSE))*POWER(1-(AnnualChurn*VLOOKUP(JF38,ChurnSeasonTable,4,FALSE)),0)+JT14*(AnnualChurn*VLOOKUP(JF38,ChurnSeasonTable,4,FALSE))*POWER(1-(AnnualChurn*VLOOKUP(JF38,ChurnSeasonTable,4,FALSE)),1)</f>
        <v/>
      </c>
      <c r="JY38" s="12">
        <f>JU38+JV38+JW38+JX38</f>
        <v/>
      </c>
      <c r="JZ38" s="9">
        <f>JU38*PriceEssMonthly*JI38+JV38*PricePremMonthly*JI38+JW38*PriceEssAnnual*JI38/12+JX38*PricePremAnnual*JI38/12</f>
        <v/>
      </c>
      <c r="KA38" s="9">
        <f>JZ38*12</f>
        <v/>
      </c>
      <c r="KB38" s="12">
        <f>JU38*PriceEssMonthly*JI38+JV38*PricePremMonthly*JI38</f>
        <v/>
      </c>
      <c r="KC38" s="12">
        <f>JS38*PriceEssAnnual*JI38+JT38*PricePremAnnual*JI38</f>
        <v/>
      </c>
      <c r="KD38" s="12">
        <f>JS26*POWER(1-(AnnualChurn*VLOOKUP(JF38,ChurnSeasonTable,4,FALSE)),1)*PriceEssAnnual*JI38+JS14*POWER(1-(AnnualChurn*VLOOKUP(JF38,ChurnSeasonTable,4,FALSE)),2)*PriceEssAnnual*JI38+JT26*POWER(1-(AnnualChurn*VLOOKUP(JF38,ChurnSeasonTable,4,FALSE)),1)*PricePremAnnual*JI38+JT14*POWER(1-(AnnualChurn*VLOOKUP(JF38,ChurnSeasonTable,4,FALSE)),2)*PricePremAnnual*JI38</f>
        <v/>
      </c>
      <c r="KE38" s="9">
        <f>KB38+KC38+KD38</f>
        <v/>
      </c>
      <c r="KF38" s="12">
        <f>SUM(KE27:KE38)</f>
        <v/>
      </c>
      <c r="KG38" s="12">
        <f>OR(KG37,KF38&gt;=VATThreshold)</f>
        <v/>
      </c>
      <c r="KH38" s="9">
        <f>IF(KG38,KE38/(1+VATRate),KE38)</f>
        <v/>
      </c>
      <c r="KI38" s="12">
        <f>KE38-KH38</f>
        <v/>
      </c>
      <c r="KJ38" s="12">
        <f>IF(KG38=0,0,IF(JF38=1,SUMPRODUCT(--(($JG$5:$JG38=$JG38-1)*($JF$5:$JF38&gt;=10)*($JF$5:$JF38&lt;=12)),$KI$5:$KI38),IF(JF38=4,SUMPRODUCT(--(($JG$5:$JG38=$JG38)*($JF$5:$JF38&gt;=1)*($JF$5:$JF38&lt;=3)),$KI$5:$KI38),IF(JF38=7,SUMPRODUCT(--(($JG$5:$JG38=$JG38)*($JF$5:$JF38&gt;=4)*($JF$5:$JF38&lt;=6)),$KI$5:$KI38),IF(JF38=10,SUMPRODUCT(--(($JG$5:$JG38=$JG38)*($JF$5:$JF38&gt;=7)*($JF$5:$JF38&lt;=9)),$KI$5:$KI38),0)))))</f>
        <v/>
      </c>
      <c r="KK38" s="12">
        <f>KK37+KI38-KJ38</f>
        <v/>
      </c>
      <c r="KL38" s="12">
        <f>IF(ProviderDelay&gt;=1,KH37*ProviderShare,KH38*ProviderShare)</f>
        <v/>
      </c>
      <c r="KM38" s="12">
        <f>KE38*PaymentFee</f>
        <v/>
      </c>
      <c r="KN38" s="12">
        <f>JY38*OpsAI</f>
        <v/>
      </c>
      <c r="KO38" s="12">
        <f>MonthlyFixed</f>
        <v/>
      </c>
      <c r="KP38" s="12">
        <f>JM38*ReferralReward</f>
        <v/>
      </c>
      <c r="KQ38" s="12">
        <f>JK38</f>
        <v/>
      </c>
      <c r="KR38" s="9">
        <f>KH38-KL38-KM38-KN38-KO38-KP38-KQ38</f>
        <v/>
      </c>
      <c r="KS38" s="9">
        <f>KS37+KE38-(KL38+KM38+KN38+KO38+KP38+KQ38+KJ38)</f>
        <v/>
      </c>
      <c r="KT38" s="12">
        <f>IF(JY38&gt;0,JZ38/JY38,0)</f>
        <v/>
      </c>
      <c r="KU38" s="11">
        <f>IF(JY37&gt;0,MAX(0,(JY37+JN38-JY38)/JY37),0)</f>
        <v/>
      </c>
      <c r="KW38" s="12" t="n">
        <v>34</v>
      </c>
      <c r="KX38" s="12">
        <f>MOD(KW38-1+LaunchMonth-1,12)+1</f>
        <v/>
      </c>
      <c r="KY38" s="12">
        <f>INT((KW38-1+LaunchMonth-1)/12)+1</f>
        <v/>
      </c>
      <c r="KZ38" s="12">
        <f>VLOOKUP(KX38,SeasonTable,2,FALSE)</f>
        <v/>
      </c>
      <c r="LA38" s="12">
        <f>(1+InflationRate)^INT((KW38-1)/12)</f>
        <v/>
      </c>
      <c r="LB38" s="11">
        <f>'Sens - Churn'!$A$17*VLOOKUP(KX38,ChurnSeasonTable,4,FALSE)</f>
        <v/>
      </c>
      <c r="LC38" s="12">
        <f>MIN(MAX(MktMin19plus,LW37*MktPct19plus),MAX(0,MK37-CashBuffer))</f>
        <v/>
      </c>
      <c r="LD38" s="12">
        <f>IF(LC38&gt;0,MAX(1,ROUND(LC38/CAC*KZ38,0)),0)</f>
        <v/>
      </c>
      <c r="LE38" s="12">
        <f>IF(LD38&gt;0,ROUND(LD38*ReferralMix/(1-ReferralMix),0),0)</f>
        <v/>
      </c>
      <c r="LF38" s="12">
        <f>LD38+LE38</f>
        <v/>
      </c>
      <c r="LG38" s="12">
        <f>ROUND(LF38*(1-AnnualMix),0)</f>
        <v/>
      </c>
      <c r="LH38" s="12">
        <f>LF38-LG38</f>
        <v/>
      </c>
      <c r="LI38" s="12">
        <f>ROUND(LG38*EssentialMix,0)</f>
        <v/>
      </c>
      <c r="LJ38" s="12">
        <f>LG38-LI38</f>
        <v/>
      </c>
      <c r="LK38" s="12">
        <f>ROUND(LH38*EssentialMix,0)</f>
        <v/>
      </c>
      <c r="LL38" s="12">
        <f>LH38-LK38</f>
        <v/>
      </c>
      <c r="LM38" s="12">
        <f>LI38+LI37+LI36+MAX(0,LM37-LI37-LI36)*(1-LB38)</f>
        <v/>
      </c>
      <c r="LN38" s="12">
        <f>LJ38+LJ37+LJ36+MAX(0,LN37-LJ37-LJ36)*(1-LB38)</f>
        <v/>
      </c>
      <c r="LO38" s="12">
        <f>LO37+LK38-LK26*(AnnualChurn*VLOOKUP(KX38,ChurnSeasonTable,4,FALSE))*POWER(1-(AnnualChurn*VLOOKUP(KX38,ChurnSeasonTable,4,FALSE)),0)+LK14*(AnnualChurn*VLOOKUP(KX38,ChurnSeasonTable,4,FALSE))*POWER(1-(AnnualChurn*VLOOKUP(KX38,ChurnSeasonTable,4,FALSE)),1)</f>
        <v/>
      </c>
      <c r="LP38" s="12">
        <f>LP37+LL38-LL26*(AnnualChurn*VLOOKUP(KX38,ChurnSeasonTable,4,FALSE))*POWER(1-(AnnualChurn*VLOOKUP(KX38,ChurnSeasonTable,4,FALSE)),0)+LL14*(AnnualChurn*VLOOKUP(KX38,ChurnSeasonTable,4,FALSE))*POWER(1-(AnnualChurn*VLOOKUP(KX38,ChurnSeasonTable,4,FALSE)),1)</f>
        <v/>
      </c>
      <c r="LQ38" s="12">
        <f>LM38+LN38+LO38+LP38</f>
        <v/>
      </c>
      <c r="LR38" s="9">
        <f>LM38*PriceEssMonthly*LA38+LN38*PricePremMonthly*LA38+LO38*PriceEssAnnual*LA38/12+LP38*PricePremAnnual*LA38/12</f>
        <v/>
      </c>
      <c r="LS38" s="9">
        <f>LR38*12</f>
        <v/>
      </c>
      <c r="LT38" s="12">
        <f>LM38*PriceEssMonthly*LA38+LN38*PricePremMonthly*LA38</f>
        <v/>
      </c>
      <c r="LU38" s="12">
        <f>LK38*PriceEssAnnual*LA38+LL38*PricePremAnnual*LA38</f>
        <v/>
      </c>
      <c r="LV38" s="12">
        <f>LK26*POWER(1-(AnnualChurn*VLOOKUP(KX38,ChurnSeasonTable,4,FALSE)),1)*PriceEssAnnual*LA38+LK14*POWER(1-(AnnualChurn*VLOOKUP(KX38,ChurnSeasonTable,4,FALSE)),2)*PriceEssAnnual*LA38+LL26*POWER(1-(AnnualChurn*VLOOKUP(KX38,ChurnSeasonTable,4,FALSE)),1)*PricePremAnnual*LA38+LL14*POWER(1-(AnnualChurn*VLOOKUP(KX38,ChurnSeasonTable,4,FALSE)),2)*PricePremAnnual*LA38</f>
        <v/>
      </c>
      <c r="LW38" s="9">
        <f>LT38+LU38+LV38</f>
        <v/>
      </c>
      <c r="LX38" s="12">
        <f>SUM(LW27:LW38)</f>
        <v/>
      </c>
      <c r="LY38" s="12">
        <f>OR(LY37,LX38&gt;=VATThreshold)</f>
        <v/>
      </c>
      <c r="LZ38" s="9">
        <f>IF(LY38,LW38/(1+VATRate),LW38)</f>
        <v/>
      </c>
      <c r="MA38" s="12">
        <f>LW38-LZ38</f>
        <v/>
      </c>
      <c r="MB38" s="12">
        <f>IF(LY38=0,0,IF(KX38=1,SUMPRODUCT(--(($KY$5:$KY38=$KY38-1)*($KX$5:$KX38&gt;=10)*($KX$5:$KX38&lt;=12)),$MA$5:$MA38),IF(KX38=4,SUMPRODUCT(--(($KY$5:$KY38=$KY38)*($KX$5:$KX38&gt;=1)*($KX$5:$KX38&lt;=3)),$MA$5:$MA38),IF(KX38=7,SUMPRODUCT(--(($KY$5:$KY38=$KY38)*($KX$5:$KX38&gt;=4)*($KX$5:$KX38&lt;=6)),$MA$5:$MA38),IF(KX38=10,SUMPRODUCT(--(($KY$5:$KY38=$KY38)*($KX$5:$KX38&gt;=7)*($KX$5:$KX38&lt;=9)),$MA$5:$MA38),0)))))</f>
        <v/>
      </c>
      <c r="MC38" s="12">
        <f>MC37+MA38-MB38</f>
        <v/>
      </c>
      <c r="MD38" s="12">
        <f>IF(ProviderDelay&gt;=1,LZ37*ProviderShare,LZ38*ProviderShare)</f>
        <v/>
      </c>
      <c r="ME38" s="12">
        <f>LW38*PaymentFee</f>
        <v/>
      </c>
      <c r="MF38" s="12">
        <f>LQ38*OpsAI</f>
        <v/>
      </c>
      <c r="MG38" s="12">
        <f>MonthlyFixed</f>
        <v/>
      </c>
      <c r="MH38" s="12">
        <f>LE38*ReferralReward</f>
        <v/>
      </c>
      <c r="MI38" s="12">
        <f>LC38</f>
        <v/>
      </c>
      <c r="MJ38" s="9">
        <f>LZ38-MD38-ME38-MF38-MG38-MH38-MI38</f>
        <v/>
      </c>
      <c r="MK38" s="9">
        <f>MK37+LW38-(MD38+ME38+MF38+MG38+MH38+MI38+MB38)</f>
        <v/>
      </c>
      <c r="ML38" s="12">
        <f>IF(LQ38&gt;0,LR38/LQ38,0)</f>
        <v/>
      </c>
      <c r="MM38" s="11">
        <f>IF(LQ37&gt;0,MAX(0,(LQ37+LF38-LQ38)/LQ37),0)</f>
        <v/>
      </c>
      <c r="MO38" s="12" t="n">
        <v>34</v>
      </c>
      <c r="MP38" s="12">
        <f>MOD(MO38-1+LaunchMonth-1,12)+1</f>
        <v/>
      </c>
      <c r="MQ38" s="12">
        <f>INT((MO38-1+LaunchMonth-1)/12)+1</f>
        <v/>
      </c>
      <c r="MR38" s="12">
        <f>VLOOKUP(MP38,SeasonTable,2,FALSE)</f>
        <v/>
      </c>
      <c r="MS38" s="12">
        <f>(1+InflationRate)^INT((MO38-1)/12)</f>
        <v/>
      </c>
      <c r="MT38" s="11">
        <f>'Sens - Churn'!$A$18*VLOOKUP(MP38,ChurnSeasonTable,4,FALSE)</f>
        <v/>
      </c>
      <c r="MU38" s="12">
        <f>MIN(MAX(MktMin19plus,NO37*MktPct19plus),MAX(0,OC37-CashBuffer))</f>
        <v/>
      </c>
      <c r="MV38" s="12">
        <f>IF(MU38&gt;0,MAX(1,ROUND(MU38/CAC*MR38,0)),0)</f>
        <v/>
      </c>
      <c r="MW38" s="12">
        <f>IF(MV38&gt;0,ROUND(MV38*ReferralMix/(1-ReferralMix),0),0)</f>
        <v/>
      </c>
      <c r="MX38" s="12">
        <f>MV38+MW38</f>
        <v/>
      </c>
      <c r="MY38" s="12">
        <f>ROUND(MX38*(1-AnnualMix),0)</f>
        <v/>
      </c>
      <c r="MZ38" s="12">
        <f>MX38-MY38</f>
        <v/>
      </c>
      <c r="NA38" s="12">
        <f>ROUND(MY38*EssentialMix,0)</f>
        <v/>
      </c>
      <c r="NB38" s="12">
        <f>MY38-NA38</f>
        <v/>
      </c>
      <c r="NC38" s="12">
        <f>ROUND(MZ38*EssentialMix,0)</f>
        <v/>
      </c>
      <c r="ND38" s="12">
        <f>MZ38-NC38</f>
        <v/>
      </c>
      <c r="NE38" s="12">
        <f>NA38+NA37+NA36+MAX(0,NE37-NA37-NA36)*(1-MT38)</f>
        <v/>
      </c>
      <c r="NF38" s="12">
        <f>NB38+NB37+NB36+MAX(0,NF37-NB37-NB36)*(1-MT38)</f>
        <v/>
      </c>
      <c r="NG38" s="12">
        <f>NG37+NC38-NC26*(AnnualChurn*VLOOKUP(MP38,ChurnSeasonTable,4,FALSE))*POWER(1-(AnnualChurn*VLOOKUP(MP38,ChurnSeasonTable,4,FALSE)),0)+NC14*(AnnualChurn*VLOOKUP(MP38,ChurnSeasonTable,4,FALSE))*POWER(1-(AnnualChurn*VLOOKUP(MP38,ChurnSeasonTable,4,FALSE)),1)</f>
        <v/>
      </c>
      <c r="NH38" s="12">
        <f>NH37+ND38-ND26*(AnnualChurn*VLOOKUP(MP38,ChurnSeasonTable,4,FALSE))*POWER(1-(AnnualChurn*VLOOKUP(MP38,ChurnSeasonTable,4,FALSE)),0)+ND14*(AnnualChurn*VLOOKUP(MP38,ChurnSeasonTable,4,FALSE))*POWER(1-(AnnualChurn*VLOOKUP(MP38,ChurnSeasonTable,4,FALSE)),1)</f>
        <v/>
      </c>
      <c r="NI38" s="12">
        <f>NE38+NF38+NG38+NH38</f>
        <v/>
      </c>
      <c r="NJ38" s="9">
        <f>NE38*PriceEssMonthly*MS38+NF38*PricePremMonthly*MS38+NG38*PriceEssAnnual*MS38/12+NH38*PricePremAnnual*MS38/12</f>
        <v/>
      </c>
      <c r="NK38" s="9">
        <f>NJ38*12</f>
        <v/>
      </c>
      <c r="NL38" s="12">
        <f>NE38*PriceEssMonthly*MS38+NF38*PricePremMonthly*MS38</f>
        <v/>
      </c>
      <c r="NM38" s="12">
        <f>NC38*PriceEssAnnual*MS38+ND38*PricePremAnnual*MS38</f>
        <v/>
      </c>
      <c r="NN38" s="12">
        <f>NC26*POWER(1-(AnnualChurn*VLOOKUP(MP38,ChurnSeasonTable,4,FALSE)),1)*PriceEssAnnual*MS38+NC14*POWER(1-(AnnualChurn*VLOOKUP(MP38,ChurnSeasonTable,4,FALSE)),2)*PriceEssAnnual*MS38+ND26*POWER(1-(AnnualChurn*VLOOKUP(MP38,ChurnSeasonTable,4,FALSE)),1)*PricePremAnnual*MS38+ND14*POWER(1-(AnnualChurn*VLOOKUP(MP38,ChurnSeasonTable,4,FALSE)),2)*PricePremAnnual*MS38</f>
        <v/>
      </c>
      <c r="NO38" s="9">
        <f>NL38+NM38+NN38</f>
        <v/>
      </c>
      <c r="NP38" s="12">
        <f>SUM(NO27:NO38)</f>
        <v/>
      </c>
      <c r="NQ38" s="12">
        <f>OR(NQ37,NP38&gt;=VATThreshold)</f>
        <v/>
      </c>
      <c r="NR38" s="9">
        <f>IF(NQ38,NO38/(1+VATRate),NO38)</f>
        <v/>
      </c>
      <c r="NS38" s="12">
        <f>NO38-NR38</f>
        <v/>
      </c>
      <c r="NT38" s="12">
        <f>IF(NQ38=0,0,IF(MP38=1,SUMPRODUCT(--(($MQ$5:$MQ38=$MQ38-1)*($MP$5:$MP38&gt;=10)*($MP$5:$MP38&lt;=12)),$NS$5:$NS38),IF(MP38=4,SUMPRODUCT(--(($MQ$5:$MQ38=$MQ38)*($MP$5:$MP38&gt;=1)*($MP$5:$MP38&lt;=3)),$NS$5:$NS38),IF(MP38=7,SUMPRODUCT(--(($MQ$5:$MQ38=$MQ38)*($MP$5:$MP38&gt;=4)*($MP$5:$MP38&lt;=6)),$NS$5:$NS38),IF(MP38=10,SUMPRODUCT(--(($MQ$5:$MQ38=$MQ38)*($MP$5:$MP38&gt;=7)*($MP$5:$MP38&lt;=9)),$NS$5:$NS38),0)))))</f>
        <v/>
      </c>
      <c r="NU38" s="12">
        <f>NU37+NS38-NT38</f>
        <v/>
      </c>
      <c r="NV38" s="12">
        <f>IF(ProviderDelay&gt;=1,NR37*ProviderShare,NR38*ProviderShare)</f>
        <v/>
      </c>
      <c r="NW38" s="12">
        <f>NO38*PaymentFee</f>
        <v/>
      </c>
      <c r="NX38" s="12">
        <f>NI38*OpsAI</f>
        <v/>
      </c>
      <c r="NY38" s="12">
        <f>MonthlyFixed</f>
        <v/>
      </c>
      <c r="NZ38" s="12">
        <f>MW38*ReferralReward</f>
        <v/>
      </c>
      <c r="OA38" s="12">
        <f>MU38</f>
        <v/>
      </c>
      <c r="OB38" s="9">
        <f>NR38-NV38-NW38-NX38-NY38-NZ38-OA38</f>
        <v/>
      </c>
      <c r="OC38" s="9">
        <f>OC37+NO38-(NV38+NW38+NX38+NY38+NZ38+OA38+NT38)</f>
        <v/>
      </c>
      <c r="OD38" s="12">
        <f>IF(NI38&gt;0,NJ38/NI38,0)</f>
        <v/>
      </c>
      <c r="OE38" s="11">
        <f>IF(NI37&gt;0,MAX(0,(NI37+MX38-NI38)/NI37),0)</f>
        <v/>
      </c>
      <c r="OG38" s="12" t="n">
        <v>34</v>
      </c>
      <c r="OH38" s="12">
        <f>MOD(OG38-1+LaunchMonth-1,12)+1</f>
        <v/>
      </c>
      <c r="OI38" s="12">
        <f>INT((OG38-1+LaunchMonth-1)/12)+1</f>
        <v/>
      </c>
      <c r="OJ38" s="12">
        <f>VLOOKUP(OH38,SeasonTable,2,FALSE)</f>
        <v/>
      </c>
      <c r="OK38" s="12">
        <f>(1+InflationRate)^INT((OG38-1)/12)</f>
        <v/>
      </c>
      <c r="OL38" s="11">
        <f>'Sens - Churn'!$A$19*VLOOKUP(OH38,ChurnSeasonTable,4,FALSE)</f>
        <v/>
      </c>
      <c r="OM38" s="12">
        <f>MIN(MAX(MktMin19plus,PG37*MktPct19plus),MAX(0,PU37-CashBuffer))</f>
        <v/>
      </c>
      <c r="ON38" s="12">
        <f>IF(OM38&gt;0,MAX(1,ROUND(OM38/CAC*OJ38,0)),0)</f>
        <v/>
      </c>
      <c r="OO38" s="12">
        <f>IF(ON38&gt;0,ROUND(ON38*ReferralMix/(1-ReferralMix),0),0)</f>
        <v/>
      </c>
      <c r="OP38" s="12">
        <f>ON38+OO38</f>
        <v/>
      </c>
      <c r="OQ38" s="12">
        <f>ROUND(OP38*(1-AnnualMix),0)</f>
        <v/>
      </c>
      <c r="OR38" s="12">
        <f>OP38-OQ38</f>
        <v/>
      </c>
      <c r="OS38" s="12">
        <f>ROUND(OQ38*EssentialMix,0)</f>
        <v/>
      </c>
      <c r="OT38" s="12">
        <f>OQ38-OS38</f>
        <v/>
      </c>
      <c r="OU38" s="12">
        <f>ROUND(OR38*EssentialMix,0)</f>
        <v/>
      </c>
      <c r="OV38" s="12">
        <f>OR38-OU38</f>
        <v/>
      </c>
      <c r="OW38" s="12">
        <f>OS38+OS37+OS36+MAX(0,OW37-OS37-OS36)*(1-OL38)</f>
        <v/>
      </c>
      <c r="OX38" s="12">
        <f>OT38+OT37+OT36+MAX(0,OX37-OT37-OT36)*(1-OL38)</f>
        <v/>
      </c>
      <c r="OY38" s="12">
        <f>OY37+OU38-OU26*(AnnualChurn*VLOOKUP(OH38,ChurnSeasonTable,4,FALSE))*POWER(1-(AnnualChurn*VLOOKUP(OH38,ChurnSeasonTable,4,FALSE)),0)+OU14*(AnnualChurn*VLOOKUP(OH38,ChurnSeasonTable,4,FALSE))*POWER(1-(AnnualChurn*VLOOKUP(OH38,ChurnSeasonTable,4,FALSE)),1)</f>
        <v/>
      </c>
      <c r="OZ38" s="12">
        <f>OZ37+OV38-OV26*(AnnualChurn*VLOOKUP(OH38,ChurnSeasonTable,4,FALSE))*POWER(1-(AnnualChurn*VLOOKUP(OH38,ChurnSeasonTable,4,FALSE)),0)+OV14*(AnnualChurn*VLOOKUP(OH38,ChurnSeasonTable,4,FALSE))*POWER(1-(AnnualChurn*VLOOKUP(OH38,ChurnSeasonTable,4,FALSE)),1)</f>
        <v/>
      </c>
      <c r="PA38" s="12">
        <f>OW38+OX38+OY38+OZ38</f>
        <v/>
      </c>
      <c r="PB38" s="9">
        <f>OW38*PriceEssMonthly*OK38+OX38*PricePremMonthly*OK38+OY38*PriceEssAnnual*OK38/12+OZ38*PricePremAnnual*OK38/12</f>
        <v/>
      </c>
      <c r="PC38" s="9">
        <f>PB38*12</f>
        <v/>
      </c>
      <c r="PD38" s="12">
        <f>OW38*PriceEssMonthly*OK38+OX38*PricePremMonthly*OK38</f>
        <v/>
      </c>
      <c r="PE38" s="12">
        <f>OU38*PriceEssAnnual*OK38+OV38*PricePremAnnual*OK38</f>
        <v/>
      </c>
      <c r="PF38" s="12">
        <f>OU26*POWER(1-(AnnualChurn*VLOOKUP(OH38,ChurnSeasonTable,4,FALSE)),1)*PriceEssAnnual*OK38+OU14*POWER(1-(AnnualChurn*VLOOKUP(OH38,ChurnSeasonTable,4,FALSE)),2)*PriceEssAnnual*OK38+OV26*POWER(1-(AnnualChurn*VLOOKUP(OH38,ChurnSeasonTable,4,FALSE)),1)*PricePremAnnual*OK38+OV14*POWER(1-(AnnualChurn*VLOOKUP(OH38,ChurnSeasonTable,4,FALSE)),2)*PricePremAnnual*OK38</f>
        <v/>
      </c>
      <c r="PG38" s="9">
        <f>PD38+PE38+PF38</f>
        <v/>
      </c>
      <c r="PH38" s="12">
        <f>SUM(PG27:PG38)</f>
        <v/>
      </c>
      <c r="PI38" s="12">
        <f>OR(PI37,PH38&gt;=VATThreshold)</f>
        <v/>
      </c>
      <c r="PJ38" s="9">
        <f>IF(PI38,PG38/(1+VATRate),PG38)</f>
        <v/>
      </c>
      <c r="PK38" s="12">
        <f>PG38-PJ38</f>
        <v/>
      </c>
      <c r="PL38" s="12">
        <f>IF(PI38=0,0,IF(OH38=1,SUMPRODUCT(--(($OI$5:$OI38=$OI38-1)*($OH$5:$OH38&gt;=10)*($OH$5:$OH38&lt;=12)),$PK$5:$PK38),IF(OH38=4,SUMPRODUCT(--(($OI$5:$OI38=$OI38)*($OH$5:$OH38&gt;=1)*($OH$5:$OH38&lt;=3)),$PK$5:$PK38),IF(OH38=7,SUMPRODUCT(--(($OI$5:$OI38=$OI38)*($OH$5:$OH38&gt;=4)*($OH$5:$OH38&lt;=6)),$PK$5:$PK38),IF(OH38=10,SUMPRODUCT(--(($OI$5:$OI38=$OI38)*($OH$5:$OH38&gt;=7)*($OH$5:$OH38&lt;=9)),$PK$5:$PK38),0)))))</f>
        <v/>
      </c>
      <c r="PM38" s="12">
        <f>PM37+PK38-PL38</f>
        <v/>
      </c>
      <c r="PN38" s="12">
        <f>IF(ProviderDelay&gt;=1,PJ37*ProviderShare,PJ38*ProviderShare)</f>
        <v/>
      </c>
      <c r="PO38" s="12">
        <f>PG38*PaymentFee</f>
        <v/>
      </c>
      <c r="PP38" s="12">
        <f>PA38*OpsAI</f>
        <v/>
      </c>
      <c r="PQ38" s="12">
        <f>MonthlyFixed</f>
        <v/>
      </c>
      <c r="PR38" s="12">
        <f>OO38*ReferralReward</f>
        <v/>
      </c>
      <c r="PS38" s="12">
        <f>OM38</f>
        <v/>
      </c>
      <c r="PT38" s="9">
        <f>PJ38-PN38-PO38-PP38-PQ38-PR38-PS38</f>
        <v/>
      </c>
      <c r="PU38" s="9">
        <f>PU37+PG38-(PN38+PO38+PP38+PQ38+PR38+PS38+PL38)</f>
        <v/>
      </c>
      <c r="PV38" s="12">
        <f>IF(PA38&gt;0,PB38/PA38,0)</f>
        <v/>
      </c>
      <c r="PW38" s="11">
        <f>IF(PA37&gt;0,MAX(0,(PA37+OP38-PA38)/PA37),0)</f>
        <v/>
      </c>
      <c r="PY38" s="12" t="n">
        <v>34</v>
      </c>
      <c r="PZ38" s="12">
        <f>MOD(PY38-1+LaunchMonth-1,12)+1</f>
        <v/>
      </c>
      <c r="QA38" s="12">
        <f>INT((PY38-1+LaunchMonth-1)/12)+1</f>
        <v/>
      </c>
      <c r="QB38" s="12">
        <f>VLOOKUP(PZ38,SeasonTable,2,FALSE)</f>
        <v/>
      </c>
      <c r="QC38" s="12">
        <f>(1+InflationRate)^INT((PY38-1)/12)</f>
        <v/>
      </c>
      <c r="QD38" s="11">
        <f>'Sens - Churn'!$A$20*VLOOKUP(PZ38,ChurnSeasonTable,4,FALSE)</f>
        <v/>
      </c>
      <c r="QE38" s="12">
        <f>MIN(MAX(MktMin19plus,QY37*MktPct19plus),MAX(0,RM37-CashBuffer))</f>
        <v/>
      </c>
      <c r="QF38" s="12">
        <f>IF(QE38&gt;0,MAX(1,ROUND(QE38/CAC*QB38,0)),0)</f>
        <v/>
      </c>
      <c r="QG38" s="12">
        <f>IF(QF38&gt;0,ROUND(QF38*ReferralMix/(1-ReferralMix),0),0)</f>
        <v/>
      </c>
      <c r="QH38" s="12">
        <f>QF38+QG38</f>
        <v/>
      </c>
      <c r="QI38" s="12">
        <f>ROUND(QH38*(1-AnnualMix),0)</f>
        <v/>
      </c>
      <c r="QJ38" s="12">
        <f>QH38-QI38</f>
        <v/>
      </c>
      <c r="QK38" s="12">
        <f>ROUND(QI38*EssentialMix,0)</f>
        <v/>
      </c>
      <c r="QL38" s="12">
        <f>QI38-QK38</f>
        <v/>
      </c>
      <c r="QM38" s="12">
        <f>ROUND(QJ38*EssentialMix,0)</f>
        <v/>
      </c>
      <c r="QN38" s="12">
        <f>QJ38-QM38</f>
        <v/>
      </c>
      <c r="QO38" s="12">
        <f>QK38+QK37+QK36+MAX(0,QO37-QK37-QK36)*(1-QD38)</f>
        <v/>
      </c>
      <c r="QP38" s="12">
        <f>QL38+QL37+QL36+MAX(0,QP37-QL37-QL36)*(1-QD38)</f>
        <v/>
      </c>
      <c r="QQ38" s="12">
        <f>QQ37+QM38-QM26*(AnnualChurn*VLOOKUP(PZ38,ChurnSeasonTable,4,FALSE))*POWER(1-(AnnualChurn*VLOOKUP(PZ38,ChurnSeasonTable,4,FALSE)),0)+QM14*(AnnualChurn*VLOOKUP(PZ38,ChurnSeasonTable,4,FALSE))*POWER(1-(AnnualChurn*VLOOKUP(PZ38,ChurnSeasonTable,4,FALSE)),1)</f>
        <v/>
      </c>
      <c r="QR38" s="12">
        <f>QR37+QN38-QN26*(AnnualChurn*VLOOKUP(PZ38,ChurnSeasonTable,4,FALSE))*POWER(1-(AnnualChurn*VLOOKUP(PZ38,ChurnSeasonTable,4,FALSE)),0)+QN14*(AnnualChurn*VLOOKUP(PZ38,ChurnSeasonTable,4,FALSE))*POWER(1-(AnnualChurn*VLOOKUP(PZ38,ChurnSeasonTable,4,FALSE)),1)</f>
        <v/>
      </c>
      <c r="QS38" s="12">
        <f>QO38+QP38+QQ38+QR38</f>
        <v/>
      </c>
      <c r="QT38" s="9">
        <f>QO38*PriceEssMonthly*QC38+QP38*PricePremMonthly*QC38+QQ38*PriceEssAnnual*QC38/12+QR38*PricePremAnnual*QC38/12</f>
        <v/>
      </c>
      <c r="QU38" s="9">
        <f>QT38*12</f>
        <v/>
      </c>
      <c r="QV38" s="12">
        <f>QO38*PriceEssMonthly*QC38+QP38*PricePremMonthly*QC38</f>
        <v/>
      </c>
      <c r="QW38" s="12">
        <f>QM38*PriceEssAnnual*QC38+QN38*PricePremAnnual*QC38</f>
        <v/>
      </c>
      <c r="QX38" s="12">
        <f>QM26*POWER(1-(AnnualChurn*VLOOKUP(PZ38,ChurnSeasonTable,4,FALSE)),1)*PriceEssAnnual*QC38+QM14*POWER(1-(AnnualChurn*VLOOKUP(PZ38,ChurnSeasonTable,4,FALSE)),2)*PriceEssAnnual*QC38+QN26*POWER(1-(AnnualChurn*VLOOKUP(PZ38,ChurnSeasonTable,4,FALSE)),1)*PricePremAnnual*QC38+QN14*POWER(1-(AnnualChurn*VLOOKUP(PZ38,ChurnSeasonTable,4,FALSE)),2)*PricePremAnnual*QC38</f>
        <v/>
      </c>
      <c r="QY38" s="9">
        <f>QV38+QW38+QX38</f>
        <v/>
      </c>
      <c r="QZ38" s="12">
        <f>SUM(QY27:QY38)</f>
        <v/>
      </c>
      <c r="RA38" s="12">
        <f>OR(RA37,QZ38&gt;=VATThreshold)</f>
        <v/>
      </c>
      <c r="RB38" s="9">
        <f>IF(RA38,QY38/(1+VATRate),QY38)</f>
        <v/>
      </c>
      <c r="RC38" s="12">
        <f>QY38-RB38</f>
        <v/>
      </c>
      <c r="RD38" s="12">
        <f>IF(RA38=0,0,IF(PZ38=1,SUMPRODUCT(--(($QA$5:$QA38=$QA38-1)*($PZ$5:$PZ38&gt;=10)*($PZ$5:$PZ38&lt;=12)),$RC$5:$RC38),IF(PZ38=4,SUMPRODUCT(--(($QA$5:$QA38=$QA38)*($PZ$5:$PZ38&gt;=1)*($PZ$5:$PZ38&lt;=3)),$RC$5:$RC38),IF(PZ38=7,SUMPRODUCT(--(($QA$5:$QA38=$QA38)*($PZ$5:$PZ38&gt;=4)*($PZ$5:$PZ38&lt;=6)),$RC$5:$RC38),IF(PZ38=10,SUMPRODUCT(--(($QA$5:$QA38=$QA38)*($PZ$5:$PZ38&gt;=7)*($PZ$5:$PZ38&lt;=9)),$RC$5:$RC38),0)))))</f>
        <v/>
      </c>
      <c r="RE38" s="12">
        <f>RE37+RC38-RD38</f>
        <v/>
      </c>
      <c r="RF38" s="12">
        <f>IF(ProviderDelay&gt;=1,RB37*ProviderShare,RB38*ProviderShare)</f>
        <v/>
      </c>
      <c r="RG38" s="12">
        <f>QY38*PaymentFee</f>
        <v/>
      </c>
      <c r="RH38" s="12">
        <f>QS38*OpsAI</f>
        <v/>
      </c>
      <c r="RI38" s="12">
        <f>MonthlyFixed</f>
        <v/>
      </c>
      <c r="RJ38" s="12">
        <f>QG38*ReferralReward</f>
        <v/>
      </c>
      <c r="RK38" s="12">
        <f>QE38</f>
        <v/>
      </c>
      <c r="RL38" s="9">
        <f>RB38-RF38-RG38-RH38-RI38-RJ38-RK38</f>
        <v/>
      </c>
      <c r="RM38" s="9">
        <f>RM37+QY38-(RF38+RG38+RH38+RI38+RJ38+RK38+RD38)</f>
        <v/>
      </c>
      <c r="RN38" s="12">
        <f>IF(QS38&gt;0,QT38/QS38,0)</f>
        <v/>
      </c>
      <c r="RO38" s="11">
        <f>IF(QS37&gt;0,MAX(0,(QS37+QH38-QS38)/QS37),0)</f>
        <v/>
      </c>
      <c r="RQ38" s="12" t="n">
        <v>34</v>
      </c>
      <c r="RR38" s="12">
        <f>MOD(RQ38-1+LaunchMonth-1,12)+1</f>
        <v/>
      </c>
      <c r="RS38" s="12">
        <f>INT((RQ38-1+LaunchMonth-1)/12)+1</f>
        <v/>
      </c>
      <c r="RT38" s="12">
        <f>VLOOKUP(RR38,SeasonTable,2,FALSE)</f>
        <v/>
      </c>
      <c r="RU38" s="12">
        <f>(1+InflationRate)^INT((RQ38-1)/12)</f>
        <v/>
      </c>
      <c r="RV38" s="11">
        <f>'Sens - Churn'!$A$21*VLOOKUP(RR38,ChurnSeasonTable,4,FALSE)</f>
        <v/>
      </c>
      <c r="RW38" s="12">
        <f>MIN(MAX(MktMin19plus,SQ37*MktPct19plus),MAX(0,TE37-CashBuffer))</f>
        <v/>
      </c>
      <c r="RX38" s="12">
        <f>IF(RW38&gt;0,MAX(1,ROUND(RW38/CAC*RT38,0)),0)</f>
        <v/>
      </c>
      <c r="RY38" s="12">
        <f>IF(RX38&gt;0,ROUND(RX38*ReferralMix/(1-ReferralMix),0),0)</f>
        <v/>
      </c>
      <c r="RZ38" s="12">
        <f>RX38+RY38</f>
        <v/>
      </c>
      <c r="SA38" s="12">
        <f>ROUND(RZ38*(1-AnnualMix),0)</f>
        <v/>
      </c>
      <c r="SB38" s="12">
        <f>RZ38-SA38</f>
        <v/>
      </c>
      <c r="SC38" s="12">
        <f>ROUND(SA38*EssentialMix,0)</f>
        <v/>
      </c>
      <c r="SD38" s="12">
        <f>SA38-SC38</f>
        <v/>
      </c>
      <c r="SE38" s="12">
        <f>ROUND(SB38*EssentialMix,0)</f>
        <v/>
      </c>
      <c r="SF38" s="12">
        <f>SB38-SE38</f>
        <v/>
      </c>
      <c r="SG38" s="12">
        <f>SC38+SC37+SC36+MAX(0,SG37-SC37-SC36)*(1-RV38)</f>
        <v/>
      </c>
      <c r="SH38" s="12">
        <f>SD38+SD37+SD36+MAX(0,SH37-SD37-SD36)*(1-RV38)</f>
        <v/>
      </c>
      <c r="SI38" s="12">
        <f>SI37+SE38-SE26*(AnnualChurn*VLOOKUP(RR38,ChurnSeasonTable,4,FALSE))*POWER(1-(AnnualChurn*VLOOKUP(RR38,ChurnSeasonTable,4,FALSE)),0)+SE14*(AnnualChurn*VLOOKUP(RR38,ChurnSeasonTable,4,FALSE))*POWER(1-(AnnualChurn*VLOOKUP(RR38,ChurnSeasonTable,4,FALSE)),1)</f>
        <v/>
      </c>
      <c r="SJ38" s="12">
        <f>SJ37+SF38-SF26*(AnnualChurn*VLOOKUP(RR38,ChurnSeasonTable,4,FALSE))*POWER(1-(AnnualChurn*VLOOKUP(RR38,ChurnSeasonTable,4,FALSE)),0)+SF14*(AnnualChurn*VLOOKUP(RR38,ChurnSeasonTable,4,FALSE))*POWER(1-(AnnualChurn*VLOOKUP(RR38,ChurnSeasonTable,4,FALSE)),1)</f>
        <v/>
      </c>
      <c r="SK38" s="12">
        <f>SG38+SH38+SI38+SJ38</f>
        <v/>
      </c>
      <c r="SL38" s="9">
        <f>SG38*PriceEssMonthly*RU38+SH38*PricePremMonthly*RU38+SI38*PriceEssAnnual*RU38/12+SJ38*PricePremAnnual*RU38/12</f>
        <v/>
      </c>
      <c r="SM38" s="9">
        <f>SL38*12</f>
        <v/>
      </c>
      <c r="SN38" s="12">
        <f>SG38*PriceEssMonthly*RU38+SH38*PricePremMonthly*RU38</f>
        <v/>
      </c>
      <c r="SO38" s="12">
        <f>SE38*PriceEssAnnual*RU38+SF38*PricePremAnnual*RU38</f>
        <v/>
      </c>
      <c r="SP38" s="12">
        <f>SE26*POWER(1-(AnnualChurn*VLOOKUP(RR38,ChurnSeasonTable,4,FALSE)),1)*PriceEssAnnual*RU38+SE14*POWER(1-(AnnualChurn*VLOOKUP(RR38,ChurnSeasonTable,4,FALSE)),2)*PriceEssAnnual*RU38+SF26*POWER(1-(AnnualChurn*VLOOKUP(RR38,ChurnSeasonTable,4,FALSE)),1)*PricePremAnnual*RU38+SF14*POWER(1-(AnnualChurn*VLOOKUP(RR38,ChurnSeasonTable,4,FALSE)),2)*PricePremAnnual*RU38</f>
        <v/>
      </c>
      <c r="SQ38" s="9">
        <f>SN38+SO38+SP38</f>
        <v/>
      </c>
      <c r="SR38" s="12">
        <f>SUM(SQ27:SQ38)</f>
        <v/>
      </c>
      <c r="SS38" s="12">
        <f>OR(SS37,SR38&gt;=VATThreshold)</f>
        <v/>
      </c>
      <c r="ST38" s="9">
        <f>IF(SS38,SQ38/(1+VATRate),SQ38)</f>
        <v/>
      </c>
      <c r="SU38" s="12">
        <f>SQ38-ST38</f>
        <v/>
      </c>
      <c r="SV38" s="12">
        <f>IF(SS38=0,0,IF(RR38=1,SUMPRODUCT(--(($RS$5:$RS38=$RS38-1)*($RR$5:$RR38&gt;=10)*($RR$5:$RR38&lt;=12)),$SU$5:$SU38),IF(RR38=4,SUMPRODUCT(--(($RS$5:$RS38=$RS38)*($RR$5:$RR38&gt;=1)*($RR$5:$RR38&lt;=3)),$SU$5:$SU38),IF(RR38=7,SUMPRODUCT(--(($RS$5:$RS38=$RS38)*($RR$5:$RR38&gt;=4)*($RR$5:$RR38&lt;=6)),$SU$5:$SU38),IF(RR38=10,SUMPRODUCT(--(($RS$5:$RS38=$RS38)*($RR$5:$RR38&gt;=7)*($RR$5:$RR38&lt;=9)),$SU$5:$SU38),0)))))</f>
        <v/>
      </c>
      <c r="SW38" s="12">
        <f>SW37+SU38-SV38</f>
        <v/>
      </c>
      <c r="SX38" s="12">
        <f>IF(ProviderDelay&gt;=1,ST37*ProviderShare,ST38*ProviderShare)</f>
        <v/>
      </c>
      <c r="SY38" s="12">
        <f>SQ38*PaymentFee</f>
        <v/>
      </c>
      <c r="SZ38" s="12">
        <f>SK38*OpsAI</f>
        <v/>
      </c>
      <c r="TA38" s="12">
        <f>MonthlyFixed</f>
        <v/>
      </c>
      <c r="TB38" s="12">
        <f>RY38*ReferralReward</f>
        <v/>
      </c>
      <c r="TC38" s="12">
        <f>RW38</f>
        <v/>
      </c>
      <c r="TD38" s="9">
        <f>ST38-SX38-SY38-SZ38-TA38-TB38-TC38</f>
        <v/>
      </c>
      <c r="TE38" s="9">
        <f>TE37+SQ38-(SX38+SY38+SZ38+TA38+TB38+TC38+SV38)</f>
        <v/>
      </c>
      <c r="TF38" s="12">
        <f>IF(SK38&gt;0,SL38/SK38,0)</f>
        <v/>
      </c>
      <c r="TG38" s="11">
        <f>IF(SK37&gt;0,MAX(0,(SK37+RZ38-SK38)/SK37),0)</f>
        <v/>
      </c>
      <c r="TI38" s="12" t="n">
        <v>34</v>
      </c>
      <c r="TJ38" s="12">
        <f>MOD(TI38-1+LaunchMonth-1,12)+1</f>
        <v/>
      </c>
      <c r="TK38" s="12">
        <f>INT((TI38-1+LaunchMonth-1)/12)+1</f>
        <v/>
      </c>
      <c r="TL38" s="12">
        <f>VLOOKUP(TJ38,SeasonTable,2,FALSE)</f>
        <v/>
      </c>
      <c r="TM38" s="12">
        <f>(1+InflationRate)^INT((TI38-1)/12)</f>
        <v/>
      </c>
      <c r="TN38" s="11">
        <f>MonthlyChurn*VLOOKUP(TJ38,ChurnSeasonTable,4,FALSE)</f>
        <v/>
      </c>
      <c r="TO38" s="12">
        <f>MIN(MAX(MktMin19plus,UI37*MktPct19plus),MAX(0,UW37-CashBuffer))</f>
        <v/>
      </c>
      <c r="TP38" s="12">
        <f>IF(TO38&gt;0,MAX(1,ROUND(TO38/CAC*TL38,0)),0)</f>
        <v/>
      </c>
      <c r="TQ38" s="12">
        <f>IF(TP38&gt;0,ROUND(TP38*ReferralMix/(1-ReferralMix),0),0)</f>
        <v/>
      </c>
      <c r="TR38" s="12">
        <f>TP38+TQ38</f>
        <v/>
      </c>
      <c r="TS38" s="12">
        <f>ROUND(TR38*(1-'Sens - Annual Mix'!$A$9),0)</f>
        <v/>
      </c>
      <c r="TT38" s="12">
        <f>TR38-TS38</f>
        <v/>
      </c>
      <c r="TU38" s="12">
        <f>ROUND(TS38*EssentialMix,0)</f>
        <v/>
      </c>
      <c r="TV38" s="12">
        <f>TS38-TU38</f>
        <v/>
      </c>
      <c r="TW38" s="12">
        <f>ROUND(TT38*EssentialMix,0)</f>
        <v/>
      </c>
      <c r="TX38" s="12">
        <f>TT38-TW38</f>
        <v/>
      </c>
      <c r="TY38" s="12">
        <f>TU38+TU37+TU36+MAX(0,TY37-TU37-TU36)*(1-TN38)</f>
        <v/>
      </c>
      <c r="TZ38" s="12">
        <f>TV38+TV37+TV36+MAX(0,TZ37-TV37-TV36)*(1-TN38)</f>
        <v/>
      </c>
      <c r="UA38" s="12">
        <f>UA37+TW38-TW26*(AnnualChurn*VLOOKUP(TJ38,ChurnSeasonTable,4,FALSE))*POWER(1-(AnnualChurn*VLOOKUP(TJ38,ChurnSeasonTable,4,FALSE)),0)+TW14*(AnnualChurn*VLOOKUP(TJ38,ChurnSeasonTable,4,FALSE))*POWER(1-(AnnualChurn*VLOOKUP(TJ38,ChurnSeasonTable,4,FALSE)),1)</f>
        <v/>
      </c>
      <c r="UB38" s="12">
        <f>UB37+TX38-TX26*(AnnualChurn*VLOOKUP(TJ38,ChurnSeasonTable,4,FALSE))*POWER(1-(AnnualChurn*VLOOKUP(TJ38,ChurnSeasonTable,4,FALSE)),0)+TX14*(AnnualChurn*VLOOKUP(TJ38,ChurnSeasonTable,4,FALSE))*POWER(1-(AnnualChurn*VLOOKUP(TJ38,ChurnSeasonTable,4,FALSE)),1)</f>
        <v/>
      </c>
      <c r="UC38" s="12">
        <f>TY38+TZ38+UA38+UB38</f>
        <v/>
      </c>
      <c r="UD38" s="9">
        <f>TY38*PriceEssMonthly*TM38+TZ38*PricePremMonthly*TM38+UA38*PriceEssAnnual*TM38/12+UB38*PricePremAnnual*TM38/12</f>
        <v/>
      </c>
      <c r="UE38" s="9">
        <f>UD38*12</f>
        <v/>
      </c>
      <c r="UF38" s="12">
        <f>TY38*PriceEssMonthly*TM38+TZ38*PricePremMonthly*TM38</f>
        <v/>
      </c>
      <c r="UG38" s="12">
        <f>TW38*PriceEssAnnual*TM38+TX38*PricePremAnnual*TM38</f>
        <v/>
      </c>
      <c r="UH38" s="12">
        <f>TW26*POWER(1-(AnnualChurn*VLOOKUP(TJ38,ChurnSeasonTable,4,FALSE)),1)*PriceEssAnnual*TM38+TW14*POWER(1-(AnnualChurn*VLOOKUP(TJ38,ChurnSeasonTable,4,FALSE)),2)*PriceEssAnnual*TM38+TX26*POWER(1-(AnnualChurn*VLOOKUP(TJ38,ChurnSeasonTable,4,FALSE)),1)*PricePremAnnual*TM38+TX14*POWER(1-(AnnualChurn*VLOOKUP(TJ38,ChurnSeasonTable,4,FALSE)),2)*PricePremAnnual*TM38</f>
        <v/>
      </c>
      <c r="UI38" s="9">
        <f>UF38+UG38+UH38</f>
        <v/>
      </c>
      <c r="UJ38" s="12">
        <f>SUM(UI27:UI38)</f>
        <v/>
      </c>
      <c r="UK38" s="12">
        <f>OR(UK37,UJ38&gt;=VATThreshold)</f>
        <v/>
      </c>
      <c r="UL38" s="9">
        <f>IF(UK38,UI38/(1+VATRate),UI38)</f>
        <v/>
      </c>
      <c r="UM38" s="12">
        <f>UI38-UL38</f>
        <v/>
      </c>
      <c r="UN38" s="12">
        <f>IF(UK38=0,0,IF(TJ38=1,SUMPRODUCT(--(($TK$5:$TK38=$TK38-1)*($TJ$5:$TJ38&gt;=10)*($TJ$5:$TJ38&lt;=12)),$UM$5:$UM38),IF(TJ38=4,SUMPRODUCT(--(($TK$5:$TK38=$TK38)*($TJ$5:$TJ38&gt;=1)*($TJ$5:$TJ38&lt;=3)),$UM$5:$UM38),IF(TJ38=7,SUMPRODUCT(--(($TK$5:$TK38=$TK38)*($TJ$5:$TJ38&gt;=4)*($TJ$5:$TJ38&lt;=6)),$UM$5:$UM38),IF(TJ38=10,SUMPRODUCT(--(($TK$5:$TK38=$TK38)*($TJ$5:$TJ38&gt;=7)*($TJ$5:$TJ38&lt;=9)),$UM$5:$UM38),0)))))</f>
        <v/>
      </c>
      <c r="UO38" s="12">
        <f>UO37+UM38-UN38</f>
        <v/>
      </c>
      <c r="UP38" s="12">
        <f>IF(ProviderDelay&gt;=1,UL37*ProviderShare,UL38*ProviderShare)</f>
        <v/>
      </c>
      <c r="UQ38" s="12">
        <f>UI38*PaymentFee</f>
        <v/>
      </c>
      <c r="UR38" s="12">
        <f>UC38*OpsAI</f>
        <v/>
      </c>
      <c r="US38" s="12">
        <f>MonthlyFixed</f>
        <v/>
      </c>
      <c r="UT38" s="12">
        <f>TQ38*ReferralReward</f>
        <v/>
      </c>
      <c r="UU38" s="12">
        <f>TO38</f>
        <v/>
      </c>
      <c r="UV38" s="9">
        <f>UL38-UP38-UQ38-UR38-US38-UT38-UU38</f>
        <v/>
      </c>
      <c r="UW38" s="9">
        <f>UW37+UI38-(UP38+UQ38+UR38+US38+UT38+UU38+UN38)</f>
        <v/>
      </c>
      <c r="UX38" s="12">
        <f>IF(UC38&gt;0,UD38/UC38,0)</f>
        <v/>
      </c>
      <c r="UY38" s="11">
        <f>IF(UC37&gt;0,MAX(0,(UC37+TR38-UC38)/UC37),0)</f>
        <v/>
      </c>
      <c r="VA38" s="12" t="n">
        <v>34</v>
      </c>
      <c r="VB38" s="12">
        <f>MOD(VA38-1+LaunchMonth-1,12)+1</f>
        <v/>
      </c>
      <c r="VC38" s="12">
        <f>INT((VA38-1+LaunchMonth-1)/12)+1</f>
        <v/>
      </c>
      <c r="VD38" s="12">
        <f>VLOOKUP(VB38,SeasonTable,2,FALSE)</f>
        <v/>
      </c>
      <c r="VE38" s="12">
        <f>(1+InflationRate)^INT((VA38-1)/12)</f>
        <v/>
      </c>
      <c r="VF38" s="11">
        <f>MonthlyChurn*VLOOKUP(VB38,ChurnSeasonTable,4,FALSE)</f>
        <v/>
      </c>
      <c r="VG38" s="12">
        <f>MIN(MAX(MktMin19plus,WA37*MktPct19plus),MAX(0,WO37-CashBuffer))</f>
        <v/>
      </c>
      <c r="VH38" s="12">
        <f>IF(VG38&gt;0,MAX(1,ROUND(VG38/CAC*VD38,0)),0)</f>
        <v/>
      </c>
      <c r="VI38" s="12">
        <f>IF(VH38&gt;0,ROUND(VH38*ReferralMix/(1-ReferralMix),0),0)</f>
        <v/>
      </c>
      <c r="VJ38" s="12">
        <f>VH38+VI38</f>
        <v/>
      </c>
      <c r="VK38" s="12">
        <f>ROUND(VJ38*(1-'Sens - Annual Mix'!$A$10),0)</f>
        <v/>
      </c>
      <c r="VL38" s="12">
        <f>VJ38-VK38</f>
        <v/>
      </c>
      <c r="VM38" s="12">
        <f>ROUND(VK38*EssentialMix,0)</f>
        <v/>
      </c>
      <c r="VN38" s="12">
        <f>VK38-VM38</f>
        <v/>
      </c>
      <c r="VO38" s="12">
        <f>ROUND(VL38*EssentialMix,0)</f>
        <v/>
      </c>
      <c r="VP38" s="12">
        <f>VL38-VO38</f>
        <v/>
      </c>
      <c r="VQ38" s="12">
        <f>VM38+VM37+VM36+MAX(0,VQ37-VM37-VM36)*(1-VF38)</f>
        <v/>
      </c>
      <c r="VR38" s="12">
        <f>VN38+VN37+VN36+MAX(0,VR37-VN37-VN36)*(1-VF38)</f>
        <v/>
      </c>
      <c r="VS38" s="12">
        <f>VS37+VO38-VO26*(AnnualChurn*VLOOKUP(VB38,ChurnSeasonTable,4,FALSE))*POWER(1-(AnnualChurn*VLOOKUP(VB38,ChurnSeasonTable,4,FALSE)),0)+VO14*(AnnualChurn*VLOOKUP(VB38,ChurnSeasonTable,4,FALSE))*POWER(1-(AnnualChurn*VLOOKUP(VB38,ChurnSeasonTable,4,FALSE)),1)</f>
        <v/>
      </c>
      <c r="VT38" s="12">
        <f>VT37+VP38-VP26*(AnnualChurn*VLOOKUP(VB38,ChurnSeasonTable,4,FALSE))*POWER(1-(AnnualChurn*VLOOKUP(VB38,ChurnSeasonTable,4,FALSE)),0)+VP14*(AnnualChurn*VLOOKUP(VB38,ChurnSeasonTable,4,FALSE))*POWER(1-(AnnualChurn*VLOOKUP(VB38,ChurnSeasonTable,4,FALSE)),1)</f>
        <v/>
      </c>
      <c r="VU38" s="12">
        <f>VQ38+VR38+VS38+VT38</f>
        <v/>
      </c>
      <c r="VV38" s="9">
        <f>VQ38*PriceEssMonthly*VE38+VR38*PricePremMonthly*VE38+VS38*PriceEssAnnual*VE38/12+VT38*PricePremAnnual*VE38/12</f>
        <v/>
      </c>
      <c r="VW38" s="9">
        <f>VV38*12</f>
        <v/>
      </c>
      <c r="VX38" s="12">
        <f>VQ38*PriceEssMonthly*VE38+VR38*PricePremMonthly*VE38</f>
        <v/>
      </c>
      <c r="VY38" s="12">
        <f>VO38*PriceEssAnnual*VE38+VP38*PricePremAnnual*VE38</f>
        <v/>
      </c>
      <c r="VZ38" s="12">
        <f>VO26*POWER(1-(AnnualChurn*VLOOKUP(VB38,ChurnSeasonTable,4,FALSE)),1)*PriceEssAnnual*VE38+VO14*POWER(1-(AnnualChurn*VLOOKUP(VB38,ChurnSeasonTable,4,FALSE)),2)*PriceEssAnnual*VE38+VP26*POWER(1-(AnnualChurn*VLOOKUP(VB38,ChurnSeasonTable,4,FALSE)),1)*PricePremAnnual*VE38+VP14*POWER(1-(AnnualChurn*VLOOKUP(VB38,ChurnSeasonTable,4,FALSE)),2)*PricePremAnnual*VE38</f>
        <v/>
      </c>
      <c r="WA38" s="9">
        <f>VX38+VY38+VZ38</f>
        <v/>
      </c>
      <c r="WB38" s="12">
        <f>SUM(WA27:WA38)</f>
        <v/>
      </c>
      <c r="WC38" s="12">
        <f>OR(WC37,WB38&gt;=VATThreshold)</f>
        <v/>
      </c>
      <c r="WD38" s="9">
        <f>IF(WC38,WA38/(1+VATRate),WA38)</f>
        <v/>
      </c>
      <c r="WE38" s="12">
        <f>WA38-WD38</f>
        <v/>
      </c>
      <c r="WF38" s="12">
        <f>IF(WC38=0,0,IF(VB38=1,SUMPRODUCT(--(($VC$5:$VC38=$VC38-1)*($VB$5:$VB38&gt;=10)*($VB$5:$VB38&lt;=12)),$WE$5:$WE38),IF(VB38=4,SUMPRODUCT(--(($VC$5:$VC38=$VC38)*($VB$5:$VB38&gt;=1)*($VB$5:$VB38&lt;=3)),$WE$5:$WE38),IF(VB38=7,SUMPRODUCT(--(($VC$5:$VC38=$VC38)*($VB$5:$VB38&gt;=4)*($VB$5:$VB38&lt;=6)),$WE$5:$WE38),IF(VB38=10,SUMPRODUCT(--(($VC$5:$VC38=$VC38)*($VB$5:$VB38&gt;=7)*($VB$5:$VB38&lt;=9)),$WE$5:$WE38),0)))))</f>
        <v/>
      </c>
      <c r="WG38" s="12">
        <f>WG37+WE38-WF38</f>
        <v/>
      </c>
      <c r="WH38" s="12">
        <f>IF(ProviderDelay&gt;=1,WD37*ProviderShare,WD38*ProviderShare)</f>
        <v/>
      </c>
      <c r="WI38" s="12">
        <f>WA38*PaymentFee</f>
        <v/>
      </c>
      <c r="WJ38" s="12">
        <f>VU38*OpsAI</f>
        <v/>
      </c>
      <c r="WK38" s="12">
        <f>MonthlyFixed</f>
        <v/>
      </c>
      <c r="WL38" s="12">
        <f>VI38*ReferralReward</f>
        <v/>
      </c>
      <c r="WM38" s="12">
        <f>VG38</f>
        <v/>
      </c>
      <c r="WN38" s="9">
        <f>WD38-WH38-WI38-WJ38-WK38-WL38-WM38</f>
        <v/>
      </c>
      <c r="WO38" s="9">
        <f>WO37+WA38-(WH38+WI38+WJ38+WK38+WL38+WM38+WF38)</f>
        <v/>
      </c>
      <c r="WP38" s="12">
        <f>IF(VU38&gt;0,VV38/VU38,0)</f>
        <v/>
      </c>
      <c r="WQ38" s="11">
        <f>IF(VU37&gt;0,MAX(0,(VU37+VJ38-VU38)/VU37),0)</f>
        <v/>
      </c>
      <c r="WS38" s="12" t="n">
        <v>34</v>
      </c>
      <c r="WT38" s="12">
        <f>MOD(WS38-1+LaunchMonth-1,12)+1</f>
        <v/>
      </c>
      <c r="WU38" s="12">
        <f>INT((WS38-1+LaunchMonth-1)/12)+1</f>
        <v/>
      </c>
      <c r="WV38" s="12">
        <f>VLOOKUP(WT38,SeasonTable,2,FALSE)</f>
        <v/>
      </c>
      <c r="WW38" s="12">
        <f>(1+InflationRate)^INT((WS38-1)/12)</f>
        <v/>
      </c>
      <c r="WX38" s="11">
        <f>MonthlyChurn*VLOOKUP(WT38,ChurnSeasonTable,4,FALSE)</f>
        <v/>
      </c>
      <c r="WY38" s="12">
        <f>MIN(MAX(MktMin19plus,XS37*MktPct19plus),MAX(0,YG37-CashBuffer))</f>
        <v/>
      </c>
      <c r="WZ38" s="12">
        <f>IF(WY38&gt;0,MAX(1,ROUND(WY38/CAC*WV38,0)),0)</f>
        <v/>
      </c>
      <c r="XA38" s="12">
        <f>IF(WZ38&gt;0,ROUND(WZ38*ReferralMix/(1-ReferralMix),0),0)</f>
        <v/>
      </c>
      <c r="XB38" s="12">
        <f>WZ38+XA38</f>
        <v/>
      </c>
      <c r="XC38" s="12">
        <f>ROUND(XB38*(1-'Sens - Annual Mix'!$A$11),0)</f>
        <v/>
      </c>
      <c r="XD38" s="12">
        <f>XB38-XC38</f>
        <v/>
      </c>
      <c r="XE38" s="12">
        <f>ROUND(XC38*EssentialMix,0)</f>
        <v/>
      </c>
      <c r="XF38" s="12">
        <f>XC38-XE38</f>
        <v/>
      </c>
      <c r="XG38" s="12">
        <f>ROUND(XD38*EssentialMix,0)</f>
        <v/>
      </c>
      <c r="XH38" s="12">
        <f>XD38-XG38</f>
        <v/>
      </c>
      <c r="XI38" s="12">
        <f>XE38+XE37+XE36+MAX(0,XI37-XE37-XE36)*(1-WX38)</f>
        <v/>
      </c>
      <c r="XJ38" s="12">
        <f>XF38+XF37+XF36+MAX(0,XJ37-XF37-XF36)*(1-WX38)</f>
        <v/>
      </c>
      <c r="XK38" s="12">
        <f>XK37+XG38-XG26*(AnnualChurn*VLOOKUP(WT38,ChurnSeasonTable,4,FALSE))*POWER(1-(AnnualChurn*VLOOKUP(WT38,ChurnSeasonTable,4,FALSE)),0)+XG14*(AnnualChurn*VLOOKUP(WT38,ChurnSeasonTable,4,FALSE))*POWER(1-(AnnualChurn*VLOOKUP(WT38,ChurnSeasonTable,4,FALSE)),1)</f>
        <v/>
      </c>
      <c r="XL38" s="12">
        <f>XL37+XH38-XH26*(AnnualChurn*VLOOKUP(WT38,ChurnSeasonTable,4,FALSE))*POWER(1-(AnnualChurn*VLOOKUP(WT38,ChurnSeasonTable,4,FALSE)),0)+XH14*(AnnualChurn*VLOOKUP(WT38,ChurnSeasonTable,4,FALSE))*POWER(1-(AnnualChurn*VLOOKUP(WT38,ChurnSeasonTable,4,FALSE)),1)</f>
        <v/>
      </c>
      <c r="XM38" s="12">
        <f>XI38+XJ38+XK38+XL38</f>
        <v/>
      </c>
      <c r="XN38" s="9">
        <f>XI38*PriceEssMonthly*WW38+XJ38*PricePremMonthly*WW38+XK38*PriceEssAnnual*WW38/12+XL38*PricePremAnnual*WW38/12</f>
        <v/>
      </c>
      <c r="XO38" s="9">
        <f>XN38*12</f>
        <v/>
      </c>
      <c r="XP38" s="12">
        <f>XI38*PriceEssMonthly*WW38+XJ38*PricePremMonthly*WW38</f>
        <v/>
      </c>
      <c r="XQ38" s="12">
        <f>XG38*PriceEssAnnual*WW38+XH38*PricePremAnnual*WW38</f>
        <v/>
      </c>
      <c r="XR38" s="12">
        <f>XG26*POWER(1-(AnnualChurn*VLOOKUP(WT38,ChurnSeasonTable,4,FALSE)),1)*PriceEssAnnual*WW38+XG14*POWER(1-(AnnualChurn*VLOOKUP(WT38,ChurnSeasonTable,4,FALSE)),2)*PriceEssAnnual*WW38+XH26*POWER(1-(AnnualChurn*VLOOKUP(WT38,ChurnSeasonTable,4,FALSE)),1)*PricePremAnnual*WW38+XH14*POWER(1-(AnnualChurn*VLOOKUP(WT38,ChurnSeasonTable,4,FALSE)),2)*PricePremAnnual*WW38</f>
        <v/>
      </c>
      <c r="XS38" s="9">
        <f>XP38+XQ38+XR38</f>
        <v/>
      </c>
      <c r="XT38" s="12">
        <f>SUM(XS27:XS38)</f>
        <v/>
      </c>
      <c r="XU38" s="12">
        <f>OR(XU37,XT38&gt;=VATThreshold)</f>
        <v/>
      </c>
      <c r="XV38" s="9">
        <f>IF(XU38,XS38/(1+VATRate),XS38)</f>
        <v/>
      </c>
      <c r="XW38" s="12">
        <f>XS38-XV38</f>
        <v/>
      </c>
      <c r="XX38" s="12">
        <f>IF(XU38=0,0,IF(WT38=1,SUMPRODUCT(--(($WU$5:$WU38=$WU38-1)*($WT$5:$WT38&gt;=10)*($WT$5:$WT38&lt;=12)),$XW$5:$XW38),IF(WT38=4,SUMPRODUCT(--(($WU$5:$WU38=$WU38)*($WT$5:$WT38&gt;=1)*($WT$5:$WT38&lt;=3)),$XW$5:$XW38),IF(WT38=7,SUMPRODUCT(--(($WU$5:$WU38=$WU38)*($WT$5:$WT38&gt;=4)*($WT$5:$WT38&lt;=6)),$XW$5:$XW38),IF(WT38=10,SUMPRODUCT(--(($WU$5:$WU38=$WU38)*($WT$5:$WT38&gt;=7)*($WT$5:$WT38&lt;=9)),$XW$5:$XW38),0)))))</f>
        <v/>
      </c>
      <c r="XY38" s="12">
        <f>XY37+XW38-XX38</f>
        <v/>
      </c>
      <c r="XZ38" s="12">
        <f>IF(ProviderDelay&gt;=1,XV37*ProviderShare,XV38*ProviderShare)</f>
        <v/>
      </c>
      <c r="YA38" s="12">
        <f>XS38*PaymentFee</f>
        <v/>
      </c>
      <c r="YB38" s="12">
        <f>XM38*OpsAI</f>
        <v/>
      </c>
      <c r="YC38" s="12">
        <f>MonthlyFixed</f>
        <v/>
      </c>
      <c r="YD38" s="12">
        <f>XA38*ReferralReward</f>
        <v/>
      </c>
      <c r="YE38" s="12">
        <f>WY38</f>
        <v/>
      </c>
      <c r="YF38" s="9">
        <f>XV38-XZ38-YA38-YB38-YC38-YD38-YE38</f>
        <v/>
      </c>
      <c r="YG38" s="9">
        <f>YG37+XS38-(XZ38+YA38+YB38+YC38+YD38+YE38+XX38)</f>
        <v/>
      </c>
      <c r="YH38" s="12">
        <f>IF(XM38&gt;0,XN38/XM38,0)</f>
        <v/>
      </c>
      <c r="YI38" s="11">
        <f>IF(XM37&gt;0,MAX(0,(XM37+XB38-XM38)/XM37),0)</f>
        <v/>
      </c>
      <c r="YK38" s="12" t="n">
        <v>34</v>
      </c>
      <c r="YL38" s="12">
        <f>MOD(YK38-1+LaunchMonth-1,12)+1</f>
        <v/>
      </c>
      <c r="YM38" s="12">
        <f>INT((YK38-1+LaunchMonth-1)/12)+1</f>
        <v/>
      </c>
      <c r="YN38" s="12">
        <f>VLOOKUP(YL38,SeasonTable,2,FALSE)</f>
        <v/>
      </c>
      <c r="YO38" s="12">
        <f>(1+InflationRate)^INT((YK38-1)/12)</f>
        <v/>
      </c>
      <c r="YP38" s="11">
        <f>MonthlyChurn*VLOOKUP(YL38,ChurnSeasonTable,4,FALSE)</f>
        <v/>
      </c>
      <c r="YQ38" s="12">
        <f>MIN(MAX(MktMin19plus,ZK37*MktPct19plus),MAX(0,ZY37-CashBuffer))</f>
        <v/>
      </c>
      <c r="YR38" s="12">
        <f>IF(YQ38&gt;0,MAX(1,ROUND(YQ38/CAC*YN38,0)),0)</f>
        <v/>
      </c>
      <c r="YS38" s="12">
        <f>IF(YR38&gt;0,ROUND(YR38*ReferralMix/(1-ReferralMix),0),0)</f>
        <v/>
      </c>
      <c r="YT38" s="12">
        <f>YR38+YS38</f>
        <v/>
      </c>
      <c r="YU38" s="12">
        <f>ROUND(YT38*(1-'Sens - Annual Mix'!$A$12),0)</f>
        <v/>
      </c>
      <c r="YV38" s="12">
        <f>YT38-YU38</f>
        <v/>
      </c>
      <c r="YW38" s="12">
        <f>ROUND(YU38*EssentialMix,0)</f>
        <v/>
      </c>
      <c r="YX38" s="12">
        <f>YU38-YW38</f>
        <v/>
      </c>
      <c r="YY38" s="12">
        <f>ROUND(YV38*EssentialMix,0)</f>
        <v/>
      </c>
      <c r="YZ38" s="12">
        <f>YV38-YY38</f>
        <v/>
      </c>
      <c r="ZA38" s="12">
        <f>YW38+YW37+YW36+MAX(0,ZA37-YW37-YW36)*(1-YP38)</f>
        <v/>
      </c>
      <c r="ZB38" s="12">
        <f>YX38+YX37+YX36+MAX(0,ZB37-YX37-YX36)*(1-YP38)</f>
        <v/>
      </c>
      <c r="ZC38" s="12">
        <f>ZC37+YY38-YY26*(AnnualChurn*VLOOKUP(YL38,ChurnSeasonTable,4,FALSE))*POWER(1-(AnnualChurn*VLOOKUP(YL38,ChurnSeasonTable,4,FALSE)),0)+YY14*(AnnualChurn*VLOOKUP(YL38,ChurnSeasonTable,4,FALSE))*POWER(1-(AnnualChurn*VLOOKUP(YL38,ChurnSeasonTable,4,FALSE)),1)</f>
        <v/>
      </c>
      <c r="ZD38" s="12">
        <f>ZD37+YZ38-YZ26*(AnnualChurn*VLOOKUP(YL38,ChurnSeasonTable,4,FALSE))*POWER(1-(AnnualChurn*VLOOKUP(YL38,ChurnSeasonTable,4,FALSE)),0)+YZ14*(AnnualChurn*VLOOKUP(YL38,ChurnSeasonTable,4,FALSE))*POWER(1-(AnnualChurn*VLOOKUP(YL38,ChurnSeasonTable,4,FALSE)),1)</f>
        <v/>
      </c>
      <c r="ZE38" s="12">
        <f>ZA38+ZB38+ZC38+ZD38</f>
        <v/>
      </c>
      <c r="ZF38" s="9">
        <f>ZA38*PriceEssMonthly*YO38+ZB38*PricePremMonthly*YO38+ZC38*PriceEssAnnual*YO38/12+ZD38*PricePremAnnual*YO38/12</f>
        <v/>
      </c>
      <c r="ZG38" s="9">
        <f>ZF38*12</f>
        <v/>
      </c>
      <c r="ZH38" s="12">
        <f>ZA38*PriceEssMonthly*YO38+ZB38*PricePremMonthly*YO38</f>
        <v/>
      </c>
      <c r="ZI38" s="12">
        <f>YY38*PriceEssAnnual*YO38+YZ38*PricePremAnnual*YO38</f>
        <v/>
      </c>
      <c r="ZJ38" s="12">
        <f>YY26*POWER(1-(AnnualChurn*VLOOKUP(YL38,ChurnSeasonTable,4,FALSE)),1)*PriceEssAnnual*YO38+YY14*POWER(1-(AnnualChurn*VLOOKUP(YL38,ChurnSeasonTable,4,FALSE)),2)*PriceEssAnnual*YO38+YZ26*POWER(1-(AnnualChurn*VLOOKUP(YL38,ChurnSeasonTable,4,FALSE)),1)*PricePremAnnual*YO38+YZ14*POWER(1-(AnnualChurn*VLOOKUP(YL38,ChurnSeasonTable,4,FALSE)),2)*PricePremAnnual*YO38</f>
        <v/>
      </c>
      <c r="ZK38" s="9">
        <f>ZH38+ZI38+ZJ38</f>
        <v/>
      </c>
      <c r="ZL38" s="12">
        <f>SUM(ZK27:ZK38)</f>
        <v/>
      </c>
      <c r="ZM38" s="12">
        <f>OR(ZM37,ZL38&gt;=VATThreshold)</f>
        <v/>
      </c>
      <c r="ZN38" s="9">
        <f>IF(ZM38,ZK38/(1+VATRate),ZK38)</f>
        <v/>
      </c>
      <c r="ZO38" s="12">
        <f>ZK38-ZN38</f>
        <v/>
      </c>
      <c r="ZP38" s="12">
        <f>IF(ZM38=0,0,IF(YL38=1,SUMPRODUCT(--(($YM$5:$YM38=$YM38-1)*($YL$5:$YL38&gt;=10)*($YL$5:$YL38&lt;=12)),$ZO$5:$ZO38),IF(YL38=4,SUMPRODUCT(--(($YM$5:$YM38=$YM38)*($YL$5:$YL38&gt;=1)*($YL$5:$YL38&lt;=3)),$ZO$5:$ZO38),IF(YL38=7,SUMPRODUCT(--(($YM$5:$YM38=$YM38)*($YL$5:$YL38&gt;=4)*($YL$5:$YL38&lt;=6)),$ZO$5:$ZO38),IF(YL38=10,SUMPRODUCT(--(($YM$5:$YM38=$YM38)*($YL$5:$YL38&gt;=7)*($YL$5:$YL38&lt;=9)),$ZO$5:$ZO38),0)))))</f>
        <v/>
      </c>
      <c r="ZQ38" s="12">
        <f>ZQ37+ZO38-ZP38</f>
        <v/>
      </c>
      <c r="ZR38" s="12">
        <f>IF(ProviderDelay&gt;=1,ZN37*ProviderShare,ZN38*ProviderShare)</f>
        <v/>
      </c>
      <c r="ZS38" s="12">
        <f>ZK38*PaymentFee</f>
        <v/>
      </c>
      <c r="ZT38" s="12">
        <f>ZE38*OpsAI</f>
        <v/>
      </c>
      <c r="ZU38" s="12">
        <f>MonthlyFixed</f>
        <v/>
      </c>
      <c r="ZV38" s="12">
        <f>YS38*ReferralReward</f>
        <v/>
      </c>
      <c r="ZW38" s="12">
        <f>YQ38</f>
        <v/>
      </c>
      <c r="ZX38" s="9">
        <f>ZN38-ZR38-ZS38-ZT38-ZU38-ZV38-ZW38</f>
        <v/>
      </c>
      <c r="ZY38" s="9">
        <f>ZY37+ZK38-(ZR38+ZS38+ZT38+ZU38+ZV38+ZW38+ZP38)</f>
        <v/>
      </c>
      <c r="ZZ38" s="12">
        <f>IF(ZE38&gt;0,ZF38/ZE38,0)</f>
        <v/>
      </c>
      <c r="AAA38" s="11">
        <f>IF(ZE37&gt;0,MAX(0,(ZE37+YT38-ZE38)/ZE37),0)</f>
        <v/>
      </c>
      <c r="AAC38" s="12" t="n">
        <v>34</v>
      </c>
      <c r="AAD38" s="12">
        <f>MOD(AAC38-1+LaunchMonth-1,12)+1</f>
        <v/>
      </c>
      <c r="AAE38" s="12">
        <f>INT((AAC38-1+LaunchMonth-1)/12)+1</f>
        <v/>
      </c>
      <c r="AAF38" s="12">
        <f>VLOOKUP(AAD38,SeasonTable,2,FALSE)</f>
        <v/>
      </c>
      <c r="AAG38" s="12">
        <f>(1+InflationRate)^INT((AAC38-1)/12)</f>
        <v/>
      </c>
      <c r="AAH38" s="11">
        <f>MonthlyChurn*VLOOKUP(AAD38,ChurnSeasonTable,4,FALSE)</f>
        <v/>
      </c>
      <c r="AAI38" s="12">
        <f>MIN(MAX(MktMin19plus,ABC37*MktPct19plus),MAX(0,ABQ37-CashBuffer))</f>
        <v/>
      </c>
      <c r="AAJ38" s="12">
        <f>IF(AAI38&gt;0,MAX(1,ROUND(AAI38/CAC*AAF38,0)),0)</f>
        <v/>
      </c>
      <c r="AAK38" s="12">
        <f>IF(AAJ38&gt;0,ROUND(AAJ38*ReferralMix/(1-ReferralMix),0),0)</f>
        <v/>
      </c>
      <c r="AAL38" s="12">
        <f>AAJ38+AAK38</f>
        <v/>
      </c>
      <c r="AAM38" s="12">
        <f>ROUND(AAL38*(1-'Sens - Annual Mix'!$A$13),0)</f>
        <v/>
      </c>
      <c r="AAN38" s="12">
        <f>AAL38-AAM38</f>
        <v/>
      </c>
      <c r="AAO38" s="12">
        <f>ROUND(AAM38*EssentialMix,0)</f>
        <v/>
      </c>
      <c r="AAP38" s="12">
        <f>AAM38-AAO38</f>
        <v/>
      </c>
      <c r="AAQ38" s="12">
        <f>ROUND(AAN38*EssentialMix,0)</f>
        <v/>
      </c>
      <c r="AAR38" s="12">
        <f>AAN38-AAQ38</f>
        <v/>
      </c>
      <c r="AAS38" s="12">
        <f>AAO38+AAO37+AAO36+MAX(0,AAS37-AAO37-AAO36)*(1-AAH38)</f>
        <v/>
      </c>
      <c r="AAT38" s="12">
        <f>AAP38+AAP37+AAP36+MAX(0,AAT37-AAP37-AAP36)*(1-AAH38)</f>
        <v/>
      </c>
      <c r="AAU38" s="12">
        <f>AAU37+AAQ38-AAQ26*(AnnualChurn*VLOOKUP(AAD38,ChurnSeasonTable,4,FALSE))*POWER(1-(AnnualChurn*VLOOKUP(AAD38,ChurnSeasonTable,4,FALSE)),0)+AAQ14*(AnnualChurn*VLOOKUP(AAD38,ChurnSeasonTable,4,FALSE))*POWER(1-(AnnualChurn*VLOOKUP(AAD38,ChurnSeasonTable,4,FALSE)),1)</f>
        <v/>
      </c>
      <c r="AAV38" s="12">
        <f>AAV37+AAR38-AAR26*(AnnualChurn*VLOOKUP(AAD38,ChurnSeasonTable,4,FALSE))*POWER(1-(AnnualChurn*VLOOKUP(AAD38,ChurnSeasonTable,4,FALSE)),0)+AAR14*(AnnualChurn*VLOOKUP(AAD38,ChurnSeasonTable,4,FALSE))*POWER(1-(AnnualChurn*VLOOKUP(AAD38,ChurnSeasonTable,4,FALSE)),1)</f>
        <v/>
      </c>
      <c r="AAW38" s="12">
        <f>AAS38+AAT38+AAU38+AAV38</f>
        <v/>
      </c>
      <c r="AAX38" s="9">
        <f>AAS38*PriceEssMonthly*AAG38+AAT38*PricePremMonthly*AAG38+AAU38*PriceEssAnnual*AAG38/12+AAV38*PricePremAnnual*AAG38/12</f>
        <v/>
      </c>
      <c r="AAY38" s="9">
        <f>AAX38*12</f>
        <v/>
      </c>
      <c r="AAZ38" s="12">
        <f>AAS38*PriceEssMonthly*AAG38+AAT38*PricePremMonthly*AAG38</f>
        <v/>
      </c>
      <c r="ABA38" s="12">
        <f>AAQ38*PriceEssAnnual*AAG38+AAR38*PricePremAnnual*AAG38</f>
        <v/>
      </c>
      <c r="ABB38" s="12">
        <f>AAQ26*POWER(1-(AnnualChurn*VLOOKUP(AAD38,ChurnSeasonTable,4,FALSE)),1)*PriceEssAnnual*AAG38+AAQ14*POWER(1-(AnnualChurn*VLOOKUP(AAD38,ChurnSeasonTable,4,FALSE)),2)*PriceEssAnnual*AAG38+AAR26*POWER(1-(AnnualChurn*VLOOKUP(AAD38,ChurnSeasonTable,4,FALSE)),1)*PricePremAnnual*AAG38+AAR14*POWER(1-(AnnualChurn*VLOOKUP(AAD38,ChurnSeasonTable,4,FALSE)),2)*PricePremAnnual*AAG38</f>
        <v/>
      </c>
      <c r="ABC38" s="9">
        <f>AAZ38+ABA38+ABB38</f>
        <v/>
      </c>
      <c r="ABD38" s="12">
        <f>SUM(ABC27:ABC38)</f>
        <v/>
      </c>
      <c r="ABE38" s="12">
        <f>OR(ABE37,ABD38&gt;=VATThreshold)</f>
        <v/>
      </c>
      <c r="ABF38" s="9">
        <f>IF(ABE38,ABC38/(1+VATRate),ABC38)</f>
        <v/>
      </c>
      <c r="ABG38" s="12">
        <f>ABC38-ABF38</f>
        <v/>
      </c>
      <c r="ABH38" s="12">
        <f>IF(ABE38=0,0,IF(AAD38=1,SUMPRODUCT(--(($AAE$5:$AAE38=$AAE38-1)*($AAD$5:$AAD38&gt;=10)*($AAD$5:$AAD38&lt;=12)),$ABG$5:$ABG38),IF(AAD38=4,SUMPRODUCT(--(($AAE$5:$AAE38=$AAE38)*($AAD$5:$AAD38&gt;=1)*($AAD$5:$AAD38&lt;=3)),$ABG$5:$ABG38),IF(AAD38=7,SUMPRODUCT(--(($AAE$5:$AAE38=$AAE38)*($AAD$5:$AAD38&gt;=4)*($AAD$5:$AAD38&lt;=6)),$ABG$5:$ABG38),IF(AAD38=10,SUMPRODUCT(--(($AAE$5:$AAE38=$AAE38)*($AAD$5:$AAD38&gt;=7)*($AAD$5:$AAD38&lt;=9)),$ABG$5:$ABG38),0)))))</f>
        <v/>
      </c>
      <c r="ABI38" s="12">
        <f>ABI37+ABG38-ABH38</f>
        <v/>
      </c>
      <c r="ABJ38" s="12">
        <f>IF(ProviderDelay&gt;=1,ABF37*ProviderShare,ABF38*ProviderShare)</f>
        <v/>
      </c>
      <c r="ABK38" s="12">
        <f>ABC38*PaymentFee</f>
        <v/>
      </c>
      <c r="ABL38" s="12">
        <f>AAW38*OpsAI</f>
        <v/>
      </c>
      <c r="ABM38" s="12">
        <f>MonthlyFixed</f>
        <v/>
      </c>
      <c r="ABN38" s="12">
        <f>AAK38*ReferralReward</f>
        <v/>
      </c>
      <c r="ABO38" s="12">
        <f>AAI38</f>
        <v/>
      </c>
      <c r="ABP38" s="9">
        <f>ABF38-ABJ38-ABK38-ABL38-ABM38-ABN38-ABO38</f>
        <v/>
      </c>
      <c r="ABQ38" s="9">
        <f>ABQ37+ABC38-(ABJ38+ABK38+ABL38+ABM38+ABN38+ABO38+ABH38)</f>
        <v/>
      </c>
      <c r="ABR38" s="12">
        <f>IF(AAW38&gt;0,AAX38/AAW38,0)</f>
        <v/>
      </c>
      <c r="ABS38" s="11">
        <f>IF(AAW37&gt;0,MAX(0,(AAW37+AAL38-AAW38)/AAW37),0)</f>
        <v/>
      </c>
      <c r="ABU38" s="12" t="n">
        <v>34</v>
      </c>
      <c r="ABV38" s="12">
        <f>MOD(ABU38-1+LaunchMonth-1,12)+1</f>
        <v/>
      </c>
      <c r="ABW38" s="12">
        <f>INT((ABU38-1+LaunchMonth-1)/12)+1</f>
        <v/>
      </c>
      <c r="ABX38" s="12">
        <f>VLOOKUP(ABV38,SeasonTable,2,FALSE)</f>
        <v/>
      </c>
      <c r="ABY38" s="12">
        <f>(1+InflationRate)^INT((ABU38-1)/12)</f>
        <v/>
      </c>
      <c r="ABZ38" s="11">
        <f>MonthlyChurn*VLOOKUP(ABV38,ChurnSeasonTable,4,FALSE)</f>
        <v/>
      </c>
      <c r="ACA38" s="12">
        <f>MIN(MAX(MktMin19plus,ACU37*MktPct19plus),MAX(0,ADI37-CashBuffer))</f>
        <v/>
      </c>
      <c r="ACB38" s="12">
        <f>IF(ACA38&gt;0,MAX(1,ROUND(ACA38/CAC*ABX38,0)),0)</f>
        <v/>
      </c>
      <c r="ACC38" s="12">
        <f>IF(ACB38&gt;0,ROUND(ACB38*ReferralMix/(1-ReferralMix),0),0)</f>
        <v/>
      </c>
      <c r="ACD38" s="12">
        <f>ACB38+ACC38</f>
        <v/>
      </c>
      <c r="ACE38" s="12">
        <f>ROUND(ACD38*(1-'Sens - Annual Mix'!$A$14),0)</f>
        <v/>
      </c>
      <c r="ACF38" s="12">
        <f>ACD38-ACE38</f>
        <v/>
      </c>
      <c r="ACG38" s="12">
        <f>ROUND(ACE38*EssentialMix,0)</f>
        <v/>
      </c>
      <c r="ACH38" s="12">
        <f>ACE38-ACG38</f>
        <v/>
      </c>
      <c r="ACI38" s="12">
        <f>ROUND(ACF38*EssentialMix,0)</f>
        <v/>
      </c>
      <c r="ACJ38" s="12">
        <f>ACF38-ACI38</f>
        <v/>
      </c>
      <c r="ACK38" s="12">
        <f>ACG38+ACG37+ACG36+MAX(0,ACK37-ACG37-ACG36)*(1-ABZ38)</f>
        <v/>
      </c>
      <c r="ACL38" s="12">
        <f>ACH38+ACH37+ACH36+MAX(0,ACL37-ACH37-ACH36)*(1-ABZ38)</f>
        <v/>
      </c>
      <c r="ACM38" s="12">
        <f>ACM37+ACI38-ACI26*(AnnualChurn*VLOOKUP(ABV38,ChurnSeasonTable,4,FALSE))*POWER(1-(AnnualChurn*VLOOKUP(ABV38,ChurnSeasonTable,4,FALSE)),0)+ACI14*(AnnualChurn*VLOOKUP(ABV38,ChurnSeasonTable,4,FALSE))*POWER(1-(AnnualChurn*VLOOKUP(ABV38,ChurnSeasonTable,4,FALSE)),1)</f>
        <v/>
      </c>
      <c r="ACN38" s="12">
        <f>ACN37+ACJ38-ACJ26*(AnnualChurn*VLOOKUP(ABV38,ChurnSeasonTable,4,FALSE))*POWER(1-(AnnualChurn*VLOOKUP(ABV38,ChurnSeasonTable,4,FALSE)),0)+ACJ14*(AnnualChurn*VLOOKUP(ABV38,ChurnSeasonTable,4,FALSE))*POWER(1-(AnnualChurn*VLOOKUP(ABV38,ChurnSeasonTable,4,FALSE)),1)</f>
        <v/>
      </c>
      <c r="ACO38" s="12">
        <f>ACK38+ACL38+ACM38+ACN38</f>
        <v/>
      </c>
      <c r="ACP38" s="9">
        <f>ACK38*PriceEssMonthly*ABY38+ACL38*PricePremMonthly*ABY38+ACM38*PriceEssAnnual*ABY38/12+ACN38*PricePremAnnual*ABY38/12</f>
        <v/>
      </c>
      <c r="ACQ38" s="9">
        <f>ACP38*12</f>
        <v/>
      </c>
      <c r="ACR38" s="12">
        <f>ACK38*PriceEssMonthly*ABY38+ACL38*PricePremMonthly*ABY38</f>
        <v/>
      </c>
      <c r="ACS38" s="12">
        <f>ACI38*PriceEssAnnual*ABY38+ACJ38*PricePremAnnual*ABY38</f>
        <v/>
      </c>
      <c r="ACT38" s="12">
        <f>ACI26*POWER(1-(AnnualChurn*VLOOKUP(ABV38,ChurnSeasonTable,4,FALSE)),1)*PriceEssAnnual*ABY38+ACI14*POWER(1-(AnnualChurn*VLOOKUP(ABV38,ChurnSeasonTable,4,FALSE)),2)*PriceEssAnnual*ABY38+ACJ26*POWER(1-(AnnualChurn*VLOOKUP(ABV38,ChurnSeasonTable,4,FALSE)),1)*PricePremAnnual*ABY38+ACJ14*POWER(1-(AnnualChurn*VLOOKUP(ABV38,ChurnSeasonTable,4,FALSE)),2)*PricePremAnnual*ABY38</f>
        <v/>
      </c>
      <c r="ACU38" s="9">
        <f>ACR38+ACS38+ACT38</f>
        <v/>
      </c>
      <c r="ACV38" s="12">
        <f>SUM(ACU27:ACU38)</f>
        <v/>
      </c>
      <c r="ACW38" s="12">
        <f>OR(ACW37,ACV38&gt;=VATThreshold)</f>
        <v/>
      </c>
      <c r="ACX38" s="9">
        <f>IF(ACW38,ACU38/(1+VATRate),ACU38)</f>
        <v/>
      </c>
      <c r="ACY38" s="12">
        <f>ACU38-ACX38</f>
        <v/>
      </c>
      <c r="ACZ38" s="12">
        <f>IF(ACW38=0,0,IF(ABV38=1,SUMPRODUCT(--(($ABW$5:$ABW38=$ABW38-1)*($ABV$5:$ABV38&gt;=10)*($ABV$5:$ABV38&lt;=12)),$ACY$5:$ACY38),IF(ABV38=4,SUMPRODUCT(--(($ABW$5:$ABW38=$ABW38)*($ABV$5:$ABV38&gt;=1)*($ABV$5:$ABV38&lt;=3)),$ACY$5:$ACY38),IF(ABV38=7,SUMPRODUCT(--(($ABW$5:$ABW38=$ABW38)*($ABV$5:$ABV38&gt;=4)*($ABV$5:$ABV38&lt;=6)),$ACY$5:$ACY38),IF(ABV38=10,SUMPRODUCT(--(($ABW$5:$ABW38=$ABW38)*($ABV$5:$ABV38&gt;=7)*($ABV$5:$ABV38&lt;=9)),$ACY$5:$ACY38),0)))))</f>
        <v/>
      </c>
      <c r="ADA38" s="12">
        <f>ADA37+ACY38-ACZ38</f>
        <v/>
      </c>
      <c r="ADB38" s="12">
        <f>IF(ProviderDelay&gt;=1,ACX37*ProviderShare,ACX38*ProviderShare)</f>
        <v/>
      </c>
      <c r="ADC38" s="12">
        <f>ACU38*PaymentFee</f>
        <v/>
      </c>
      <c r="ADD38" s="12">
        <f>ACO38*OpsAI</f>
        <v/>
      </c>
      <c r="ADE38" s="12">
        <f>MonthlyFixed</f>
        <v/>
      </c>
      <c r="ADF38" s="12">
        <f>ACC38*ReferralReward</f>
        <v/>
      </c>
      <c r="ADG38" s="12">
        <f>ACA38</f>
        <v/>
      </c>
      <c r="ADH38" s="9">
        <f>ACX38-ADB38-ADC38-ADD38-ADE38-ADF38-ADG38</f>
        <v/>
      </c>
      <c r="ADI38" s="9">
        <f>ADI37+ACU38-(ADB38+ADC38+ADD38+ADE38+ADF38+ADG38+ACZ38)</f>
        <v/>
      </c>
      <c r="ADJ38" s="12">
        <f>IF(ACO38&gt;0,ACP38/ACO38,0)</f>
        <v/>
      </c>
      <c r="ADK38" s="11">
        <f>IF(ACO37&gt;0,MAX(0,(ACO37+ACD38-ACO38)/ACO37),0)</f>
        <v/>
      </c>
      <c r="ADM38" s="12" t="n">
        <v>34</v>
      </c>
      <c r="ADN38" s="12">
        <f>MOD(ADM38-1+LaunchMonth-1,12)+1</f>
        <v/>
      </c>
      <c r="ADO38" s="12">
        <f>INT((ADM38-1+LaunchMonth-1)/12)+1</f>
        <v/>
      </c>
      <c r="ADP38" s="12">
        <f>VLOOKUP(ADN38,SeasonTable,2,FALSE)</f>
        <v/>
      </c>
      <c r="ADQ38" s="12">
        <f>(1+InflationRate)^INT((ADM38-1)/12)</f>
        <v/>
      </c>
      <c r="ADR38" s="11">
        <f>MonthlyChurn*VLOOKUP(ADN38,ChurnSeasonTable,4,FALSE)</f>
        <v/>
      </c>
      <c r="ADS38" s="12">
        <f>MIN(MAX(MktMin19plus,AEM37*MktPct19plus),MAX(0,AFA37-CashBuffer))</f>
        <v/>
      </c>
      <c r="ADT38" s="12">
        <f>IF(ADS38&gt;0,MAX(1,ROUND(ADS38/CAC*ADP38,0)),0)</f>
        <v/>
      </c>
      <c r="ADU38" s="12">
        <f>IF(ADT38&gt;0,ROUND(ADT38*ReferralMix/(1-ReferralMix),0),0)</f>
        <v/>
      </c>
      <c r="ADV38" s="12">
        <f>ADT38+ADU38</f>
        <v/>
      </c>
      <c r="ADW38" s="12">
        <f>ROUND(ADV38*(1-'Sens - Annual Mix'!$A$15),0)</f>
        <v/>
      </c>
      <c r="ADX38" s="12">
        <f>ADV38-ADW38</f>
        <v/>
      </c>
      <c r="ADY38" s="12">
        <f>ROUND(ADW38*EssentialMix,0)</f>
        <v/>
      </c>
      <c r="ADZ38" s="12">
        <f>ADW38-ADY38</f>
        <v/>
      </c>
      <c r="AEA38" s="12">
        <f>ROUND(ADX38*EssentialMix,0)</f>
        <v/>
      </c>
      <c r="AEB38" s="12">
        <f>ADX38-AEA38</f>
        <v/>
      </c>
      <c r="AEC38" s="12">
        <f>ADY38+ADY37+ADY36+MAX(0,AEC37-ADY37-ADY36)*(1-ADR38)</f>
        <v/>
      </c>
      <c r="AED38" s="12">
        <f>ADZ38+ADZ37+ADZ36+MAX(0,AED37-ADZ37-ADZ36)*(1-ADR38)</f>
        <v/>
      </c>
      <c r="AEE38" s="12">
        <f>AEE37+AEA38-AEA26*(AnnualChurn*VLOOKUP(ADN38,ChurnSeasonTable,4,FALSE))*POWER(1-(AnnualChurn*VLOOKUP(ADN38,ChurnSeasonTable,4,FALSE)),0)+AEA14*(AnnualChurn*VLOOKUP(ADN38,ChurnSeasonTable,4,FALSE))*POWER(1-(AnnualChurn*VLOOKUP(ADN38,ChurnSeasonTable,4,FALSE)),1)</f>
        <v/>
      </c>
      <c r="AEF38" s="12">
        <f>AEF37+AEB38-AEB26*(AnnualChurn*VLOOKUP(ADN38,ChurnSeasonTable,4,FALSE))*POWER(1-(AnnualChurn*VLOOKUP(ADN38,ChurnSeasonTable,4,FALSE)),0)+AEB14*(AnnualChurn*VLOOKUP(ADN38,ChurnSeasonTable,4,FALSE))*POWER(1-(AnnualChurn*VLOOKUP(ADN38,ChurnSeasonTable,4,FALSE)),1)</f>
        <v/>
      </c>
      <c r="AEG38" s="12">
        <f>AEC38+AED38+AEE38+AEF38</f>
        <v/>
      </c>
      <c r="AEH38" s="9">
        <f>AEC38*PriceEssMonthly*ADQ38+AED38*PricePremMonthly*ADQ38+AEE38*PriceEssAnnual*ADQ38/12+AEF38*PricePremAnnual*ADQ38/12</f>
        <v/>
      </c>
      <c r="AEI38" s="9">
        <f>AEH38*12</f>
        <v/>
      </c>
      <c r="AEJ38" s="12">
        <f>AEC38*PriceEssMonthly*ADQ38+AED38*PricePremMonthly*ADQ38</f>
        <v/>
      </c>
      <c r="AEK38" s="12">
        <f>AEA38*PriceEssAnnual*ADQ38+AEB38*PricePremAnnual*ADQ38</f>
        <v/>
      </c>
      <c r="AEL38" s="12">
        <f>AEA26*POWER(1-(AnnualChurn*VLOOKUP(ADN38,ChurnSeasonTable,4,FALSE)),1)*PriceEssAnnual*ADQ38+AEA14*POWER(1-(AnnualChurn*VLOOKUP(ADN38,ChurnSeasonTable,4,FALSE)),2)*PriceEssAnnual*ADQ38+AEB26*POWER(1-(AnnualChurn*VLOOKUP(ADN38,ChurnSeasonTable,4,FALSE)),1)*PricePremAnnual*ADQ38+AEB14*POWER(1-(AnnualChurn*VLOOKUP(ADN38,ChurnSeasonTable,4,FALSE)),2)*PricePremAnnual*ADQ38</f>
        <v/>
      </c>
      <c r="AEM38" s="9">
        <f>AEJ38+AEK38+AEL38</f>
        <v/>
      </c>
      <c r="AEN38" s="12">
        <f>SUM(AEM27:AEM38)</f>
        <v/>
      </c>
      <c r="AEO38" s="12">
        <f>OR(AEO37,AEN38&gt;=VATThreshold)</f>
        <v/>
      </c>
      <c r="AEP38" s="9">
        <f>IF(AEO38,AEM38/(1+VATRate),AEM38)</f>
        <v/>
      </c>
      <c r="AEQ38" s="12">
        <f>AEM38-AEP38</f>
        <v/>
      </c>
      <c r="AER38" s="12">
        <f>IF(AEO38=0,0,IF(ADN38=1,SUMPRODUCT(--(($ADO$5:$ADO38=$ADO38-1)*($ADN$5:$ADN38&gt;=10)*($ADN$5:$ADN38&lt;=12)),$AEQ$5:$AEQ38),IF(ADN38=4,SUMPRODUCT(--(($ADO$5:$ADO38=$ADO38)*($ADN$5:$ADN38&gt;=1)*($ADN$5:$ADN38&lt;=3)),$AEQ$5:$AEQ38),IF(ADN38=7,SUMPRODUCT(--(($ADO$5:$ADO38=$ADO38)*($ADN$5:$ADN38&gt;=4)*($ADN$5:$ADN38&lt;=6)),$AEQ$5:$AEQ38),IF(ADN38=10,SUMPRODUCT(--(($ADO$5:$ADO38=$ADO38)*($ADN$5:$ADN38&gt;=7)*($ADN$5:$ADN38&lt;=9)),$AEQ$5:$AEQ38),0)))))</f>
        <v/>
      </c>
      <c r="AES38" s="12">
        <f>AES37+AEQ38-AER38</f>
        <v/>
      </c>
      <c r="AET38" s="12">
        <f>IF(ProviderDelay&gt;=1,AEP37*ProviderShare,AEP38*ProviderShare)</f>
        <v/>
      </c>
      <c r="AEU38" s="12">
        <f>AEM38*PaymentFee</f>
        <v/>
      </c>
      <c r="AEV38" s="12">
        <f>AEG38*OpsAI</f>
        <v/>
      </c>
      <c r="AEW38" s="12">
        <f>MonthlyFixed</f>
        <v/>
      </c>
      <c r="AEX38" s="12">
        <f>ADU38*ReferralReward</f>
        <v/>
      </c>
      <c r="AEY38" s="12">
        <f>ADS38</f>
        <v/>
      </c>
      <c r="AEZ38" s="9">
        <f>AEP38-AET38-AEU38-AEV38-AEW38-AEX38-AEY38</f>
        <v/>
      </c>
      <c r="AFA38" s="9">
        <f>AFA37+AEM38-(AET38+AEU38+AEV38+AEW38+AEX38+AEY38+AER38)</f>
        <v/>
      </c>
      <c r="AFB38" s="12">
        <f>IF(AEG38&gt;0,AEH38/AEG38,0)</f>
        <v/>
      </c>
      <c r="AFC38" s="11">
        <f>IF(AEG37&gt;0,MAX(0,(AEG37+ADV38-AEG38)/AEG37),0)</f>
        <v/>
      </c>
      <c r="AFE38" s="12" t="n">
        <v>34</v>
      </c>
      <c r="AFF38" s="12">
        <f>MOD(AFE38-1+LaunchMonth-1,12)+1</f>
        <v/>
      </c>
      <c r="AFG38" s="12">
        <f>INT((AFE38-1+LaunchMonth-1)/12)+1</f>
        <v/>
      </c>
      <c r="AFH38" s="12">
        <f>VLOOKUP(AFF38,SeasonTable,2,FALSE)</f>
        <v/>
      </c>
      <c r="AFI38" s="12">
        <f>(1+InflationRate)^INT((AFE38-1)/12)</f>
        <v/>
      </c>
      <c r="AFJ38" s="11">
        <f>MonthlyChurn*VLOOKUP(AFF38,ChurnSeasonTable,4,FALSE)</f>
        <v/>
      </c>
      <c r="AFK38" s="12">
        <f>MIN(MAX(MktMin19plus,AGE37*MktPct19plus),MAX(0,AGS37-CashBuffer))</f>
        <v/>
      </c>
      <c r="AFL38" s="12">
        <f>IF(AFK38&gt;0,MAX(1,ROUND(AFK38/'Sens - CAC &amp; Marketing'!$A$9*AFH38,0)),0)</f>
        <v/>
      </c>
      <c r="AFM38" s="12">
        <f>IF(AFL38&gt;0,ROUND(AFL38*ReferralMix/(1-ReferralMix),0),0)</f>
        <v/>
      </c>
      <c r="AFN38" s="12">
        <f>AFL38+AFM38</f>
        <v/>
      </c>
      <c r="AFO38" s="12">
        <f>ROUND(AFN38*(1-AnnualMix),0)</f>
        <v/>
      </c>
      <c r="AFP38" s="12">
        <f>AFN38-AFO38</f>
        <v/>
      </c>
      <c r="AFQ38" s="12">
        <f>ROUND(AFO38*EssentialMix,0)</f>
        <v/>
      </c>
      <c r="AFR38" s="12">
        <f>AFO38-AFQ38</f>
        <v/>
      </c>
      <c r="AFS38" s="12">
        <f>ROUND(AFP38*EssentialMix,0)</f>
        <v/>
      </c>
      <c r="AFT38" s="12">
        <f>AFP38-AFS38</f>
        <v/>
      </c>
      <c r="AFU38" s="12">
        <f>AFQ38+AFQ37+AFQ36+MAX(0,AFU37-AFQ37-AFQ36)*(1-AFJ38)</f>
        <v/>
      </c>
      <c r="AFV38" s="12">
        <f>AFR38+AFR37+AFR36+MAX(0,AFV37-AFR37-AFR36)*(1-AFJ38)</f>
        <v/>
      </c>
      <c r="AFW38" s="12">
        <f>AFW37+AFS38-AFS26*(AnnualChurn*VLOOKUP(AFF38,ChurnSeasonTable,4,FALSE))*POWER(1-(AnnualChurn*VLOOKUP(AFF38,ChurnSeasonTable,4,FALSE)),0)+AFS14*(AnnualChurn*VLOOKUP(AFF38,ChurnSeasonTable,4,FALSE))*POWER(1-(AnnualChurn*VLOOKUP(AFF38,ChurnSeasonTable,4,FALSE)),1)</f>
        <v/>
      </c>
      <c r="AFX38" s="12">
        <f>AFX37+AFT38-AFT26*(AnnualChurn*VLOOKUP(AFF38,ChurnSeasonTable,4,FALSE))*POWER(1-(AnnualChurn*VLOOKUP(AFF38,ChurnSeasonTable,4,FALSE)),0)+AFT14*(AnnualChurn*VLOOKUP(AFF38,ChurnSeasonTable,4,FALSE))*POWER(1-(AnnualChurn*VLOOKUP(AFF38,ChurnSeasonTable,4,FALSE)),1)</f>
        <v/>
      </c>
      <c r="AFY38" s="12">
        <f>AFU38+AFV38+AFW38+AFX38</f>
        <v/>
      </c>
      <c r="AFZ38" s="9">
        <f>AFU38*PriceEssMonthly*AFI38+AFV38*PricePremMonthly*AFI38+AFW38*PriceEssAnnual*AFI38/12+AFX38*PricePremAnnual*AFI38/12</f>
        <v/>
      </c>
      <c r="AGA38" s="9">
        <f>AFZ38*12</f>
        <v/>
      </c>
      <c r="AGB38" s="12">
        <f>AFU38*PriceEssMonthly*AFI38+AFV38*PricePremMonthly*AFI38</f>
        <v/>
      </c>
      <c r="AGC38" s="12">
        <f>AFS38*PriceEssAnnual*AFI38+AFT38*PricePremAnnual*AFI38</f>
        <v/>
      </c>
      <c r="AGD38" s="12">
        <f>AFS26*POWER(1-(AnnualChurn*VLOOKUP(AFF38,ChurnSeasonTable,4,FALSE)),1)*PriceEssAnnual*AFI38+AFS14*POWER(1-(AnnualChurn*VLOOKUP(AFF38,ChurnSeasonTable,4,FALSE)),2)*PriceEssAnnual*AFI38+AFT26*POWER(1-(AnnualChurn*VLOOKUP(AFF38,ChurnSeasonTable,4,FALSE)),1)*PricePremAnnual*AFI38+AFT14*POWER(1-(AnnualChurn*VLOOKUP(AFF38,ChurnSeasonTable,4,FALSE)),2)*PricePremAnnual*AFI38</f>
        <v/>
      </c>
      <c r="AGE38" s="9">
        <f>AGB38+AGC38+AGD38</f>
        <v/>
      </c>
      <c r="AGF38" s="12">
        <f>SUM(AGE27:AGE38)</f>
        <v/>
      </c>
      <c r="AGG38" s="12">
        <f>OR(AGG37,AGF38&gt;=VATThreshold)</f>
        <v/>
      </c>
      <c r="AGH38" s="9">
        <f>IF(AGG38,AGE38/(1+VATRate),AGE38)</f>
        <v/>
      </c>
      <c r="AGI38" s="12">
        <f>AGE38-AGH38</f>
        <v/>
      </c>
      <c r="AGJ38" s="12">
        <f>IF(AGG38=0,0,IF(AFF38=1,SUMPRODUCT(--(($AFG$5:$AFG38=$AFG38-1)*($AFF$5:$AFF38&gt;=10)*($AFF$5:$AFF38&lt;=12)),$AGI$5:$AGI38),IF(AFF38=4,SUMPRODUCT(--(($AFG$5:$AFG38=$AFG38)*($AFF$5:$AFF38&gt;=1)*($AFF$5:$AFF38&lt;=3)),$AGI$5:$AGI38),IF(AFF38=7,SUMPRODUCT(--(($AFG$5:$AFG38=$AFG38)*($AFF$5:$AFF38&gt;=4)*($AFF$5:$AFF38&lt;=6)),$AGI$5:$AGI38),IF(AFF38=10,SUMPRODUCT(--(($AFG$5:$AFG38=$AFG38)*($AFF$5:$AFF38&gt;=7)*($AFF$5:$AFF38&lt;=9)),$AGI$5:$AGI38),0)))))</f>
        <v/>
      </c>
      <c r="AGK38" s="12">
        <f>AGK37+AGI38-AGJ38</f>
        <v/>
      </c>
      <c r="AGL38" s="12">
        <f>IF(ProviderDelay&gt;=1,AGH37*ProviderShare,AGH38*ProviderShare)</f>
        <v/>
      </c>
      <c r="AGM38" s="12">
        <f>AGE38*PaymentFee</f>
        <v/>
      </c>
      <c r="AGN38" s="12">
        <f>AFY38*OpsAI</f>
        <v/>
      </c>
      <c r="AGO38" s="12">
        <f>MonthlyFixed</f>
        <v/>
      </c>
      <c r="AGP38" s="12">
        <f>AFM38*ReferralReward</f>
        <v/>
      </c>
      <c r="AGQ38" s="12">
        <f>AFK38</f>
        <v/>
      </c>
      <c r="AGR38" s="9">
        <f>AGH38-AGL38-AGM38-AGN38-AGO38-AGP38-AGQ38</f>
        <v/>
      </c>
      <c r="AGS38" s="9">
        <f>AGS37+AGE38-(AGL38+AGM38+AGN38+AGO38+AGP38+AGQ38+AGJ38)</f>
        <v/>
      </c>
      <c r="AGT38" s="12">
        <f>IF(AFY38&gt;0,AFZ38/AFY38,0)</f>
        <v/>
      </c>
      <c r="AGU38" s="11">
        <f>IF(AFY37&gt;0,MAX(0,(AFY37+AFN38-AFY38)/AFY37),0)</f>
        <v/>
      </c>
      <c r="AGW38" s="12" t="n">
        <v>34</v>
      </c>
      <c r="AGX38" s="12">
        <f>MOD(AGW38-1+LaunchMonth-1,12)+1</f>
        <v/>
      </c>
      <c r="AGY38" s="12">
        <f>INT((AGW38-1+LaunchMonth-1)/12)+1</f>
        <v/>
      </c>
      <c r="AGZ38" s="12">
        <f>VLOOKUP(AGX38,SeasonTable,2,FALSE)</f>
        <v/>
      </c>
      <c r="AHA38" s="12">
        <f>(1+InflationRate)^INT((AGW38-1)/12)</f>
        <v/>
      </c>
      <c r="AHB38" s="11">
        <f>MonthlyChurn*VLOOKUP(AGX38,ChurnSeasonTable,4,FALSE)</f>
        <v/>
      </c>
      <c r="AHC38" s="12">
        <f>MIN(MAX(MktMin19plus,AHW37*MktPct19plus),MAX(0,AIK37-CashBuffer))</f>
        <v/>
      </c>
      <c r="AHD38" s="12">
        <f>IF(AHC38&gt;0,MAX(1,ROUND(AHC38/'Sens - CAC &amp; Marketing'!$A$10*AGZ38,0)),0)</f>
        <v/>
      </c>
      <c r="AHE38" s="12">
        <f>IF(AHD38&gt;0,ROUND(AHD38*ReferralMix/(1-ReferralMix),0),0)</f>
        <v/>
      </c>
      <c r="AHF38" s="12">
        <f>AHD38+AHE38</f>
        <v/>
      </c>
      <c r="AHG38" s="12">
        <f>ROUND(AHF38*(1-AnnualMix),0)</f>
        <v/>
      </c>
      <c r="AHH38" s="12">
        <f>AHF38-AHG38</f>
        <v/>
      </c>
      <c r="AHI38" s="12">
        <f>ROUND(AHG38*EssentialMix,0)</f>
        <v/>
      </c>
      <c r="AHJ38" s="12">
        <f>AHG38-AHI38</f>
        <v/>
      </c>
      <c r="AHK38" s="12">
        <f>ROUND(AHH38*EssentialMix,0)</f>
        <v/>
      </c>
      <c r="AHL38" s="12">
        <f>AHH38-AHK38</f>
        <v/>
      </c>
      <c r="AHM38" s="12">
        <f>AHI38+AHI37+AHI36+MAX(0,AHM37-AHI37-AHI36)*(1-AHB38)</f>
        <v/>
      </c>
      <c r="AHN38" s="12">
        <f>AHJ38+AHJ37+AHJ36+MAX(0,AHN37-AHJ37-AHJ36)*(1-AHB38)</f>
        <v/>
      </c>
      <c r="AHO38" s="12">
        <f>AHO37+AHK38-AHK26*(AnnualChurn*VLOOKUP(AGX38,ChurnSeasonTable,4,FALSE))*POWER(1-(AnnualChurn*VLOOKUP(AGX38,ChurnSeasonTable,4,FALSE)),0)+AHK14*(AnnualChurn*VLOOKUP(AGX38,ChurnSeasonTable,4,FALSE))*POWER(1-(AnnualChurn*VLOOKUP(AGX38,ChurnSeasonTable,4,FALSE)),1)</f>
        <v/>
      </c>
      <c r="AHP38" s="12">
        <f>AHP37+AHL38-AHL26*(AnnualChurn*VLOOKUP(AGX38,ChurnSeasonTable,4,FALSE))*POWER(1-(AnnualChurn*VLOOKUP(AGX38,ChurnSeasonTable,4,FALSE)),0)+AHL14*(AnnualChurn*VLOOKUP(AGX38,ChurnSeasonTable,4,FALSE))*POWER(1-(AnnualChurn*VLOOKUP(AGX38,ChurnSeasonTable,4,FALSE)),1)</f>
        <v/>
      </c>
      <c r="AHQ38" s="12">
        <f>AHM38+AHN38+AHO38+AHP38</f>
        <v/>
      </c>
      <c r="AHR38" s="9">
        <f>AHM38*PriceEssMonthly*AHA38+AHN38*PricePremMonthly*AHA38+AHO38*PriceEssAnnual*AHA38/12+AHP38*PricePremAnnual*AHA38/12</f>
        <v/>
      </c>
      <c r="AHS38" s="9">
        <f>AHR38*12</f>
        <v/>
      </c>
      <c r="AHT38" s="12">
        <f>AHM38*PriceEssMonthly*AHA38+AHN38*PricePremMonthly*AHA38</f>
        <v/>
      </c>
      <c r="AHU38" s="12">
        <f>AHK38*PriceEssAnnual*AHA38+AHL38*PricePremAnnual*AHA38</f>
        <v/>
      </c>
      <c r="AHV38" s="12">
        <f>AHK26*POWER(1-(AnnualChurn*VLOOKUP(AGX38,ChurnSeasonTable,4,FALSE)),1)*PriceEssAnnual*AHA38+AHK14*POWER(1-(AnnualChurn*VLOOKUP(AGX38,ChurnSeasonTable,4,FALSE)),2)*PriceEssAnnual*AHA38+AHL26*POWER(1-(AnnualChurn*VLOOKUP(AGX38,ChurnSeasonTable,4,FALSE)),1)*PricePremAnnual*AHA38+AHL14*POWER(1-(AnnualChurn*VLOOKUP(AGX38,ChurnSeasonTable,4,FALSE)),2)*PricePremAnnual*AHA38</f>
        <v/>
      </c>
      <c r="AHW38" s="9">
        <f>AHT38+AHU38+AHV38</f>
        <v/>
      </c>
      <c r="AHX38" s="12">
        <f>SUM(AHW27:AHW38)</f>
        <v/>
      </c>
      <c r="AHY38" s="12">
        <f>OR(AHY37,AHX38&gt;=VATThreshold)</f>
        <v/>
      </c>
      <c r="AHZ38" s="9">
        <f>IF(AHY38,AHW38/(1+VATRate),AHW38)</f>
        <v/>
      </c>
      <c r="AIA38" s="12">
        <f>AHW38-AHZ38</f>
        <v/>
      </c>
      <c r="AIB38" s="12">
        <f>IF(AHY38=0,0,IF(AGX38=1,SUMPRODUCT(--(($AGY$5:$AGY38=$AGY38-1)*($AGX$5:$AGX38&gt;=10)*($AGX$5:$AGX38&lt;=12)),$AIA$5:$AIA38),IF(AGX38=4,SUMPRODUCT(--(($AGY$5:$AGY38=$AGY38)*($AGX$5:$AGX38&gt;=1)*($AGX$5:$AGX38&lt;=3)),$AIA$5:$AIA38),IF(AGX38=7,SUMPRODUCT(--(($AGY$5:$AGY38=$AGY38)*($AGX$5:$AGX38&gt;=4)*($AGX$5:$AGX38&lt;=6)),$AIA$5:$AIA38),IF(AGX38=10,SUMPRODUCT(--(($AGY$5:$AGY38=$AGY38)*($AGX$5:$AGX38&gt;=7)*($AGX$5:$AGX38&lt;=9)),$AIA$5:$AIA38),0)))))</f>
        <v/>
      </c>
      <c r="AIC38" s="12">
        <f>AIC37+AIA38-AIB38</f>
        <v/>
      </c>
      <c r="AID38" s="12">
        <f>IF(ProviderDelay&gt;=1,AHZ37*ProviderShare,AHZ38*ProviderShare)</f>
        <v/>
      </c>
      <c r="AIE38" s="12">
        <f>AHW38*PaymentFee</f>
        <v/>
      </c>
      <c r="AIF38" s="12">
        <f>AHQ38*OpsAI</f>
        <v/>
      </c>
      <c r="AIG38" s="12">
        <f>MonthlyFixed</f>
        <v/>
      </c>
      <c r="AIH38" s="12">
        <f>AHE38*ReferralReward</f>
        <v/>
      </c>
      <c r="AII38" s="12">
        <f>AHC38</f>
        <v/>
      </c>
      <c r="AIJ38" s="9">
        <f>AHZ38-AID38-AIE38-AIF38-AIG38-AIH38-AII38</f>
        <v/>
      </c>
      <c r="AIK38" s="9">
        <f>AIK37+AHW38-(AID38+AIE38+AIF38+AIG38+AIH38+AII38+AIB38)</f>
        <v/>
      </c>
      <c r="AIL38" s="12">
        <f>IF(AHQ38&gt;0,AHR38/AHQ38,0)</f>
        <v/>
      </c>
      <c r="AIM38" s="11">
        <f>IF(AHQ37&gt;0,MAX(0,(AHQ37+AHF38-AHQ38)/AHQ37),0)</f>
        <v/>
      </c>
      <c r="AIO38" s="12" t="n">
        <v>34</v>
      </c>
      <c r="AIP38" s="12">
        <f>MOD(AIO38-1+LaunchMonth-1,12)+1</f>
        <v/>
      </c>
      <c r="AIQ38" s="12">
        <f>INT((AIO38-1+LaunchMonth-1)/12)+1</f>
        <v/>
      </c>
      <c r="AIR38" s="12">
        <f>VLOOKUP(AIP38,SeasonTable,2,FALSE)</f>
        <v/>
      </c>
      <c r="AIS38" s="12">
        <f>(1+InflationRate)^INT((AIO38-1)/12)</f>
        <v/>
      </c>
      <c r="AIT38" s="11">
        <f>MonthlyChurn*VLOOKUP(AIP38,ChurnSeasonTable,4,FALSE)</f>
        <v/>
      </c>
      <c r="AIU38" s="12">
        <f>MIN(MAX(MktMin19plus,AJO37*MktPct19plus),MAX(0,AKC37-CashBuffer))</f>
        <v/>
      </c>
      <c r="AIV38" s="12">
        <f>IF(AIU38&gt;0,MAX(1,ROUND(AIU38/'Sens - CAC &amp; Marketing'!$A$11*AIR38,0)),0)</f>
        <v/>
      </c>
      <c r="AIW38" s="12">
        <f>IF(AIV38&gt;0,ROUND(AIV38*ReferralMix/(1-ReferralMix),0),0)</f>
        <v/>
      </c>
      <c r="AIX38" s="12">
        <f>AIV38+AIW38</f>
        <v/>
      </c>
      <c r="AIY38" s="12">
        <f>ROUND(AIX38*(1-AnnualMix),0)</f>
        <v/>
      </c>
      <c r="AIZ38" s="12">
        <f>AIX38-AIY38</f>
        <v/>
      </c>
      <c r="AJA38" s="12">
        <f>ROUND(AIY38*EssentialMix,0)</f>
        <v/>
      </c>
      <c r="AJB38" s="12">
        <f>AIY38-AJA38</f>
        <v/>
      </c>
      <c r="AJC38" s="12">
        <f>ROUND(AIZ38*EssentialMix,0)</f>
        <v/>
      </c>
      <c r="AJD38" s="12">
        <f>AIZ38-AJC38</f>
        <v/>
      </c>
      <c r="AJE38" s="12">
        <f>AJA38+AJA37+AJA36+MAX(0,AJE37-AJA37-AJA36)*(1-AIT38)</f>
        <v/>
      </c>
      <c r="AJF38" s="12">
        <f>AJB38+AJB37+AJB36+MAX(0,AJF37-AJB37-AJB36)*(1-AIT38)</f>
        <v/>
      </c>
      <c r="AJG38" s="12">
        <f>AJG37+AJC38-AJC26*(AnnualChurn*VLOOKUP(AIP38,ChurnSeasonTable,4,FALSE))*POWER(1-(AnnualChurn*VLOOKUP(AIP38,ChurnSeasonTable,4,FALSE)),0)+AJC14*(AnnualChurn*VLOOKUP(AIP38,ChurnSeasonTable,4,FALSE))*POWER(1-(AnnualChurn*VLOOKUP(AIP38,ChurnSeasonTable,4,FALSE)),1)</f>
        <v/>
      </c>
      <c r="AJH38" s="12">
        <f>AJH37+AJD38-AJD26*(AnnualChurn*VLOOKUP(AIP38,ChurnSeasonTable,4,FALSE))*POWER(1-(AnnualChurn*VLOOKUP(AIP38,ChurnSeasonTable,4,FALSE)),0)+AJD14*(AnnualChurn*VLOOKUP(AIP38,ChurnSeasonTable,4,FALSE))*POWER(1-(AnnualChurn*VLOOKUP(AIP38,ChurnSeasonTable,4,FALSE)),1)</f>
        <v/>
      </c>
      <c r="AJI38" s="12">
        <f>AJE38+AJF38+AJG38+AJH38</f>
        <v/>
      </c>
      <c r="AJJ38" s="9">
        <f>AJE38*PriceEssMonthly*AIS38+AJF38*PricePremMonthly*AIS38+AJG38*PriceEssAnnual*AIS38/12+AJH38*PricePremAnnual*AIS38/12</f>
        <v/>
      </c>
      <c r="AJK38" s="9">
        <f>AJJ38*12</f>
        <v/>
      </c>
      <c r="AJL38" s="12">
        <f>AJE38*PriceEssMonthly*AIS38+AJF38*PricePremMonthly*AIS38</f>
        <v/>
      </c>
      <c r="AJM38" s="12">
        <f>AJC38*PriceEssAnnual*AIS38+AJD38*PricePremAnnual*AIS38</f>
        <v/>
      </c>
      <c r="AJN38" s="12">
        <f>AJC26*POWER(1-(AnnualChurn*VLOOKUP(AIP38,ChurnSeasonTable,4,FALSE)),1)*PriceEssAnnual*AIS38+AJC14*POWER(1-(AnnualChurn*VLOOKUP(AIP38,ChurnSeasonTable,4,FALSE)),2)*PriceEssAnnual*AIS38+AJD26*POWER(1-(AnnualChurn*VLOOKUP(AIP38,ChurnSeasonTable,4,FALSE)),1)*PricePremAnnual*AIS38+AJD14*POWER(1-(AnnualChurn*VLOOKUP(AIP38,ChurnSeasonTable,4,FALSE)),2)*PricePremAnnual*AIS38</f>
        <v/>
      </c>
      <c r="AJO38" s="9">
        <f>AJL38+AJM38+AJN38</f>
        <v/>
      </c>
      <c r="AJP38" s="12">
        <f>SUM(AJO27:AJO38)</f>
        <v/>
      </c>
      <c r="AJQ38" s="12">
        <f>OR(AJQ37,AJP38&gt;=VATThreshold)</f>
        <v/>
      </c>
      <c r="AJR38" s="9">
        <f>IF(AJQ38,AJO38/(1+VATRate),AJO38)</f>
        <v/>
      </c>
      <c r="AJS38" s="12">
        <f>AJO38-AJR38</f>
        <v/>
      </c>
      <c r="AJT38" s="12">
        <f>IF(AJQ38=0,0,IF(AIP38=1,SUMPRODUCT(--(($AIQ$5:$AIQ38=$AIQ38-1)*($AIP$5:$AIP38&gt;=10)*($AIP$5:$AIP38&lt;=12)),$AJS$5:$AJS38),IF(AIP38=4,SUMPRODUCT(--(($AIQ$5:$AIQ38=$AIQ38)*($AIP$5:$AIP38&gt;=1)*($AIP$5:$AIP38&lt;=3)),$AJS$5:$AJS38),IF(AIP38=7,SUMPRODUCT(--(($AIQ$5:$AIQ38=$AIQ38)*($AIP$5:$AIP38&gt;=4)*($AIP$5:$AIP38&lt;=6)),$AJS$5:$AJS38),IF(AIP38=10,SUMPRODUCT(--(($AIQ$5:$AIQ38=$AIQ38)*($AIP$5:$AIP38&gt;=7)*($AIP$5:$AIP38&lt;=9)),$AJS$5:$AJS38),0)))))</f>
        <v/>
      </c>
      <c r="AJU38" s="12">
        <f>AJU37+AJS38-AJT38</f>
        <v/>
      </c>
      <c r="AJV38" s="12">
        <f>IF(ProviderDelay&gt;=1,AJR37*ProviderShare,AJR38*ProviderShare)</f>
        <v/>
      </c>
      <c r="AJW38" s="12">
        <f>AJO38*PaymentFee</f>
        <v/>
      </c>
      <c r="AJX38" s="12">
        <f>AJI38*OpsAI</f>
        <v/>
      </c>
      <c r="AJY38" s="12">
        <f>MonthlyFixed</f>
        <v/>
      </c>
      <c r="AJZ38" s="12">
        <f>AIW38*ReferralReward</f>
        <v/>
      </c>
      <c r="AKA38" s="12">
        <f>AIU38</f>
        <v/>
      </c>
      <c r="AKB38" s="9">
        <f>AJR38-AJV38-AJW38-AJX38-AJY38-AJZ38-AKA38</f>
        <v/>
      </c>
      <c r="AKC38" s="9">
        <f>AKC37+AJO38-(AJV38+AJW38+AJX38+AJY38+AJZ38+AKA38+AJT38)</f>
        <v/>
      </c>
      <c r="AKD38" s="12">
        <f>IF(AJI38&gt;0,AJJ38/AJI38,0)</f>
        <v/>
      </c>
      <c r="AKE38" s="11">
        <f>IF(AJI37&gt;0,MAX(0,(AJI37+AIX38-AJI38)/AJI37),0)</f>
        <v/>
      </c>
      <c r="AKG38" s="12" t="n">
        <v>34</v>
      </c>
      <c r="AKH38" s="12">
        <f>MOD(AKG38-1+LaunchMonth-1,12)+1</f>
        <v/>
      </c>
      <c r="AKI38" s="12">
        <f>INT((AKG38-1+LaunchMonth-1)/12)+1</f>
        <v/>
      </c>
      <c r="AKJ38" s="12">
        <f>VLOOKUP(AKH38,SeasonTable,2,FALSE)</f>
        <v/>
      </c>
      <c r="AKK38" s="12">
        <f>(1+InflationRate)^INT((AKG38-1)/12)</f>
        <v/>
      </c>
      <c r="AKL38" s="11">
        <f>MonthlyChurn*VLOOKUP(AKH38,ChurnSeasonTable,4,FALSE)</f>
        <v/>
      </c>
      <c r="AKM38" s="12">
        <f>MIN(MAX(MktMin19plus,ALG37*MktPct19plus),MAX(0,ALU37-CashBuffer))</f>
        <v/>
      </c>
      <c r="AKN38" s="12">
        <f>IF(AKM38&gt;0,MAX(1,ROUND(AKM38/'Sens - CAC &amp; Marketing'!$A$12*AKJ38,0)),0)</f>
        <v/>
      </c>
      <c r="AKO38" s="12">
        <f>IF(AKN38&gt;0,ROUND(AKN38*ReferralMix/(1-ReferralMix),0),0)</f>
        <v/>
      </c>
      <c r="AKP38" s="12">
        <f>AKN38+AKO38</f>
        <v/>
      </c>
      <c r="AKQ38" s="12">
        <f>ROUND(AKP38*(1-AnnualMix),0)</f>
        <v/>
      </c>
      <c r="AKR38" s="12">
        <f>AKP38-AKQ38</f>
        <v/>
      </c>
      <c r="AKS38" s="12">
        <f>ROUND(AKQ38*EssentialMix,0)</f>
        <v/>
      </c>
      <c r="AKT38" s="12">
        <f>AKQ38-AKS38</f>
        <v/>
      </c>
      <c r="AKU38" s="12">
        <f>ROUND(AKR38*EssentialMix,0)</f>
        <v/>
      </c>
      <c r="AKV38" s="12">
        <f>AKR38-AKU38</f>
        <v/>
      </c>
      <c r="AKW38" s="12">
        <f>AKS38+AKS37+AKS36+MAX(0,AKW37-AKS37-AKS36)*(1-AKL38)</f>
        <v/>
      </c>
      <c r="AKX38" s="12">
        <f>AKT38+AKT37+AKT36+MAX(0,AKX37-AKT37-AKT36)*(1-AKL38)</f>
        <v/>
      </c>
      <c r="AKY38" s="12">
        <f>AKY37+AKU38-AKU26*(AnnualChurn*VLOOKUP(AKH38,ChurnSeasonTable,4,FALSE))*POWER(1-(AnnualChurn*VLOOKUP(AKH38,ChurnSeasonTable,4,FALSE)),0)+AKU14*(AnnualChurn*VLOOKUP(AKH38,ChurnSeasonTable,4,FALSE))*POWER(1-(AnnualChurn*VLOOKUP(AKH38,ChurnSeasonTable,4,FALSE)),1)</f>
        <v/>
      </c>
      <c r="AKZ38" s="12">
        <f>AKZ37+AKV38-AKV26*(AnnualChurn*VLOOKUP(AKH38,ChurnSeasonTable,4,FALSE))*POWER(1-(AnnualChurn*VLOOKUP(AKH38,ChurnSeasonTable,4,FALSE)),0)+AKV14*(AnnualChurn*VLOOKUP(AKH38,ChurnSeasonTable,4,FALSE))*POWER(1-(AnnualChurn*VLOOKUP(AKH38,ChurnSeasonTable,4,FALSE)),1)</f>
        <v/>
      </c>
      <c r="ALA38" s="12">
        <f>AKW38+AKX38+AKY38+AKZ38</f>
        <v/>
      </c>
      <c r="ALB38" s="9">
        <f>AKW38*PriceEssMonthly*AKK38+AKX38*PricePremMonthly*AKK38+AKY38*PriceEssAnnual*AKK38/12+AKZ38*PricePremAnnual*AKK38/12</f>
        <v/>
      </c>
      <c r="ALC38" s="9">
        <f>ALB38*12</f>
        <v/>
      </c>
      <c r="ALD38" s="12">
        <f>AKW38*PriceEssMonthly*AKK38+AKX38*PricePremMonthly*AKK38</f>
        <v/>
      </c>
      <c r="ALE38" s="12">
        <f>AKU38*PriceEssAnnual*AKK38+AKV38*PricePremAnnual*AKK38</f>
        <v/>
      </c>
      <c r="ALF38" s="12">
        <f>AKU26*POWER(1-(AnnualChurn*VLOOKUP(AKH38,ChurnSeasonTable,4,FALSE)),1)*PriceEssAnnual*AKK38+AKU14*POWER(1-(AnnualChurn*VLOOKUP(AKH38,ChurnSeasonTable,4,FALSE)),2)*PriceEssAnnual*AKK38+AKV26*POWER(1-(AnnualChurn*VLOOKUP(AKH38,ChurnSeasonTable,4,FALSE)),1)*PricePremAnnual*AKK38+AKV14*POWER(1-(AnnualChurn*VLOOKUP(AKH38,ChurnSeasonTable,4,FALSE)),2)*PricePremAnnual*AKK38</f>
        <v/>
      </c>
      <c r="ALG38" s="9">
        <f>ALD38+ALE38+ALF38</f>
        <v/>
      </c>
      <c r="ALH38" s="12">
        <f>SUM(ALG27:ALG38)</f>
        <v/>
      </c>
      <c r="ALI38" s="12">
        <f>OR(ALI37,ALH38&gt;=VATThreshold)</f>
        <v/>
      </c>
      <c r="ALJ38" s="9">
        <f>IF(ALI38,ALG38/(1+VATRate),ALG38)</f>
        <v/>
      </c>
      <c r="ALK38" s="12">
        <f>ALG38-ALJ38</f>
        <v/>
      </c>
      <c r="ALL38" s="12">
        <f>IF(ALI38=0,0,IF(AKH38=1,SUMPRODUCT(--(($AKI$5:$AKI38=$AKI38-1)*($AKH$5:$AKH38&gt;=10)*($AKH$5:$AKH38&lt;=12)),$ALK$5:$ALK38),IF(AKH38=4,SUMPRODUCT(--(($AKI$5:$AKI38=$AKI38)*($AKH$5:$AKH38&gt;=1)*($AKH$5:$AKH38&lt;=3)),$ALK$5:$ALK38),IF(AKH38=7,SUMPRODUCT(--(($AKI$5:$AKI38=$AKI38)*($AKH$5:$AKH38&gt;=4)*($AKH$5:$AKH38&lt;=6)),$ALK$5:$ALK38),IF(AKH38=10,SUMPRODUCT(--(($AKI$5:$AKI38=$AKI38)*($AKH$5:$AKH38&gt;=7)*($AKH$5:$AKH38&lt;=9)),$ALK$5:$ALK38),0)))))</f>
        <v/>
      </c>
      <c r="ALM38" s="12">
        <f>ALM37+ALK38-ALL38</f>
        <v/>
      </c>
      <c r="ALN38" s="12">
        <f>IF(ProviderDelay&gt;=1,ALJ37*ProviderShare,ALJ38*ProviderShare)</f>
        <v/>
      </c>
      <c r="ALO38" s="12">
        <f>ALG38*PaymentFee</f>
        <v/>
      </c>
      <c r="ALP38" s="12">
        <f>ALA38*OpsAI</f>
        <v/>
      </c>
      <c r="ALQ38" s="12">
        <f>MonthlyFixed</f>
        <v/>
      </c>
      <c r="ALR38" s="12">
        <f>AKO38*ReferralReward</f>
        <v/>
      </c>
      <c r="ALS38" s="12">
        <f>AKM38</f>
        <v/>
      </c>
      <c r="ALT38" s="9">
        <f>ALJ38-ALN38-ALO38-ALP38-ALQ38-ALR38-ALS38</f>
        <v/>
      </c>
      <c r="ALU38" s="9">
        <f>ALU37+ALG38-(ALN38+ALO38+ALP38+ALQ38+ALR38+ALS38+ALL38)</f>
        <v/>
      </c>
      <c r="ALV38" s="12">
        <f>IF(ALA38&gt;0,ALB38/ALA38,0)</f>
        <v/>
      </c>
      <c r="ALW38" s="11">
        <f>IF(ALA37&gt;0,MAX(0,(ALA37+AKP38-ALA38)/ALA37),0)</f>
        <v/>
      </c>
      <c r="ALY38" s="12" t="n">
        <v>34</v>
      </c>
      <c r="ALZ38" s="12">
        <f>MOD(ALY38-1+LaunchMonth-1,12)+1</f>
        <v/>
      </c>
      <c r="AMA38" s="12">
        <f>INT((ALY38-1+LaunchMonth-1)/12)+1</f>
        <v/>
      </c>
      <c r="AMB38" s="12">
        <f>VLOOKUP(ALZ38,SeasonTable,2,FALSE)</f>
        <v/>
      </c>
      <c r="AMC38" s="12">
        <f>(1+InflationRate)^INT((ALY38-1)/12)</f>
        <v/>
      </c>
      <c r="AMD38" s="11">
        <f>MonthlyChurn*VLOOKUP(ALZ38,ChurnSeasonTable,4,FALSE)</f>
        <v/>
      </c>
      <c r="AME38" s="12">
        <f>MIN(MAX(MktMin19plus,AMY37*MktPct19plus),MAX(0,ANM37-CashBuffer))</f>
        <v/>
      </c>
      <c r="AMF38" s="12">
        <f>IF(AME38&gt;0,MAX(1,ROUND(AME38/'Sens - CAC &amp; Marketing'!$A$13*AMB38,0)),0)</f>
        <v/>
      </c>
      <c r="AMG38" s="12">
        <f>IF(AMF38&gt;0,ROUND(AMF38*ReferralMix/(1-ReferralMix),0),0)</f>
        <v/>
      </c>
      <c r="AMH38" s="12">
        <f>AMF38+AMG38</f>
        <v/>
      </c>
      <c r="AMI38" s="12">
        <f>ROUND(AMH38*(1-AnnualMix),0)</f>
        <v/>
      </c>
      <c r="AMJ38" s="12">
        <f>AMH38-AMI38</f>
        <v/>
      </c>
      <c r="AMK38" s="12">
        <f>ROUND(AMI38*EssentialMix,0)</f>
        <v/>
      </c>
      <c r="AML38" s="12">
        <f>AMI38-AMK38</f>
        <v/>
      </c>
      <c r="AMM38" s="12">
        <f>ROUND(AMJ38*EssentialMix,0)</f>
        <v/>
      </c>
      <c r="AMN38" s="12">
        <f>AMJ38-AMM38</f>
        <v/>
      </c>
      <c r="AMO38" s="12">
        <f>AMK38+AMK37+AMK36+MAX(0,AMO37-AMK37-AMK36)*(1-AMD38)</f>
        <v/>
      </c>
      <c r="AMP38" s="12">
        <f>AML38+AML37+AML36+MAX(0,AMP37-AML37-AML36)*(1-AMD38)</f>
        <v/>
      </c>
      <c r="AMQ38" s="12">
        <f>AMQ37+AMM38-AMM26*(AnnualChurn*VLOOKUP(ALZ38,ChurnSeasonTable,4,FALSE))*POWER(1-(AnnualChurn*VLOOKUP(ALZ38,ChurnSeasonTable,4,FALSE)),0)+AMM14*(AnnualChurn*VLOOKUP(ALZ38,ChurnSeasonTable,4,FALSE))*POWER(1-(AnnualChurn*VLOOKUP(ALZ38,ChurnSeasonTable,4,FALSE)),1)</f>
        <v/>
      </c>
      <c r="AMR38" s="12">
        <f>AMR37+AMN38-AMN26*(AnnualChurn*VLOOKUP(ALZ38,ChurnSeasonTable,4,FALSE))*POWER(1-(AnnualChurn*VLOOKUP(ALZ38,ChurnSeasonTable,4,FALSE)),0)+AMN14*(AnnualChurn*VLOOKUP(ALZ38,ChurnSeasonTable,4,FALSE))*POWER(1-(AnnualChurn*VLOOKUP(ALZ38,ChurnSeasonTable,4,FALSE)),1)</f>
        <v/>
      </c>
      <c r="AMS38" s="12">
        <f>AMO38+AMP38+AMQ38+AMR38</f>
        <v/>
      </c>
      <c r="AMT38" s="9">
        <f>AMO38*PriceEssMonthly*AMC38+AMP38*PricePremMonthly*AMC38+AMQ38*PriceEssAnnual*AMC38/12+AMR38*PricePremAnnual*AMC38/12</f>
        <v/>
      </c>
      <c r="AMU38" s="9">
        <f>AMT38*12</f>
        <v/>
      </c>
      <c r="AMV38" s="12">
        <f>AMO38*PriceEssMonthly*AMC38+AMP38*PricePremMonthly*AMC38</f>
        <v/>
      </c>
      <c r="AMW38" s="12">
        <f>AMM38*PriceEssAnnual*AMC38+AMN38*PricePremAnnual*AMC38</f>
        <v/>
      </c>
      <c r="AMX38" s="12">
        <f>AMM26*POWER(1-(AnnualChurn*VLOOKUP(ALZ38,ChurnSeasonTable,4,FALSE)),1)*PriceEssAnnual*AMC38+AMM14*POWER(1-(AnnualChurn*VLOOKUP(ALZ38,ChurnSeasonTable,4,FALSE)),2)*PriceEssAnnual*AMC38+AMN26*POWER(1-(AnnualChurn*VLOOKUP(ALZ38,ChurnSeasonTable,4,FALSE)),1)*PricePremAnnual*AMC38+AMN14*POWER(1-(AnnualChurn*VLOOKUP(ALZ38,ChurnSeasonTable,4,FALSE)),2)*PricePremAnnual*AMC38</f>
        <v/>
      </c>
      <c r="AMY38" s="9">
        <f>AMV38+AMW38+AMX38</f>
        <v/>
      </c>
      <c r="AMZ38" s="12">
        <f>SUM(AMY27:AMY38)</f>
        <v/>
      </c>
      <c r="ANA38" s="12">
        <f>OR(ANA37,AMZ38&gt;=VATThreshold)</f>
        <v/>
      </c>
      <c r="ANB38" s="9">
        <f>IF(ANA38,AMY38/(1+VATRate),AMY38)</f>
        <v/>
      </c>
      <c r="ANC38" s="12">
        <f>AMY38-ANB38</f>
        <v/>
      </c>
      <c r="AND38" s="12">
        <f>IF(ANA38=0,0,IF(ALZ38=1,SUMPRODUCT(--(($AMA$5:$AMA38=$AMA38-1)*($ALZ$5:$ALZ38&gt;=10)*($ALZ$5:$ALZ38&lt;=12)),$ANC$5:$ANC38),IF(ALZ38=4,SUMPRODUCT(--(($AMA$5:$AMA38=$AMA38)*($ALZ$5:$ALZ38&gt;=1)*($ALZ$5:$ALZ38&lt;=3)),$ANC$5:$ANC38),IF(ALZ38=7,SUMPRODUCT(--(($AMA$5:$AMA38=$AMA38)*($ALZ$5:$ALZ38&gt;=4)*($ALZ$5:$ALZ38&lt;=6)),$ANC$5:$ANC38),IF(ALZ38=10,SUMPRODUCT(--(($AMA$5:$AMA38=$AMA38)*($ALZ$5:$ALZ38&gt;=7)*($ALZ$5:$ALZ38&lt;=9)),$ANC$5:$ANC38),0)))))</f>
        <v/>
      </c>
      <c r="ANE38" s="12">
        <f>ANE37+ANC38-AND38</f>
        <v/>
      </c>
      <c r="ANF38" s="12">
        <f>IF(ProviderDelay&gt;=1,ANB37*ProviderShare,ANB38*ProviderShare)</f>
        <v/>
      </c>
      <c r="ANG38" s="12">
        <f>AMY38*PaymentFee</f>
        <v/>
      </c>
      <c r="ANH38" s="12">
        <f>AMS38*OpsAI</f>
        <v/>
      </c>
      <c r="ANI38" s="12">
        <f>MonthlyFixed</f>
        <v/>
      </c>
      <c r="ANJ38" s="12">
        <f>AMG38*ReferralReward</f>
        <v/>
      </c>
      <c r="ANK38" s="12">
        <f>AME38</f>
        <v/>
      </c>
      <c r="ANL38" s="9">
        <f>ANB38-ANF38-ANG38-ANH38-ANI38-ANJ38-ANK38</f>
        <v/>
      </c>
      <c r="ANM38" s="9">
        <f>ANM37+AMY38-(ANF38+ANG38+ANH38+ANI38+ANJ38+ANK38+AND38)</f>
        <v/>
      </c>
      <c r="ANN38" s="12">
        <f>IF(AMS38&gt;0,AMT38/AMS38,0)</f>
        <v/>
      </c>
      <c r="ANO38" s="11">
        <f>IF(AMS37&gt;0,MAX(0,(AMS37+AMH38-AMS38)/AMS37),0)</f>
        <v/>
      </c>
      <c r="ANQ38" s="12" t="n">
        <v>34</v>
      </c>
      <c r="ANR38" s="12">
        <f>MOD(ANQ38-1+LaunchMonth-1,12)+1</f>
        <v/>
      </c>
      <c r="ANS38" s="12">
        <f>INT((ANQ38-1+LaunchMonth-1)/12)+1</f>
        <v/>
      </c>
      <c r="ANT38" s="12">
        <f>VLOOKUP(ANR38,SeasonTable,2,FALSE)</f>
        <v/>
      </c>
      <c r="ANU38" s="12">
        <f>(1+InflationRate)^INT((ANQ38-1)/12)</f>
        <v/>
      </c>
      <c r="ANV38" s="11">
        <f>MonthlyChurn*VLOOKUP(ANR38,ChurnSeasonTable,4,FALSE)</f>
        <v/>
      </c>
      <c r="ANW38" s="12">
        <f>MIN(MAX(MktMin19plus,AOQ37*MktPct19plus),MAX(0,APE37-CashBuffer))</f>
        <v/>
      </c>
      <c r="ANX38" s="12">
        <f>IF(ANW38&gt;0,MAX(1,ROUND(ANW38/'Sens - CAC &amp; Marketing'!$A$14*ANT38,0)),0)</f>
        <v/>
      </c>
      <c r="ANY38" s="12">
        <f>IF(ANX38&gt;0,ROUND(ANX38*ReferralMix/(1-ReferralMix),0),0)</f>
        <v/>
      </c>
      <c r="ANZ38" s="12">
        <f>ANX38+ANY38</f>
        <v/>
      </c>
      <c r="AOA38" s="12">
        <f>ROUND(ANZ38*(1-AnnualMix),0)</f>
        <v/>
      </c>
      <c r="AOB38" s="12">
        <f>ANZ38-AOA38</f>
        <v/>
      </c>
      <c r="AOC38" s="12">
        <f>ROUND(AOA38*EssentialMix,0)</f>
        <v/>
      </c>
      <c r="AOD38" s="12">
        <f>AOA38-AOC38</f>
        <v/>
      </c>
      <c r="AOE38" s="12">
        <f>ROUND(AOB38*EssentialMix,0)</f>
        <v/>
      </c>
      <c r="AOF38" s="12">
        <f>AOB38-AOE38</f>
        <v/>
      </c>
      <c r="AOG38" s="12">
        <f>AOC38+AOC37+AOC36+MAX(0,AOG37-AOC37-AOC36)*(1-ANV38)</f>
        <v/>
      </c>
      <c r="AOH38" s="12">
        <f>AOD38+AOD37+AOD36+MAX(0,AOH37-AOD37-AOD36)*(1-ANV38)</f>
        <v/>
      </c>
      <c r="AOI38" s="12">
        <f>AOI37+AOE38-AOE26*(AnnualChurn*VLOOKUP(ANR38,ChurnSeasonTable,4,FALSE))*POWER(1-(AnnualChurn*VLOOKUP(ANR38,ChurnSeasonTable,4,FALSE)),0)+AOE14*(AnnualChurn*VLOOKUP(ANR38,ChurnSeasonTable,4,FALSE))*POWER(1-(AnnualChurn*VLOOKUP(ANR38,ChurnSeasonTable,4,FALSE)),1)</f>
        <v/>
      </c>
      <c r="AOJ38" s="12">
        <f>AOJ37+AOF38-AOF26*(AnnualChurn*VLOOKUP(ANR38,ChurnSeasonTable,4,FALSE))*POWER(1-(AnnualChurn*VLOOKUP(ANR38,ChurnSeasonTable,4,FALSE)),0)+AOF14*(AnnualChurn*VLOOKUP(ANR38,ChurnSeasonTable,4,FALSE))*POWER(1-(AnnualChurn*VLOOKUP(ANR38,ChurnSeasonTable,4,FALSE)),1)</f>
        <v/>
      </c>
      <c r="AOK38" s="12">
        <f>AOG38+AOH38+AOI38+AOJ38</f>
        <v/>
      </c>
      <c r="AOL38" s="9">
        <f>AOG38*PriceEssMonthly*ANU38+AOH38*PricePremMonthly*ANU38+AOI38*PriceEssAnnual*ANU38/12+AOJ38*PricePremAnnual*ANU38/12</f>
        <v/>
      </c>
      <c r="AOM38" s="9">
        <f>AOL38*12</f>
        <v/>
      </c>
      <c r="AON38" s="12">
        <f>AOG38*PriceEssMonthly*ANU38+AOH38*PricePremMonthly*ANU38</f>
        <v/>
      </c>
      <c r="AOO38" s="12">
        <f>AOE38*PriceEssAnnual*ANU38+AOF38*PricePremAnnual*ANU38</f>
        <v/>
      </c>
      <c r="AOP38" s="12">
        <f>AOE26*POWER(1-(AnnualChurn*VLOOKUP(ANR38,ChurnSeasonTable,4,FALSE)),1)*PriceEssAnnual*ANU38+AOE14*POWER(1-(AnnualChurn*VLOOKUP(ANR38,ChurnSeasonTable,4,FALSE)),2)*PriceEssAnnual*ANU38+AOF26*POWER(1-(AnnualChurn*VLOOKUP(ANR38,ChurnSeasonTable,4,FALSE)),1)*PricePremAnnual*ANU38+AOF14*POWER(1-(AnnualChurn*VLOOKUP(ANR38,ChurnSeasonTable,4,FALSE)),2)*PricePremAnnual*ANU38</f>
        <v/>
      </c>
      <c r="AOQ38" s="9">
        <f>AON38+AOO38+AOP38</f>
        <v/>
      </c>
      <c r="AOR38" s="12">
        <f>SUM(AOQ27:AOQ38)</f>
        <v/>
      </c>
      <c r="AOS38" s="12">
        <f>OR(AOS37,AOR38&gt;=VATThreshold)</f>
        <v/>
      </c>
      <c r="AOT38" s="9">
        <f>IF(AOS38,AOQ38/(1+VATRate),AOQ38)</f>
        <v/>
      </c>
      <c r="AOU38" s="12">
        <f>AOQ38-AOT38</f>
        <v/>
      </c>
      <c r="AOV38" s="12">
        <f>IF(AOS38=0,0,IF(ANR38=1,SUMPRODUCT(--(($ANS$5:$ANS38=$ANS38-1)*($ANR$5:$ANR38&gt;=10)*($ANR$5:$ANR38&lt;=12)),$AOU$5:$AOU38),IF(ANR38=4,SUMPRODUCT(--(($ANS$5:$ANS38=$ANS38)*($ANR$5:$ANR38&gt;=1)*($ANR$5:$ANR38&lt;=3)),$AOU$5:$AOU38),IF(ANR38=7,SUMPRODUCT(--(($ANS$5:$ANS38=$ANS38)*($ANR$5:$ANR38&gt;=4)*($ANR$5:$ANR38&lt;=6)),$AOU$5:$AOU38),IF(ANR38=10,SUMPRODUCT(--(($ANS$5:$ANS38=$ANS38)*($ANR$5:$ANR38&gt;=7)*($ANR$5:$ANR38&lt;=9)),$AOU$5:$AOU38),0)))))</f>
        <v/>
      </c>
      <c r="AOW38" s="12">
        <f>AOW37+AOU38-AOV38</f>
        <v/>
      </c>
      <c r="AOX38" s="12">
        <f>IF(ProviderDelay&gt;=1,AOT37*ProviderShare,AOT38*ProviderShare)</f>
        <v/>
      </c>
      <c r="AOY38" s="12">
        <f>AOQ38*PaymentFee</f>
        <v/>
      </c>
      <c r="AOZ38" s="12">
        <f>AOK38*OpsAI</f>
        <v/>
      </c>
      <c r="APA38" s="12">
        <f>MonthlyFixed</f>
        <v/>
      </c>
      <c r="APB38" s="12">
        <f>ANY38*ReferralReward</f>
        <v/>
      </c>
      <c r="APC38" s="12">
        <f>ANW38</f>
        <v/>
      </c>
      <c r="APD38" s="9">
        <f>AOT38-AOX38-AOY38-AOZ38-APA38-APB38-APC38</f>
        <v/>
      </c>
      <c r="APE38" s="9">
        <f>APE37+AOQ38-(AOX38+AOY38+AOZ38+APA38+APB38+APC38+AOV38)</f>
        <v/>
      </c>
      <c r="APF38" s="12">
        <f>IF(AOK38&gt;0,AOL38/AOK38,0)</f>
        <v/>
      </c>
      <c r="APG38" s="11">
        <f>IF(AOK37&gt;0,MAX(0,(AOK37+ANZ38-AOK38)/AOK37),0)</f>
        <v/>
      </c>
      <c r="API38" s="12" t="n">
        <v>34</v>
      </c>
      <c r="APJ38" s="12">
        <f>MOD(API38-1+LaunchMonth-1,12)+1</f>
        <v/>
      </c>
      <c r="APK38" s="12">
        <f>INT((API38-1+LaunchMonth-1)/12)+1</f>
        <v/>
      </c>
      <c r="APL38" s="12">
        <f>VLOOKUP(APJ38,SeasonTable,2,FALSE)</f>
        <v/>
      </c>
      <c r="APM38" s="12">
        <f>(1+InflationRate)^INT((API38-1)/12)</f>
        <v/>
      </c>
      <c r="APN38" s="11">
        <f>MonthlyChurn*VLOOKUP(APJ38,ChurnSeasonTable,4,FALSE)</f>
        <v/>
      </c>
      <c r="APO38" s="12">
        <f>MIN(MAX(MktMin19plus,AQI37*MktPct19plus),MAX(0,AQW37-CashBuffer))</f>
        <v/>
      </c>
      <c r="APP38" s="12">
        <f>IF(APO38&gt;0,MAX(1,ROUND(APO38/'Sens - CAC &amp; Marketing'!$A$15*APL38,0)),0)</f>
        <v/>
      </c>
      <c r="APQ38" s="12">
        <f>IF(APP38&gt;0,ROUND(APP38*ReferralMix/(1-ReferralMix),0),0)</f>
        <v/>
      </c>
      <c r="APR38" s="12">
        <f>APP38+APQ38</f>
        <v/>
      </c>
      <c r="APS38" s="12">
        <f>ROUND(APR38*(1-AnnualMix),0)</f>
        <v/>
      </c>
      <c r="APT38" s="12">
        <f>APR38-APS38</f>
        <v/>
      </c>
      <c r="APU38" s="12">
        <f>ROUND(APS38*EssentialMix,0)</f>
        <v/>
      </c>
      <c r="APV38" s="12">
        <f>APS38-APU38</f>
        <v/>
      </c>
      <c r="APW38" s="12">
        <f>ROUND(APT38*EssentialMix,0)</f>
        <v/>
      </c>
      <c r="APX38" s="12">
        <f>APT38-APW38</f>
        <v/>
      </c>
      <c r="APY38" s="12">
        <f>APU38+APU37+APU36+MAX(0,APY37-APU37-APU36)*(1-APN38)</f>
        <v/>
      </c>
      <c r="APZ38" s="12">
        <f>APV38+APV37+APV36+MAX(0,APZ37-APV37-APV36)*(1-APN38)</f>
        <v/>
      </c>
      <c r="AQA38" s="12">
        <f>AQA37+APW38-APW26*(AnnualChurn*VLOOKUP(APJ38,ChurnSeasonTable,4,FALSE))*POWER(1-(AnnualChurn*VLOOKUP(APJ38,ChurnSeasonTable,4,FALSE)),0)+APW14*(AnnualChurn*VLOOKUP(APJ38,ChurnSeasonTable,4,FALSE))*POWER(1-(AnnualChurn*VLOOKUP(APJ38,ChurnSeasonTable,4,FALSE)),1)</f>
        <v/>
      </c>
      <c r="AQB38" s="12">
        <f>AQB37+APX38-APX26*(AnnualChurn*VLOOKUP(APJ38,ChurnSeasonTable,4,FALSE))*POWER(1-(AnnualChurn*VLOOKUP(APJ38,ChurnSeasonTable,4,FALSE)),0)+APX14*(AnnualChurn*VLOOKUP(APJ38,ChurnSeasonTable,4,FALSE))*POWER(1-(AnnualChurn*VLOOKUP(APJ38,ChurnSeasonTable,4,FALSE)),1)</f>
        <v/>
      </c>
      <c r="AQC38" s="12">
        <f>APY38+APZ38+AQA38+AQB38</f>
        <v/>
      </c>
      <c r="AQD38" s="9">
        <f>APY38*PriceEssMonthly*APM38+APZ38*PricePremMonthly*APM38+AQA38*PriceEssAnnual*APM38/12+AQB38*PricePremAnnual*APM38/12</f>
        <v/>
      </c>
      <c r="AQE38" s="9">
        <f>AQD38*12</f>
        <v/>
      </c>
      <c r="AQF38" s="12">
        <f>APY38*PriceEssMonthly*APM38+APZ38*PricePremMonthly*APM38</f>
        <v/>
      </c>
      <c r="AQG38" s="12">
        <f>APW38*PriceEssAnnual*APM38+APX38*PricePremAnnual*APM38</f>
        <v/>
      </c>
      <c r="AQH38" s="12">
        <f>APW26*POWER(1-(AnnualChurn*VLOOKUP(APJ38,ChurnSeasonTable,4,FALSE)),1)*PriceEssAnnual*APM38+APW14*POWER(1-(AnnualChurn*VLOOKUP(APJ38,ChurnSeasonTable,4,FALSE)),2)*PriceEssAnnual*APM38+APX26*POWER(1-(AnnualChurn*VLOOKUP(APJ38,ChurnSeasonTable,4,FALSE)),1)*PricePremAnnual*APM38+APX14*POWER(1-(AnnualChurn*VLOOKUP(APJ38,ChurnSeasonTable,4,FALSE)),2)*PricePremAnnual*APM38</f>
        <v/>
      </c>
      <c r="AQI38" s="9">
        <f>AQF38+AQG38+AQH38</f>
        <v/>
      </c>
      <c r="AQJ38" s="12">
        <f>SUM(AQI27:AQI38)</f>
        <v/>
      </c>
      <c r="AQK38" s="12">
        <f>OR(AQK37,AQJ38&gt;=VATThreshold)</f>
        <v/>
      </c>
      <c r="AQL38" s="9">
        <f>IF(AQK38,AQI38/(1+VATRate),AQI38)</f>
        <v/>
      </c>
      <c r="AQM38" s="12">
        <f>AQI38-AQL38</f>
        <v/>
      </c>
      <c r="AQN38" s="12">
        <f>IF(AQK38=0,0,IF(APJ38=1,SUMPRODUCT(--(($APK$5:$APK38=$APK38-1)*($APJ$5:$APJ38&gt;=10)*($APJ$5:$APJ38&lt;=12)),$AQM$5:$AQM38),IF(APJ38=4,SUMPRODUCT(--(($APK$5:$APK38=$APK38)*($APJ$5:$APJ38&gt;=1)*($APJ$5:$APJ38&lt;=3)),$AQM$5:$AQM38),IF(APJ38=7,SUMPRODUCT(--(($APK$5:$APK38=$APK38)*($APJ$5:$APJ38&gt;=4)*($APJ$5:$APJ38&lt;=6)),$AQM$5:$AQM38),IF(APJ38=10,SUMPRODUCT(--(($APK$5:$APK38=$APK38)*($APJ$5:$APJ38&gt;=7)*($APJ$5:$APJ38&lt;=9)),$AQM$5:$AQM38),0)))))</f>
        <v/>
      </c>
      <c r="AQO38" s="12">
        <f>AQO37+AQM38-AQN38</f>
        <v/>
      </c>
      <c r="AQP38" s="12">
        <f>IF(ProviderDelay&gt;=1,AQL37*ProviderShare,AQL38*ProviderShare)</f>
        <v/>
      </c>
      <c r="AQQ38" s="12">
        <f>AQI38*PaymentFee</f>
        <v/>
      </c>
      <c r="AQR38" s="12">
        <f>AQC38*OpsAI</f>
        <v/>
      </c>
      <c r="AQS38" s="12">
        <f>MonthlyFixed</f>
        <v/>
      </c>
      <c r="AQT38" s="12">
        <f>APQ38*ReferralReward</f>
        <v/>
      </c>
      <c r="AQU38" s="12">
        <f>APO38</f>
        <v/>
      </c>
      <c r="AQV38" s="9">
        <f>AQL38-AQP38-AQQ38-AQR38-AQS38-AQT38-AQU38</f>
        <v/>
      </c>
      <c r="AQW38" s="9">
        <f>AQW37+AQI38-(AQP38+AQQ38+AQR38+AQS38+AQT38+AQU38+AQN38)</f>
        <v/>
      </c>
      <c r="AQX38" s="12">
        <f>IF(AQC38&gt;0,AQD38/AQC38,0)</f>
        <v/>
      </c>
      <c r="AQY38" s="11">
        <f>IF(AQC37&gt;0,MAX(0,(AQC37+APR38-AQC38)/AQC37),0)</f>
        <v/>
      </c>
      <c r="ARA38" s="12" t="n">
        <v>34</v>
      </c>
      <c r="ARB38" s="12">
        <f>MOD(ARA38-1+LaunchMonth-1,12)+1</f>
        <v/>
      </c>
      <c r="ARC38" s="12">
        <f>INT((ARA38-1+LaunchMonth-1)/12)+1</f>
        <v/>
      </c>
      <c r="ARD38" s="12">
        <f>VLOOKUP(ARB38,WinterPivotSeasonTable,5,FALSE)</f>
        <v/>
      </c>
      <c r="ARE38" s="12">
        <f>(1+InflationRate)^INT((ARA38-1)/12)</f>
        <v/>
      </c>
      <c r="ARF38" s="11">
        <f>MonthlyChurn*VLOOKUP(ARB38,WinterPivotChurnTable,6,FALSE)</f>
        <v/>
      </c>
      <c r="ARG38" s="12">
        <f>MIN(MAX(MktMin19plus,ASA37*MktPct19plus),MAX(0,ASO37-CashBuffer))</f>
        <v/>
      </c>
      <c r="ARH38" s="12">
        <f>IF(ARG38&gt;0,MAX(1,ROUND(ARG38/CAC*ARD38,0)),0)</f>
        <v/>
      </c>
      <c r="ARI38" s="12">
        <f>IF(ARH38&gt;0,ROUND(ARH38*ReferralMix/(1-ReferralMix),0),0)</f>
        <v/>
      </c>
      <c r="ARJ38" s="12">
        <f>ARH38+ARI38</f>
        <v/>
      </c>
      <c r="ARK38" s="12">
        <f>ROUND(ARJ38*(1-AnnualMix),0)</f>
        <v/>
      </c>
      <c r="ARL38" s="12">
        <f>ARJ38-ARK38</f>
        <v/>
      </c>
      <c r="ARM38" s="12">
        <f>ROUND(ARK38*'Sens - Winter Pivot'!$B$6,0)</f>
        <v/>
      </c>
      <c r="ARN38" s="12">
        <f>ARK38-ARM38</f>
        <v/>
      </c>
      <c r="ARO38" s="12">
        <f>ROUND(ARL38*'Sens - Winter Pivot'!$B$6,0)</f>
        <v/>
      </c>
      <c r="ARP38" s="12">
        <f>ARL38-ARO38</f>
        <v/>
      </c>
      <c r="ARQ38" s="12">
        <f>ARM38+ARM37+ARM36+MAX(0,ARQ37-ARM37-ARM36)*(1-ARF38)</f>
        <v/>
      </c>
      <c r="ARR38" s="12">
        <f>ARN38+ARN37+ARN36+MAX(0,ARR37-ARN37-ARN36)*(1-ARF38)</f>
        <v/>
      </c>
      <c r="ARS38" s="12">
        <f>ARS37+ARO38-ARO26*(AnnualChurn*VLOOKUP(ARB38,WinterPivotChurnTable,6,FALSE))*POWER(1-(AnnualChurn*VLOOKUP(ARB38,WinterPivotChurnTable,6,FALSE)),0)+ARO14*(AnnualChurn*VLOOKUP(ARB38,WinterPivotChurnTable,6,FALSE))*POWER(1-(AnnualChurn*VLOOKUP(ARB38,WinterPivotChurnTable,6,FALSE)),1)</f>
        <v/>
      </c>
      <c r="ART38" s="12">
        <f>ART37+ARP38-ARP26*(AnnualChurn*VLOOKUP(ARB38,WinterPivotChurnTable,6,FALSE))*POWER(1-(AnnualChurn*VLOOKUP(ARB38,WinterPivotChurnTable,6,FALSE)),0)+ARP14*(AnnualChurn*VLOOKUP(ARB38,WinterPivotChurnTable,6,FALSE))*POWER(1-(AnnualChurn*VLOOKUP(ARB38,WinterPivotChurnTable,6,FALSE)),1)</f>
        <v/>
      </c>
      <c r="ARU38" s="12">
        <f>ARQ38+ARR38+ARS38+ART38</f>
        <v/>
      </c>
      <c r="ARV38" s="9">
        <f>ARQ38*PriceEssMonthly*ARE38+ARR38*(PricePremMonthly+'Sens - Winter Pivot'!$B$7)*ARE38+ARS38*PriceEssAnnual*ARE38/12+ART38*(PricePremAnnual+'Sens - Winter Pivot'!$B$7*12)*ARE38/12</f>
        <v/>
      </c>
      <c r="ARW38" s="9">
        <f>ARV38*12</f>
        <v/>
      </c>
      <c r="ARX38" s="12">
        <f>ARQ38*PriceEssMonthly*ARE38+ARR38*(PricePremMonthly+'Sens - Winter Pivot'!$B$7)*ARE38</f>
        <v/>
      </c>
      <c r="ARY38" s="12">
        <f>ARO38*PriceEssAnnual*ARE38+ARP38*(PricePremAnnual+'Sens - Winter Pivot'!$B$7*12)*ARE38</f>
        <v/>
      </c>
      <c r="ARZ38" s="12">
        <f>ARO26*POWER(1-(AnnualChurn*VLOOKUP(ARB38,WinterPivotChurnTable,6,FALSE)),1)*PriceEssAnnual*ARE38+ARO14*POWER(1-(AnnualChurn*VLOOKUP(ARB38,WinterPivotChurnTable,6,FALSE)),2)*PriceEssAnnual*ARE38+ARP26*POWER(1-(AnnualChurn*VLOOKUP(ARB38,WinterPivotChurnTable,6,FALSE)),1)*PricePremAnnual*ARE38+ARP14*POWER(1-(AnnualChurn*VLOOKUP(ARB38,WinterPivotChurnTable,6,FALSE)),2)*PricePremAnnual*ARE38</f>
        <v/>
      </c>
      <c r="ASA38" s="9">
        <f>ARX38+ARY38+ARZ38</f>
        <v/>
      </c>
      <c r="ASB38" s="12">
        <f>SUM(ASA27:ASA38)</f>
        <v/>
      </c>
      <c r="ASC38" s="12">
        <f>OR(ASC37,ASB38&gt;=VATThreshold)</f>
        <v/>
      </c>
      <c r="ASD38" s="9">
        <f>IF(ASC38,ASA38/(1+VATRate),ASA38)</f>
        <v/>
      </c>
      <c r="ASE38" s="12">
        <f>ASA38-ASD38</f>
        <v/>
      </c>
      <c r="ASF38" s="12">
        <f>IF(ASC38=0,0,IF(ARB38=1,SUMPRODUCT(--(($ARC$5:$ARC38=$ARC38-1)*($ARB$5:$ARB38&gt;=10)*($ARB$5:$ARB38&lt;=12)),$ASE$5:$ASE38),IF(ARB38=4,SUMPRODUCT(--(($ARC$5:$ARC38=$ARC38)*($ARB$5:$ARB38&gt;=1)*($ARB$5:$ARB38&lt;=3)),$ASE$5:$ASE38),IF(ARB38=7,SUMPRODUCT(--(($ARC$5:$ARC38=$ARC38)*($ARB$5:$ARB38&gt;=4)*($ARB$5:$ARB38&lt;=6)),$ASE$5:$ASE38),IF(ARB38=10,SUMPRODUCT(--(($ARC$5:$ARC38=$ARC38)*($ARB$5:$ARB38&gt;=7)*($ARB$5:$ARB38&lt;=9)),$ASE$5:$ASE38),0)))))</f>
        <v/>
      </c>
      <c r="ASG38" s="12">
        <f>ASG37+ASE38-ASF38</f>
        <v/>
      </c>
      <c r="ASH38" s="12">
        <f>IF(ProviderDelay&gt;=1,ASD37*ProviderShare,ASD38*ProviderShare)</f>
        <v/>
      </c>
      <c r="ASI38" s="12">
        <f>ASA38*PaymentFee</f>
        <v/>
      </c>
      <c r="ASJ38" s="12">
        <f>ARU38*OpsAI</f>
        <v/>
      </c>
      <c r="ASK38" s="12">
        <f>MonthlyFixed</f>
        <v/>
      </c>
      <c r="ASL38" s="12">
        <f>ARI38*ReferralReward</f>
        <v/>
      </c>
      <c r="ASM38" s="12">
        <f>ARG38</f>
        <v/>
      </c>
      <c r="ASN38" s="9">
        <f>ASD38-ASH38-ASI38-ASJ38-ASK38-ASL38-ASM38</f>
        <v/>
      </c>
      <c r="ASO38" s="9">
        <f>ASO37+ASA38-(ASH38+ASI38+ASJ38+ASK38+ASL38+ASM38+ASF38)</f>
        <v/>
      </c>
      <c r="ASP38" s="12">
        <f>IF(ARU38&gt;0,ARV38/ARU38,0)</f>
        <v/>
      </c>
      <c r="ASQ38" s="11">
        <f>IF(ARU37&gt;0,MAX(0,(ARU37+ARJ38-ARU38)/ARU37),0)</f>
        <v/>
      </c>
    </row>
    <row r="39">
      <c r="A39" s="12" t="n">
        <v>35</v>
      </c>
      <c r="B39" s="12">
        <f>MOD(A39-1+LaunchMonth-1,12)+1</f>
        <v/>
      </c>
      <c r="C39" s="12">
        <f>INT((A39-1+LaunchMonth-1)/12)+1</f>
        <v/>
      </c>
      <c r="D39" s="12">
        <f>VLOOKUP(B39,SeasonTable,2,FALSE)</f>
        <v/>
      </c>
      <c r="E39" s="12">
        <f>(1+InflationRate)^INT((A39-1)/12)</f>
        <v/>
      </c>
      <c r="F39" s="11">
        <f>'Sens - Scenarios'!$B$5*VLOOKUP(B39,ChurnSeasonTable,4,FALSE)</f>
        <v/>
      </c>
      <c r="G39" s="12">
        <f>MIN(MAX(MktMin19plus,AA38*MktPct19plus),MAX(0,AO38-CashBuffer))</f>
        <v/>
      </c>
      <c r="H39" s="12">
        <f>IF(G39&gt;0,MAX(1,ROUND(G39/'Sens - Scenarios'!$B$8*D39,0)),0)</f>
        <v/>
      </c>
      <c r="I39" s="12">
        <f>IF(H39&gt;0,ROUND(H39*ReferralMix/(1-ReferralMix),0),0)</f>
        <v/>
      </c>
      <c r="J39" s="12">
        <f>H39+I39</f>
        <v/>
      </c>
      <c r="K39" s="12">
        <f>ROUND(J39*(1-'Sens - Scenarios'!$B$7),0)</f>
        <v/>
      </c>
      <c r="L39" s="12">
        <f>J39-K39</f>
        <v/>
      </c>
      <c r="M39" s="12">
        <f>ROUND(K39*EssentialMix,0)</f>
        <v/>
      </c>
      <c r="N39" s="12">
        <f>K39-M39</f>
        <v/>
      </c>
      <c r="O39" s="12">
        <f>ROUND(L39*EssentialMix,0)</f>
        <v/>
      </c>
      <c r="P39" s="12">
        <f>L39-O39</f>
        <v/>
      </c>
      <c r="Q39" s="12">
        <f>M39+M38+M37+MAX(0,Q38-M38-M37)*(1-F39)</f>
        <v/>
      </c>
      <c r="R39" s="12">
        <f>N39+N38+N37+MAX(0,R38-N38-N37)*(1-F39)</f>
        <v/>
      </c>
      <c r="S39" s="12">
        <f>S38+O39-O27*('Sens - Scenarios'!$B$6*VLOOKUP(B39,ChurnSeasonTable,4,FALSE))*POWER(1-('Sens - Scenarios'!$B$6*VLOOKUP(B39,ChurnSeasonTable,4,FALSE)),0)+O15*('Sens - Scenarios'!$B$6*VLOOKUP(B39,ChurnSeasonTable,4,FALSE))*POWER(1-('Sens - Scenarios'!$B$6*VLOOKUP(B39,ChurnSeasonTable,4,FALSE)),1)</f>
        <v/>
      </c>
      <c r="T39" s="12">
        <f>T38+P39-P27*('Sens - Scenarios'!$B$6*VLOOKUP(B39,ChurnSeasonTable,4,FALSE))*POWER(1-('Sens - Scenarios'!$B$6*VLOOKUP(B39,ChurnSeasonTable,4,FALSE)),0)+P15*('Sens - Scenarios'!$B$6*VLOOKUP(B39,ChurnSeasonTable,4,FALSE))*POWER(1-('Sens - Scenarios'!$B$6*VLOOKUP(B39,ChurnSeasonTable,4,FALSE)),1)</f>
        <v/>
      </c>
      <c r="U39" s="12">
        <f>Q39+R39+S39+T39</f>
        <v/>
      </c>
      <c r="V39" s="9">
        <f>Q39*PriceEssMonthly*E39+R39*PricePremMonthly*E39+S39*PriceEssAnnual*E39/12+T39*PricePremAnnual*E39/12</f>
        <v/>
      </c>
      <c r="W39" s="9">
        <f>V39*12</f>
        <v/>
      </c>
      <c r="X39" s="12">
        <f>Q39*PriceEssMonthly*E39+R39*PricePremMonthly*E39</f>
        <v/>
      </c>
      <c r="Y39" s="12">
        <f>O39*PriceEssAnnual*E39+P39*PricePremAnnual*E39</f>
        <v/>
      </c>
      <c r="Z39" s="12">
        <f>O27*POWER(1-('Sens - Scenarios'!$B$6*VLOOKUP(B39,ChurnSeasonTable,4,FALSE)),1)*PriceEssAnnual*E39+O15*POWER(1-('Sens - Scenarios'!$B$6*VLOOKUP(B39,ChurnSeasonTable,4,FALSE)),2)*PriceEssAnnual*E39+P27*POWER(1-('Sens - Scenarios'!$B$6*VLOOKUP(B39,ChurnSeasonTable,4,FALSE)),1)*PricePremAnnual*E39+P15*POWER(1-('Sens - Scenarios'!$B$6*VLOOKUP(B39,ChurnSeasonTable,4,FALSE)),2)*PricePremAnnual*E39</f>
        <v/>
      </c>
      <c r="AA39" s="9">
        <f>X39+Y39+Z39</f>
        <v/>
      </c>
      <c r="AB39" s="12">
        <f>SUM(AA28:AA39)</f>
        <v/>
      </c>
      <c r="AC39" s="12">
        <f>OR(AC38,AB39&gt;=VATThreshold)</f>
        <v/>
      </c>
      <c r="AD39" s="9">
        <f>IF(AC39,AA39/(1+VATRate),AA39)</f>
        <v/>
      </c>
      <c r="AE39" s="12">
        <f>AA39-AD39</f>
        <v/>
      </c>
      <c r="AF39" s="12">
        <f>IF(AC39=0,0,IF(B39=1,SUMPRODUCT(--(($C$5:$C39=$C39-1)*($B$5:$B39&gt;=10)*($B$5:$B39&lt;=12)),$AE$5:$AE39),IF(B39=4,SUMPRODUCT(--(($C$5:$C39=$C39)*($B$5:$B39&gt;=1)*($B$5:$B39&lt;=3)),$AE$5:$AE39),IF(B39=7,SUMPRODUCT(--(($C$5:$C39=$C39)*($B$5:$B39&gt;=4)*($B$5:$B39&lt;=6)),$AE$5:$AE39),IF(B39=10,SUMPRODUCT(--(($C$5:$C39=$C39)*($B$5:$B39&gt;=7)*($B$5:$B39&lt;=9)),$AE$5:$AE39),0)))))</f>
        <v/>
      </c>
      <c r="AG39" s="12">
        <f>AG38+AE39-AF39</f>
        <v/>
      </c>
      <c r="AH39" s="12">
        <f>IF(ProviderDelay&gt;=1,AD38*ProviderShare,AD39*ProviderShare)</f>
        <v/>
      </c>
      <c r="AI39" s="12">
        <f>AA39*PaymentFee</f>
        <v/>
      </c>
      <c r="AJ39" s="12">
        <f>U39*OpsAI</f>
        <v/>
      </c>
      <c r="AK39" s="12">
        <f>MonthlyFixed</f>
        <v/>
      </c>
      <c r="AL39" s="12">
        <f>I39*ReferralReward</f>
        <v/>
      </c>
      <c r="AM39" s="12">
        <f>G39</f>
        <v/>
      </c>
      <c r="AN39" s="9">
        <f>AD39-AH39-AI39-AJ39-AK39-AL39-AM39</f>
        <v/>
      </c>
      <c r="AO39" s="9">
        <f>AO38+AA39-(AH39+AI39+AJ39+AK39+AL39+AM39+AF39)</f>
        <v/>
      </c>
      <c r="AP39" s="12">
        <f>IF(U39&gt;0,V39/U39,0)</f>
        <v/>
      </c>
      <c r="AQ39" s="11">
        <f>IF(U38&gt;0,MAX(0,(U38+J39-U39)/U38),0)</f>
        <v/>
      </c>
      <c r="AS39" s="12" t="n">
        <v>35</v>
      </c>
      <c r="AT39" s="12">
        <f>MOD(AS39-1+LaunchMonth-1,12)+1</f>
        <v/>
      </c>
      <c r="AU39" s="12">
        <f>INT((AS39-1+LaunchMonth-1)/12)+1</f>
        <v/>
      </c>
      <c r="AV39" s="12">
        <f>VLOOKUP(AT39,SeasonTable,2,FALSE)</f>
        <v/>
      </c>
      <c r="AW39" s="12">
        <f>(1+InflationRate)^INT((AS39-1)/12)</f>
        <v/>
      </c>
      <c r="AX39" s="11">
        <f>MonthlyChurn*VLOOKUP(AT39,ChurnSeasonTable,4,FALSE)</f>
        <v/>
      </c>
      <c r="AY39" s="12">
        <f>MIN(MAX(MktMin19plus,BS38*MktPct19plus),MAX(0,CG38-CashBuffer))</f>
        <v/>
      </c>
      <c r="AZ39" s="12">
        <f>IF(AY39&gt;0,MAX(1,ROUND(AY39/CAC*AV39,0)),0)</f>
        <v/>
      </c>
      <c r="BA39" s="12">
        <f>IF(AZ39&gt;0,ROUND(AZ39*ReferralMix/(1-ReferralMix),0),0)</f>
        <v/>
      </c>
      <c r="BB39" s="12">
        <f>AZ39+BA39</f>
        <v/>
      </c>
      <c r="BC39" s="12">
        <f>ROUND(BB39*(1-AnnualMix),0)</f>
        <v/>
      </c>
      <c r="BD39" s="12">
        <f>BB39-BC39</f>
        <v/>
      </c>
      <c r="BE39" s="12">
        <f>ROUND(BC39*EssentialMix,0)</f>
        <v/>
      </c>
      <c r="BF39" s="12">
        <f>BC39-BE39</f>
        <v/>
      </c>
      <c r="BG39" s="12">
        <f>ROUND(BD39*EssentialMix,0)</f>
        <v/>
      </c>
      <c r="BH39" s="12">
        <f>BD39-BG39</f>
        <v/>
      </c>
      <c r="BI39" s="12">
        <f>BE39+BE38+BE37+MAX(0,BI38-BE38-BE37)*(1-AX39)</f>
        <v/>
      </c>
      <c r="BJ39" s="12">
        <f>BF39+BF38+BF37+MAX(0,BJ38-BF38-BF37)*(1-AX39)</f>
        <v/>
      </c>
      <c r="BK39" s="12">
        <f>BK38+BG39-BG27*(AnnualChurn*VLOOKUP(AT39,ChurnSeasonTable,4,FALSE))*POWER(1-(AnnualChurn*VLOOKUP(AT39,ChurnSeasonTable,4,FALSE)),0)+BG15*(AnnualChurn*VLOOKUP(AT39,ChurnSeasonTable,4,FALSE))*POWER(1-(AnnualChurn*VLOOKUP(AT39,ChurnSeasonTable,4,FALSE)),1)</f>
        <v/>
      </c>
      <c r="BL39" s="12">
        <f>BL38+BH39-BH27*(AnnualChurn*VLOOKUP(AT39,ChurnSeasonTable,4,FALSE))*POWER(1-(AnnualChurn*VLOOKUP(AT39,ChurnSeasonTable,4,FALSE)),0)+BH15*(AnnualChurn*VLOOKUP(AT39,ChurnSeasonTable,4,FALSE))*POWER(1-(AnnualChurn*VLOOKUP(AT39,ChurnSeasonTable,4,FALSE)),1)</f>
        <v/>
      </c>
      <c r="BM39" s="12">
        <f>BI39+BJ39+BK39+BL39</f>
        <v/>
      </c>
      <c r="BN39" s="9">
        <f>BI39*PriceEssMonthly*AW39+BJ39*PricePremMonthly*AW39+BK39*PriceEssAnnual*AW39/12+BL39*PricePremAnnual*AW39/12</f>
        <v/>
      </c>
      <c r="BO39" s="9">
        <f>BN39*12</f>
        <v/>
      </c>
      <c r="BP39" s="12">
        <f>BI39*PriceEssMonthly*AW39+BJ39*PricePremMonthly*AW39</f>
        <v/>
      </c>
      <c r="BQ39" s="12">
        <f>BG39*PriceEssAnnual*AW39+BH39*PricePremAnnual*AW39</f>
        <v/>
      </c>
      <c r="BR39" s="12">
        <f>BG27*POWER(1-(AnnualChurn*VLOOKUP(AT39,ChurnSeasonTable,4,FALSE)),1)*PriceEssAnnual*AW39+BG15*POWER(1-(AnnualChurn*VLOOKUP(AT39,ChurnSeasonTable,4,FALSE)),2)*PriceEssAnnual*AW39+BH27*POWER(1-(AnnualChurn*VLOOKUP(AT39,ChurnSeasonTable,4,FALSE)),1)*PricePremAnnual*AW39+BH15*POWER(1-(AnnualChurn*VLOOKUP(AT39,ChurnSeasonTable,4,FALSE)),2)*PricePremAnnual*AW39</f>
        <v/>
      </c>
      <c r="BS39" s="9">
        <f>BP39+BQ39+BR39</f>
        <v/>
      </c>
      <c r="BT39" s="12">
        <f>SUM(BS28:BS39)</f>
        <v/>
      </c>
      <c r="BU39" s="12">
        <f>OR(BU38,BT39&gt;=VATThreshold)</f>
        <v/>
      </c>
      <c r="BV39" s="9">
        <f>IF(BU39,BS39/(1+VATRate),BS39)</f>
        <v/>
      </c>
      <c r="BW39" s="12">
        <f>BS39-BV39</f>
        <v/>
      </c>
      <c r="BX39" s="12">
        <f>IF(BU39=0,0,IF(AT39=1,SUMPRODUCT(--(($AU$5:$AU39=$AU39-1)*($AT$5:$AT39&gt;=10)*($AT$5:$AT39&lt;=12)),$BW$5:$BW39),IF(AT39=4,SUMPRODUCT(--(($AU$5:$AU39=$AU39)*($AT$5:$AT39&gt;=1)*($AT$5:$AT39&lt;=3)),$BW$5:$BW39),IF(AT39=7,SUMPRODUCT(--(($AU$5:$AU39=$AU39)*($AT$5:$AT39&gt;=4)*($AT$5:$AT39&lt;=6)),$BW$5:$BW39),IF(AT39=10,SUMPRODUCT(--(($AU$5:$AU39=$AU39)*($AT$5:$AT39&gt;=7)*($AT$5:$AT39&lt;=9)),$BW$5:$BW39),0)))))</f>
        <v/>
      </c>
      <c r="BY39" s="12">
        <f>BY38+BW39-BX39</f>
        <v/>
      </c>
      <c r="BZ39" s="12">
        <f>IF(ProviderDelay&gt;=1,BV38*ProviderShare,BV39*ProviderShare)</f>
        <v/>
      </c>
      <c r="CA39" s="12">
        <f>BS39*PaymentFee</f>
        <v/>
      </c>
      <c r="CB39" s="12">
        <f>BM39*OpsAI</f>
        <v/>
      </c>
      <c r="CC39" s="12">
        <f>MonthlyFixed</f>
        <v/>
      </c>
      <c r="CD39" s="12">
        <f>BA39*ReferralReward</f>
        <v/>
      </c>
      <c r="CE39" s="12">
        <f>AY39</f>
        <v/>
      </c>
      <c r="CF39" s="9">
        <f>BV39-BZ39-CA39-CB39-CC39-CD39-CE39</f>
        <v/>
      </c>
      <c r="CG39" s="9">
        <f>CG38+BS39-(BZ39+CA39+CB39+CC39+CD39+CE39+BX39)</f>
        <v/>
      </c>
      <c r="CH39" s="12">
        <f>IF(BM39&gt;0,BN39/BM39,0)</f>
        <v/>
      </c>
      <c r="CI39" s="11">
        <f>IF(BM38&gt;0,MAX(0,(BM38+BB39-BM39)/BM38),0)</f>
        <v/>
      </c>
      <c r="CK39" s="12" t="n">
        <v>35</v>
      </c>
      <c r="CL39" s="12">
        <f>MOD(CK39-1+LaunchMonth-1,12)+1</f>
        <v/>
      </c>
      <c r="CM39" s="12">
        <f>INT((CK39-1+LaunchMonth-1)/12)+1</f>
        <v/>
      </c>
      <c r="CN39" s="12">
        <f>VLOOKUP(CL39,SeasonTable,2,FALSE)</f>
        <v/>
      </c>
      <c r="CO39" s="12">
        <f>(1+InflationRate)^INT((CK39-1)/12)</f>
        <v/>
      </c>
      <c r="CP39" s="11">
        <f>'Sens - Scenarios'!$D$5*VLOOKUP(CL39,ChurnSeasonTable,4,FALSE)</f>
        <v/>
      </c>
      <c r="CQ39" s="12">
        <f>MIN(MAX(MktMin19plus,DK38*MktPct19plus),MAX(0,DY38-CashBuffer))</f>
        <v/>
      </c>
      <c r="CR39" s="12">
        <f>IF(CQ39&gt;0,MAX(1,ROUND(CQ39/'Sens - Scenarios'!$D$8*CN39,0)),0)</f>
        <v/>
      </c>
      <c r="CS39" s="12">
        <f>IF(CR39&gt;0,ROUND(CR39*ReferralMix/(1-ReferralMix),0),0)</f>
        <v/>
      </c>
      <c r="CT39" s="12">
        <f>CR39+CS39</f>
        <v/>
      </c>
      <c r="CU39" s="12">
        <f>ROUND(CT39*(1-'Sens - Scenarios'!$D$7),0)</f>
        <v/>
      </c>
      <c r="CV39" s="12">
        <f>CT39-CU39</f>
        <v/>
      </c>
      <c r="CW39" s="12">
        <f>ROUND(CU39*EssentialMix,0)</f>
        <v/>
      </c>
      <c r="CX39" s="12">
        <f>CU39-CW39</f>
        <v/>
      </c>
      <c r="CY39" s="12">
        <f>ROUND(CV39*EssentialMix,0)</f>
        <v/>
      </c>
      <c r="CZ39" s="12">
        <f>CV39-CY39</f>
        <v/>
      </c>
      <c r="DA39" s="12">
        <f>CW39+CW38+CW37+MAX(0,DA38-CW38-CW37)*(1-CP39)</f>
        <v/>
      </c>
      <c r="DB39" s="12">
        <f>CX39+CX38+CX37+MAX(0,DB38-CX38-CX37)*(1-CP39)</f>
        <v/>
      </c>
      <c r="DC39" s="12">
        <f>DC38+CY39-CY27*('Sens - Scenarios'!$D$6*VLOOKUP(CL39,ChurnSeasonTable,4,FALSE))*POWER(1-('Sens - Scenarios'!$D$6*VLOOKUP(CL39,ChurnSeasonTable,4,FALSE)),0)+CY15*('Sens - Scenarios'!$D$6*VLOOKUP(CL39,ChurnSeasonTable,4,FALSE))*POWER(1-('Sens - Scenarios'!$D$6*VLOOKUP(CL39,ChurnSeasonTable,4,FALSE)),1)</f>
        <v/>
      </c>
      <c r="DD39" s="12">
        <f>DD38+CZ39-CZ27*('Sens - Scenarios'!$D$6*VLOOKUP(CL39,ChurnSeasonTable,4,FALSE))*POWER(1-('Sens - Scenarios'!$D$6*VLOOKUP(CL39,ChurnSeasonTable,4,FALSE)),0)+CZ15*('Sens - Scenarios'!$D$6*VLOOKUP(CL39,ChurnSeasonTable,4,FALSE))*POWER(1-('Sens - Scenarios'!$D$6*VLOOKUP(CL39,ChurnSeasonTable,4,FALSE)),1)</f>
        <v/>
      </c>
      <c r="DE39" s="12">
        <f>DA39+DB39+DC39+DD39</f>
        <v/>
      </c>
      <c r="DF39" s="9">
        <f>DA39*PriceEssMonthly*CO39+DB39*PricePremMonthly*CO39+DC39*PriceEssAnnual*CO39/12+DD39*PricePremAnnual*CO39/12</f>
        <v/>
      </c>
      <c r="DG39" s="9">
        <f>DF39*12</f>
        <v/>
      </c>
      <c r="DH39" s="12">
        <f>DA39*PriceEssMonthly*CO39+DB39*PricePremMonthly*CO39</f>
        <v/>
      </c>
      <c r="DI39" s="12">
        <f>CY39*PriceEssAnnual*CO39+CZ39*PricePremAnnual*CO39</f>
        <v/>
      </c>
      <c r="DJ39" s="12">
        <f>CY27*POWER(1-('Sens - Scenarios'!$D$6*VLOOKUP(CL39,ChurnSeasonTable,4,FALSE)),1)*PriceEssAnnual*CO39+CY15*POWER(1-('Sens - Scenarios'!$D$6*VLOOKUP(CL39,ChurnSeasonTable,4,FALSE)),2)*PriceEssAnnual*CO39+CZ27*POWER(1-('Sens - Scenarios'!$D$6*VLOOKUP(CL39,ChurnSeasonTable,4,FALSE)),1)*PricePremAnnual*CO39+CZ15*POWER(1-('Sens - Scenarios'!$D$6*VLOOKUP(CL39,ChurnSeasonTable,4,FALSE)),2)*PricePremAnnual*CO39</f>
        <v/>
      </c>
      <c r="DK39" s="9">
        <f>DH39+DI39+DJ39</f>
        <v/>
      </c>
      <c r="DL39" s="12">
        <f>SUM(DK28:DK39)</f>
        <v/>
      </c>
      <c r="DM39" s="12">
        <f>OR(DM38,DL39&gt;=VATThreshold)</f>
        <v/>
      </c>
      <c r="DN39" s="9">
        <f>IF(DM39,DK39/(1+VATRate),DK39)</f>
        <v/>
      </c>
      <c r="DO39" s="12">
        <f>DK39-DN39</f>
        <v/>
      </c>
      <c r="DP39" s="12">
        <f>IF(DM39=0,0,IF(CL39=1,SUMPRODUCT(--(($CM$5:$CM39=$CM39-1)*($CL$5:$CL39&gt;=10)*($CL$5:$CL39&lt;=12)),$DO$5:$DO39),IF(CL39=4,SUMPRODUCT(--(($CM$5:$CM39=$CM39)*($CL$5:$CL39&gt;=1)*($CL$5:$CL39&lt;=3)),$DO$5:$DO39),IF(CL39=7,SUMPRODUCT(--(($CM$5:$CM39=$CM39)*($CL$5:$CL39&gt;=4)*($CL$5:$CL39&lt;=6)),$DO$5:$DO39),IF(CL39=10,SUMPRODUCT(--(($CM$5:$CM39=$CM39)*($CL$5:$CL39&gt;=7)*($CL$5:$CL39&lt;=9)),$DO$5:$DO39),0)))))</f>
        <v/>
      </c>
      <c r="DQ39" s="12">
        <f>DQ38+DO39-DP39</f>
        <v/>
      </c>
      <c r="DR39" s="12">
        <f>IF(ProviderDelay&gt;=1,DN38*ProviderShare,DN39*ProviderShare)</f>
        <v/>
      </c>
      <c r="DS39" s="12">
        <f>DK39*PaymentFee</f>
        <v/>
      </c>
      <c r="DT39" s="12">
        <f>DE39*OpsAI</f>
        <v/>
      </c>
      <c r="DU39" s="12">
        <f>MonthlyFixed</f>
        <v/>
      </c>
      <c r="DV39" s="12">
        <f>CS39*ReferralReward</f>
        <v/>
      </c>
      <c r="DW39" s="12">
        <f>CQ39</f>
        <v/>
      </c>
      <c r="DX39" s="9">
        <f>DN39-DR39-DS39-DT39-DU39-DV39-DW39</f>
        <v/>
      </c>
      <c r="DY39" s="9">
        <f>DY38+DK39-(DR39+DS39+DT39+DU39+DV39+DW39+DP39)</f>
        <v/>
      </c>
      <c r="DZ39" s="12">
        <f>IF(DE39&gt;0,DF39/DE39,0)</f>
        <v/>
      </c>
      <c r="EA39" s="11">
        <f>IF(DE38&gt;0,MAX(0,(DE38+CT39-DE39)/DE38),0)</f>
        <v/>
      </c>
      <c r="EC39" s="12" t="n">
        <v>35</v>
      </c>
      <c r="ED39" s="12">
        <f>MOD(EC39-1+LaunchMonth-1,12)+1</f>
        <v/>
      </c>
      <c r="EE39" s="12">
        <f>INT((EC39-1+LaunchMonth-1)/12)+1</f>
        <v/>
      </c>
      <c r="EF39" s="12">
        <f>VLOOKUP(ED39,SeasonTable,2,FALSE)</f>
        <v/>
      </c>
      <c r="EG39" s="12">
        <f>(1+InflationRate)^INT((EC39-1)/12)</f>
        <v/>
      </c>
      <c r="EH39" s="11">
        <f>'Sens - Churn'!$A$13*VLOOKUP(ED39,ChurnSeasonTable,4,FALSE)</f>
        <v/>
      </c>
      <c r="EI39" s="12">
        <f>MIN(MAX(MktMin19plus,FC38*MktPct19plus),MAX(0,FQ38-CashBuffer))</f>
        <v/>
      </c>
      <c r="EJ39" s="12">
        <f>IF(EI39&gt;0,MAX(1,ROUND(EI39/CAC*EF39,0)),0)</f>
        <v/>
      </c>
      <c r="EK39" s="12">
        <f>IF(EJ39&gt;0,ROUND(EJ39*ReferralMix/(1-ReferralMix),0),0)</f>
        <v/>
      </c>
      <c r="EL39" s="12">
        <f>EJ39+EK39</f>
        <v/>
      </c>
      <c r="EM39" s="12">
        <f>ROUND(EL39*(1-AnnualMix),0)</f>
        <v/>
      </c>
      <c r="EN39" s="12">
        <f>EL39-EM39</f>
        <v/>
      </c>
      <c r="EO39" s="12">
        <f>ROUND(EM39*EssentialMix,0)</f>
        <v/>
      </c>
      <c r="EP39" s="12">
        <f>EM39-EO39</f>
        <v/>
      </c>
      <c r="EQ39" s="12">
        <f>ROUND(EN39*EssentialMix,0)</f>
        <v/>
      </c>
      <c r="ER39" s="12">
        <f>EN39-EQ39</f>
        <v/>
      </c>
      <c r="ES39" s="12">
        <f>EO39+EO38+EO37+MAX(0,ES38-EO38-EO37)*(1-EH39)</f>
        <v/>
      </c>
      <c r="ET39" s="12">
        <f>EP39+EP38+EP37+MAX(0,ET38-EP38-EP37)*(1-EH39)</f>
        <v/>
      </c>
      <c r="EU39" s="12">
        <f>EU38+EQ39-EQ27*(AnnualChurn*VLOOKUP(ED39,ChurnSeasonTable,4,FALSE))*POWER(1-(AnnualChurn*VLOOKUP(ED39,ChurnSeasonTable,4,FALSE)),0)+EQ15*(AnnualChurn*VLOOKUP(ED39,ChurnSeasonTable,4,FALSE))*POWER(1-(AnnualChurn*VLOOKUP(ED39,ChurnSeasonTable,4,FALSE)),1)</f>
        <v/>
      </c>
      <c r="EV39" s="12">
        <f>EV38+ER39-ER27*(AnnualChurn*VLOOKUP(ED39,ChurnSeasonTable,4,FALSE))*POWER(1-(AnnualChurn*VLOOKUP(ED39,ChurnSeasonTable,4,FALSE)),0)+ER15*(AnnualChurn*VLOOKUP(ED39,ChurnSeasonTable,4,FALSE))*POWER(1-(AnnualChurn*VLOOKUP(ED39,ChurnSeasonTable,4,FALSE)),1)</f>
        <v/>
      </c>
      <c r="EW39" s="12">
        <f>ES39+ET39+EU39+EV39</f>
        <v/>
      </c>
      <c r="EX39" s="9">
        <f>ES39*PriceEssMonthly*EG39+ET39*PricePremMonthly*EG39+EU39*PriceEssAnnual*EG39/12+EV39*PricePremAnnual*EG39/12</f>
        <v/>
      </c>
      <c r="EY39" s="9">
        <f>EX39*12</f>
        <v/>
      </c>
      <c r="EZ39" s="12">
        <f>ES39*PriceEssMonthly*EG39+ET39*PricePremMonthly*EG39</f>
        <v/>
      </c>
      <c r="FA39" s="12">
        <f>EQ39*PriceEssAnnual*EG39+ER39*PricePremAnnual*EG39</f>
        <v/>
      </c>
      <c r="FB39" s="12">
        <f>EQ27*POWER(1-(AnnualChurn*VLOOKUP(ED39,ChurnSeasonTable,4,FALSE)),1)*PriceEssAnnual*EG39+EQ15*POWER(1-(AnnualChurn*VLOOKUP(ED39,ChurnSeasonTable,4,FALSE)),2)*PriceEssAnnual*EG39+ER27*POWER(1-(AnnualChurn*VLOOKUP(ED39,ChurnSeasonTable,4,FALSE)),1)*PricePremAnnual*EG39+ER15*POWER(1-(AnnualChurn*VLOOKUP(ED39,ChurnSeasonTable,4,FALSE)),2)*PricePremAnnual*EG39</f>
        <v/>
      </c>
      <c r="FC39" s="9">
        <f>EZ39+FA39+FB39</f>
        <v/>
      </c>
      <c r="FD39" s="12">
        <f>SUM(FC28:FC39)</f>
        <v/>
      </c>
      <c r="FE39" s="12">
        <f>OR(FE38,FD39&gt;=VATThreshold)</f>
        <v/>
      </c>
      <c r="FF39" s="9">
        <f>IF(FE39,FC39/(1+VATRate),FC39)</f>
        <v/>
      </c>
      <c r="FG39" s="12">
        <f>FC39-FF39</f>
        <v/>
      </c>
      <c r="FH39" s="12">
        <f>IF(FE39=0,0,IF(ED39=1,SUMPRODUCT(--(($EE$5:$EE39=$EE39-1)*($ED$5:$ED39&gt;=10)*($ED$5:$ED39&lt;=12)),$FG$5:$FG39),IF(ED39=4,SUMPRODUCT(--(($EE$5:$EE39=$EE39)*($ED$5:$ED39&gt;=1)*($ED$5:$ED39&lt;=3)),$FG$5:$FG39),IF(ED39=7,SUMPRODUCT(--(($EE$5:$EE39=$EE39)*($ED$5:$ED39&gt;=4)*($ED$5:$ED39&lt;=6)),$FG$5:$FG39),IF(ED39=10,SUMPRODUCT(--(($EE$5:$EE39=$EE39)*($ED$5:$ED39&gt;=7)*($ED$5:$ED39&lt;=9)),$FG$5:$FG39),0)))))</f>
        <v/>
      </c>
      <c r="FI39" s="12">
        <f>FI38+FG39-FH39</f>
        <v/>
      </c>
      <c r="FJ39" s="12">
        <f>IF(ProviderDelay&gt;=1,FF38*ProviderShare,FF39*ProviderShare)</f>
        <v/>
      </c>
      <c r="FK39" s="12">
        <f>FC39*PaymentFee</f>
        <v/>
      </c>
      <c r="FL39" s="12">
        <f>EW39*OpsAI</f>
        <v/>
      </c>
      <c r="FM39" s="12">
        <f>MonthlyFixed</f>
        <v/>
      </c>
      <c r="FN39" s="12">
        <f>EK39*ReferralReward</f>
        <v/>
      </c>
      <c r="FO39" s="12">
        <f>EI39</f>
        <v/>
      </c>
      <c r="FP39" s="9">
        <f>FF39-FJ39-FK39-FL39-FM39-FN39-FO39</f>
        <v/>
      </c>
      <c r="FQ39" s="9">
        <f>FQ38+FC39-(FJ39+FK39+FL39+FM39+FN39+FO39+FH39)</f>
        <v/>
      </c>
      <c r="FR39" s="12">
        <f>IF(EW39&gt;0,EX39/EW39,0)</f>
        <v/>
      </c>
      <c r="FS39" s="11">
        <f>IF(EW38&gt;0,MAX(0,(EW38+EL39-EW39)/EW38),0)</f>
        <v/>
      </c>
      <c r="FU39" s="12" t="n">
        <v>35</v>
      </c>
      <c r="FV39" s="12">
        <f>MOD(FU39-1+LaunchMonth-1,12)+1</f>
        <v/>
      </c>
      <c r="FW39" s="12">
        <f>INT((FU39-1+LaunchMonth-1)/12)+1</f>
        <v/>
      </c>
      <c r="FX39" s="12">
        <f>VLOOKUP(FV39,SeasonTable,2,FALSE)</f>
        <v/>
      </c>
      <c r="FY39" s="12">
        <f>(1+InflationRate)^INT((FU39-1)/12)</f>
        <v/>
      </c>
      <c r="FZ39" s="11">
        <f>'Sens - Churn'!$A$14*VLOOKUP(FV39,ChurnSeasonTable,4,FALSE)</f>
        <v/>
      </c>
      <c r="GA39" s="12">
        <f>MIN(MAX(MktMin19plus,GU38*MktPct19plus),MAX(0,HI38-CashBuffer))</f>
        <v/>
      </c>
      <c r="GB39" s="12">
        <f>IF(GA39&gt;0,MAX(1,ROUND(GA39/CAC*FX39,0)),0)</f>
        <v/>
      </c>
      <c r="GC39" s="12">
        <f>IF(GB39&gt;0,ROUND(GB39*ReferralMix/(1-ReferralMix),0),0)</f>
        <v/>
      </c>
      <c r="GD39" s="12">
        <f>GB39+GC39</f>
        <v/>
      </c>
      <c r="GE39" s="12">
        <f>ROUND(GD39*(1-AnnualMix),0)</f>
        <v/>
      </c>
      <c r="GF39" s="12">
        <f>GD39-GE39</f>
        <v/>
      </c>
      <c r="GG39" s="12">
        <f>ROUND(GE39*EssentialMix,0)</f>
        <v/>
      </c>
      <c r="GH39" s="12">
        <f>GE39-GG39</f>
        <v/>
      </c>
      <c r="GI39" s="12">
        <f>ROUND(GF39*EssentialMix,0)</f>
        <v/>
      </c>
      <c r="GJ39" s="12">
        <f>GF39-GI39</f>
        <v/>
      </c>
      <c r="GK39" s="12">
        <f>GG39+GG38+GG37+MAX(0,GK38-GG38-GG37)*(1-FZ39)</f>
        <v/>
      </c>
      <c r="GL39" s="12">
        <f>GH39+GH38+GH37+MAX(0,GL38-GH38-GH37)*(1-FZ39)</f>
        <v/>
      </c>
      <c r="GM39" s="12">
        <f>GM38+GI39-GI27*(AnnualChurn*VLOOKUP(FV39,ChurnSeasonTable,4,FALSE))*POWER(1-(AnnualChurn*VLOOKUP(FV39,ChurnSeasonTable,4,FALSE)),0)+GI15*(AnnualChurn*VLOOKUP(FV39,ChurnSeasonTable,4,FALSE))*POWER(1-(AnnualChurn*VLOOKUP(FV39,ChurnSeasonTable,4,FALSE)),1)</f>
        <v/>
      </c>
      <c r="GN39" s="12">
        <f>GN38+GJ39-GJ27*(AnnualChurn*VLOOKUP(FV39,ChurnSeasonTable,4,FALSE))*POWER(1-(AnnualChurn*VLOOKUP(FV39,ChurnSeasonTable,4,FALSE)),0)+GJ15*(AnnualChurn*VLOOKUP(FV39,ChurnSeasonTable,4,FALSE))*POWER(1-(AnnualChurn*VLOOKUP(FV39,ChurnSeasonTable,4,FALSE)),1)</f>
        <v/>
      </c>
      <c r="GO39" s="12">
        <f>GK39+GL39+GM39+GN39</f>
        <v/>
      </c>
      <c r="GP39" s="9">
        <f>GK39*PriceEssMonthly*FY39+GL39*PricePremMonthly*FY39+GM39*PriceEssAnnual*FY39/12+GN39*PricePremAnnual*FY39/12</f>
        <v/>
      </c>
      <c r="GQ39" s="9">
        <f>GP39*12</f>
        <v/>
      </c>
      <c r="GR39" s="12">
        <f>GK39*PriceEssMonthly*FY39+GL39*PricePremMonthly*FY39</f>
        <v/>
      </c>
      <c r="GS39" s="12">
        <f>GI39*PriceEssAnnual*FY39+GJ39*PricePremAnnual*FY39</f>
        <v/>
      </c>
      <c r="GT39" s="12">
        <f>GI27*POWER(1-(AnnualChurn*VLOOKUP(FV39,ChurnSeasonTable,4,FALSE)),1)*PriceEssAnnual*FY39+GI15*POWER(1-(AnnualChurn*VLOOKUP(FV39,ChurnSeasonTable,4,FALSE)),2)*PriceEssAnnual*FY39+GJ27*POWER(1-(AnnualChurn*VLOOKUP(FV39,ChurnSeasonTable,4,FALSE)),1)*PricePremAnnual*FY39+GJ15*POWER(1-(AnnualChurn*VLOOKUP(FV39,ChurnSeasonTable,4,FALSE)),2)*PricePremAnnual*FY39</f>
        <v/>
      </c>
      <c r="GU39" s="9">
        <f>GR39+GS39+GT39</f>
        <v/>
      </c>
      <c r="GV39" s="12">
        <f>SUM(GU28:GU39)</f>
        <v/>
      </c>
      <c r="GW39" s="12">
        <f>OR(GW38,GV39&gt;=VATThreshold)</f>
        <v/>
      </c>
      <c r="GX39" s="9">
        <f>IF(GW39,GU39/(1+VATRate),GU39)</f>
        <v/>
      </c>
      <c r="GY39" s="12">
        <f>GU39-GX39</f>
        <v/>
      </c>
      <c r="GZ39" s="12">
        <f>IF(GW39=0,0,IF(FV39=1,SUMPRODUCT(--(($FW$5:$FW39=$FW39-1)*($FV$5:$FV39&gt;=10)*($FV$5:$FV39&lt;=12)),$GY$5:$GY39),IF(FV39=4,SUMPRODUCT(--(($FW$5:$FW39=$FW39)*($FV$5:$FV39&gt;=1)*($FV$5:$FV39&lt;=3)),$GY$5:$GY39),IF(FV39=7,SUMPRODUCT(--(($FW$5:$FW39=$FW39)*($FV$5:$FV39&gt;=4)*($FV$5:$FV39&lt;=6)),$GY$5:$GY39),IF(FV39=10,SUMPRODUCT(--(($FW$5:$FW39=$FW39)*($FV$5:$FV39&gt;=7)*($FV$5:$FV39&lt;=9)),$GY$5:$GY39),0)))))</f>
        <v/>
      </c>
      <c r="HA39" s="12">
        <f>HA38+GY39-GZ39</f>
        <v/>
      </c>
      <c r="HB39" s="12">
        <f>IF(ProviderDelay&gt;=1,GX38*ProviderShare,GX39*ProviderShare)</f>
        <v/>
      </c>
      <c r="HC39" s="12">
        <f>GU39*PaymentFee</f>
        <v/>
      </c>
      <c r="HD39" s="12">
        <f>GO39*OpsAI</f>
        <v/>
      </c>
      <c r="HE39" s="12">
        <f>MonthlyFixed</f>
        <v/>
      </c>
      <c r="HF39" s="12">
        <f>GC39*ReferralReward</f>
        <v/>
      </c>
      <c r="HG39" s="12">
        <f>GA39</f>
        <v/>
      </c>
      <c r="HH39" s="9">
        <f>GX39-HB39-HC39-HD39-HE39-HF39-HG39</f>
        <v/>
      </c>
      <c r="HI39" s="9">
        <f>HI38+GU39-(HB39+HC39+HD39+HE39+HF39+HG39+GZ39)</f>
        <v/>
      </c>
      <c r="HJ39" s="12">
        <f>IF(GO39&gt;0,GP39/GO39,0)</f>
        <v/>
      </c>
      <c r="HK39" s="11">
        <f>IF(GO38&gt;0,MAX(0,(GO38+GD39-GO39)/GO38),0)</f>
        <v/>
      </c>
      <c r="HM39" s="12" t="n">
        <v>35</v>
      </c>
      <c r="HN39" s="12">
        <f>MOD(HM39-1+LaunchMonth-1,12)+1</f>
        <v/>
      </c>
      <c r="HO39" s="12">
        <f>INT((HM39-1+LaunchMonth-1)/12)+1</f>
        <v/>
      </c>
      <c r="HP39" s="12">
        <f>VLOOKUP(HN39,SeasonTable,2,FALSE)</f>
        <v/>
      </c>
      <c r="HQ39" s="12">
        <f>(1+InflationRate)^INT((HM39-1)/12)</f>
        <v/>
      </c>
      <c r="HR39" s="11">
        <f>'Sens - Churn'!$A$15*VLOOKUP(HN39,ChurnSeasonTable,4,FALSE)</f>
        <v/>
      </c>
      <c r="HS39" s="12">
        <f>MIN(MAX(MktMin19plus,IM38*MktPct19plus),MAX(0,JA38-CashBuffer))</f>
        <v/>
      </c>
      <c r="HT39" s="12">
        <f>IF(HS39&gt;0,MAX(1,ROUND(HS39/CAC*HP39,0)),0)</f>
        <v/>
      </c>
      <c r="HU39" s="12">
        <f>IF(HT39&gt;0,ROUND(HT39*ReferralMix/(1-ReferralMix),0),0)</f>
        <v/>
      </c>
      <c r="HV39" s="12">
        <f>HT39+HU39</f>
        <v/>
      </c>
      <c r="HW39" s="12">
        <f>ROUND(HV39*(1-AnnualMix),0)</f>
        <v/>
      </c>
      <c r="HX39" s="12">
        <f>HV39-HW39</f>
        <v/>
      </c>
      <c r="HY39" s="12">
        <f>ROUND(HW39*EssentialMix,0)</f>
        <v/>
      </c>
      <c r="HZ39" s="12">
        <f>HW39-HY39</f>
        <v/>
      </c>
      <c r="IA39" s="12">
        <f>ROUND(HX39*EssentialMix,0)</f>
        <v/>
      </c>
      <c r="IB39" s="12">
        <f>HX39-IA39</f>
        <v/>
      </c>
      <c r="IC39" s="12">
        <f>HY39+HY38+HY37+MAX(0,IC38-HY38-HY37)*(1-HR39)</f>
        <v/>
      </c>
      <c r="ID39" s="12">
        <f>HZ39+HZ38+HZ37+MAX(0,ID38-HZ38-HZ37)*(1-HR39)</f>
        <v/>
      </c>
      <c r="IE39" s="12">
        <f>IE38+IA39-IA27*(AnnualChurn*VLOOKUP(HN39,ChurnSeasonTable,4,FALSE))*POWER(1-(AnnualChurn*VLOOKUP(HN39,ChurnSeasonTable,4,FALSE)),0)+IA15*(AnnualChurn*VLOOKUP(HN39,ChurnSeasonTable,4,FALSE))*POWER(1-(AnnualChurn*VLOOKUP(HN39,ChurnSeasonTable,4,FALSE)),1)</f>
        <v/>
      </c>
      <c r="IF39" s="12">
        <f>IF38+IB39-IB27*(AnnualChurn*VLOOKUP(HN39,ChurnSeasonTable,4,FALSE))*POWER(1-(AnnualChurn*VLOOKUP(HN39,ChurnSeasonTable,4,FALSE)),0)+IB15*(AnnualChurn*VLOOKUP(HN39,ChurnSeasonTable,4,FALSE))*POWER(1-(AnnualChurn*VLOOKUP(HN39,ChurnSeasonTable,4,FALSE)),1)</f>
        <v/>
      </c>
      <c r="IG39" s="12">
        <f>IC39+ID39+IE39+IF39</f>
        <v/>
      </c>
      <c r="IH39" s="9">
        <f>IC39*PriceEssMonthly*HQ39+ID39*PricePremMonthly*HQ39+IE39*PriceEssAnnual*HQ39/12+IF39*PricePremAnnual*HQ39/12</f>
        <v/>
      </c>
      <c r="II39" s="9">
        <f>IH39*12</f>
        <v/>
      </c>
      <c r="IJ39" s="12">
        <f>IC39*PriceEssMonthly*HQ39+ID39*PricePremMonthly*HQ39</f>
        <v/>
      </c>
      <c r="IK39" s="12">
        <f>IA39*PriceEssAnnual*HQ39+IB39*PricePremAnnual*HQ39</f>
        <v/>
      </c>
      <c r="IL39" s="12">
        <f>IA27*POWER(1-(AnnualChurn*VLOOKUP(HN39,ChurnSeasonTable,4,FALSE)),1)*PriceEssAnnual*HQ39+IA15*POWER(1-(AnnualChurn*VLOOKUP(HN39,ChurnSeasonTable,4,FALSE)),2)*PriceEssAnnual*HQ39+IB27*POWER(1-(AnnualChurn*VLOOKUP(HN39,ChurnSeasonTable,4,FALSE)),1)*PricePremAnnual*HQ39+IB15*POWER(1-(AnnualChurn*VLOOKUP(HN39,ChurnSeasonTable,4,FALSE)),2)*PricePremAnnual*HQ39</f>
        <v/>
      </c>
      <c r="IM39" s="9">
        <f>IJ39+IK39+IL39</f>
        <v/>
      </c>
      <c r="IN39" s="12">
        <f>SUM(IM28:IM39)</f>
        <v/>
      </c>
      <c r="IO39" s="12">
        <f>OR(IO38,IN39&gt;=VATThreshold)</f>
        <v/>
      </c>
      <c r="IP39" s="9">
        <f>IF(IO39,IM39/(1+VATRate),IM39)</f>
        <v/>
      </c>
      <c r="IQ39" s="12">
        <f>IM39-IP39</f>
        <v/>
      </c>
      <c r="IR39" s="12">
        <f>IF(IO39=0,0,IF(HN39=1,SUMPRODUCT(--(($HO$5:$HO39=$HO39-1)*($HN$5:$HN39&gt;=10)*($HN$5:$HN39&lt;=12)),$IQ$5:$IQ39),IF(HN39=4,SUMPRODUCT(--(($HO$5:$HO39=$HO39)*($HN$5:$HN39&gt;=1)*($HN$5:$HN39&lt;=3)),$IQ$5:$IQ39),IF(HN39=7,SUMPRODUCT(--(($HO$5:$HO39=$HO39)*($HN$5:$HN39&gt;=4)*($HN$5:$HN39&lt;=6)),$IQ$5:$IQ39),IF(HN39=10,SUMPRODUCT(--(($HO$5:$HO39=$HO39)*($HN$5:$HN39&gt;=7)*($HN$5:$HN39&lt;=9)),$IQ$5:$IQ39),0)))))</f>
        <v/>
      </c>
      <c r="IS39" s="12">
        <f>IS38+IQ39-IR39</f>
        <v/>
      </c>
      <c r="IT39" s="12">
        <f>IF(ProviderDelay&gt;=1,IP38*ProviderShare,IP39*ProviderShare)</f>
        <v/>
      </c>
      <c r="IU39" s="12">
        <f>IM39*PaymentFee</f>
        <v/>
      </c>
      <c r="IV39" s="12">
        <f>IG39*OpsAI</f>
        <v/>
      </c>
      <c r="IW39" s="12">
        <f>MonthlyFixed</f>
        <v/>
      </c>
      <c r="IX39" s="12">
        <f>HU39*ReferralReward</f>
        <v/>
      </c>
      <c r="IY39" s="12">
        <f>HS39</f>
        <v/>
      </c>
      <c r="IZ39" s="9">
        <f>IP39-IT39-IU39-IV39-IW39-IX39-IY39</f>
        <v/>
      </c>
      <c r="JA39" s="9">
        <f>JA38+IM39-(IT39+IU39+IV39+IW39+IX39+IY39+IR39)</f>
        <v/>
      </c>
      <c r="JB39" s="12">
        <f>IF(IG39&gt;0,IH39/IG39,0)</f>
        <v/>
      </c>
      <c r="JC39" s="11">
        <f>IF(IG38&gt;0,MAX(0,(IG38+HV39-IG39)/IG38),0)</f>
        <v/>
      </c>
      <c r="JE39" s="12" t="n">
        <v>35</v>
      </c>
      <c r="JF39" s="12">
        <f>MOD(JE39-1+LaunchMonth-1,12)+1</f>
        <v/>
      </c>
      <c r="JG39" s="12">
        <f>INT((JE39-1+LaunchMonth-1)/12)+1</f>
        <v/>
      </c>
      <c r="JH39" s="12">
        <f>VLOOKUP(JF39,SeasonTable,2,FALSE)</f>
        <v/>
      </c>
      <c r="JI39" s="12">
        <f>(1+InflationRate)^INT((JE39-1)/12)</f>
        <v/>
      </c>
      <c r="JJ39" s="11">
        <f>'Sens - Churn'!$A$16*VLOOKUP(JF39,ChurnSeasonTable,4,FALSE)</f>
        <v/>
      </c>
      <c r="JK39" s="12">
        <f>MIN(MAX(MktMin19plus,KE38*MktPct19plus),MAX(0,KS38-CashBuffer))</f>
        <v/>
      </c>
      <c r="JL39" s="12">
        <f>IF(JK39&gt;0,MAX(1,ROUND(JK39/CAC*JH39,0)),0)</f>
        <v/>
      </c>
      <c r="JM39" s="12">
        <f>IF(JL39&gt;0,ROUND(JL39*ReferralMix/(1-ReferralMix),0),0)</f>
        <v/>
      </c>
      <c r="JN39" s="12">
        <f>JL39+JM39</f>
        <v/>
      </c>
      <c r="JO39" s="12">
        <f>ROUND(JN39*(1-AnnualMix),0)</f>
        <v/>
      </c>
      <c r="JP39" s="12">
        <f>JN39-JO39</f>
        <v/>
      </c>
      <c r="JQ39" s="12">
        <f>ROUND(JO39*EssentialMix,0)</f>
        <v/>
      </c>
      <c r="JR39" s="12">
        <f>JO39-JQ39</f>
        <v/>
      </c>
      <c r="JS39" s="12">
        <f>ROUND(JP39*EssentialMix,0)</f>
        <v/>
      </c>
      <c r="JT39" s="12">
        <f>JP39-JS39</f>
        <v/>
      </c>
      <c r="JU39" s="12">
        <f>JQ39+JQ38+JQ37+MAX(0,JU38-JQ38-JQ37)*(1-JJ39)</f>
        <v/>
      </c>
      <c r="JV39" s="12">
        <f>JR39+JR38+JR37+MAX(0,JV38-JR38-JR37)*(1-JJ39)</f>
        <v/>
      </c>
      <c r="JW39" s="12">
        <f>JW38+JS39-JS27*(AnnualChurn*VLOOKUP(JF39,ChurnSeasonTable,4,FALSE))*POWER(1-(AnnualChurn*VLOOKUP(JF39,ChurnSeasonTable,4,FALSE)),0)+JS15*(AnnualChurn*VLOOKUP(JF39,ChurnSeasonTable,4,FALSE))*POWER(1-(AnnualChurn*VLOOKUP(JF39,ChurnSeasonTable,4,FALSE)),1)</f>
        <v/>
      </c>
      <c r="JX39" s="12">
        <f>JX38+JT39-JT27*(AnnualChurn*VLOOKUP(JF39,ChurnSeasonTable,4,FALSE))*POWER(1-(AnnualChurn*VLOOKUP(JF39,ChurnSeasonTable,4,FALSE)),0)+JT15*(AnnualChurn*VLOOKUP(JF39,ChurnSeasonTable,4,FALSE))*POWER(1-(AnnualChurn*VLOOKUP(JF39,ChurnSeasonTable,4,FALSE)),1)</f>
        <v/>
      </c>
      <c r="JY39" s="12">
        <f>JU39+JV39+JW39+JX39</f>
        <v/>
      </c>
      <c r="JZ39" s="9">
        <f>JU39*PriceEssMonthly*JI39+JV39*PricePremMonthly*JI39+JW39*PriceEssAnnual*JI39/12+JX39*PricePremAnnual*JI39/12</f>
        <v/>
      </c>
      <c r="KA39" s="9">
        <f>JZ39*12</f>
        <v/>
      </c>
      <c r="KB39" s="12">
        <f>JU39*PriceEssMonthly*JI39+JV39*PricePremMonthly*JI39</f>
        <v/>
      </c>
      <c r="KC39" s="12">
        <f>JS39*PriceEssAnnual*JI39+JT39*PricePremAnnual*JI39</f>
        <v/>
      </c>
      <c r="KD39" s="12">
        <f>JS27*POWER(1-(AnnualChurn*VLOOKUP(JF39,ChurnSeasonTable,4,FALSE)),1)*PriceEssAnnual*JI39+JS15*POWER(1-(AnnualChurn*VLOOKUP(JF39,ChurnSeasonTable,4,FALSE)),2)*PriceEssAnnual*JI39+JT27*POWER(1-(AnnualChurn*VLOOKUP(JF39,ChurnSeasonTable,4,FALSE)),1)*PricePremAnnual*JI39+JT15*POWER(1-(AnnualChurn*VLOOKUP(JF39,ChurnSeasonTable,4,FALSE)),2)*PricePremAnnual*JI39</f>
        <v/>
      </c>
      <c r="KE39" s="9">
        <f>KB39+KC39+KD39</f>
        <v/>
      </c>
      <c r="KF39" s="12">
        <f>SUM(KE28:KE39)</f>
        <v/>
      </c>
      <c r="KG39" s="12">
        <f>OR(KG38,KF39&gt;=VATThreshold)</f>
        <v/>
      </c>
      <c r="KH39" s="9">
        <f>IF(KG39,KE39/(1+VATRate),KE39)</f>
        <v/>
      </c>
      <c r="KI39" s="12">
        <f>KE39-KH39</f>
        <v/>
      </c>
      <c r="KJ39" s="12">
        <f>IF(KG39=0,0,IF(JF39=1,SUMPRODUCT(--(($JG$5:$JG39=$JG39-1)*($JF$5:$JF39&gt;=10)*($JF$5:$JF39&lt;=12)),$KI$5:$KI39),IF(JF39=4,SUMPRODUCT(--(($JG$5:$JG39=$JG39)*($JF$5:$JF39&gt;=1)*($JF$5:$JF39&lt;=3)),$KI$5:$KI39),IF(JF39=7,SUMPRODUCT(--(($JG$5:$JG39=$JG39)*($JF$5:$JF39&gt;=4)*($JF$5:$JF39&lt;=6)),$KI$5:$KI39),IF(JF39=10,SUMPRODUCT(--(($JG$5:$JG39=$JG39)*($JF$5:$JF39&gt;=7)*($JF$5:$JF39&lt;=9)),$KI$5:$KI39),0)))))</f>
        <v/>
      </c>
      <c r="KK39" s="12">
        <f>KK38+KI39-KJ39</f>
        <v/>
      </c>
      <c r="KL39" s="12">
        <f>IF(ProviderDelay&gt;=1,KH38*ProviderShare,KH39*ProviderShare)</f>
        <v/>
      </c>
      <c r="KM39" s="12">
        <f>KE39*PaymentFee</f>
        <v/>
      </c>
      <c r="KN39" s="12">
        <f>JY39*OpsAI</f>
        <v/>
      </c>
      <c r="KO39" s="12">
        <f>MonthlyFixed</f>
        <v/>
      </c>
      <c r="KP39" s="12">
        <f>JM39*ReferralReward</f>
        <v/>
      </c>
      <c r="KQ39" s="12">
        <f>JK39</f>
        <v/>
      </c>
      <c r="KR39" s="9">
        <f>KH39-KL39-KM39-KN39-KO39-KP39-KQ39</f>
        <v/>
      </c>
      <c r="KS39" s="9">
        <f>KS38+KE39-(KL39+KM39+KN39+KO39+KP39+KQ39+KJ39)</f>
        <v/>
      </c>
      <c r="KT39" s="12">
        <f>IF(JY39&gt;0,JZ39/JY39,0)</f>
        <v/>
      </c>
      <c r="KU39" s="11">
        <f>IF(JY38&gt;0,MAX(0,(JY38+JN39-JY39)/JY38),0)</f>
        <v/>
      </c>
      <c r="KW39" s="12" t="n">
        <v>35</v>
      </c>
      <c r="KX39" s="12">
        <f>MOD(KW39-1+LaunchMonth-1,12)+1</f>
        <v/>
      </c>
      <c r="KY39" s="12">
        <f>INT((KW39-1+LaunchMonth-1)/12)+1</f>
        <v/>
      </c>
      <c r="KZ39" s="12">
        <f>VLOOKUP(KX39,SeasonTable,2,FALSE)</f>
        <v/>
      </c>
      <c r="LA39" s="12">
        <f>(1+InflationRate)^INT((KW39-1)/12)</f>
        <v/>
      </c>
      <c r="LB39" s="11">
        <f>'Sens - Churn'!$A$17*VLOOKUP(KX39,ChurnSeasonTable,4,FALSE)</f>
        <v/>
      </c>
      <c r="LC39" s="12">
        <f>MIN(MAX(MktMin19plus,LW38*MktPct19plus),MAX(0,MK38-CashBuffer))</f>
        <v/>
      </c>
      <c r="LD39" s="12">
        <f>IF(LC39&gt;0,MAX(1,ROUND(LC39/CAC*KZ39,0)),0)</f>
        <v/>
      </c>
      <c r="LE39" s="12">
        <f>IF(LD39&gt;0,ROUND(LD39*ReferralMix/(1-ReferralMix),0),0)</f>
        <v/>
      </c>
      <c r="LF39" s="12">
        <f>LD39+LE39</f>
        <v/>
      </c>
      <c r="LG39" s="12">
        <f>ROUND(LF39*(1-AnnualMix),0)</f>
        <v/>
      </c>
      <c r="LH39" s="12">
        <f>LF39-LG39</f>
        <v/>
      </c>
      <c r="LI39" s="12">
        <f>ROUND(LG39*EssentialMix,0)</f>
        <v/>
      </c>
      <c r="LJ39" s="12">
        <f>LG39-LI39</f>
        <v/>
      </c>
      <c r="LK39" s="12">
        <f>ROUND(LH39*EssentialMix,0)</f>
        <v/>
      </c>
      <c r="LL39" s="12">
        <f>LH39-LK39</f>
        <v/>
      </c>
      <c r="LM39" s="12">
        <f>LI39+LI38+LI37+MAX(0,LM38-LI38-LI37)*(1-LB39)</f>
        <v/>
      </c>
      <c r="LN39" s="12">
        <f>LJ39+LJ38+LJ37+MAX(0,LN38-LJ38-LJ37)*(1-LB39)</f>
        <v/>
      </c>
      <c r="LO39" s="12">
        <f>LO38+LK39-LK27*(AnnualChurn*VLOOKUP(KX39,ChurnSeasonTable,4,FALSE))*POWER(1-(AnnualChurn*VLOOKUP(KX39,ChurnSeasonTable,4,FALSE)),0)+LK15*(AnnualChurn*VLOOKUP(KX39,ChurnSeasonTable,4,FALSE))*POWER(1-(AnnualChurn*VLOOKUP(KX39,ChurnSeasonTable,4,FALSE)),1)</f>
        <v/>
      </c>
      <c r="LP39" s="12">
        <f>LP38+LL39-LL27*(AnnualChurn*VLOOKUP(KX39,ChurnSeasonTable,4,FALSE))*POWER(1-(AnnualChurn*VLOOKUP(KX39,ChurnSeasonTable,4,FALSE)),0)+LL15*(AnnualChurn*VLOOKUP(KX39,ChurnSeasonTable,4,FALSE))*POWER(1-(AnnualChurn*VLOOKUP(KX39,ChurnSeasonTable,4,FALSE)),1)</f>
        <v/>
      </c>
      <c r="LQ39" s="12">
        <f>LM39+LN39+LO39+LP39</f>
        <v/>
      </c>
      <c r="LR39" s="9">
        <f>LM39*PriceEssMonthly*LA39+LN39*PricePremMonthly*LA39+LO39*PriceEssAnnual*LA39/12+LP39*PricePremAnnual*LA39/12</f>
        <v/>
      </c>
      <c r="LS39" s="9">
        <f>LR39*12</f>
        <v/>
      </c>
      <c r="LT39" s="12">
        <f>LM39*PriceEssMonthly*LA39+LN39*PricePremMonthly*LA39</f>
        <v/>
      </c>
      <c r="LU39" s="12">
        <f>LK39*PriceEssAnnual*LA39+LL39*PricePremAnnual*LA39</f>
        <v/>
      </c>
      <c r="LV39" s="12">
        <f>LK27*POWER(1-(AnnualChurn*VLOOKUP(KX39,ChurnSeasonTable,4,FALSE)),1)*PriceEssAnnual*LA39+LK15*POWER(1-(AnnualChurn*VLOOKUP(KX39,ChurnSeasonTable,4,FALSE)),2)*PriceEssAnnual*LA39+LL27*POWER(1-(AnnualChurn*VLOOKUP(KX39,ChurnSeasonTable,4,FALSE)),1)*PricePremAnnual*LA39+LL15*POWER(1-(AnnualChurn*VLOOKUP(KX39,ChurnSeasonTable,4,FALSE)),2)*PricePremAnnual*LA39</f>
        <v/>
      </c>
      <c r="LW39" s="9">
        <f>LT39+LU39+LV39</f>
        <v/>
      </c>
      <c r="LX39" s="12">
        <f>SUM(LW28:LW39)</f>
        <v/>
      </c>
      <c r="LY39" s="12">
        <f>OR(LY38,LX39&gt;=VATThreshold)</f>
        <v/>
      </c>
      <c r="LZ39" s="9">
        <f>IF(LY39,LW39/(1+VATRate),LW39)</f>
        <v/>
      </c>
      <c r="MA39" s="12">
        <f>LW39-LZ39</f>
        <v/>
      </c>
      <c r="MB39" s="12">
        <f>IF(LY39=0,0,IF(KX39=1,SUMPRODUCT(--(($KY$5:$KY39=$KY39-1)*($KX$5:$KX39&gt;=10)*($KX$5:$KX39&lt;=12)),$MA$5:$MA39),IF(KX39=4,SUMPRODUCT(--(($KY$5:$KY39=$KY39)*($KX$5:$KX39&gt;=1)*($KX$5:$KX39&lt;=3)),$MA$5:$MA39),IF(KX39=7,SUMPRODUCT(--(($KY$5:$KY39=$KY39)*($KX$5:$KX39&gt;=4)*($KX$5:$KX39&lt;=6)),$MA$5:$MA39),IF(KX39=10,SUMPRODUCT(--(($KY$5:$KY39=$KY39)*($KX$5:$KX39&gt;=7)*($KX$5:$KX39&lt;=9)),$MA$5:$MA39),0)))))</f>
        <v/>
      </c>
      <c r="MC39" s="12">
        <f>MC38+MA39-MB39</f>
        <v/>
      </c>
      <c r="MD39" s="12">
        <f>IF(ProviderDelay&gt;=1,LZ38*ProviderShare,LZ39*ProviderShare)</f>
        <v/>
      </c>
      <c r="ME39" s="12">
        <f>LW39*PaymentFee</f>
        <v/>
      </c>
      <c r="MF39" s="12">
        <f>LQ39*OpsAI</f>
        <v/>
      </c>
      <c r="MG39" s="12">
        <f>MonthlyFixed</f>
        <v/>
      </c>
      <c r="MH39" s="12">
        <f>LE39*ReferralReward</f>
        <v/>
      </c>
      <c r="MI39" s="12">
        <f>LC39</f>
        <v/>
      </c>
      <c r="MJ39" s="9">
        <f>LZ39-MD39-ME39-MF39-MG39-MH39-MI39</f>
        <v/>
      </c>
      <c r="MK39" s="9">
        <f>MK38+LW39-(MD39+ME39+MF39+MG39+MH39+MI39+MB39)</f>
        <v/>
      </c>
      <c r="ML39" s="12">
        <f>IF(LQ39&gt;0,LR39/LQ39,0)</f>
        <v/>
      </c>
      <c r="MM39" s="11">
        <f>IF(LQ38&gt;0,MAX(0,(LQ38+LF39-LQ39)/LQ38),0)</f>
        <v/>
      </c>
      <c r="MO39" s="12" t="n">
        <v>35</v>
      </c>
      <c r="MP39" s="12">
        <f>MOD(MO39-1+LaunchMonth-1,12)+1</f>
        <v/>
      </c>
      <c r="MQ39" s="12">
        <f>INT((MO39-1+LaunchMonth-1)/12)+1</f>
        <v/>
      </c>
      <c r="MR39" s="12">
        <f>VLOOKUP(MP39,SeasonTable,2,FALSE)</f>
        <v/>
      </c>
      <c r="MS39" s="12">
        <f>(1+InflationRate)^INT((MO39-1)/12)</f>
        <v/>
      </c>
      <c r="MT39" s="11">
        <f>'Sens - Churn'!$A$18*VLOOKUP(MP39,ChurnSeasonTable,4,FALSE)</f>
        <v/>
      </c>
      <c r="MU39" s="12">
        <f>MIN(MAX(MktMin19plus,NO38*MktPct19plus),MAX(0,OC38-CashBuffer))</f>
        <v/>
      </c>
      <c r="MV39" s="12">
        <f>IF(MU39&gt;0,MAX(1,ROUND(MU39/CAC*MR39,0)),0)</f>
        <v/>
      </c>
      <c r="MW39" s="12">
        <f>IF(MV39&gt;0,ROUND(MV39*ReferralMix/(1-ReferralMix),0),0)</f>
        <v/>
      </c>
      <c r="MX39" s="12">
        <f>MV39+MW39</f>
        <v/>
      </c>
      <c r="MY39" s="12">
        <f>ROUND(MX39*(1-AnnualMix),0)</f>
        <v/>
      </c>
      <c r="MZ39" s="12">
        <f>MX39-MY39</f>
        <v/>
      </c>
      <c r="NA39" s="12">
        <f>ROUND(MY39*EssentialMix,0)</f>
        <v/>
      </c>
      <c r="NB39" s="12">
        <f>MY39-NA39</f>
        <v/>
      </c>
      <c r="NC39" s="12">
        <f>ROUND(MZ39*EssentialMix,0)</f>
        <v/>
      </c>
      <c r="ND39" s="12">
        <f>MZ39-NC39</f>
        <v/>
      </c>
      <c r="NE39" s="12">
        <f>NA39+NA38+NA37+MAX(0,NE38-NA38-NA37)*(1-MT39)</f>
        <v/>
      </c>
      <c r="NF39" s="12">
        <f>NB39+NB38+NB37+MAX(0,NF38-NB38-NB37)*(1-MT39)</f>
        <v/>
      </c>
      <c r="NG39" s="12">
        <f>NG38+NC39-NC27*(AnnualChurn*VLOOKUP(MP39,ChurnSeasonTable,4,FALSE))*POWER(1-(AnnualChurn*VLOOKUP(MP39,ChurnSeasonTable,4,FALSE)),0)+NC15*(AnnualChurn*VLOOKUP(MP39,ChurnSeasonTable,4,FALSE))*POWER(1-(AnnualChurn*VLOOKUP(MP39,ChurnSeasonTable,4,FALSE)),1)</f>
        <v/>
      </c>
      <c r="NH39" s="12">
        <f>NH38+ND39-ND27*(AnnualChurn*VLOOKUP(MP39,ChurnSeasonTable,4,FALSE))*POWER(1-(AnnualChurn*VLOOKUP(MP39,ChurnSeasonTable,4,FALSE)),0)+ND15*(AnnualChurn*VLOOKUP(MP39,ChurnSeasonTable,4,FALSE))*POWER(1-(AnnualChurn*VLOOKUP(MP39,ChurnSeasonTable,4,FALSE)),1)</f>
        <v/>
      </c>
      <c r="NI39" s="12">
        <f>NE39+NF39+NG39+NH39</f>
        <v/>
      </c>
      <c r="NJ39" s="9">
        <f>NE39*PriceEssMonthly*MS39+NF39*PricePremMonthly*MS39+NG39*PriceEssAnnual*MS39/12+NH39*PricePremAnnual*MS39/12</f>
        <v/>
      </c>
      <c r="NK39" s="9">
        <f>NJ39*12</f>
        <v/>
      </c>
      <c r="NL39" s="12">
        <f>NE39*PriceEssMonthly*MS39+NF39*PricePremMonthly*MS39</f>
        <v/>
      </c>
      <c r="NM39" s="12">
        <f>NC39*PriceEssAnnual*MS39+ND39*PricePremAnnual*MS39</f>
        <v/>
      </c>
      <c r="NN39" s="12">
        <f>NC27*POWER(1-(AnnualChurn*VLOOKUP(MP39,ChurnSeasonTable,4,FALSE)),1)*PriceEssAnnual*MS39+NC15*POWER(1-(AnnualChurn*VLOOKUP(MP39,ChurnSeasonTable,4,FALSE)),2)*PriceEssAnnual*MS39+ND27*POWER(1-(AnnualChurn*VLOOKUP(MP39,ChurnSeasonTable,4,FALSE)),1)*PricePremAnnual*MS39+ND15*POWER(1-(AnnualChurn*VLOOKUP(MP39,ChurnSeasonTable,4,FALSE)),2)*PricePremAnnual*MS39</f>
        <v/>
      </c>
      <c r="NO39" s="9">
        <f>NL39+NM39+NN39</f>
        <v/>
      </c>
      <c r="NP39" s="12">
        <f>SUM(NO28:NO39)</f>
        <v/>
      </c>
      <c r="NQ39" s="12">
        <f>OR(NQ38,NP39&gt;=VATThreshold)</f>
        <v/>
      </c>
      <c r="NR39" s="9">
        <f>IF(NQ39,NO39/(1+VATRate),NO39)</f>
        <v/>
      </c>
      <c r="NS39" s="12">
        <f>NO39-NR39</f>
        <v/>
      </c>
      <c r="NT39" s="12">
        <f>IF(NQ39=0,0,IF(MP39=1,SUMPRODUCT(--(($MQ$5:$MQ39=$MQ39-1)*($MP$5:$MP39&gt;=10)*($MP$5:$MP39&lt;=12)),$NS$5:$NS39),IF(MP39=4,SUMPRODUCT(--(($MQ$5:$MQ39=$MQ39)*($MP$5:$MP39&gt;=1)*($MP$5:$MP39&lt;=3)),$NS$5:$NS39),IF(MP39=7,SUMPRODUCT(--(($MQ$5:$MQ39=$MQ39)*($MP$5:$MP39&gt;=4)*($MP$5:$MP39&lt;=6)),$NS$5:$NS39),IF(MP39=10,SUMPRODUCT(--(($MQ$5:$MQ39=$MQ39)*($MP$5:$MP39&gt;=7)*($MP$5:$MP39&lt;=9)),$NS$5:$NS39),0)))))</f>
        <v/>
      </c>
      <c r="NU39" s="12">
        <f>NU38+NS39-NT39</f>
        <v/>
      </c>
      <c r="NV39" s="12">
        <f>IF(ProviderDelay&gt;=1,NR38*ProviderShare,NR39*ProviderShare)</f>
        <v/>
      </c>
      <c r="NW39" s="12">
        <f>NO39*PaymentFee</f>
        <v/>
      </c>
      <c r="NX39" s="12">
        <f>NI39*OpsAI</f>
        <v/>
      </c>
      <c r="NY39" s="12">
        <f>MonthlyFixed</f>
        <v/>
      </c>
      <c r="NZ39" s="12">
        <f>MW39*ReferralReward</f>
        <v/>
      </c>
      <c r="OA39" s="12">
        <f>MU39</f>
        <v/>
      </c>
      <c r="OB39" s="9">
        <f>NR39-NV39-NW39-NX39-NY39-NZ39-OA39</f>
        <v/>
      </c>
      <c r="OC39" s="9">
        <f>OC38+NO39-(NV39+NW39+NX39+NY39+NZ39+OA39+NT39)</f>
        <v/>
      </c>
      <c r="OD39" s="12">
        <f>IF(NI39&gt;0,NJ39/NI39,0)</f>
        <v/>
      </c>
      <c r="OE39" s="11">
        <f>IF(NI38&gt;0,MAX(0,(NI38+MX39-NI39)/NI38),0)</f>
        <v/>
      </c>
      <c r="OG39" s="12" t="n">
        <v>35</v>
      </c>
      <c r="OH39" s="12">
        <f>MOD(OG39-1+LaunchMonth-1,12)+1</f>
        <v/>
      </c>
      <c r="OI39" s="12">
        <f>INT((OG39-1+LaunchMonth-1)/12)+1</f>
        <v/>
      </c>
      <c r="OJ39" s="12">
        <f>VLOOKUP(OH39,SeasonTable,2,FALSE)</f>
        <v/>
      </c>
      <c r="OK39" s="12">
        <f>(1+InflationRate)^INT((OG39-1)/12)</f>
        <v/>
      </c>
      <c r="OL39" s="11">
        <f>'Sens - Churn'!$A$19*VLOOKUP(OH39,ChurnSeasonTable,4,FALSE)</f>
        <v/>
      </c>
      <c r="OM39" s="12">
        <f>MIN(MAX(MktMin19plus,PG38*MktPct19plus),MAX(0,PU38-CashBuffer))</f>
        <v/>
      </c>
      <c r="ON39" s="12">
        <f>IF(OM39&gt;0,MAX(1,ROUND(OM39/CAC*OJ39,0)),0)</f>
        <v/>
      </c>
      <c r="OO39" s="12">
        <f>IF(ON39&gt;0,ROUND(ON39*ReferralMix/(1-ReferralMix),0),0)</f>
        <v/>
      </c>
      <c r="OP39" s="12">
        <f>ON39+OO39</f>
        <v/>
      </c>
      <c r="OQ39" s="12">
        <f>ROUND(OP39*(1-AnnualMix),0)</f>
        <v/>
      </c>
      <c r="OR39" s="12">
        <f>OP39-OQ39</f>
        <v/>
      </c>
      <c r="OS39" s="12">
        <f>ROUND(OQ39*EssentialMix,0)</f>
        <v/>
      </c>
      <c r="OT39" s="12">
        <f>OQ39-OS39</f>
        <v/>
      </c>
      <c r="OU39" s="12">
        <f>ROUND(OR39*EssentialMix,0)</f>
        <v/>
      </c>
      <c r="OV39" s="12">
        <f>OR39-OU39</f>
        <v/>
      </c>
      <c r="OW39" s="12">
        <f>OS39+OS38+OS37+MAX(0,OW38-OS38-OS37)*(1-OL39)</f>
        <v/>
      </c>
      <c r="OX39" s="12">
        <f>OT39+OT38+OT37+MAX(0,OX38-OT38-OT37)*(1-OL39)</f>
        <v/>
      </c>
      <c r="OY39" s="12">
        <f>OY38+OU39-OU27*(AnnualChurn*VLOOKUP(OH39,ChurnSeasonTable,4,FALSE))*POWER(1-(AnnualChurn*VLOOKUP(OH39,ChurnSeasonTable,4,FALSE)),0)+OU15*(AnnualChurn*VLOOKUP(OH39,ChurnSeasonTable,4,FALSE))*POWER(1-(AnnualChurn*VLOOKUP(OH39,ChurnSeasonTable,4,FALSE)),1)</f>
        <v/>
      </c>
      <c r="OZ39" s="12">
        <f>OZ38+OV39-OV27*(AnnualChurn*VLOOKUP(OH39,ChurnSeasonTable,4,FALSE))*POWER(1-(AnnualChurn*VLOOKUP(OH39,ChurnSeasonTable,4,FALSE)),0)+OV15*(AnnualChurn*VLOOKUP(OH39,ChurnSeasonTable,4,FALSE))*POWER(1-(AnnualChurn*VLOOKUP(OH39,ChurnSeasonTable,4,FALSE)),1)</f>
        <v/>
      </c>
      <c r="PA39" s="12">
        <f>OW39+OX39+OY39+OZ39</f>
        <v/>
      </c>
      <c r="PB39" s="9">
        <f>OW39*PriceEssMonthly*OK39+OX39*PricePremMonthly*OK39+OY39*PriceEssAnnual*OK39/12+OZ39*PricePremAnnual*OK39/12</f>
        <v/>
      </c>
      <c r="PC39" s="9">
        <f>PB39*12</f>
        <v/>
      </c>
      <c r="PD39" s="12">
        <f>OW39*PriceEssMonthly*OK39+OX39*PricePremMonthly*OK39</f>
        <v/>
      </c>
      <c r="PE39" s="12">
        <f>OU39*PriceEssAnnual*OK39+OV39*PricePremAnnual*OK39</f>
        <v/>
      </c>
      <c r="PF39" s="12">
        <f>OU27*POWER(1-(AnnualChurn*VLOOKUP(OH39,ChurnSeasonTable,4,FALSE)),1)*PriceEssAnnual*OK39+OU15*POWER(1-(AnnualChurn*VLOOKUP(OH39,ChurnSeasonTable,4,FALSE)),2)*PriceEssAnnual*OK39+OV27*POWER(1-(AnnualChurn*VLOOKUP(OH39,ChurnSeasonTable,4,FALSE)),1)*PricePremAnnual*OK39+OV15*POWER(1-(AnnualChurn*VLOOKUP(OH39,ChurnSeasonTable,4,FALSE)),2)*PricePremAnnual*OK39</f>
        <v/>
      </c>
      <c r="PG39" s="9">
        <f>PD39+PE39+PF39</f>
        <v/>
      </c>
      <c r="PH39" s="12">
        <f>SUM(PG28:PG39)</f>
        <v/>
      </c>
      <c r="PI39" s="12">
        <f>OR(PI38,PH39&gt;=VATThreshold)</f>
        <v/>
      </c>
      <c r="PJ39" s="9">
        <f>IF(PI39,PG39/(1+VATRate),PG39)</f>
        <v/>
      </c>
      <c r="PK39" s="12">
        <f>PG39-PJ39</f>
        <v/>
      </c>
      <c r="PL39" s="12">
        <f>IF(PI39=0,0,IF(OH39=1,SUMPRODUCT(--(($OI$5:$OI39=$OI39-1)*($OH$5:$OH39&gt;=10)*($OH$5:$OH39&lt;=12)),$PK$5:$PK39),IF(OH39=4,SUMPRODUCT(--(($OI$5:$OI39=$OI39)*($OH$5:$OH39&gt;=1)*($OH$5:$OH39&lt;=3)),$PK$5:$PK39),IF(OH39=7,SUMPRODUCT(--(($OI$5:$OI39=$OI39)*($OH$5:$OH39&gt;=4)*($OH$5:$OH39&lt;=6)),$PK$5:$PK39),IF(OH39=10,SUMPRODUCT(--(($OI$5:$OI39=$OI39)*($OH$5:$OH39&gt;=7)*($OH$5:$OH39&lt;=9)),$PK$5:$PK39),0)))))</f>
        <v/>
      </c>
      <c r="PM39" s="12">
        <f>PM38+PK39-PL39</f>
        <v/>
      </c>
      <c r="PN39" s="12">
        <f>IF(ProviderDelay&gt;=1,PJ38*ProviderShare,PJ39*ProviderShare)</f>
        <v/>
      </c>
      <c r="PO39" s="12">
        <f>PG39*PaymentFee</f>
        <v/>
      </c>
      <c r="PP39" s="12">
        <f>PA39*OpsAI</f>
        <v/>
      </c>
      <c r="PQ39" s="12">
        <f>MonthlyFixed</f>
        <v/>
      </c>
      <c r="PR39" s="12">
        <f>OO39*ReferralReward</f>
        <v/>
      </c>
      <c r="PS39" s="12">
        <f>OM39</f>
        <v/>
      </c>
      <c r="PT39" s="9">
        <f>PJ39-PN39-PO39-PP39-PQ39-PR39-PS39</f>
        <v/>
      </c>
      <c r="PU39" s="9">
        <f>PU38+PG39-(PN39+PO39+PP39+PQ39+PR39+PS39+PL39)</f>
        <v/>
      </c>
      <c r="PV39" s="12">
        <f>IF(PA39&gt;0,PB39/PA39,0)</f>
        <v/>
      </c>
      <c r="PW39" s="11">
        <f>IF(PA38&gt;0,MAX(0,(PA38+OP39-PA39)/PA38),0)</f>
        <v/>
      </c>
      <c r="PY39" s="12" t="n">
        <v>35</v>
      </c>
      <c r="PZ39" s="12">
        <f>MOD(PY39-1+LaunchMonth-1,12)+1</f>
        <v/>
      </c>
      <c r="QA39" s="12">
        <f>INT((PY39-1+LaunchMonth-1)/12)+1</f>
        <v/>
      </c>
      <c r="QB39" s="12">
        <f>VLOOKUP(PZ39,SeasonTable,2,FALSE)</f>
        <v/>
      </c>
      <c r="QC39" s="12">
        <f>(1+InflationRate)^INT((PY39-1)/12)</f>
        <v/>
      </c>
      <c r="QD39" s="11">
        <f>'Sens - Churn'!$A$20*VLOOKUP(PZ39,ChurnSeasonTable,4,FALSE)</f>
        <v/>
      </c>
      <c r="QE39" s="12">
        <f>MIN(MAX(MktMin19plus,QY38*MktPct19plus),MAX(0,RM38-CashBuffer))</f>
        <v/>
      </c>
      <c r="QF39" s="12">
        <f>IF(QE39&gt;0,MAX(1,ROUND(QE39/CAC*QB39,0)),0)</f>
        <v/>
      </c>
      <c r="QG39" s="12">
        <f>IF(QF39&gt;0,ROUND(QF39*ReferralMix/(1-ReferralMix),0),0)</f>
        <v/>
      </c>
      <c r="QH39" s="12">
        <f>QF39+QG39</f>
        <v/>
      </c>
      <c r="QI39" s="12">
        <f>ROUND(QH39*(1-AnnualMix),0)</f>
        <v/>
      </c>
      <c r="QJ39" s="12">
        <f>QH39-QI39</f>
        <v/>
      </c>
      <c r="QK39" s="12">
        <f>ROUND(QI39*EssentialMix,0)</f>
        <v/>
      </c>
      <c r="QL39" s="12">
        <f>QI39-QK39</f>
        <v/>
      </c>
      <c r="QM39" s="12">
        <f>ROUND(QJ39*EssentialMix,0)</f>
        <v/>
      </c>
      <c r="QN39" s="12">
        <f>QJ39-QM39</f>
        <v/>
      </c>
      <c r="QO39" s="12">
        <f>QK39+QK38+QK37+MAX(0,QO38-QK38-QK37)*(1-QD39)</f>
        <v/>
      </c>
      <c r="QP39" s="12">
        <f>QL39+QL38+QL37+MAX(0,QP38-QL38-QL37)*(1-QD39)</f>
        <v/>
      </c>
      <c r="QQ39" s="12">
        <f>QQ38+QM39-QM27*(AnnualChurn*VLOOKUP(PZ39,ChurnSeasonTable,4,FALSE))*POWER(1-(AnnualChurn*VLOOKUP(PZ39,ChurnSeasonTable,4,FALSE)),0)+QM15*(AnnualChurn*VLOOKUP(PZ39,ChurnSeasonTable,4,FALSE))*POWER(1-(AnnualChurn*VLOOKUP(PZ39,ChurnSeasonTable,4,FALSE)),1)</f>
        <v/>
      </c>
      <c r="QR39" s="12">
        <f>QR38+QN39-QN27*(AnnualChurn*VLOOKUP(PZ39,ChurnSeasonTable,4,FALSE))*POWER(1-(AnnualChurn*VLOOKUP(PZ39,ChurnSeasonTable,4,FALSE)),0)+QN15*(AnnualChurn*VLOOKUP(PZ39,ChurnSeasonTable,4,FALSE))*POWER(1-(AnnualChurn*VLOOKUP(PZ39,ChurnSeasonTable,4,FALSE)),1)</f>
        <v/>
      </c>
      <c r="QS39" s="12">
        <f>QO39+QP39+QQ39+QR39</f>
        <v/>
      </c>
      <c r="QT39" s="9">
        <f>QO39*PriceEssMonthly*QC39+QP39*PricePremMonthly*QC39+QQ39*PriceEssAnnual*QC39/12+QR39*PricePremAnnual*QC39/12</f>
        <v/>
      </c>
      <c r="QU39" s="9">
        <f>QT39*12</f>
        <v/>
      </c>
      <c r="QV39" s="12">
        <f>QO39*PriceEssMonthly*QC39+QP39*PricePremMonthly*QC39</f>
        <v/>
      </c>
      <c r="QW39" s="12">
        <f>QM39*PriceEssAnnual*QC39+QN39*PricePremAnnual*QC39</f>
        <v/>
      </c>
      <c r="QX39" s="12">
        <f>QM27*POWER(1-(AnnualChurn*VLOOKUP(PZ39,ChurnSeasonTable,4,FALSE)),1)*PriceEssAnnual*QC39+QM15*POWER(1-(AnnualChurn*VLOOKUP(PZ39,ChurnSeasonTable,4,FALSE)),2)*PriceEssAnnual*QC39+QN27*POWER(1-(AnnualChurn*VLOOKUP(PZ39,ChurnSeasonTable,4,FALSE)),1)*PricePremAnnual*QC39+QN15*POWER(1-(AnnualChurn*VLOOKUP(PZ39,ChurnSeasonTable,4,FALSE)),2)*PricePremAnnual*QC39</f>
        <v/>
      </c>
      <c r="QY39" s="9">
        <f>QV39+QW39+QX39</f>
        <v/>
      </c>
      <c r="QZ39" s="12">
        <f>SUM(QY28:QY39)</f>
        <v/>
      </c>
      <c r="RA39" s="12">
        <f>OR(RA38,QZ39&gt;=VATThreshold)</f>
        <v/>
      </c>
      <c r="RB39" s="9">
        <f>IF(RA39,QY39/(1+VATRate),QY39)</f>
        <v/>
      </c>
      <c r="RC39" s="12">
        <f>QY39-RB39</f>
        <v/>
      </c>
      <c r="RD39" s="12">
        <f>IF(RA39=0,0,IF(PZ39=1,SUMPRODUCT(--(($QA$5:$QA39=$QA39-1)*($PZ$5:$PZ39&gt;=10)*($PZ$5:$PZ39&lt;=12)),$RC$5:$RC39),IF(PZ39=4,SUMPRODUCT(--(($QA$5:$QA39=$QA39)*($PZ$5:$PZ39&gt;=1)*($PZ$5:$PZ39&lt;=3)),$RC$5:$RC39),IF(PZ39=7,SUMPRODUCT(--(($QA$5:$QA39=$QA39)*($PZ$5:$PZ39&gt;=4)*($PZ$5:$PZ39&lt;=6)),$RC$5:$RC39),IF(PZ39=10,SUMPRODUCT(--(($QA$5:$QA39=$QA39)*($PZ$5:$PZ39&gt;=7)*($PZ$5:$PZ39&lt;=9)),$RC$5:$RC39),0)))))</f>
        <v/>
      </c>
      <c r="RE39" s="12">
        <f>RE38+RC39-RD39</f>
        <v/>
      </c>
      <c r="RF39" s="12">
        <f>IF(ProviderDelay&gt;=1,RB38*ProviderShare,RB39*ProviderShare)</f>
        <v/>
      </c>
      <c r="RG39" s="12">
        <f>QY39*PaymentFee</f>
        <v/>
      </c>
      <c r="RH39" s="12">
        <f>QS39*OpsAI</f>
        <v/>
      </c>
      <c r="RI39" s="12">
        <f>MonthlyFixed</f>
        <v/>
      </c>
      <c r="RJ39" s="12">
        <f>QG39*ReferralReward</f>
        <v/>
      </c>
      <c r="RK39" s="12">
        <f>QE39</f>
        <v/>
      </c>
      <c r="RL39" s="9">
        <f>RB39-RF39-RG39-RH39-RI39-RJ39-RK39</f>
        <v/>
      </c>
      <c r="RM39" s="9">
        <f>RM38+QY39-(RF39+RG39+RH39+RI39+RJ39+RK39+RD39)</f>
        <v/>
      </c>
      <c r="RN39" s="12">
        <f>IF(QS39&gt;0,QT39/QS39,0)</f>
        <v/>
      </c>
      <c r="RO39" s="11">
        <f>IF(QS38&gt;0,MAX(0,(QS38+QH39-QS39)/QS38),0)</f>
        <v/>
      </c>
      <c r="RQ39" s="12" t="n">
        <v>35</v>
      </c>
      <c r="RR39" s="12">
        <f>MOD(RQ39-1+LaunchMonth-1,12)+1</f>
        <v/>
      </c>
      <c r="RS39" s="12">
        <f>INT((RQ39-1+LaunchMonth-1)/12)+1</f>
        <v/>
      </c>
      <c r="RT39" s="12">
        <f>VLOOKUP(RR39,SeasonTable,2,FALSE)</f>
        <v/>
      </c>
      <c r="RU39" s="12">
        <f>(1+InflationRate)^INT((RQ39-1)/12)</f>
        <v/>
      </c>
      <c r="RV39" s="11">
        <f>'Sens - Churn'!$A$21*VLOOKUP(RR39,ChurnSeasonTable,4,FALSE)</f>
        <v/>
      </c>
      <c r="RW39" s="12">
        <f>MIN(MAX(MktMin19plus,SQ38*MktPct19plus),MAX(0,TE38-CashBuffer))</f>
        <v/>
      </c>
      <c r="RX39" s="12">
        <f>IF(RW39&gt;0,MAX(1,ROUND(RW39/CAC*RT39,0)),0)</f>
        <v/>
      </c>
      <c r="RY39" s="12">
        <f>IF(RX39&gt;0,ROUND(RX39*ReferralMix/(1-ReferralMix),0),0)</f>
        <v/>
      </c>
      <c r="RZ39" s="12">
        <f>RX39+RY39</f>
        <v/>
      </c>
      <c r="SA39" s="12">
        <f>ROUND(RZ39*(1-AnnualMix),0)</f>
        <v/>
      </c>
      <c r="SB39" s="12">
        <f>RZ39-SA39</f>
        <v/>
      </c>
      <c r="SC39" s="12">
        <f>ROUND(SA39*EssentialMix,0)</f>
        <v/>
      </c>
      <c r="SD39" s="12">
        <f>SA39-SC39</f>
        <v/>
      </c>
      <c r="SE39" s="12">
        <f>ROUND(SB39*EssentialMix,0)</f>
        <v/>
      </c>
      <c r="SF39" s="12">
        <f>SB39-SE39</f>
        <v/>
      </c>
      <c r="SG39" s="12">
        <f>SC39+SC38+SC37+MAX(0,SG38-SC38-SC37)*(1-RV39)</f>
        <v/>
      </c>
      <c r="SH39" s="12">
        <f>SD39+SD38+SD37+MAX(0,SH38-SD38-SD37)*(1-RV39)</f>
        <v/>
      </c>
      <c r="SI39" s="12">
        <f>SI38+SE39-SE27*(AnnualChurn*VLOOKUP(RR39,ChurnSeasonTable,4,FALSE))*POWER(1-(AnnualChurn*VLOOKUP(RR39,ChurnSeasonTable,4,FALSE)),0)+SE15*(AnnualChurn*VLOOKUP(RR39,ChurnSeasonTable,4,FALSE))*POWER(1-(AnnualChurn*VLOOKUP(RR39,ChurnSeasonTable,4,FALSE)),1)</f>
        <v/>
      </c>
      <c r="SJ39" s="12">
        <f>SJ38+SF39-SF27*(AnnualChurn*VLOOKUP(RR39,ChurnSeasonTable,4,FALSE))*POWER(1-(AnnualChurn*VLOOKUP(RR39,ChurnSeasonTable,4,FALSE)),0)+SF15*(AnnualChurn*VLOOKUP(RR39,ChurnSeasonTable,4,FALSE))*POWER(1-(AnnualChurn*VLOOKUP(RR39,ChurnSeasonTable,4,FALSE)),1)</f>
        <v/>
      </c>
      <c r="SK39" s="12">
        <f>SG39+SH39+SI39+SJ39</f>
        <v/>
      </c>
      <c r="SL39" s="9">
        <f>SG39*PriceEssMonthly*RU39+SH39*PricePremMonthly*RU39+SI39*PriceEssAnnual*RU39/12+SJ39*PricePremAnnual*RU39/12</f>
        <v/>
      </c>
      <c r="SM39" s="9">
        <f>SL39*12</f>
        <v/>
      </c>
      <c r="SN39" s="12">
        <f>SG39*PriceEssMonthly*RU39+SH39*PricePremMonthly*RU39</f>
        <v/>
      </c>
      <c r="SO39" s="12">
        <f>SE39*PriceEssAnnual*RU39+SF39*PricePremAnnual*RU39</f>
        <v/>
      </c>
      <c r="SP39" s="12">
        <f>SE27*POWER(1-(AnnualChurn*VLOOKUP(RR39,ChurnSeasonTable,4,FALSE)),1)*PriceEssAnnual*RU39+SE15*POWER(1-(AnnualChurn*VLOOKUP(RR39,ChurnSeasonTable,4,FALSE)),2)*PriceEssAnnual*RU39+SF27*POWER(1-(AnnualChurn*VLOOKUP(RR39,ChurnSeasonTable,4,FALSE)),1)*PricePremAnnual*RU39+SF15*POWER(1-(AnnualChurn*VLOOKUP(RR39,ChurnSeasonTable,4,FALSE)),2)*PricePremAnnual*RU39</f>
        <v/>
      </c>
      <c r="SQ39" s="9">
        <f>SN39+SO39+SP39</f>
        <v/>
      </c>
      <c r="SR39" s="12">
        <f>SUM(SQ28:SQ39)</f>
        <v/>
      </c>
      <c r="SS39" s="12">
        <f>OR(SS38,SR39&gt;=VATThreshold)</f>
        <v/>
      </c>
      <c r="ST39" s="9">
        <f>IF(SS39,SQ39/(1+VATRate),SQ39)</f>
        <v/>
      </c>
      <c r="SU39" s="12">
        <f>SQ39-ST39</f>
        <v/>
      </c>
      <c r="SV39" s="12">
        <f>IF(SS39=0,0,IF(RR39=1,SUMPRODUCT(--(($RS$5:$RS39=$RS39-1)*($RR$5:$RR39&gt;=10)*($RR$5:$RR39&lt;=12)),$SU$5:$SU39),IF(RR39=4,SUMPRODUCT(--(($RS$5:$RS39=$RS39)*($RR$5:$RR39&gt;=1)*($RR$5:$RR39&lt;=3)),$SU$5:$SU39),IF(RR39=7,SUMPRODUCT(--(($RS$5:$RS39=$RS39)*($RR$5:$RR39&gt;=4)*($RR$5:$RR39&lt;=6)),$SU$5:$SU39),IF(RR39=10,SUMPRODUCT(--(($RS$5:$RS39=$RS39)*($RR$5:$RR39&gt;=7)*($RR$5:$RR39&lt;=9)),$SU$5:$SU39),0)))))</f>
        <v/>
      </c>
      <c r="SW39" s="12">
        <f>SW38+SU39-SV39</f>
        <v/>
      </c>
      <c r="SX39" s="12">
        <f>IF(ProviderDelay&gt;=1,ST38*ProviderShare,ST39*ProviderShare)</f>
        <v/>
      </c>
      <c r="SY39" s="12">
        <f>SQ39*PaymentFee</f>
        <v/>
      </c>
      <c r="SZ39" s="12">
        <f>SK39*OpsAI</f>
        <v/>
      </c>
      <c r="TA39" s="12">
        <f>MonthlyFixed</f>
        <v/>
      </c>
      <c r="TB39" s="12">
        <f>RY39*ReferralReward</f>
        <v/>
      </c>
      <c r="TC39" s="12">
        <f>RW39</f>
        <v/>
      </c>
      <c r="TD39" s="9">
        <f>ST39-SX39-SY39-SZ39-TA39-TB39-TC39</f>
        <v/>
      </c>
      <c r="TE39" s="9">
        <f>TE38+SQ39-(SX39+SY39+SZ39+TA39+TB39+TC39+SV39)</f>
        <v/>
      </c>
      <c r="TF39" s="12">
        <f>IF(SK39&gt;0,SL39/SK39,0)</f>
        <v/>
      </c>
      <c r="TG39" s="11">
        <f>IF(SK38&gt;0,MAX(0,(SK38+RZ39-SK39)/SK38),0)</f>
        <v/>
      </c>
      <c r="TI39" s="12" t="n">
        <v>35</v>
      </c>
      <c r="TJ39" s="12">
        <f>MOD(TI39-1+LaunchMonth-1,12)+1</f>
        <v/>
      </c>
      <c r="TK39" s="12">
        <f>INT((TI39-1+LaunchMonth-1)/12)+1</f>
        <v/>
      </c>
      <c r="TL39" s="12">
        <f>VLOOKUP(TJ39,SeasonTable,2,FALSE)</f>
        <v/>
      </c>
      <c r="TM39" s="12">
        <f>(1+InflationRate)^INT((TI39-1)/12)</f>
        <v/>
      </c>
      <c r="TN39" s="11">
        <f>MonthlyChurn*VLOOKUP(TJ39,ChurnSeasonTable,4,FALSE)</f>
        <v/>
      </c>
      <c r="TO39" s="12">
        <f>MIN(MAX(MktMin19plus,UI38*MktPct19plus),MAX(0,UW38-CashBuffer))</f>
        <v/>
      </c>
      <c r="TP39" s="12">
        <f>IF(TO39&gt;0,MAX(1,ROUND(TO39/CAC*TL39,0)),0)</f>
        <v/>
      </c>
      <c r="TQ39" s="12">
        <f>IF(TP39&gt;0,ROUND(TP39*ReferralMix/(1-ReferralMix),0),0)</f>
        <v/>
      </c>
      <c r="TR39" s="12">
        <f>TP39+TQ39</f>
        <v/>
      </c>
      <c r="TS39" s="12">
        <f>ROUND(TR39*(1-'Sens - Annual Mix'!$A$9),0)</f>
        <v/>
      </c>
      <c r="TT39" s="12">
        <f>TR39-TS39</f>
        <v/>
      </c>
      <c r="TU39" s="12">
        <f>ROUND(TS39*EssentialMix,0)</f>
        <v/>
      </c>
      <c r="TV39" s="12">
        <f>TS39-TU39</f>
        <v/>
      </c>
      <c r="TW39" s="12">
        <f>ROUND(TT39*EssentialMix,0)</f>
        <v/>
      </c>
      <c r="TX39" s="12">
        <f>TT39-TW39</f>
        <v/>
      </c>
      <c r="TY39" s="12">
        <f>TU39+TU38+TU37+MAX(0,TY38-TU38-TU37)*(1-TN39)</f>
        <v/>
      </c>
      <c r="TZ39" s="12">
        <f>TV39+TV38+TV37+MAX(0,TZ38-TV38-TV37)*(1-TN39)</f>
        <v/>
      </c>
      <c r="UA39" s="12">
        <f>UA38+TW39-TW27*(AnnualChurn*VLOOKUP(TJ39,ChurnSeasonTable,4,FALSE))*POWER(1-(AnnualChurn*VLOOKUP(TJ39,ChurnSeasonTable,4,FALSE)),0)+TW15*(AnnualChurn*VLOOKUP(TJ39,ChurnSeasonTable,4,FALSE))*POWER(1-(AnnualChurn*VLOOKUP(TJ39,ChurnSeasonTable,4,FALSE)),1)</f>
        <v/>
      </c>
      <c r="UB39" s="12">
        <f>UB38+TX39-TX27*(AnnualChurn*VLOOKUP(TJ39,ChurnSeasonTable,4,FALSE))*POWER(1-(AnnualChurn*VLOOKUP(TJ39,ChurnSeasonTable,4,FALSE)),0)+TX15*(AnnualChurn*VLOOKUP(TJ39,ChurnSeasonTable,4,FALSE))*POWER(1-(AnnualChurn*VLOOKUP(TJ39,ChurnSeasonTable,4,FALSE)),1)</f>
        <v/>
      </c>
      <c r="UC39" s="12">
        <f>TY39+TZ39+UA39+UB39</f>
        <v/>
      </c>
      <c r="UD39" s="9">
        <f>TY39*PriceEssMonthly*TM39+TZ39*PricePremMonthly*TM39+UA39*PriceEssAnnual*TM39/12+UB39*PricePremAnnual*TM39/12</f>
        <v/>
      </c>
      <c r="UE39" s="9">
        <f>UD39*12</f>
        <v/>
      </c>
      <c r="UF39" s="12">
        <f>TY39*PriceEssMonthly*TM39+TZ39*PricePremMonthly*TM39</f>
        <v/>
      </c>
      <c r="UG39" s="12">
        <f>TW39*PriceEssAnnual*TM39+TX39*PricePremAnnual*TM39</f>
        <v/>
      </c>
      <c r="UH39" s="12">
        <f>TW27*POWER(1-(AnnualChurn*VLOOKUP(TJ39,ChurnSeasonTable,4,FALSE)),1)*PriceEssAnnual*TM39+TW15*POWER(1-(AnnualChurn*VLOOKUP(TJ39,ChurnSeasonTable,4,FALSE)),2)*PriceEssAnnual*TM39+TX27*POWER(1-(AnnualChurn*VLOOKUP(TJ39,ChurnSeasonTable,4,FALSE)),1)*PricePremAnnual*TM39+TX15*POWER(1-(AnnualChurn*VLOOKUP(TJ39,ChurnSeasonTable,4,FALSE)),2)*PricePremAnnual*TM39</f>
        <v/>
      </c>
      <c r="UI39" s="9">
        <f>UF39+UG39+UH39</f>
        <v/>
      </c>
      <c r="UJ39" s="12">
        <f>SUM(UI28:UI39)</f>
        <v/>
      </c>
      <c r="UK39" s="12">
        <f>OR(UK38,UJ39&gt;=VATThreshold)</f>
        <v/>
      </c>
      <c r="UL39" s="9">
        <f>IF(UK39,UI39/(1+VATRate),UI39)</f>
        <v/>
      </c>
      <c r="UM39" s="12">
        <f>UI39-UL39</f>
        <v/>
      </c>
      <c r="UN39" s="12">
        <f>IF(UK39=0,0,IF(TJ39=1,SUMPRODUCT(--(($TK$5:$TK39=$TK39-1)*($TJ$5:$TJ39&gt;=10)*($TJ$5:$TJ39&lt;=12)),$UM$5:$UM39),IF(TJ39=4,SUMPRODUCT(--(($TK$5:$TK39=$TK39)*($TJ$5:$TJ39&gt;=1)*($TJ$5:$TJ39&lt;=3)),$UM$5:$UM39),IF(TJ39=7,SUMPRODUCT(--(($TK$5:$TK39=$TK39)*($TJ$5:$TJ39&gt;=4)*($TJ$5:$TJ39&lt;=6)),$UM$5:$UM39),IF(TJ39=10,SUMPRODUCT(--(($TK$5:$TK39=$TK39)*($TJ$5:$TJ39&gt;=7)*($TJ$5:$TJ39&lt;=9)),$UM$5:$UM39),0)))))</f>
        <v/>
      </c>
      <c r="UO39" s="12">
        <f>UO38+UM39-UN39</f>
        <v/>
      </c>
      <c r="UP39" s="12">
        <f>IF(ProviderDelay&gt;=1,UL38*ProviderShare,UL39*ProviderShare)</f>
        <v/>
      </c>
      <c r="UQ39" s="12">
        <f>UI39*PaymentFee</f>
        <v/>
      </c>
      <c r="UR39" s="12">
        <f>UC39*OpsAI</f>
        <v/>
      </c>
      <c r="US39" s="12">
        <f>MonthlyFixed</f>
        <v/>
      </c>
      <c r="UT39" s="12">
        <f>TQ39*ReferralReward</f>
        <v/>
      </c>
      <c r="UU39" s="12">
        <f>TO39</f>
        <v/>
      </c>
      <c r="UV39" s="9">
        <f>UL39-UP39-UQ39-UR39-US39-UT39-UU39</f>
        <v/>
      </c>
      <c r="UW39" s="9">
        <f>UW38+UI39-(UP39+UQ39+UR39+US39+UT39+UU39+UN39)</f>
        <v/>
      </c>
      <c r="UX39" s="12">
        <f>IF(UC39&gt;0,UD39/UC39,0)</f>
        <v/>
      </c>
      <c r="UY39" s="11">
        <f>IF(UC38&gt;0,MAX(0,(UC38+TR39-UC39)/UC38),0)</f>
        <v/>
      </c>
      <c r="VA39" s="12" t="n">
        <v>35</v>
      </c>
      <c r="VB39" s="12">
        <f>MOD(VA39-1+LaunchMonth-1,12)+1</f>
        <v/>
      </c>
      <c r="VC39" s="12">
        <f>INT((VA39-1+LaunchMonth-1)/12)+1</f>
        <v/>
      </c>
      <c r="VD39" s="12">
        <f>VLOOKUP(VB39,SeasonTable,2,FALSE)</f>
        <v/>
      </c>
      <c r="VE39" s="12">
        <f>(1+InflationRate)^INT((VA39-1)/12)</f>
        <v/>
      </c>
      <c r="VF39" s="11">
        <f>MonthlyChurn*VLOOKUP(VB39,ChurnSeasonTable,4,FALSE)</f>
        <v/>
      </c>
      <c r="VG39" s="12">
        <f>MIN(MAX(MktMin19plus,WA38*MktPct19plus),MAX(0,WO38-CashBuffer))</f>
        <v/>
      </c>
      <c r="VH39" s="12">
        <f>IF(VG39&gt;0,MAX(1,ROUND(VG39/CAC*VD39,0)),0)</f>
        <v/>
      </c>
      <c r="VI39" s="12">
        <f>IF(VH39&gt;0,ROUND(VH39*ReferralMix/(1-ReferralMix),0),0)</f>
        <v/>
      </c>
      <c r="VJ39" s="12">
        <f>VH39+VI39</f>
        <v/>
      </c>
      <c r="VK39" s="12">
        <f>ROUND(VJ39*(1-'Sens - Annual Mix'!$A$10),0)</f>
        <v/>
      </c>
      <c r="VL39" s="12">
        <f>VJ39-VK39</f>
        <v/>
      </c>
      <c r="VM39" s="12">
        <f>ROUND(VK39*EssentialMix,0)</f>
        <v/>
      </c>
      <c r="VN39" s="12">
        <f>VK39-VM39</f>
        <v/>
      </c>
      <c r="VO39" s="12">
        <f>ROUND(VL39*EssentialMix,0)</f>
        <v/>
      </c>
      <c r="VP39" s="12">
        <f>VL39-VO39</f>
        <v/>
      </c>
      <c r="VQ39" s="12">
        <f>VM39+VM38+VM37+MAX(0,VQ38-VM38-VM37)*(1-VF39)</f>
        <v/>
      </c>
      <c r="VR39" s="12">
        <f>VN39+VN38+VN37+MAX(0,VR38-VN38-VN37)*(1-VF39)</f>
        <v/>
      </c>
      <c r="VS39" s="12">
        <f>VS38+VO39-VO27*(AnnualChurn*VLOOKUP(VB39,ChurnSeasonTable,4,FALSE))*POWER(1-(AnnualChurn*VLOOKUP(VB39,ChurnSeasonTable,4,FALSE)),0)+VO15*(AnnualChurn*VLOOKUP(VB39,ChurnSeasonTable,4,FALSE))*POWER(1-(AnnualChurn*VLOOKUP(VB39,ChurnSeasonTable,4,FALSE)),1)</f>
        <v/>
      </c>
      <c r="VT39" s="12">
        <f>VT38+VP39-VP27*(AnnualChurn*VLOOKUP(VB39,ChurnSeasonTable,4,FALSE))*POWER(1-(AnnualChurn*VLOOKUP(VB39,ChurnSeasonTable,4,FALSE)),0)+VP15*(AnnualChurn*VLOOKUP(VB39,ChurnSeasonTable,4,FALSE))*POWER(1-(AnnualChurn*VLOOKUP(VB39,ChurnSeasonTable,4,FALSE)),1)</f>
        <v/>
      </c>
      <c r="VU39" s="12">
        <f>VQ39+VR39+VS39+VT39</f>
        <v/>
      </c>
      <c r="VV39" s="9">
        <f>VQ39*PriceEssMonthly*VE39+VR39*PricePremMonthly*VE39+VS39*PriceEssAnnual*VE39/12+VT39*PricePremAnnual*VE39/12</f>
        <v/>
      </c>
      <c r="VW39" s="9">
        <f>VV39*12</f>
        <v/>
      </c>
      <c r="VX39" s="12">
        <f>VQ39*PriceEssMonthly*VE39+VR39*PricePremMonthly*VE39</f>
        <v/>
      </c>
      <c r="VY39" s="12">
        <f>VO39*PriceEssAnnual*VE39+VP39*PricePremAnnual*VE39</f>
        <v/>
      </c>
      <c r="VZ39" s="12">
        <f>VO27*POWER(1-(AnnualChurn*VLOOKUP(VB39,ChurnSeasonTable,4,FALSE)),1)*PriceEssAnnual*VE39+VO15*POWER(1-(AnnualChurn*VLOOKUP(VB39,ChurnSeasonTable,4,FALSE)),2)*PriceEssAnnual*VE39+VP27*POWER(1-(AnnualChurn*VLOOKUP(VB39,ChurnSeasonTable,4,FALSE)),1)*PricePremAnnual*VE39+VP15*POWER(1-(AnnualChurn*VLOOKUP(VB39,ChurnSeasonTable,4,FALSE)),2)*PricePremAnnual*VE39</f>
        <v/>
      </c>
      <c r="WA39" s="9">
        <f>VX39+VY39+VZ39</f>
        <v/>
      </c>
      <c r="WB39" s="12">
        <f>SUM(WA28:WA39)</f>
        <v/>
      </c>
      <c r="WC39" s="12">
        <f>OR(WC38,WB39&gt;=VATThreshold)</f>
        <v/>
      </c>
      <c r="WD39" s="9">
        <f>IF(WC39,WA39/(1+VATRate),WA39)</f>
        <v/>
      </c>
      <c r="WE39" s="12">
        <f>WA39-WD39</f>
        <v/>
      </c>
      <c r="WF39" s="12">
        <f>IF(WC39=0,0,IF(VB39=1,SUMPRODUCT(--(($VC$5:$VC39=$VC39-1)*($VB$5:$VB39&gt;=10)*($VB$5:$VB39&lt;=12)),$WE$5:$WE39),IF(VB39=4,SUMPRODUCT(--(($VC$5:$VC39=$VC39)*($VB$5:$VB39&gt;=1)*($VB$5:$VB39&lt;=3)),$WE$5:$WE39),IF(VB39=7,SUMPRODUCT(--(($VC$5:$VC39=$VC39)*($VB$5:$VB39&gt;=4)*($VB$5:$VB39&lt;=6)),$WE$5:$WE39),IF(VB39=10,SUMPRODUCT(--(($VC$5:$VC39=$VC39)*($VB$5:$VB39&gt;=7)*($VB$5:$VB39&lt;=9)),$WE$5:$WE39),0)))))</f>
        <v/>
      </c>
      <c r="WG39" s="12">
        <f>WG38+WE39-WF39</f>
        <v/>
      </c>
      <c r="WH39" s="12">
        <f>IF(ProviderDelay&gt;=1,WD38*ProviderShare,WD39*ProviderShare)</f>
        <v/>
      </c>
      <c r="WI39" s="12">
        <f>WA39*PaymentFee</f>
        <v/>
      </c>
      <c r="WJ39" s="12">
        <f>VU39*OpsAI</f>
        <v/>
      </c>
      <c r="WK39" s="12">
        <f>MonthlyFixed</f>
        <v/>
      </c>
      <c r="WL39" s="12">
        <f>VI39*ReferralReward</f>
        <v/>
      </c>
      <c r="WM39" s="12">
        <f>VG39</f>
        <v/>
      </c>
      <c r="WN39" s="9">
        <f>WD39-WH39-WI39-WJ39-WK39-WL39-WM39</f>
        <v/>
      </c>
      <c r="WO39" s="9">
        <f>WO38+WA39-(WH39+WI39+WJ39+WK39+WL39+WM39+WF39)</f>
        <v/>
      </c>
      <c r="WP39" s="12">
        <f>IF(VU39&gt;0,VV39/VU39,0)</f>
        <v/>
      </c>
      <c r="WQ39" s="11">
        <f>IF(VU38&gt;0,MAX(0,(VU38+VJ39-VU39)/VU38),0)</f>
        <v/>
      </c>
      <c r="WS39" s="12" t="n">
        <v>35</v>
      </c>
      <c r="WT39" s="12">
        <f>MOD(WS39-1+LaunchMonth-1,12)+1</f>
        <v/>
      </c>
      <c r="WU39" s="12">
        <f>INT((WS39-1+LaunchMonth-1)/12)+1</f>
        <v/>
      </c>
      <c r="WV39" s="12">
        <f>VLOOKUP(WT39,SeasonTable,2,FALSE)</f>
        <v/>
      </c>
      <c r="WW39" s="12">
        <f>(1+InflationRate)^INT((WS39-1)/12)</f>
        <v/>
      </c>
      <c r="WX39" s="11">
        <f>MonthlyChurn*VLOOKUP(WT39,ChurnSeasonTable,4,FALSE)</f>
        <v/>
      </c>
      <c r="WY39" s="12">
        <f>MIN(MAX(MktMin19plus,XS38*MktPct19plus),MAX(0,YG38-CashBuffer))</f>
        <v/>
      </c>
      <c r="WZ39" s="12">
        <f>IF(WY39&gt;0,MAX(1,ROUND(WY39/CAC*WV39,0)),0)</f>
        <v/>
      </c>
      <c r="XA39" s="12">
        <f>IF(WZ39&gt;0,ROUND(WZ39*ReferralMix/(1-ReferralMix),0),0)</f>
        <v/>
      </c>
      <c r="XB39" s="12">
        <f>WZ39+XA39</f>
        <v/>
      </c>
      <c r="XC39" s="12">
        <f>ROUND(XB39*(1-'Sens - Annual Mix'!$A$11),0)</f>
        <v/>
      </c>
      <c r="XD39" s="12">
        <f>XB39-XC39</f>
        <v/>
      </c>
      <c r="XE39" s="12">
        <f>ROUND(XC39*EssentialMix,0)</f>
        <v/>
      </c>
      <c r="XF39" s="12">
        <f>XC39-XE39</f>
        <v/>
      </c>
      <c r="XG39" s="12">
        <f>ROUND(XD39*EssentialMix,0)</f>
        <v/>
      </c>
      <c r="XH39" s="12">
        <f>XD39-XG39</f>
        <v/>
      </c>
      <c r="XI39" s="12">
        <f>XE39+XE38+XE37+MAX(0,XI38-XE38-XE37)*(1-WX39)</f>
        <v/>
      </c>
      <c r="XJ39" s="12">
        <f>XF39+XF38+XF37+MAX(0,XJ38-XF38-XF37)*(1-WX39)</f>
        <v/>
      </c>
      <c r="XK39" s="12">
        <f>XK38+XG39-XG27*(AnnualChurn*VLOOKUP(WT39,ChurnSeasonTable,4,FALSE))*POWER(1-(AnnualChurn*VLOOKUP(WT39,ChurnSeasonTable,4,FALSE)),0)+XG15*(AnnualChurn*VLOOKUP(WT39,ChurnSeasonTable,4,FALSE))*POWER(1-(AnnualChurn*VLOOKUP(WT39,ChurnSeasonTable,4,FALSE)),1)</f>
        <v/>
      </c>
      <c r="XL39" s="12">
        <f>XL38+XH39-XH27*(AnnualChurn*VLOOKUP(WT39,ChurnSeasonTable,4,FALSE))*POWER(1-(AnnualChurn*VLOOKUP(WT39,ChurnSeasonTable,4,FALSE)),0)+XH15*(AnnualChurn*VLOOKUP(WT39,ChurnSeasonTable,4,FALSE))*POWER(1-(AnnualChurn*VLOOKUP(WT39,ChurnSeasonTable,4,FALSE)),1)</f>
        <v/>
      </c>
      <c r="XM39" s="12">
        <f>XI39+XJ39+XK39+XL39</f>
        <v/>
      </c>
      <c r="XN39" s="9">
        <f>XI39*PriceEssMonthly*WW39+XJ39*PricePremMonthly*WW39+XK39*PriceEssAnnual*WW39/12+XL39*PricePremAnnual*WW39/12</f>
        <v/>
      </c>
      <c r="XO39" s="9">
        <f>XN39*12</f>
        <v/>
      </c>
      <c r="XP39" s="12">
        <f>XI39*PriceEssMonthly*WW39+XJ39*PricePremMonthly*WW39</f>
        <v/>
      </c>
      <c r="XQ39" s="12">
        <f>XG39*PriceEssAnnual*WW39+XH39*PricePremAnnual*WW39</f>
        <v/>
      </c>
      <c r="XR39" s="12">
        <f>XG27*POWER(1-(AnnualChurn*VLOOKUP(WT39,ChurnSeasonTable,4,FALSE)),1)*PriceEssAnnual*WW39+XG15*POWER(1-(AnnualChurn*VLOOKUP(WT39,ChurnSeasonTable,4,FALSE)),2)*PriceEssAnnual*WW39+XH27*POWER(1-(AnnualChurn*VLOOKUP(WT39,ChurnSeasonTable,4,FALSE)),1)*PricePremAnnual*WW39+XH15*POWER(1-(AnnualChurn*VLOOKUP(WT39,ChurnSeasonTable,4,FALSE)),2)*PricePremAnnual*WW39</f>
        <v/>
      </c>
      <c r="XS39" s="9">
        <f>XP39+XQ39+XR39</f>
        <v/>
      </c>
      <c r="XT39" s="12">
        <f>SUM(XS28:XS39)</f>
        <v/>
      </c>
      <c r="XU39" s="12">
        <f>OR(XU38,XT39&gt;=VATThreshold)</f>
        <v/>
      </c>
      <c r="XV39" s="9">
        <f>IF(XU39,XS39/(1+VATRate),XS39)</f>
        <v/>
      </c>
      <c r="XW39" s="12">
        <f>XS39-XV39</f>
        <v/>
      </c>
      <c r="XX39" s="12">
        <f>IF(XU39=0,0,IF(WT39=1,SUMPRODUCT(--(($WU$5:$WU39=$WU39-1)*($WT$5:$WT39&gt;=10)*($WT$5:$WT39&lt;=12)),$XW$5:$XW39),IF(WT39=4,SUMPRODUCT(--(($WU$5:$WU39=$WU39)*($WT$5:$WT39&gt;=1)*($WT$5:$WT39&lt;=3)),$XW$5:$XW39),IF(WT39=7,SUMPRODUCT(--(($WU$5:$WU39=$WU39)*($WT$5:$WT39&gt;=4)*($WT$5:$WT39&lt;=6)),$XW$5:$XW39),IF(WT39=10,SUMPRODUCT(--(($WU$5:$WU39=$WU39)*($WT$5:$WT39&gt;=7)*($WT$5:$WT39&lt;=9)),$XW$5:$XW39),0)))))</f>
        <v/>
      </c>
      <c r="XY39" s="12">
        <f>XY38+XW39-XX39</f>
        <v/>
      </c>
      <c r="XZ39" s="12">
        <f>IF(ProviderDelay&gt;=1,XV38*ProviderShare,XV39*ProviderShare)</f>
        <v/>
      </c>
      <c r="YA39" s="12">
        <f>XS39*PaymentFee</f>
        <v/>
      </c>
      <c r="YB39" s="12">
        <f>XM39*OpsAI</f>
        <v/>
      </c>
      <c r="YC39" s="12">
        <f>MonthlyFixed</f>
        <v/>
      </c>
      <c r="YD39" s="12">
        <f>XA39*ReferralReward</f>
        <v/>
      </c>
      <c r="YE39" s="12">
        <f>WY39</f>
        <v/>
      </c>
      <c r="YF39" s="9">
        <f>XV39-XZ39-YA39-YB39-YC39-YD39-YE39</f>
        <v/>
      </c>
      <c r="YG39" s="9">
        <f>YG38+XS39-(XZ39+YA39+YB39+YC39+YD39+YE39+XX39)</f>
        <v/>
      </c>
      <c r="YH39" s="12">
        <f>IF(XM39&gt;0,XN39/XM39,0)</f>
        <v/>
      </c>
      <c r="YI39" s="11">
        <f>IF(XM38&gt;0,MAX(0,(XM38+XB39-XM39)/XM38),0)</f>
        <v/>
      </c>
      <c r="YK39" s="12" t="n">
        <v>35</v>
      </c>
      <c r="YL39" s="12">
        <f>MOD(YK39-1+LaunchMonth-1,12)+1</f>
        <v/>
      </c>
      <c r="YM39" s="12">
        <f>INT((YK39-1+LaunchMonth-1)/12)+1</f>
        <v/>
      </c>
      <c r="YN39" s="12">
        <f>VLOOKUP(YL39,SeasonTable,2,FALSE)</f>
        <v/>
      </c>
      <c r="YO39" s="12">
        <f>(1+InflationRate)^INT((YK39-1)/12)</f>
        <v/>
      </c>
      <c r="YP39" s="11">
        <f>MonthlyChurn*VLOOKUP(YL39,ChurnSeasonTable,4,FALSE)</f>
        <v/>
      </c>
      <c r="YQ39" s="12">
        <f>MIN(MAX(MktMin19plus,ZK38*MktPct19plus),MAX(0,ZY38-CashBuffer))</f>
        <v/>
      </c>
      <c r="YR39" s="12">
        <f>IF(YQ39&gt;0,MAX(1,ROUND(YQ39/CAC*YN39,0)),0)</f>
        <v/>
      </c>
      <c r="YS39" s="12">
        <f>IF(YR39&gt;0,ROUND(YR39*ReferralMix/(1-ReferralMix),0),0)</f>
        <v/>
      </c>
      <c r="YT39" s="12">
        <f>YR39+YS39</f>
        <v/>
      </c>
      <c r="YU39" s="12">
        <f>ROUND(YT39*(1-'Sens - Annual Mix'!$A$12),0)</f>
        <v/>
      </c>
      <c r="YV39" s="12">
        <f>YT39-YU39</f>
        <v/>
      </c>
      <c r="YW39" s="12">
        <f>ROUND(YU39*EssentialMix,0)</f>
        <v/>
      </c>
      <c r="YX39" s="12">
        <f>YU39-YW39</f>
        <v/>
      </c>
      <c r="YY39" s="12">
        <f>ROUND(YV39*EssentialMix,0)</f>
        <v/>
      </c>
      <c r="YZ39" s="12">
        <f>YV39-YY39</f>
        <v/>
      </c>
      <c r="ZA39" s="12">
        <f>YW39+YW38+YW37+MAX(0,ZA38-YW38-YW37)*(1-YP39)</f>
        <v/>
      </c>
      <c r="ZB39" s="12">
        <f>YX39+YX38+YX37+MAX(0,ZB38-YX38-YX37)*(1-YP39)</f>
        <v/>
      </c>
      <c r="ZC39" s="12">
        <f>ZC38+YY39-YY27*(AnnualChurn*VLOOKUP(YL39,ChurnSeasonTable,4,FALSE))*POWER(1-(AnnualChurn*VLOOKUP(YL39,ChurnSeasonTable,4,FALSE)),0)+YY15*(AnnualChurn*VLOOKUP(YL39,ChurnSeasonTable,4,FALSE))*POWER(1-(AnnualChurn*VLOOKUP(YL39,ChurnSeasonTable,4,FALSE)),1)</f>
        <v/>
      </c>
      <c r="ZD39" s="12">
        <f>ZD38+YZ39-YZ27*(AnnualChurn*VLOOKUP(YL39,ChurnSeasonTable,4,FALSE))*POWER(1-(AnnualChurn*VLOOKUP(YL39,ChurnSeasonTable,4,FALSE)),0)+YZ15*(AnnualChurn*VLOOKUP(YL39,ChurnSeasonTable,4,FALSE))*POWER(1-(AnnualChurn*VLOOKUP(YL39,ChurnSeasonTable,4,FALSE)),1)</f>
        <v/>
      </c>
      <c r="ZE39" s="12">
        <f>ZA39+ZB39+ZC39+ZD39</f>
        <v/>
      </c>
      <c r="ZF39" s="9">
        <f>ZA39*PriceEssMonthly*YO39+ZB39*PricePremMonthly*YO39+ZC39*PriceEssAnnual*YO39/12+ZD39*PricePremAnnual*YO39/12</f>
        <v/>
      </c>
      <c r="ZG39" s="9">
        <f>ZF39*12</f>
        <v/>
      </c>
      <c r="ZH39" s="12">
        <f>ZA39*PriceEssMonthly*YO39+ZB39*PricePremMonthly*YO39</f>
        <v/>
      </c>
      <c r="ZI39" s="12">
        <f>YY39*PriceEssAnnual*YO39+YZ39*PricePremAnnual*YO39</f>
        <v/>
      </c>
      <c r="ZJ39" s="12">
        <f>YY27*POWER(1-(AnnualChurn*VLOOKUP(YL39,ChurnSeasonTable,4,FALSE)),1)*PriceEssAnnual*YO39+YY15*POWER(1-(AnnualChurn*VLOOKUP(YL39,ChurnSeasonTable,4,FALSE)),2)*PriceEssAnnual*YO39+YZ27*POWER(1-(AnnualChurn*VLOOKUP(YL39,ChurnSeasonTable,4,FALSE)),1)*PricePremAnnual*YO39+YZ15*POWER(1-(AnnualChurn*VLOOKUP(YL39,ChurnSeasonTable,4,FALSE)),2)*PricePremAnnual*YO39</f>
        <v/>
      </c>
      <c r="ZK39" s="9">
        <f>ZH39+ZI39+ZJ39</f>
        <v/>
      </c>
      <c r="ZL39" s="12">
        <f>SUM(ZK28:ZK39)</f>
        <v/>
      </c>
      <c r="ZM39" s="12">
        <f>OR(ZM38,ZL39&gt;=VATThreshold)</f>
        <v/>
      </c>
      <c r="ZN39" s="9">
        <f>IF(ZM39,ZK39/(1+VATRate),ZK39)</f>
        <v/>
      </c>
      <c r="ZO39" s="12">
        <f>ZK39-ZN39</f>
        <v/>
      </c>
      <c r="ZP39" s="12">
        <f>IF(ZM39=0,0,IF(YL39=1,SUMPRODUCT(--(($YM$5:$YM39=$YM39-1)*($YL$5:$YL39&gt;=10)*($YL$5:$YL39&lt;=12)),$ZO$5:$ZO39),IF(YL39=4,SUMPRODUCT(--(($YM$5:$YM39=$YM39)*($YL$5:$YL39&gt;=1)*($YL$5:$YL39&lt;=3)),$ZO$5:$ZO39),IF(YL39=7,SUMPRODUCT(--(($YM$5:$YM39=$YM39)*($YL$5:$YL39&gt;=4)*($YL$5:$YL39&lt;=6)),$ZO$5:$ZO39),IF(YL39=10,SUMPRODUCT(--(($YM$5:$YM39=$YM39)*($YL$5:$YL39&gt;=7)*($YL$5:$YL39&lt;=9)),$ZO$5:$ZO39),0)))))</f>
        <v/>
      </c>
      <c r="ZQ39" s="12">
        <f>ZQ38+ZO39-ZP39</f>
        <v/>
      </c>
      <c r="ZR39" s="12">
        <f>IF(ProviderDelay&gt;=1,ZN38*ProviderShare,ZN39*ProviderShare)</f>
        <v/>
      </c>
      <c r="ZS39" s="12">
        <f>ZK39*PaymentFee</f>
        <v/>
      </c>
      <c r="ZT39" s="12">
        <f>ZE39*OpsAI</f>
        <v/>
      </c>
      <c r="ZU39" s="12">
        <f>MonthlyFixed</f>
        <v/>
      </c>
      <c r="ZV39" s="12">
        <f>YS39*ReferralReward</f>
        <v/>
      </c>
      <c r="ZW39" s="12">
        <f>YQ39</f>
        <v/>
      </c>
      <c r="ZX39" s="9">
        <f>ZN39-ZR39-ZS39-ZT39-ZU39-ZV39-ZW39</f>
        <v/>
      </c>
      <c r="ZY39" s="9">
        <f>ZY38+ZK39-(ZR39+ZS39+ZT39+ZU39+ZV39+ZW39+ZP39)</f>
        <v/>
      </c>
      <c r="ZZ39" s="12">
        <f>IF(ZE39&gt;0,ZF39/ZE39,0)</f>
        <v/>
      </c>
      <c r="AAA39" s="11">
        <f>IF(ZE38&gt;0,MAX(0,(ZE38+YT39-ZE39)/ZE38),0)</f>
        <v/>
      </c>
      <c r="AAC39" s="12" t="n">
        <v>35</v>
      </c>
      <c r="AAD39" s="12">
        <f>MOD(AAC39-1+LaunchMonth-1,12)+1</f>
        <v/>
      </c>
      <c r="AAE39" s="12">
        <f>INT((AAC39-1+LaunchMonth-1)/12)+1</f>
        <v/>
      </c>
      <c r="AAF39" s="12">
        <f>VLOOKUP(AAD39,SeasonTable,2,FALSE)</f>
        <v/>
      </c>
      <c r="AAG39" s="12">
        <f>(1+InflationRate)^INT((AAC39-1)/12)</f>
        <v/>
      </c>
      <c r="AAH39" s="11">
        <f>MonthlyChurn*VLOOKUP(AAD39,ChurnSeasonTable,4,FALSE)</f>
        <v/>
      </c>
      <c r="AAI39" s="12">
        <f>MIN(MAX(MktMin19plus,ABC38*MktPct19plus),MAX(0,ABQ38-CashBuffer))</f>
        <v/>
      </c>
      <c r="AAJ39" s="12">
        <f>IF(AAI39&gt;0,MAX(1,ROUND(AAI39/CAC*AAF39,0)),0)</f>
        <v/>
      </c>
      <c r="AAK39" s="12">
        <f>IF(AAJ39&gt;0,ROUND(AAJ39*ReferralMix/(1-ReferralMix),0),0)</f>
        <v/>
      </c>
      <c r="AAL39" s="12">
        <f>AAJ39+AAK39</f>
        <v/>
      </c>
      <c r="AAM39" s="12">
        <f>ROUND(AAL39*(1-'Sens - Annual Mix'!$A$13),0)</f>
        <v/>
      </c>
      <c r="AAN39" s="12">
        <f>AAL39-AAM39</f>
        <v/>
      </c>
      <c r="AAO39" s="12">
        <f>ROUND(AAM39*EssentialMix,0)</f>
        <v/>
      </c>
      <c r="AAP39" s="12">
        <f>AAM39-AAO39</f>
        <v/>
      </c>
      <c r="AAQ39" s="12">
        <f>ROUND(AAN39*EssentialMix,0)</f>
        <v/>
      </c>
      <c r="AAR39" s="12">
        <f>AAN39-AAQ39</f>
        <v/>
      </c>
      <c r="AAS39" s="12">
        <f>AAO39+AAO38+AAO37+MAX(0,AAS38-AAO38-AAO37)*(1-AAH39)</f>
        <v/>
      </c>
      <c r="AAT39" s="12">
        <f>AAP39+AAP38+AAP37+MAX(0,AAT38-AAP38-AAP37)*(1-AAH39)</f>
        <v/>
      </c>
      <c r="AAU39" s="12">
        <f>AAU38+AAQ39-AAQ27*(AnnualChurn*VLOOKUP(AAD39,ChurnSeasonTable,4,FALSE))*POWER(1-(AnnualChurn*VLOOKUP(AAD39,ChurnSeasonTable,4,FALSE)),0)+AAQ15*(AnnualChurn*VLOOKUP(AAD39,ChurnSeasonTable,4,FALSE))*POWER(1-(AnnualChurn*VLOOKUP(AAD39,ChurnSeasonTable,4,FALSE)),1)</f>
        <v/>
      </c>
      <c r="AAV39" s="12">
        <f>AAV38+AAR39-AAR27*(AnnualChurn*VLOOKUP(AAD39,ChurnSeasonTable,4,FALSE))*POWER(1-(AnnualChurn*VLOOKUP(AAD39,ChurnSeasonTable,4,FALSE)),0)+AAR15*(AnnualChurn*VLOOKUP(AAD39,ChurnSeasonTable,4,FALSE))*POWER(1-(AnnualChurn*VLOOKUP(AAD39,ChurnSeasonTable,4,FALSE)),1)</f>
        <v/>
      </c>
      <c r="AAW39" s="12">
        <f>AAS39+AAT39+AAU39+AAV39</f>
        <v/>
      </c>
      <c r="AAX39" s="9">
        <f>AAS39*PriceEssMonthly*AAG39+AAT39*PricePremMonthly*AAG39+AAU39*PriceEssAnnual*AAG39/12+AAV39*PricePremAnnual*AAG39/12</f>
        <v/>
      </c>
      <c r="AAY39" s="9">
        <f>AAX39*12</f>
        <v/>
      </c>
      <c r="AAZ39" s="12">
        <f>AAS39*PriceEssMonthly*AAG39+AAT39*PricePremMonthly*AAG39</f>
        <v/>
      </c>
      <c r="ABA39" s="12">
        <f>AAQ39*PriceEssAnnual*AAG39+AAR39*PricePremAnnual*AAG39</f>
        <v/>
      </c>
      <c r="ABB39" s="12">
        <f>AAQ27*POWER(1-(AnnualChurn*VLOOKUP(AAD39,ChurnSeasonTable,4,FALSE)),1)*PriceEssAnnual*AAG39+AAQ15*POWER(1-(AnnualChurn*VLOOKUP(AAD39,ChurnSeasonTable,4,FALSE)),2)*PriceEssAnnual*AAG39+AAR27*POWER(1-(AnnualChurn*VLOOKUP(AAD39,ChurnSeasonTable,4,FALSE)),1)*PricePremAnnual*AAG39+AAR15*POWER(1-(AnnualChurn*VLOOKUP(AAD39,ChurnSeasonTable,4,FALSE)),2)*PricePremAnnual*AAG39</f>
        <v/>
      </c>
      <c r="ABC39" s="9">
        <f>AAZ39+ABA39+ABB39</f>
        <v/>
      </c>
      <c r="ABD39" s="12">
        <f>SUM(ABC28:ABC39)</f>
        <v/>
      </c>
      <c r="ABE39" s="12">
        <f>OR(ABE38,ABD39&gt;=VATThreshold)</f>
        <v/>
      </c>
      <c r="ABF39" s="9">
        <f>IF(ABE39,ABC39/(1+VATRate),ABC39)</f>
        <v/>
      </c>
      <c r="ABG39" s="12">
        <f>ABC39-ABF39</f>
        <v/>
      </c>
      <c r="ABH39" s="12">
        <f>IF(ABE39=0,0,IF(AAD39=1,SUMPRODUCT(--(($AAE$5:$AAE39=$AAE39-1)*($AAD$5:$AAD39&gt;=10)*($AAD$5:$AAD39&lt;=12)),$ABG$5:$ABG39),IF(AAD39=4,SUMPRODUCT(--(($AAE$5:$AAE39=$AAE39)*($AAD$5:$AAD39&gt;=1)*($AAD$5:$AAD39&lt;=3)),$ABG$5:$ABG39),IF(AAD39=7,SUMPRODUCT(--(($AAE$5:$AAE39=$AAE39)*($AAD$5:$AAD39&gt;=4)*($AAD$5:$AAD39&lt;=6)),$ABG$5:$ABG39),IF(AAD39=10,SUMPRODUCT(--(($AAE$5:$AAE39=$AAE39)*($AAD$5:$AAD39&gt;=7)*($AAD$5:$AAD39&lt;=9)),$ABG$5:$ABG39),0)))))</f>
        <v/>
      </c>
      <c r="ABI39" s="12">
        <f>ABI38+ABG39-ABH39</f>
        <v/>
      </c>
      <c r="ABJ39" s="12">
        <f>IF(ProviderDelay&gt;=1,ABF38*ProviderShare,ABF39*ProviderShare)</f>
        <v/>
      </c>
      <c r="ABK39" s="12">
        <f>ABC39*PaymentFee</f>
        <v/>
      </c>
      <c r="ABL39" s="12">
        <f>AAW39*OpsAI</f>
        <v/>
      </c>
      <c r="ABM39" s="12">
        <f>MonthlyFixed</f>
        <v/>
      </c>
      <c r="ABN39" s="12">
        <f>AAK39*ReferralReward</f>
        <v/>
      </c>
      <c r="ABO39" s="12">
        <f>AAI39</f>
        <v/>
      </c>
      <c r="ABP39" s="9">
        <f>ABF39-ABJ39-ABK39-ABL39-ABM39-ABN39-ABO39</f>
        <v/>
      </c>
      <c r="ABQ39" s="9">
        <f>ABQ38+ABC39-(ABJ39+ABK39+ABL39+ABM39+ABN39+ABO39+ABH39)</f>
        <v/>
      </c>
      <c r="ABR39" s="12">
        <f>IF(AAW39&gt;0,AAX39/AAW39,0)</f>
        <v/>
      </c>
      <c r="ABS39" s="11">
        <f>IF(AAW38&gt;0,MAX(0,(AAW38+AAL39-AAW39)/AAW38),0)</f>
        <v/>
      </c>
      <c r="ABU39" s="12" t="n">
        <v>35</v>
      </c>
      <c r="ABV39" s="12">
        <f>MOD(ABU39-1+LaunchMonth-1,12)+1</f>
        <v/>
      </c>
      <c r="ABW39" s="12">
        <f>INT((ABU39-1+LaunchMonth-1)/12)+1</f>
        <v/>
      </c>
      <c r="ABX39" s="12">
        <f>VLOOKUP(ABV39,SeasonTable,2,FALSE)</f>
        <v/>
      </c>
      <c r="ABY39" s="12">
        <f>(1+InflationRate)^INT((ABU39-1)/12)</f>
        <v/>
      </c>
      <c r="ABZ39" s="11">
        <f>MonthlyChurn*VLOOKUP(ABV39,ChurnSeasonTable,4,FALSE)</f>
        <v/>
      </c>
      <c r="ACA39" s="12">
        <f>MIN(MAX(MktMin19plus,ACU38*MktPct19plus),MAX(0,ADI38-CashBuffer))</f>
        <v/>
      </c>
      <c r="ACB39" s="12">
        <f>IF(ACA39&gt;0,MAX(1,ROUND(ACA39/CAC*ABX39,0)),0)</f>
        <v/>
      </c>
      <c r="ACC39" s="12">
        <f>IF(ACB39&gt;0,ROUND(ACB39*ReferralMix/(1-ReferralMix),0),0)</f>
        <v/>
      </c>
      <c r="ACD39" s="12">
        <f>ACB39+ACC39</f>
        <v/>
      </c>
      <c r="ACE39" s="12">
        <f>ROUND(ACD39*(1-'Sens - Annual Mix'!$A$14),0)</f>
        <v/>
      </c>
      <c r="ACF39" s="12">
        <f>ACD39-ACE39</f>
        <v/>
      </c>
      <c r="ACG39" s="12">
        <f>ROUND(ACE39*EssentialMix,0)</f>
        <v/>
      </c>
      <c r="ACH39" s="12">
        <f>ACE39-ACG39</f>
        <v/>
      </c>
      <c r="ACI39" s="12">
        <f>ROUND(ACF39*EssentialMix,0)</f>
        <v/>
      </c>
      <c r="ACJ39" s="12">
        <f>ACF39-ACI39</f>
        <v/>
      </c>
      <c r="ACK39" s="12">
        <f>ACG39+ACG38+ACG37+MAX(0,ACK38-ACG38-ACG37)*(1-ABZ39)</f>
        <v/>
      </c>
      <c r="ACL39" s="12">
        <f>ACH39+ACH38+ACH37+MAX(0,ACL38-ACH38-ACH37)*(1-ABZ39)</f>
        <v/>
      </c>
      <c r="ACM39" s="12">
        <f>ACM38+ACI39-ACI27*(AnnualChurn*VLOOKUP(ABV39,ChurnSeasonTable,4,FALSE))*POWER(1-(AnnualChurn*VLOOKUP(ABV39,ChurnSeasonTable,4,FALSE)),0)+ACI15*(AnnualChurn*VLOOKUP(ABV39,ChurnSeasonTable,4,FALSE))*POWER(1-(AnnualChurn*VLOOKUP(ABV39,ChurnSeasonTable,4,FALSE)),1)</f>
        <v/>
      </c>
      <c r="ACN39" s="12">
        <f>ACN38+ACJ39-ACJ27*(AnnualChurn*VLOOKUP(ABV39,ChurnSeasonTable,4,FALSE))*POWER(1-(AnnualChurn*VLOOKUP(ABV39,ChurnSeasonTable,4,FALSE)),0)+ACJ15*(AnnualChurn*VLOOKUP(ABV39,ChurnSeasonTable,4,FALSE))*POWER(1-(AnnualChurn*VLOOKUP(ABV39,ChurnSeasonTable,4,FALSE)),1)</f>
        <v/>
      </c>
      <c r="ACO39" s="12">
        <f>ACK39+ACL39+ACM39+ACN39</f>
        <v/>
      </c>
      <c r="ACP39" s="9">
        <f>ACK39*PriceEssMonthly*ABY39+ACL39*PricePremMonthly*ABY39+ACM39*PriceEssAnnual*ABY39/12+ACN39*PricePremAnnual*ABY39/12</f>
        <v/>
      </c>
      <c r="ACQ39" s="9">
        <f>ACP39*12</f>
        <v/>
      </c>
      <c r="ACR39" s="12">
        <f>ACK39*PriceEssMonthly*ABY39+ACL39*PricePremMonthly*ABY39</f>
        <v/>
      </c>
      <c r="ACS39" s="12">
        <f>ACI39*PriceEssAnnual*ABY39+ACJ39*PricePremAnnual*ABY39</f>
        <v/>
      </c>
      <c r="ACT39" s="12">
        <f>ACI27*POWER(1-(AnnualChurn*VLOOKUP(ABV39,ChurnSeasonTable,4,FALSE)),1)*PriceEssAnnual*ABY39+ACI15*POWER(1-(AnnualChurn*VLOOKUP(ABV39,ChurnSeasonTable,4,FALSE)),2)*PriceEssAnnual*ABY39+ACJ27*POWER(1-(AnnualChurn*VLOOKUP(ABV39,ChurnSeasonTable,4,FALSE)),1)*PricePremAnnual*ABY39+ACJ15*POWER(1-(AnnualChurn*VLOOKUP(ABV39,ChurnSeasonTable,4,FALSE)),2)*PricePremAnnual*ABY39</f>
        <v/>
      </c>
      <c r="ACU39" s="9">
        <f>ACR39+ACS39+ACT39</f>
        <v/>
      </c>
      <c r="ACV39" s="12">
        <f>SUM(ACU28:ACU39)</f>
        <v/>
      </c>
      <c r="ACW39" s="12">
        <f>OR(ACW38,ACV39&gt;=VATThreshold)</f>
        <v/>
      </c>
      <c r="ACX39" s="9">
        <f>IF(ACW39,ACU39/(1+VATRate),ACU39)</f>
        <v/>
      </c>
      <c r="ACY39" s="12">
        <f>ACU39-ACX39</f>
        <v/>
      </c>
      <c r="ACZ39" s="12">
        <f>IF(ACW39=0,0,IF(ABV39=1,SUMPRODUCT(--(($ABW$5:$ABW39=$ABW39-1)*($ABV$5:$ABV39&gt;=10)*($ABV$5:$ABV39&lt;=12)),$ACY$5:$ACY39),IF(ABV39=4,SUMPRODUCT(--(($ABW$5:$ABW39=$ABW39)*($ABV$5:$ABV39&gt;=1)*($ABV$5:$ABV39&lt;=3)),$ACY$5:$ACY39),IF(ABV39=7,SUMPRODUCT(--(($ABW$5:$ABW39=$ABW39)*($ABV$5:$ABV39&gt;=4)*($ABV$5:$ABV39&lt;=6)),$ACY$5:$ACY39),IF(ABV39=10,SUMPRODUCT(--(($ABW$5:$ABW39=$ABW39)*($ABV$5:$ABV39&gt;=7)*($ABV$5:$ABV39&lt;=9)),$ACY$5:$ACY39),0)))))</f>
        <v/>
      </c>
      <c r="ADA39" s="12">
        <f>ADA38+ACY39-ACZ39</f>
        <v/>
      </c>
      <c r="ADB39" s="12">
        <f>IF(ProviderDelay&gt;=1,ACX38*ProviderShare,ACX39*ProviderShare)</f>
        <v/>
      </c>
      <c r="ADC39" s="12">
        <f>ACU39*PaymentFee</f>
        <v/>
      </c>
      <c r="ADD39" s="12">
        <f>ACO39*OpsAI</f>
        <v/>
      </c>
      <c r="ADE39" s="12">
        <f>MonthlyFixed</f>
        <v/>
      </c>
      <c r="ADF39" s="12">
        <f>ACC39*ReferralReward</f>
        <v/>
      </c>
      <c r="ADG39" s="12">
        <f>ACA39</f>
        <v/>
      </c>
      <c r="ADH39" s="9">
        <f>ACX39-ADB39-ADC39-ADD39-ADE39-ADF39-ADG39</f>
        <v/>
      </c>
      <c r="ADI39" s="9">
        <f>ADI38+ACU39-(ADB39+ADC39+ADD39+ADE39+ADF39+ADG39+ACZ39)</f>
        <v/>
      </c>
      <c r="ADJ39" s="12">
        <f>IF(ACO39&gt;0,ACP39/ACO39,0)</f>
        <v/>
      </c>
      <c r="ADK39" s="11">
        <f>IF(ACO38&gt;0,MAX(0,(ACO38+ACD39-ACO39)/ACO38),0)</f>
        <v/>
      </c>
      <c r="ADM39" s="12" t="n">
        <v>35</v>
      </c>
      <c r="ADN39" s="12">
        <f>MOD(ADM39-1+LaunchMonth-1,12)+1</f>
        <v/>
      </c>
      <c r="ADO39" s="12">
        <f>INT((ADM39-1+LaunchMonth-1)/12)+1</f>
        <v/>
      </c>
      <c r="ADP39" s="12">
        <f>VLOOKUP(ADN39,SeasonTable,2,FALSE)</f>
        <v/>
      </c>
      <c r="ADQ39" s="12">
        <f>(1+InflationRate)^INT((ADM39-1)/12)</f>
        <v/>
      </c>
      <c r="ADR39" s="11">
        <f>MonthlyChurn*VLOOKUP(ADN39,ChurnSeasonTable,4,FALSE)</f>
        <v/>
      </c>
      <c r="ADS39" s="12">
        <f>MIN(MAX(MktMin19plus,AEM38*MktPct19plus),MAX(0,AFA38-CashBuffer))</f>
        <v/>
      </c>
      <c r="ADT39" s="12">
        <f>IF(ADS39&gt;0,MAX(1,ROUND(ADS39/CAC*ADP39,0)),0)</f>
        <v/>
      </c>
      <c r="ADU39" s="12">
        <f>IF(ADT39&gt;0,ROUND(ADT39*ReferralMix/(1-ReferralMix),0),0)</f>
        <v/>
      </c>
      <c r="ADV39" s="12">
        <f>ADT39+ADU39</f>
        <v/>
      </c>
      <c r="ADW39" s="12">
        <f>ROUND(ADV39*(1-'Sens - Annual Mix'!$A$15),0)</f>
        <v/>
      </c>
      <c r="ADX39" s="12">
        <f>ADV39-ADW39</f>
        <v/>
      </c>
      <c r="ADY39" s="12">
        <f>ROUND(ADW39*EssentialMix,0)</f>
        <v/>
      </c>
      <c r="ADZ39" s="12">
        <f>ADW39-ADY39</f>
        <v/>
      </c>
      <c r="AEA39" s="12">
        <f>ROUND(ADX39*EssentialMix,0)</f>
        <v/>
      </c>
      <c r="AEB39" s="12">
        <f>ADX39-AEA39</f>
        <v/>
      </c>
      <c r="AEC39" s="12">
        <f>ADY39+ADY38+ADY37+MAX(0,AEC38-ADY38-ADY37)*(1-ADR39)</f>
        <v/>
      </c>
      <c r="AED39" s="12">
        <f>ADZ39+ADZ38+ADZ37+MAX(0,AED38-ADZ38-ADZ37)*(1-ADR39)</f>
        <v/>
      </c>
      <c r="AEE39" s="12">
        <f>AEE38+AEA39-AEA27*(AnnualChurn*VLOOKUP(ADN39,ChurnSeasonTable,4,FALSE))*POWER(1-(AnnualChurn*VLOOKUP(ADN39,ChurnSeasonTable,4,FALSE)),0)+AEA15*(AnnualChurn*VLOOKUP(ADN39,ChurnSeasonTable,4,FALSE))*POWER(1-(AnnualChurn*VLOOKUP(ADN39,ChurnSeasonTable,4,FALSE)),1)</f>
        <v/>
      </c>
      <c r="AEF39" s="12">
        <f>AEF38+AEB39-AEB27*(AnnualChurn*VLOOKUP(ADN39,ChurnSeasonTable,4,FALSE))*POWER(1-(AnnualChurn*VLOOKUP(ADN39,ChurnSeasonTable,4,FALSE)),0)+AEB15*(AnnualChurn*VLOOKUP(ADN39,ChurnSeasonTable,4,FALSE))*POWER(1-(AnnualChurn*VLOOKUP(ADN39,ChurnSeasonTable,4,FALSE)),1)</f>
        <v/>
      </c>
      <c r="AEG39" s="12">
        <f>AEC39+AED39+AEE39+AEF39</f>
        <v/>
      </c>
      <c r="AEH39" s="9">
        <f>AEC39*PriceEssMonthly*ADQ39+AED39*PricePremMonthly*ADQ39+AEE39*PriceEssAnnual*ADQ39/12+AEF39*PricePremAnnual*ADQ39/12</f>
        <v/>
      </c>
      <c r="AEI39" s="9">
        <f>AEH39*12</f>
        <v/>
      </c>
      <c r="AEJ39" s="12">
        <f>AEC39*PriceEssMonthly*ADQ39+AED39*PricePremMonthly*ADQ39</f>
        <v/>
      </c>
      <c r="AEK39" s="12">
        <f>AEA39*PriceEssAnnual*ADQ39+AEB39*PricePremAnnual*ADQ39</f>
        <v/>
      </c>
      <c r="AEL39" s="12">
        <f>AEA27*POWER(1-(AnnualChurn*VLOOKUP(ADN39,ChurnSeasonTable,4,FALSE)),1)*PriceEssAnnual*ADQ39+AEA15*POWER(1-(AnnualChurn*VLOOKUP(ADN39,ChurnSeasonTable,4,FALSE)),2)*PriceEssAnnual*ADQ39+AEB27*POWER(1-(AnnualChurn*VLOOKUP(ADN39,ChurnSeasonTable,4,FALSE)),1)*PricePremAnnual*ADQ39+AEB15*POWER(1-(AnnualChurn*VLOOKUP(ADN39,ChurnSeasonTable,4,FALSE)),2)*PricePremAnnual*ADQ39</f>
        <v/>
      </c>
      <c r="AEM39" s="9">
        <f>AEJ39+AEK39+AEL39</f>
        <v/>
      </c>
      <c r="AEN39" s="12">
        <f>SUM(AEM28:AEM39)</f>
        <v/>
      </c>
      <c r="AEO39" s="12">
        <f>OR(AEO38,AEN39&gt;=VATThreshold)</f>
        <v/>
      </c>
      <c r="AEP39" s="9">
        <f>IF(AEO39,AEM39/(1+VATRate),AEM39)</f>
        <v/>
      </c>
      <c r="AEQ39" s="12">
        <f>AEM39-AEP39</f>
        <v/>
      </c>
      <c r="AER39" s="12">
        <f>IF(AEO39=0,0,IF(ADN39=1,SUMPRODUCT(--(($ADO$5:$ADO39=$ADO39-1)*($ADN$5:$ADN39&gt;=10)*($ADN$5:$ADN39&lt;=12)),$AEQ$5:$AEQ39),IF(ADN39=4,SUMPRODUCT(--(($ADO$5:$ADO39=$ADO39)*($ADN$5:$ADN39&gt;=1)*($ADN$5:$ADN39&lt;=3)),$AEQ$5:$AEQ39),IF(ADN39=7,SUMPRODUCT(--(($ADO$5:$ADO39=$ADO39)*($ADN$5:$ADN39&gt;=4)*($ADN$5:$ADN39&lt;=6)),$AEQ$5:$AEQ39),IF(ADN39=10,SUMPRODUCT(--(($ADO$5:$ADO39=$ADO39)*($ADN$5:$ADN39&gt;=7)*($ADN$5:$ADN39&lt;=9)),$AEQ$5:$AEQ39),0)))))</f>
        <v/>
      </c>
      <c r="AES39" s="12">
        <f>AES38+AEQ39-AER39</f>
        <v/>
      </c>
      <c r="AET39" s="12">
        <f>IF(ProviderDelay&gt;=1,AEP38*ProviderShare,AEP39*ProviderShare)</f>
        <v/>
      </c>
      <c r="AEU39" s="12">
        <f>AEM39*PaymentFee</f>
        <v/>
      </c>
      <c r="AEV39" s="12">
        <f>AEG39*OpsAI</f>
        <v/>
      </c>
      <c r="AEW39" s="12">
        <f>MonthlyFixed</f>
        <v/>
      </c>
      <c r="AEX39" s="12">
        <f>ADU39*ReferralReward</f>
        <v/>
      </c>
      <c r="AEY39" s="12">
        <f>ADS39</f>
        <v/>
      </c>
      <c r="AEZ39" s="9">
        <f>AEP39-AET39-AEU39-AEV39-AEW39-AEX39-AEY39</f>
        <v/>
      </c>
      <c r="AFA39" s="9">
        <f>AFA38+AEM39-(AET39+AEU39+AEV39+AEW39+AEX39+AEY39+AER39)</f>
        <v/>
      </c>
      <c r="AFB39" s="12">
        <f>IF(AEG39&gt;0,AEH39/AEG39,0)</f>
        <v/>
      </c>
      <c r="AFC39" s="11">
        <f>IF(AEG38&gt;0,MAX(0,(AEG38+ADV39-AEG39)/AEG38),0)</f>
        <v/>
      </c>
      <c r="AFE39" s="12" t="n">
        <v>35</v>
      </c>
      <c r="AFF39" s="12">
        <f>MOD(AFE39-1+LaunchMonth-1,12)+1</f>
        <v/>
      </c>
      <c r="AFG39" s="12">
        <f>INT((AFE39-1+LaunchMonth-1)/12)+1</f>
        <v/>
      </c>
      <c r="AFH39" s="12">
        <f>VLOOKUP(AFF39,SeasonTable,2,FALSE)</f>
        <v/>
      </c>
      <c r="AFI39" s="12">
        <f>(1+InflationRate)^INT((AFE39-1)/12)</f>
        <v/>
      </c>
      <c r="AFJ39" s="11">
        <f>MonthlyChurn*VLOOKUP(AFF39,ChurnSeasonTable,4,FALSE)</f>
        <v/>
      </c>
      <c r="AFK39" s="12">
        <f>MIN(MAX(MktMin19plus,AGE38*MktPct19plus),MAX(0,AGS38-CashBuffer))</f>
        <v/>
      </c>
      <c r="AFL39" s="12">
        <f>IF(AFK39&gt;0,MAX(1,ROUND(AFK39/'Sens - CAC &amp; Marketing'!$A$9*AFH39,0)),0)</f>
        <v/>
      </c>
      <c r="AFM39" s="12">
        <f>IF(AFL39&gt;0,ROUND(AFL39*ReferralMix/(1-ReferralMix),0),0)</f>
        <v/>
      </c>
      <c r="AFN39" s="12">
        <f>AFL39+AFM39</f>
        <v/>
      </c>
      <c r="AFO39" s="12">
        <f>ROUND(AFN39*(1-AnnualMix),0)</f>
        <v/>
      </c>
      <c r="AFP39" s="12">
        <f>AFN39-AFO39</f>
        <v/>
      </c>
      <c r="AFQ39" s="12">
        <f>ROUND(AFO39*EssentialMix,0)</f>
        <v/>
      </c>
      <c r="AFR39" s="12">
        <f>AFO39-AFQ39</f>
        <v/>
      </c>
      <c r="AFS39" s="12">
        <f>ROUND(AFP39*EssentialMix,0)</f>
        <v/>
      </c>
      <c r="AFT39" s="12">
        <f>AFP39-AFS39</f>
        <v/>
      </c>
      <c r="AFU39" s="12">
        <f>AFQ39+AFQ38+AFQ37+MAX(0,AFU38-AFQ38-AFQ37)*(1-AFJ39)</f>
        <v/>
      </c>
      <c r="AFV39" s="12">
        <f>AFR39+AFR38+AFR37+MAX(0,AFV38-AFR38-AFR37)*(1-AFJ39)</f>
        <v/>
      </c>
      <c r="AFW39" s="12">
        <f>AFW38+AFS39-AFS27*(AnnualChurn*VLOOKUP(AFF39,ChurnSeasonTable,4,FALSE))*POWER(1-(AnnualChurn*VLOOKUP(AFF39,ChurnSeasonTable,4,FALSE)),0)+AFS15*(AnnualChurn*VLOOKUP(AFF39,ChurnSeasonTable,4,FALSE))*POWER(1-(AnnualChurn*VLOOKUP(AFF39,ChurnSeasonTable,4,FALSE)),1)</f>
        <v/>
      </c>
      <c r="AFX39" s="12">
        <f>AFX38+AFT39-AFT27*(AnnualChurn*VLOOKUP(AFF39,ChurnSeasonTable,4,FALSE))*POWER(1-(AnnualChurn*VLOOKUP(AFF39,ChurnSeasonTable,4,FALSE)),0)+AFT15*(AnnualChurn*VLOOKUP(AFF39,ChurnSeasonTable,4,FALSE))*POWER(1-(AnnualChurn*VLOOKUP(AFF39,ChurnSeasonTable,4,FALSE)),1)</f>
        <v/>
      </c>
      <c r="AFY39" s="12">
        <f>AFU39+AFV39+AFW39+AFX39</f>
        <v/>
      </c>
      <c r="AFZ39" s="9">
        <f>AFU39*PriceEssMonthly*AFI39+AFV39*PricePremMonthly*AFI39+AFW39*PriceEssAnnual*AFI39/12+AFX39*PricePremAnnual*AFI39/12</f>
        <v/>
      </c>
      <c r="AGA39" s="9">
        <f>AFZ39*12</f>
        <v/>
      </c>
      <c r="AGB39" s="12">
        <f>AFU39*PriceEssMonthly*AFI39+AFV39*PricePremMonthly*AFI39</f>
        <v/>
      </c>
      <c r="AGC39" s="12">
        <f>AFS39*PriceEssAnnual*AFI39+AFT39*PricePremAnnual*AFI39</f>
        <v/>
      </c>
      <c r="AGD39" s="12">
        <f>AFS27*POWER(1-(AnnualChurn*VLOOKUP(AFF39,ChurnSeasonTable,4,FALSE)),1)*PriceEssAnnual*AFI39+AFS15*POWER(1-(AnnualChurn*VLOOKUP(AFF39,ChurnSeasonTable,4,FALSE)),2)*PriceEssAnnual*AFI39+AFT27*POWER(1-(AnnualChurn*VLOOKUP(AFF39,ChurnSeasonTable,4,FALSE)),1)*PricePremAnnual*AFI39+AFT15*POWER(1-(AnnualChurn*VLOOKUP(AFF39,ChurnSeasonTable,4,FALSE)),2)*PricePremAnnual*AFI39</f>
        <v/>
      </c>
      <c r="AGE39" s="9">
        <f>AGB39+AGC39+AGD39</f>
        <v/>
      </c>
      <c r="AGF39" s="12">
        <f>SUM(AGE28:AGE39)</f>
        <v/>
      </c>
      <c r="AGG39" s="12">
        <f>OR(AGG38,AGF39&gt;=VATThreshold)</f>
        <v/>
      </c>
      <c r="AGH39" s="9">
        <f>IF(AGG39,AGE39/(1+VATRate),AGE39)</f>
        <v/>
      </c>
      <c r="AGI39" s="12">
        <f>AGE39-AGH39</f>
        <v/>
      </c>
      <c r="AGJ39" s="12">
        <f>IF(AGG39=0,0,IF(AFF39=1,SUMPRODUCT(--(($AFG$5:$AFG39=$AFG39-1)*($AFF$5:$AFF39&gt;=10)*($AFF$5:$AFF39&lt;=12)),$AGI$5:$AGI39),IF(AFF39=4,SUMPRODUCT(--(($AFG$5:$AFG39=$AFG39)*($AFF$5:$AFF39&gt;=1)*($AFF$5:$AFF39&lt;=3)),$AGI$5:$AGI39),IF(AFF39=7,SUMPRODUCT(--(($AFG$5:$AFG39=$AFG39)*($AFF$5:$AFF39&gt;=4)*($AFF$5:$AFF39&lt;=6)),$AGI$5:$AGI39),IF(AFF39=10,SUMPRODUCT(--(($AFG$5:$AFG39=$AFG39)*($AFF$5:$AFF39&gt;=7)*($AFF$5:$AFF39&lt;=9)),$AGI$5:$AGI39),0)))))</f>
        <v/>
      </c>
      <c r="AGK39" s="12">
        <f>AGK38+AGI39-AGJ39</f>
        <v/>
      </c>
      <c r="AGL39" s="12">
        <f>IF(ProviderDelay&gt;=1,AGH38*ProviderShare,AGH39*ProviderShare)</f>
        <v/>
      </c>
      <c r="AGM39" s="12">
        <f>AGE39*PaymentFee</f>
        <v/>
      </c>
      <c r="AGN39" s="12">
        <f>AFY39*OpsAI</f>
        <v/>
      </c>
      <c r="AGO39" s="12">
        <f>MonthlyFixed</f>
        <v/>
      </c>
      <c r="AGP39" s="12">
        <f>AFM39*ReferralReward</f>
        <v/>
      </c>
      <c r="AGQ39" s="12">
        <f>AFK39</f>
        <v/>
      </c>
      <c r="AGR39" s="9">
        <f>AGH39-AGL39-AGM39-AGN39-AGO39-AGP39-AGQ39</f>
        <v/>
      </c>
      <c r="AGS39" s="9">
        <f>AGS38+AGE39-(AGL39+AGM39+AGN39+AGO39+AGP39+AGQ39+AGJ39)</f>
        <v/>
      </c>
      <c r="AGT39" s="12">
        <f>IF(AFY39&gt;0,AFZ39/AFY39,0)</f>
        <v/>
      </c>
      <c r="AGU39" s="11">
        <f>IF(AFY38&gt;0,MAX(0,(AFY38+AFN39-AFY39)/AFY38),0)</f>
        <v/>
      </c>
      <c r="AGW39" s="12" t="n">
        <v>35</v>
      </c>
      <c r="AGX39" s="12">
        <f>MOD(AGW39-1+LaunchMonth-1,12)+1</f>
        <v/>
      </c>
      <c r="AGY39" s="12">
        <f>INT((AGW39-1+LaunchMonth-1)/12)+1</f>
        <v/>
      </c>
      <c r="AGZ39" s="12">
        <f>VLOOKUP(AGX39,SeasonTable,2,FALSE)</f>
        <v/>
      </c>
      <c r="AHA39" s="12">
        <f>(1+InflationRate)^INT((AGW39-1)/12)</f>
        <v/>
      </c>
      <c r="AHB39" s="11">
        <f>MonthlyChurn*VLOOKUP(AGX39,ChurnSeasonTable,4,FALSE)</f>
        <v/>
      </c>
      <c r="AHC39" s="12">
        <f>MIN(MAX(MktMin19plus,AHW38*MktPct19plus),MAX(0,AIK38-CashBuffer))</f>
        <v/>
      </c>
      <c r="AHD39" s="12">
        <f>IF(AHC39&gt;0,MAX(1,ROUND(AHC39/'Sens - CAC &amp; Marketing'!$A$10*AGZ39,0)),0)</f>
        <v/>
      </c>
      <c r="AHE39" s="12">
        <f>IF(AHD39&gt;0,ROUND(AHD39*ReferralMix/(1-ReferralMix),0),0)</f>
        <v/>
      </c>
      <c r="AHF39" s="12">
        <f>AHD39+AHE39</f>
        <v/>
      </c>
      <c r="AHG39" s="12">
        <f>ROUND(AHF39*(1-AnnualMix),0)</f>
        <v/>
      </c>
      <c r="AHH39" s="12">
        <f>AHF39-AHG39</f>
        <v/>
      </c>
      <c r="AHI39" s="12">
        <f>ROUND(AHG39*EssentialMix,0)</f>
        <v/>
      </c>
      <c r="AHJ39" s="12">
        <f>AHG39-AHI39</f>
        <v/>
      </c>
      <c r="AHK39" s="12">
        <f>ROUND(AHH39*EssentialMix,0)</f>
        <v/>
      </c>
      <c r="AHL39" s="12">
        <f>AHH39-AHK39</f>
        <v/>
      </c>
      <c r="AHM39" s="12">
        <f>AHI39+AHI38+AHI37+MAX(0,AHM38-AHI38-AHI37)*(1-AHB39)</f>
        <v/>
      </c>
      <c r="AHN39" s="12">
        <f>AHJ39+AHJ38+AHJ37+MAX(0,AHN38-AHJ38-AHJ37)*(1-AHB39)</f>
        <v/>
      </c>
      <c r="AHO39" s="12">
        <f>AHO38+AHK39-AHK27*(AnnualChurn*VLOOKUP(AGX39,ChurnSeasonTable,4,FALSE))*POWER(1-(AnnualChurn*VLOOKUP(AGX39,ChurnSeasonTable,4,FALSE)),0)+AHK15*(AnnualChurn*VLOOKUP(AGX39,ChurnSeasonTable,4,FALSE))*POWER(1-(AnnualChurn*VLOOKUP(AGX39,ChurnSeasonTable,4,FALSE)),1)</f>
        <v/>
      </c>
      <c r="AHP39" s="12">
        <f>AHP38+AHL39-AHL27*(AnnualChurn*VLOOKUP(AGX39,ChurnSeasonTable,4,FALSE))*POWER(1-(AnnualChurn*VLOOKUP(AGX39,ChurnSeasonTable,4,FALSE)),0)+AHL15*(AnnualChurn*VLOOKUP(AGX39,ChurnSeasonTable,4,FALSE))*POWER(1-(AnnualChurn*VLOOKUP(AGX39,ChurnSeasonTable,4,FALSE)),1)</f>
        <v/>
      </c>
      <c r="AHQ39" s="12">
        <f>AHM39+AHN39+AHO39+AHP39</f>
        <v/>
      </c>
      <c r="AHR39" s="9">
        <f>AHM39*PriceEssMonthly*AHA39+AHN39*PricePremMonthly*AHA39+AHO39*PriceEssAnnual*AHA39/12+AHP39*PricePremAnnual*AHA39/12</f>
        <v/>
      </c>
      <c r="AHS39" s="9">
        <f>AHR39*12</f>
        <v/>
      </c>
      <c r="AHT39" s="12">
        <f>AHM39*PriceEssMonthly*AHA39+AHN39*PricePremMonthly*AHA39</f>
        <v/>
      </c>
      <c r="AHU39" s="12">
        <f>AHK39*PriceEssAnnual*AHA39+AHL39*PricePremAnnual*AHA39</f>
        <v/>
      </c>
      <c r="AHV39" s="12">
        <f>AHK27*POWER(1-(AnnualChurn*VLOOKUP(AGX39,ChurnSeasonTable,4,FALSE)),1)*PriceEssAnnual*AHA39+AHK15*POWER(1-(AnnualChurn*VLOOKUP(AGX39,ChurnSeasonTable,4,FALSE)),2)*PriceEssAnnual*AHA39+AHL27*POWER(1-(AnnualChurn*VLOOKUP(AGX39,ChurnSeasonTable,4,FALSE)),1)*PricePremAnnual*AHA39+AHL15*POWER(1-(AnnualChurn*VLOOKUP(AGX39,ChurnSeasonTable,4,FALSE)),2)*PricePremAnnual*AHA39</f>
        <v/>
      </c>
      <c r="AHW39" s="9">
        <f>AHT39+AHU39+AHV39</f>
        <v/>
      </c>
      <c r="AHX39" s="12">
        <f>SUM(AHW28:AHW39)</f>
        <v/>
      </c>
      <c r="AHY39" s="12">
        <f>OR(AHY38,AHX39&gt;=VATThreshold)</f>
        <v/>
      </c>
      <c r="AHZ39" s="9">
        <f>IF(AHY39,AHW39/(1+VATRate),AHW39)</f>
        <v/>
      </c>
      <c r="AIA39" s="12">
        <f>AHW39-AHZ39</f>
        <v/>
      </c>
      <c r="AIB39" s="12">
        <f>IF(AHY39=0,0,IF(AGX39=1,SUMPRODUCT(--(($AGY$5:$AGY39=$AGY39-1)*($AGX$5:$AGX39&gt;=10)*($AGX$5:$AGX39&lt;=12)),$AIA$5:$AIA39),IF(AGX39=4,SUMPRODUCT(--(($AGY$5:$AGY39=$AGY39)*($AGX$5:$AGX39&gt;=1)*($AGX$5:$AGX39&lt;=3)),$AIA$5:$AIA39),IF(AGX39=7,SUMPRODUCT(--(($AGY$5:$AGY39=$AGY39)*($AGX$5:$AGX39&gt;=4)*($AGX$5:$AGX39&lt;=6)),$AIA$5:$AIA39),IF(AGX39=10,SUMPRODUCT(--(($AGY$5:$AGY39=$AGY39)*($AGX$5:$AGX39&gt;=7)*($AGX$5:$AGX39&lt;=9)),$AIA$5:$AIA39),0)))))</f>
        <v/>
      </c>
      <c r="AIC39" s="12">
        <f>AIC38+AIA39-AIB39</f>
        <v/>
      </c>
      <c r="AID39" s="12">
        <f>IF(ProviderDelay&gt;=1,AHZ38*ProviderShare,AHZ39*ProviderShare)</f>
        <v/>
      </c>
      <c r="AIE39" s="12">
        <f>AHW39*PaymentFee</f>
        <v/>
      </c>
      <c r="AIF39" s="12">
        <f>AHQ39*OpsAI</f>
        <v/>
      </c>
      <c r="AIG39" s="12">
        <f>MonthlyFixed</f>
        <v/>
      </c>
      <c r="AIH39" s="12">
        <f>AHE39*ReferralReward</f>
        <v/>
      </c>
      <c r="AII39" s="12">
        <f>AHC39</f>
        <v/>
      </c>
      <c r="AIJ39" s="9">
        <f>AHZ39-AID39-AIE39-AIF39-AIG39-AIH39-AII39</f>
        <v/>
      </c>
      <c r="AIK39" s="9">
        <f>AIK38+AHW39-(AID39+AIE39+AIF39+AIG39+AIH39+AII39+AIB39)</f>
        <v/>
      </c>
      <c r="AIL39" s="12">
        <f>IF(AHQ39&gt;0,AHR39/AHQ39,0)</f>
        <v/>
      </c>
      <c r="AIM39" s="11">
        <f>IF(AHQ38&gt;0,MAX(0,(AHQ38+AHF39-AHQ39)/AHQ38),0)</f>
        <v/>
      </c>
      <c r="AIO39" s="12" t="n">
        <v>35</v>
      </c>
      <c r="AIP39" s="12">
        <f>MOD(AIO39-1+LaunchMonth-1,12)+1</f>
        <v/>
      </c>
      <c r="AIQ39" s="12">
        <f>INT((AIO39-1+LaunchMonth-1)/12)+1</f>
        <v/>
      </c>
      <c r="AIR39" s="12">
        <f>VLOOKUP(AIP39,SeasonTable,2,FALSE)</f>
        <v/>
      </c>
      <c r="AIS39" s="12">
        <f>(1+InflationRate)^INT((AIO39-1)/12)</f>
        <v/>
      </c>
      <c r="AIT39" s="11">
        <f>MonthlyChurn*VLOOKUP(AIP39,ChurnSeasonTable,4,FALSE)</f>
        <v/>
      </c>
      <c r="AIU39" s="12">
        <f>MIN(MAX(MktMin19plus,AJO38*MktPct19plus),MAX(0,AKC38-CashBuffer))</f>
        <v/>
      </c>
      <c r="AIV39" s="12">
        <f>IF(AIU39&gt;0,MAX(1,ROUND(AIU39/'Sens - CAC &amp; Marketing'!$A$11*AIR39,0)),0)</f>
        <v/>
      </c>
      <c r="AIW39" s="12">
        <f>IF(AIV39&gt;0,ROUND(AIV39*ReferralMix/(1-ReferralMix),0),0)</f>
        <v/>
      </c>
      <c r="AIX39" s="12">
        <f>AIV39+AIW39</f>
        <v/>
      </c>
      <c r="AIY39" s="12">
        <f>ROUND(AIX39*(1-AnnualMix),0)</f>
        <v/>
      </c>
      <c r="AIZ39" s="12">
        <f>AIX39-AIY39</f>
        <v/>
      </c>
      <c r="AJA39" s="12">
        <f>ROUND(AIY39*EssentialMix,0)</f>
        <v/>
      </c>
      <c r="AJB39" s="12">
        <f>AIY39-AJA39</f>
        <v/>
      </c>
      <c r="AJC39" s="12">
        <f>ROUND(AIZ39*EssentialMix,0)</f>
        <v/>
      </c>
      <c r="AJD39" s="12">
        <f>AIZ39-AJC39</f>
        <v/>
      </c>
      <c r="AJE39" s="12">
        <f>AJA39+AJA38+AJA37+MAX(0,AJE38-AJA38-AJA37)*(1-AIT39)</f>
        <v/>
      </c>
      <c r="AJF39" s="12">
        <f>AJB39+AJB38+AJB37+MAX(0,AJF38-AJB38-AJB37)*(1-AIT39)</f>
        <v/>
      </c>
      <c r="AJG39" s="12">
        <f>AJG38+AJC39-AJC27*(AnnualChurn*VLOOKUP(AIP39,ChurnSeasonTable,4,FALSE))*POWER(1-(AnnualChurn*VLOOKUP(AIP39,ChurnSeasonTable,4,FALSE)),0)+AJC15*(AnnualChurn*VLOOKUP(AIP39,ChurnSeasonTable,4,FALSE))*POWER(1-(AnnualChurn*VLOOKUP(AIP39,ChurnSeasonTable,4,FALSE)),1)</f>
        <v/>
      </c>
      <c r="AJH39" s="12">
        <f>AJH38+AJD39-AJD27*(AnnualChurn*VLOOKUP(AIP39,ChurnSeasonTable,4,FALSE))*POWER(1-(AnnualChurn*VLOOKUP(AIP39,ChurnSeasonTable,4,FALSE)),0)+AJD15*(AnnualChurn*VLOOKUP(AIP39,ChurnSeasonTable,4,FALSE))*POWER(1-(AnnualChurn*VLOOKUP(AIP39,ChurnSeasonTable,4,FALSE)),1)</f>
        <v/>
      </c>
      <c r="AJI39" s="12">
        <f>AJE39+AJF39+AJG39+AJH39</f>
        <v/>
      </c>
      <c r="AJJ39" s="9">
        <f>AJE39*PriceEssMonthly*AIS39+AJF39*PricePremMonthly*AIS39+AJG39*PriceEssAnnual*AIS39/12+AJH39*PricePremAnnual*AIS39/12</f>
        <v/>
      </c>
      <c r="AJK39" s="9">
        <f>AJJ39*12</f>
        <v/>
      </c>
      <c r="AJL39" s="12">
        <f>AJE39*PriceEssMonthly*AIS39+AJF39*PricePremMonthly*AIS39</f>
        <v/>
      </c>
      <c r="AJM39" s="12">
        <f>AJC39*PriceEssAnnual*AIS39+AJD39*PricePremAnnual*AIS39</f>
        <v/>
      </c>
      <c r="AJN39" s="12">
        <f>AJC27*POWER(1-(AnnualChurn*VLOOKUP(AIP39,ChurnSeasonTable,4,FALSE)),1)*PriceEssAnnual*AIS39+AJC15*POWER(1-(AnnualChurn*VLOOKUP(AIP39,ChurnSeasonTable,4,FALSE)),2)*PriceEssAnnual*AIS39+AJD27*POWER(1-(AnnualChurn*VLOOKUP(AIP39,ChurnSeasonTable,4,FALSE)),1)*PricePremAnnual*AIS39+AJD15*POWER(1-(AnnualChurn*VLOOKUP(AIP39,ChurnSeasonTable,4,FALSE)),2)*PricePremAnnual*AIS39</f>
        <v/>
      </c>
      <c r="AJO39" s="9">
        <f>AJL39+AJM39+AJN39</f>
        <v/>
      </c>
      <c r="AJP39" s="12">
        <f>SUM(AJO28:AJO39)</f>
        <v/>
      </c>
      <c r="AJQ39" s="12">
        <f>OR(AJQ38,AJP39&gt;=VATThreshold)</f>
        <v/>
      </c>
      <c r="AJR39" s="9">
        <f>IF(AJQ39,AJO39/(1+VATRate),AJO39)</f>
        <v/>
      </c>
      <c r="AJS39" s="12">
        <f>AJO39-AJR39</f>
        <v/>
      </c>
      <c r="AJT39" s="12">
        <f>IF(AJQ39=0,0,IF(AIP39=1,SUMPRODUCT(--(($AIQ$5:$AIQ39=$AIQ39-1)*($AIP$5:$AIP39&gt;=10)*($AIP$5:$AIP39&lt;=12)),$AJS$5:$AJS39),IF(AIP39=4,SUMPRODUCT(--(($AIQ$5:$AIQ39=$AIQ39)*($AIP$5:$AIP39&gt;=1)*($AIP$5:$AIP39&lt;=3)),$AJS$5:$AJS39),IF(AIP39=7,SUMPRODUCT(--(($AIQ$5:$AIQ39=$AIQ39)*($AIP$5:$AIP39&gt;=4)*($AIP$5:$AIP39&lt;=6)),$AJS$5:$AJS39),IF(AIP39=10,SUMPRODUCT(--(($AIQ$5:$AIQ39=$AIQ39)*($AIP$5:$AIP39&gt;=7)*($AIP$5:$AIP39&lt;=9)),$AJS$5:$AJS39),0)))))</f>
        <v/>
      </c>
      <c r="AJU39" s="12">
        <f>AJU38+AJS39-AJT39</f>
        <v/>
      </c>
      <c r="AJV39" s="12">
        <f>IF(ProviderDelay&gt;=1,AJR38*ProviderShare,AJR39*ProviderShare)</f>
        <v/>
      </c>
      <c r="AJW39" s="12">
        <f>AJO39*PaymentFee</f>
        <v/>
      </c>
      <c r="AJX39" s="12">
        <f>AJI39*OpsAI</f>
        <v/>
      </c>
      <c r="AJY39" s="12">
        <f>MonthlyFixed</f>
        <v/>
      </c>
      <c r="AJZ39" s="12">
        <f>AIW39*ReferralReward</f>
        <v/>
      </c>
      <c r="AKA39" s="12">
        <f>AIU39</f>
        <v/>
      </c>
      <c r="AKB39" s="9">
        <f>AJR39-AJV39-AJW39-AJX39-AJY39-AJZ39-AKA39</f>
        <v/>
      </c>
      <c r="AKC39" s="9">
        <f>AKC38+AJO39-(AJV39+AJW39+AJX39+AJY39+AJZ39+AKA39+AJT39)</f>
        <v/>
      </c>
      <c r="AKD39" s="12">
        <f>IF(AJI39&gt;0,AJJ39/AJI39,0)</f>
        <v/>
      </c>
      <c r="AKE39" s="11">
        <f>IF(AJI38&gt;0,MAX(0,(AJI38+AIX39-AJI39)/AJI38),0)</f>
        <v/>
      </c>
      <c r="AKG39" s="12" t="n">
        <v>35</v>
      </c>
      <c r="AKH39" s="12">
        <f>MOD(AKG39-1+LaunchMonth-1,12)+1</f>
        <v/>
      </c>
      <c r="AKI39" s="12">
        <f>INT((AKG39-1+LaunchMonth-1)/12)+1</f>
        <v/>
      </c>
      <c r="AKJ39" s="12">
        <f>VLOOKUP(AKH39,SeasonTable,2,FALSE)</f>
        <v/>
      </c>
      <c r="AKK39" s="12">
        <f>(1+InflationRate)^INT((AKG39-1)/12)</f>
        <v/>
      </c>
      <c r="AKL39" s="11">
        <f>MonthlyChurn*VLOOKUP(AKH39,ChurnSeasonTable,4,FALSE)</f>
        <v/>
      </c>
      <c r="AKM39" s="12">
        <f>MIN(MAX(MktMin19plus,ALG38*MktPct19plus),MAX(0,ALU38-CashBuffer))</f>
        <v/>
      </c>
      <c r="AKN39" s="12">
        <f>IF(AKM39&gt;0,MAX(1,ROUND(AKM39/'Sens - CAC &amp; Marketing'!$A$12*AKJ39,0)),0)</f>
        <v/>
      </c>
      <c r="AKO39" s="12">
        <f>IF(AKN39&gt;0,ROUND(AKN39*ReferralMix/(1-ReferralMix),0),0)</f>
        <v/>
      </c>
      <c r="AKP39" s="12">
        <f>AKN39+AKO39</f>
        <v/>
      </c>
      <c r="AKQ39" s="12">
        <f>ROUND(AKP39*(1-AnnualMix),0)</f>
        <v/>
      </c>
      <c r="AKR39" s="12">
        <f>AKP39-AKQ39</f>
        <v/>
      </c>
      <c r="AKS39" s="12">
        <f>ROUND(AKQ39*EssentialMix,0)</f>
        <v/>
      </c>
      <c r="AKT39" s="12">
        <f>AKQ39-AKS39</f>
        <v/>
      </c>
      <c r="AKU39" s="12">
        <f>ROUND(AKR39*EssentialMix,0)</f>
        <v/>
      </c>
      <c r="AKV39" s="12">
        <f>AKR39-AKU39</f>
        <v/>
      </c>
      <c r="AKW39" s="12">
        <f>AKS39+AKS38+AKS37+MAX(0,AKW38-AKS38-AKS37)*(1-AKL39)</f>
        <v/>
      </c>
      <c r="AKX39" s="12">
        <f>AKT39+AKT38+AKT37+MAX(0,AKX38-AKT38-AKT37)*(1-AKL39)</f>
        <v/>
      </c>
      <c r="AKY39" s="12">
        <f>AKY38+AKU39-AKU27*(AnnualChurn*VLOOKUP(AKH39,ChurnSeasonTable,4,FALSE))*POWER(1-(AnnualChurn*VLOOKUP(AKH39,ChurnSeasonTable,4,FALSE)),0)+AKU15*(AnnualChurn*VLOOKUP(AKH39,ChurnSeasonTable,4,FALSE))*POWER(1-(AnnualChurn*VLOOKUP(AKH39,ChurnSeasonTable,4,FALSE)),1)</f>
        <v/>
      </c>
      <c r="AKZ39" s="12">
        <f>AKZ38+AKV39-AKV27*(AnnualChurn*VLOOKUP(AKH39,ChurnSeasonTable,4,FALSE))*POWER(1-(AnnualChurn*VLOOKUP(AKH39,ChurnSeasonTable,4,FALSE)),0)+AKV15*(AnnualChurn*VLOOKUP(AKH39,ChurnSeasonTable,4,FALSE))*POWER(1-(AnnualChurn*VLOOKUP(AKH39,ChurnSeasonTable,4,FALSE)),1)</f>
        <v/>
      </c>
      <c r="ALA39" s="12">
        <f>AKW39+AKX39+AKY39+AKZ39</f>
        <v/>
      </c>
      <c r="ALB39" s="9">
        <f>AKW39*PriceEssMonthly*AKK39+AKX39*PricePremMonthly*AKK39+AKY39*PriceEssAnnual*AKK39/12+AKZ39*PricePremAnnual*AKK39/12</f>
        <v/>
      </c>
      <c r="ALC39" s="9">
        <f>ALB39*12</f>
        <v/>
      </c>
      <c r="ALD39" s="12">
        <f>AKW39*PriceEssMonthly*AKK39+AKX39*PricePremMonthly*AKK39</f>
        <v/>
      </c>
      <c r="ALE39" s="12">
        <f>AKU39*PriceEssAnnual*AKK39+AKV39*PricePremAnnual*AKK39</f>
        <v/>
      </c>
      <c r="ALF39" s="12">
        <f>AKU27*POWER(1-(AnnualChurn*VLOOKUP(AKH39,ChurnSeasonTable,4,FALSE)),1)*PriceEssAnnual*AKK39+AKU15*POWER(1-(AnnualChurn*VLOOKUP(AKH39,ChurnSeasonTable,4,FALSE)),2)*PriceEssAnnual*AKK39+AKV27*POWER(1-(AnnualChurn*VLOOKUP(AKH39,ChurnSeasonTable,4,FALSE)),1)*PricePremAnnual*AKK39+AKV15*POWER(1-(AnnualChurn*VLOOKUP(AKH39,ChurnSeasonTable,4,FALSE)),2)*PricePremAnnual*AKK39</f>
        <v/>
      </c>
      <c r="ALG39" s="9">
        <f>ALD39+ALE39+ALF39</f>
        <v/>
      </c>
      <c r="ALH39" s="12">
        <f>SUM(ALG28:ALG39)</f>
        <v/>
      </c>
      <c r="ALI39" s="12">
        <f>OR(ALI38,ALH39&gt;=VATThreshold)</f>
        <v/>
      </c>
      <c r="ALJ39" s="9">
        <f>IF(ALI39,ALG39/(1+VATRate),ALG39)</f>
        <v/>
      </c>
      <c r="ALK39" s="12">
        <f>ALG39-ALJ39</f>
        <v/>
      </c>
      <c r="ALL39" s="12">
        <f>IF(ALI39=0,0,IF(AKH39=1,SUMPRODUCT(--(($AKI$5:$AKI39=$AKI39-1)*($AKH$5:$AKH39&gt;=10)*($AKH$5:$AKH39&lt;=12)),$ALK$5:$ALK39),IF(AKH39=4,SUMPRODUCT(--(($AKI$5:$AKI39=$AKI39)*($AKH$5:$AKH39&gt;=1)*($AKH$5:$AKH39&lt;=3)),$ALK$5:$ALK39),IF(AKH39=7,SUMPRODUCT(--(($AKI$5:$AKI39=$AKI39)*($AKH$5:$AKH39&gt;=4)*($AKH$5:$AKH39&lt;=6)),$ALK$5:$ALK39),IF(AKH39=10,SUMPRODUCT(--(($AKI$5:$AKI39=$AKI39)*($AKH$5:$AKH39&gt;=7)*($AKH$5:$AKH39&lt;=9)),$ALK$5:$ALK39),0)))))</f>
        <v/>
      </c>
      <c r="ALM39" s="12">
        <f>ALM38+ALK39-ALL39</f>
        <v/>
      </c>
      <c r="ALN39" s="12">
        <f>IF(ProviderDelay&gt;=1,ALJ38*ProviderShare,ALJ39*ProviderShare)</f>
        <v/>
      </c>
      <c r="ALO39" s="12">
        <f>ALG39*PaymentFee</f>
        <v/>
      </c>
      <c r="ALP39" s="12">
        <f>ALA39*OpsAI</f>
        <v/>
      </c>
      <c r="ALQ39" s="12">
        <f>MonthlyFixed</f>
        <v/>
      </c>
      <c r="ALR39" s="12">
        <f>AKO39*ReferralReward</f>
        <v/>
      </c>
      <c r="ALS39" s="12">
        <f>AKM39</f>
        <v/>
      </c>
      <c r="ALT39" s="9">
        <f>ALJ39-ALN39-ALO39-ALP39-ALQ39-ALR39-ALS39</f>
        <v/>
      </c>
      <c r="ALU39" s="9">
        <f>ALU38+ALG39-(ALN39+ALO39+ALP39+ALQ39+ALR39+ALS39+ALL39)</f>
        <v/>
      </c>
      <c r="ALV39" s="12">
        <f>IF(ALA39&gt;0,ALB39/ALA39,0)</f>
        <v/>
      </c>
      <c r="ALW39" s="11">
        <f>IF(ALA38&gt;0,MAX(0,(ALA38+AKP39-ALA39)/ALA38),0)</f>
        <v/>
      </c>
      <c r="ALY39" s="12" t="n">
        <v>35</v>
      </c>
      <c r="ALZ39" s="12">
        <f>MOD(ALY39-1+LaunchMonth-1,12)+1</f>
        <v/>
      </c>
      <c r="AMA39" s="12">
        <f>INT((ALY39-1+LaunchMonth-1)/12)+1</f>
        <v/>
      </c>
      <c r="AMB39" s="12">
        <f>VLOOKUP(ALZ39,SeasonTable,2,FALSE)</f>
        <v/>
      </c>
      <c r="AMC39" s="12">
        <f>(1+InflationRate)^INT((ALY39-1)/12)</f>
        <v/>
      </c>
      <c r="AMD39" s="11">
        <f>MonthlyChurn*VLOOKUP(ALZ39,ChurnSeasonTable,4,FALSE)</f>
        <v/>
      </c>
      <c r="AME39" s="12">
        <f>MIN(MAX(MktMin19plus,AMY38*MktPct19plus),MAX(0,ANM38-CashBuffer))</f>
        <v/>
      </c>
      <c r="AMF39" s="12">
        <f>IF(AME39&gt;0,MAX(1,ROUND(AME39/'Sens - CAC &amp; Marketing'!$A$13*AMB39,0)),0)</f>
        <v/>
      </c>
      <c r="AMG39" s="12">
        <f>IF(AMF39&gt;0,ROUND(AMF39*ReferralMix/(1-ReferralMix),0),0)</f>
        <v/>
      </c>
      <c r="AMH39" s="12">
        <f>AMF39+AMG39</f>
        <v/>
      </c>
      <c r="AMI39" s="12">
        <f>ROUND(AMH39*(1-AnnualMix),0)</f>
        <v/>
      </c>
      <c r="AMJ39" s="12">
        <f>AMH39-AMI39</f>
        <v/>
      </c>
      <c r="AMK39" s="12">
        <f>ROUND(AMI39*EssentialMix,0)</f>
        <v/>
      </c>
      <c r="AML39" s="12">
        <f>AMI39-AMK39</f>
        <v/>
      </c>
      <c r="AMM39" s="12">
        <f>ROUND(AMJ39*EssentialMix,0)</f>
        <v/>
      </c>
      <c r="AMN39" s="12">
        <f>AMJ39-AMM39</f>
        <v/>
      </c>
      <c r="AMO39" s="12">
        <f>AMK39+AMK38+AMK37+MAX(0,AMO38-AMK38-AMK37)*(1-AMD39)</f>
        <v/>
      </c>
      <c r="AMP39" s="12">
        <f>AML39+AML38+AML37+MAX(0,AMP38-AML38-AML37)*(1-AMD39)</f>
        <v/>
      </c>
      <c r="AMQ39" s="12">
        <f>AMQ38+AMM39-AMM27*(AnnualChurn*VLOOKUP(ALZ39,ChurnSeasonTable,4,FALSE))*POWER(1-(AnnualChurn*VLOOKUP(ALZ39,ChurnSeasonTable,4,FALSE)),0)+AMM15*(AnnualChurn*VLOOKUP(ALZ39,ChurnSeasonTable,4,FALSE))*POWER(1-(AnnualChurn*VLOOKUP(ALZ39,ChurnSeasonTable,4,FALSE)),1)</f>
        <v/>
      </c>
      <c r="AMR39" s="12">
        <f>AMR38+AMN39-AMN27*(AnnualChurn*VLOOKUP(ALZ39,ChurnSeasonTable,4,FALSE))*POWER(1-(AnnualChurn*VLOOKUP(ALZ39,ChurnSeasonTable,4,FALSE)),0)+AMN15*(AnnualChurn*VLOOKUP(ALZ39,ChurnSeasonTable,4,FALSE))*POWER(1-(AnnualChurn*VLOOKUP(ALZ39,ChurnSeasonTable,4,FALSE)),1)</f>
        <v/>
      </c>
      <c r="AMS39" s="12">
        <f>AMO39+AMP39+AMQ39+AMR39</f>
        <v/>
      </c>
      <c r="AMT39" s="9">
        <f>AMO39*PriceEssMonthly*AMC39+AMP39*PricePremMonthly*AMC39+AMQ39*PriceEssAnnual*AMC39/12+AMR39*PricePremAnnual*AMC39/12</f>
        <v/>
      </c>
      <c r="AMU39" s="9">
        <f>AMT39*12</f>
        <v/>
      </c>
      <c r="AMV39" s="12">
        <f>AMO39*PriceEssMonthly*AMC39+AMP39*PricePremMonthly*AMC39</f>
        <v/>
      </c>
      <c r="AMW39" s="12">
        <f>AMM39*PriceEssAnnual*AMC39+AMN39*PricePremAnnual*AMC39</f>
        <v/>
      </c>
      <c r="AMX39" s="12">
        <f>AMM27*POWER(1-(AnnualChurn*VLOOKUP(ALZ39,ChurnSeasonTable,4,FALSE)),1)*PriceEssAnnual*AMC39+AMM15*POWER(1-(AnnualChurn*VLOOKUP(ALZ39,ChurnSeasonTable,4,FALSE)),2)*PriceEssAnnual*AMC39+AMN27*POWER(1-(AnnualChurn*VLOOKUP(ALZ39,ChurnSeasonTable,4,FALSE)),1)*PricePremAnnual*AMC39+AMN15*POWER(1-(AnnualChurn*VLOOKUP(ALZ39,ChurnSeasonTable,4,FALSE)),2)*PricePremAnnual*AMC39</f>
        <v/>
      </c>
      <c r="AMY39" s="9">
        <f>AMV39+AMW39+AMX39</f>
        <v/>
      </c>
      <c r="AMZ39" s="12">
        <f>SUM(AMY28:AMY39)</f>
        <v/>
      </c>
      <c r="ANA39" s="12">
        <f>OR(ANA38,AMZ39&gt;=VATThreshold)</f>
        <v/>
      </c>
      <c r="ANB39" s="9">
        <f>IF(ANA39,AMY39/(1+VATRate),AMY39)</f>
        <v/>
      </c>
      <c r="ANC39" s="12">
        <f>AMY39-ANB39</f>
        <v/>
      </c>
      <c r="AND39" s="12">
        <f>IF(ANA39=0,0,IF(ALZ39=1,SUMPRODUCT(--(($AMA$5:$AMA39=$AMA39-1)*($ALZ$5:$ALZ39&gt;=10)*($ALZ$5:$ALZ39&lt;=12)),$ANC$5:$ANC39),IF(ALZ39=4,SUMPRODUCT(--(($AMA$5:$AMA39=$AMA39)*($ALZ$5:$ALZ39&gt;=1)*($ALZ$5:$ALZ39&lt;=3)),$ANC$5:$ANC39),IF(ALZ39=7,SUMPRODUCT(--(($AMA$5:$AMA39=$AMA39)*($ALZ$5:$ALZ39&gt;=4)*($ALZ$5:$ALZ39&lt;=6)),$ANC$5:$ANC39),IF(ALZ39=10,SUMPRODUCT(--(($AMA$5:$AMA39=$AMA39)*($ALZ$5:$ALZ39&gt;=7)*($ALZ$5:$ALZ39&lt;=9)),$ANC$5:$ANC39),0)))))</f>
        <v/>
      </c>
      <c r="ANE39" s="12">
        <f>ANE38+ANC39-AND39</f>
        <v/>
      </c>
      <c r="ANF39" s="12">
        <f>IF(ProviderDelay&gt;=1,ANB38*ProviderShare,ANB39*ProviderShare)</f>
        <v/>
      </c>
      <c r="ANG39" s="12">
        <f>AMY39*PaymentFee</f>
        <v/>
      </c>
      <c r="ANH39" s="12">
        <f>AMS39*OpsAI</f>
        <v/>
      </c>
      <c r="ANI39" s="12">
        <f>MonthlyFixed</f>
        <v/>
      </c>
      <c r="ANJ39" s="12">
        <f>AMG39*ReferralReward</f>
        <v/>
      </c>
      <c r="ANK39" s="12">
        <f>AME39</f>
        <v/>
      </c>
      <c r="ANL39" s="9">
        <f>ANB39-ANF39-ANG39-ANH39-ANI39-ANJ39-ANK39</f>
        <v/>
      </c>
      <c r="ANM39" s="9">
        <f>ANM38+AMY39-(ANF39+ANG39+ANH39+ANI39+ANJ39+ANK39+AND39)</f>
        <v/>
      </c>
      <c r="ANN39" s="12">
        <f>IF(AMS39&gt;0,AMT39/AMS39,0)</f>
        <v/>
      </c>
      <c r="ANO39" s="11">
        <f>IF(AMS38&gt;0,MAX(0,(AMS38+AMH39-AMS39)/AMS38),0)</f>
        <v/>
      </c>
      <c r="ANQ39" s="12" t="n">
        <v>35</v>
      </c>
      <c r="ANR39" s="12">
        <f>MOD(ANQ39-1+LaunchMonth-1,12)+1</f>
        <v/>
      </c>
      <c r="ANS39" s="12">
        <f>INT((ANQ39-1+LaunchMonth-1)/12)+1</f>
        <v/>
      </c>
      <c r="ANT39" s="12">
        <f>VLOOKUP(ANR39,SeasonTable,2,FALSE)</f>
        <v/>
      </c>
      <c r="ANU39" s="12">
        <f>(1+InflationRate)^INT((ANQ39-1)/12)</f>
        <v/>
      </c>
      <c r="ANV39" s="11">
        <f>MonthlyChurn*VLOOKUP(ANR39,ChurnSeasonTable,4,FALSE)</f>
        <v/>
      </c>
      <c r="ANW39" s="12">
        <f>MIN(MAX(MktMin19plus,AOQ38*MktPct19plus),MAX(0,APE38-CashBuffer))</f>
        <v/>
      </c>
      <c r="ANX39" s="12">
        <f>IF(ANW39&gt;0,MAX(1,ROUND(ANW39/'Sens - CAC &amp; Marketing'!$A$14*ANT39,0)),0)</f>
        <v/>
      </c>
      <c r="ANY39" s="12">
        <f>IF(ANX39&gt;0,ROUND(ANX39*ReferralMix/(1-ReferralMix),0),0)</f>
        <v/>
      </c>
      <c r="ANZ39" s="12">
        <f>ANX39+ANY39</f>
        <v/>
      </c>
      <c r="AOA39" s="12">
        <f>ROUND(ANZ39*(1-AnnualMix),0)</f>
        <v/>
      </c>
      <c r="AOB39" s="12">
        <f>ANZ39-AOA39</f>
        <v/>
      </c>
      <c r="AOC39" s="12">
        <f>ROUND(AOA39*EssentialMix,0)</f>
        <v/>
      </c>
      <c r="AOD39" s="12">
        <f>AOA39-AOC39</f>
        <v/>
      </c>
      <c r="AOE39" s="12">
        <f>ROUND(AOB39*EssentialMix,0)</f>
        <v/>
      </c>
      <c r="AOF39" s="12">
        <f>AOB39-AOE39</f>
        <v/>
      </c>
      <c r="AOG39" s="12">
        <f>AOC39+AOC38+AOC37+MAX(0,AOG38-AOC38-AOC37)*(1-ANV39)</f>
        <v/>
      </c>
      <c r="AOH39" s="12">
        <f>AOD39+AOD38+AOD37+MAX(0,AOH38-AOD38-AOD37)*(1-ANV39)</f>
        <v/>
      </c>
      <c r="AOI39" s="12">
        <f>AOI38+AOE39-AOE27*(AnnualChurn*VLOOKUP(ANR39,ChurnSeasonTable,4,FALSE))*POWER(1-(AnnualChurn*VLOOKUP(ANR39,ChurnSeasonTable,4,FALSE)),0)+AOE15*(AnnualChurn*VLOOKUP(ANR39,ChurnSeasonTable,4,FALSE))*POWER(1-(AnnualChurn*VLOOKUP(ANR39,ChurnSeasonTable,4,FALSE)),1)</f>
        <v/>
      </c>
      <c r="AOJ39" s="12">
        <f>AOJ38+AOF39-AOF27*(AnnualChurn*VLOOKUP(ANR39,ChurnSeasonTable,4,FALSE))*POWER(1-(AnnualChurn*VLOOKUP(ANR39,ChurnSeasonTable,4,FALSE)),0)+AOF15*(AnnualChurn*VLOOKUP(ANR39,ChurnSeasonTable,4,FALSE))*POWER(1-(AnnualChurn*VLOOKUP(ANR39,ChurnSeasonTable,4,FALSE)),1)</f>
        <v/>
      </c>
      <c r="AOK39" s="12">
        <f>AOG39+AOH39+AOI39+AOJ39</f>
        <v/>
      </c>
      <c r="AOL39" s="9">
        <f>AOG39*PriceEssMonthly*ANU39+AOH39*PricePremMonthly*ANU39+AOI39*PriceEssAnnual*ANU39/12+AOJ39*PricePremAnnual*ANU39/12</f>
        <v/>
      </c>
      <c r="AOM39" s="9">
        <f>AOL39*12</f>
        <v/>
      </c>
      <c r="AON39" s="12">
        <f>AOG39*PriceEssMonthly*ANU39+AOH39*PricePremMonthly*ANU39</f>
        <v/>
      </c>
      <c r="AOO39" s="12">
        <f>AOE39*PriceEssAnnual*ANU39+AOF39*PricePremAnnual*ANU39</f>
        <v/>
      </c>
      <c r="AOP39" s="12">
        <f>AOE27*POWER(1-(AnnualChurn*VLOOKUP(ANR39,ChurnSeasonTable,4,FALSE)),1)*PriceEssAnnual*ANU39+AOE15*POWER(1-(AnnualChurn*VLOOKUP(ANR39,ChurnSeasonTable,4,FALSE)),2)*PriceEssAnnual*ANU39+AOF27*POWER(1-(AnnualChurn*VLOOKUP(ANR39,ChurnSeasonTable,4,FALSE)),1)*PricePremAnnual*ANU39+AOF15*POWER(1-(AnnualChurn*VLOOKUP(ANR39,ChurnSeasonTable,4,FALSE)),2)*PricePremAnnual*ANU39</f>
        <v/>
      </c>
      <c r="AOQ39" s="9">
        <f>AON39+AOO39+AOP39</f>
        <v/>
      </c>
      <c r="AOR39" s="12">
        <f>SUM(AOQ28:AOQ39)</f>
        <v/>
      </c>
      <c r="AOS39" s="12">
        <f>OR(AOS38,AOR39&gt;=VATThreshold)</f>
        <v/>
      </c>
      <c r="AOT39" s="9">
        <f>IF(AOS39,AOQ39/(1+VATRate),AOQ39)</f>
        <v/>
      </c>
      <c r="AOU39" s="12">
        <f>AOQ39-AOT39</f>
        <v/>
      </c>
      <c r="AOV39" s="12">
        <f>IF(AOS39=0,0,IF(ANR39=1,SUMPRODUCT(--(($ANS$5:$ANS39=$ANS39-1)*($ANR$5:$ANR39&gt;=10)*($ANR$5:$ANR39&lt;=12)),$AOU$5:$AOU39),IF(ANR39=4,SUMPRODUCT(--(($ANS$5:$ANS39=$ANS39)*($ANR$5:$ANR39&gt;=1)*($ANR$5:$ANR39&lt;=3)),$AOU$5:$AOU39),IF(ANR39=7,SUMPRODUCT(--(($ANS$5:$ANS39=$ANS39)*($ANR$5:$ANR39&gt;=4)*($ANR$5:$ANR39&lt;=6)),$AOU$5:$AOU39),IF(ANR39=10,SUMPRODUCT(--(($ANS$5:$ANS39=$ANS39)*($ANR$5:$ANR39&gt;=7)*($ANR$5:$ANR39&lt;=9)),$AOU$5:$AOU39),0)))))</f>
        <v/>
      </c>
      <c r="AOW39" s="12">
        <f>AOW38+AOU39-AOV39</f>
        <v/>
      </c>
      <c r="AOX39" s="12">
        <f>IF(ProviderDelay&gt;=1,AOT38*ProviderShare,AOT39*ProviderShare)</f>
        <v/>
      </c>
      <c r="AOY39" s="12">
        <f>AOQ39*PaymentFee</f>
        <v/>
      </c>
      <c r="AOZ39" s="12">
        <f>AOK39*OpsAI</f>
        <v/>
      </c>
      <c r="APA39" s="12">
        <f>MonthlyFixed</f>
        <v/>
      </c>
      <c r="APB39" s="12">
        <f>ANY39*ReferralReward</f>
        <v/>
      </c>
      <c r="APC39" s="12">
        <f>ANW39</f>
        <v/>
      </c>
      <c r="APD39" s="9">
        <f>AOT39-AOX39-AOY39-AOZ39-APA39-APB39-APC39</f>
        <v/>
      </c>
      <c r="APE39" s="9">
        <f>APE38+AOQ39-(AOX39+AOY39+AOZ39+APA39+APB39+APC39+AOV39)</f>
        <v/>
      </c>
      <c r="APF39" s="12">
        <f>IF(AOK39&gt;0,AOL39/AOK39,0)</f>
        <v/>
      </c>
      <c r="APG39" s="11">
        <f>IF(AOK38&gt;0,MAX(0,(AOK38+ANZ39-AOK39)/AOK38),0)</f>
        <v/>
      </c>
      <c r="API39" s="12" t="n">
        <v>35</v>
      </c>
      <c r="APJ39" s="12">
        <f>MOD(API39-1+LaunchMonth-1,12)+1</f>
        <v/>
      </c>
      <c r="APK39" s="12">
        <f>INT((API39-1+LaunchMonth-1)/12)+1</f>
        <v/>
      </c>
      <c r="APL39" s="12">
        <f>VLOOKUP(APJ39,SeasonTable,2,FALSE)</f>
        <v/>
      </c>
      <c r="APM39" s="12">
        <f>(1+InflationRate)^INT((API39-1)/12)</f>
        <v/>
      </c>
      <c r="APN39" s="11">
        <f>MonthlyChurn*VLOOKUP(APJ39,ChurnSeasonTable,4,FALSE)</f>
        <v/>
      </c>
      <c r="APO39" s="12">
        <f>MIN(MAX(MktMin19plus,AQI38*MktPct19plus),MAX(0,AQW38-CashBuffer))</f>
        <v/>
      </c>
      <c r="APP39" s="12">
        <f>IF(APO39&gt;0,MAX(1,ROUND(APO39/'Sens - CAC &amp; Marketing'!$A$15*APL39,0)),0)</f>
        <v/>
      </c>
      <c r="APQ39" s="12">
        <f>IF(APP39&gt;0,ROUND(APP39*ReferralMix/(1-ReferralMix),0),0)</f>
        <v/>
      </c>
      <c r="APR39" s="12">
        <f>APP39+APQ39</f>
        <v/>
      </c>
      <c r="APS39" s="12">
        <f>ROUND(APR39*(1-AnnualMix),0)</f>
        <v/>
      </c>
      <c r="APT39" s="12">
        <f>APR39-APS39</f>
        <v/>
      </c>
      <c r="APU39" s="12">
        <f>ROUND(APS39*EssentialMix,0)</f>
        <v/>
      </c>
      <c r="APV39" s="12">
        <f>APS39-APU39</f>
        <v/>
      </c>
      <c r="APW39" s="12">
        <f>ROUND(APT39*EssentialMix,0)</f>
        <v/>
      </c>
      <c r="APX39" s="12">
        <f>APT39-APW39</f>
        <v/>
      </c>
      <c r="APY39" s="12">
        <f>APU39+APU38+APU37+MAX(0,APY38-APU38-APU37)*(1-APN39)</f>
        <v/>
      </c>
      <c r="APZ39" s="12">
        <f>APV39+APV38+APV37+MAX(0,APZ38-APV38-APV37)*(1-APN39)</f>
        <v/>
      </c>
      <c r="AQA39" s="12">
        <f>AQA38+APW39-APW27*(AnnualChurn*VLOOKUP(APJ39,ChurnSeasonTable,4,FALSE))*POWER(1-(AnnualChurn*VLOOKUP(APJ39,ChurnSeasonTable,4,FALSE)),0)+APW15*(AnnualChurn*VLOOKUP(APJ39,ChurnSeasonTable,4,FALSE))*POWER(1-(AnnualChurn*VLOOKUP(APJ39,ChurnSeasonTable,4,FALSE)),1)</f>
        <v/>
      </c>
      <c r="AQB39" s="12">
        <f>AQB38+APX39-APX27*(AnnualChurn*VLOOKUP(APJ39,ChurnSeasonTable,4,FALSE))*POWER(1-(AnnualChurn*VLOOKUP(APJ39,ChurnSeasonTable,4,FALSE)),0)+APX15*(AnnualChurn*VLOOKUP(APJ39,ChurnSeasonTable,4,FALSE))*POWER(1-(AnnualChurn*VLOOKUP(APJ39,ChurnSeasonTable,4,FALSE)),1)</f>
        <v/>
      </c>
      <c r="AQC39" s="12">
        <f>APY39+APZ39+AQA39+AQB39</f>
        <v/>
      </c>
      <c r="AQD39" s="9">
        <f>APY39*PriceEssMonthly*APM39+APZ39*PricePremMonthly*APM39+AQA39*PriceEssAnnual*APM39/12+AQB39*PricePremAnnual*APM39/12</f>
        <v/>
      </c>
      <c r="AQE39" s="9">
        <f>AQD39*12</f>
        <v/>
      </c>
      <c r="AQF39" s="12">
        <f>APY39*PriceEssMonthly*APM39+APZ39*PricePremMonthly*APM39</f>
        <v/>
      </c>
      <c r="AQG39" s="12">
        <f>APW39*PriceEssAnnual*APM39+APX39*PricePremAnnual*APM39</f>
        <v/>
      </c>
      <c r="AQH39" s="12">
        <f>APW27*POWER(1-(AnnualChurn*VLOOKUP(APJ39,ChurnSeasonTable,4,FALSE)),1)*PriceEssAnnual*APM39+APW15*POWER(1-(AnnualChurn*VLOOKUP(APJ39,ChurnSeasonTable,4,FALSE)),2)*PriceEssAnnual*APM39+APX27*POWER(1-(AnnualChurn*VLOOKUP(APJ39,ChurnSeasonTable,4,FALSE)),1)*PricePremAnnual*APM39+APX15*POWER(1-(AnnualChurn*VLOOKUP(APJ39,ChurnSeasonTable,4,FALSE)),2)*PricePremAnnual*APM39</f>
        <v/>
      </c>
      <c r="AQI39" s="9">
        <f>AQF39+AQG39+AQH39</f>
        <v/>
      </c>
      <c r="AQJ39" s="12">
        <f>SUM(AQI28:AQI39)</f>
        <v/>
      </c>
      <c r="AQK39" s="12">
        <f>OR(AQK38,AQJ39&gt;=VATThreshold)</f>
        <v/>
      </c>
      <c r="AQL39" s="9">
        <f>IF(AQK39,AQI39/(1+VATRate),AQI39)</f>
        <v/>
      </c>
      <c r="AQM39" s="12">
        <f>AQI39-AQL39</f>
        <v/>
      </c>
      <c r="AQN39" s="12">
        <f>IF(AQK39=0,0,IF(APJ39=1,SUMPRODUCT(--(($APK$5:$APK39=$APK39-1)*($APJ$5:$APJ39&gt;=10)*($APJ$5:$APJ39&lt;=12)),$AQM$5:$AQM39),IF(APJ39=4,SUMPRODUCT(--(($APK$5:$APK39=$APK39)*($APJ$5:$APJ39&gt;=1)*($APJ$5:$APJ39&lt;=3)),$AQM$5:$AQM39),IF(APJ39=7,SUMPRODUCT(--(($APK$5:$APK39=$APK39)*($APJ$5:$APJ39&gt;=4)*($APJ$5:$APJ39&lt;=6)),$AQM$5:$AQM39),IF(APJ39=10,SUMPRODUCT(--(($APK$5:$APK39=$APK39)*($APJ$5:$APJ39&gt;=7)*($APJ$5:$APJ39&lt;=9)),$AQM$5:$AQM39),0)))))</f>
        <v/>
      </c>
      <c r="AQO39" s="12">
        <f>AQO38+AQM39-AQN39</f>
        <v/>
      </c>
      <c r="AQP39" s="12">
        <f>IF(ProviderDelay&gt;=1,AQL38*ProviderShare,AQL39*ProviderShare)</f>
        <v/>
      </c>
      <c r="AQQ39" s="12">
        <f>AQI39*PaymentFee</f>
        <v/>
      </c>
      <c r="AQR39" s="12">
        <f>AQC39*OpsAI</f>
        <v/>
      </c>
      <c r="AQS39" s="12">
        <f>MonthlyFixed</f>
        <v/>
      </c>
      <c r="AQT39" s="12">
        <f>APQ39*ReferralReward</f>
        <v/>
      </c>
      <c r="AQU39" s="12">
        <f>APO39</f>
        <v/>
      </c>
      <c r="AQV39" s="9">
        <f>AQL39-AQP39-AQQ39-AQR39-AQS39-AQT39-AQU39</f>
        <v/>
      </c>
      <c r="AQW39" s="9">
        <f>AQW38+AQI39-(AQP39+AQQ39+AQR39+AQS39+AQT39+AQU39+AQN39)</f>
        <v/>
      </c>
      <c r="AQX39" s="12">
        <f>IF(AQC39&gt;0,AQD39/AQC39,0)</f>
        <v/>
      </c>
      <c r="AQY39" s="11">
        <f>IF(AQC38&gt;0,MAX(0,(AQC38+APR39-AQC39)/AQC38),0)</f>
        <v/>
      </c>
      <c r="ARA39" s="12" t="n">
        <v>35</v>
      </c>
      <c r="ARB39" s="12">
        <f>MOD(ARA39-1+LaunchMonth-1,12)+1</f>
        <v/>
      </c>
      <c r="ARC39" s="12">
        <f>INT((ARA39-1+LaunchMonth-1)/12)+1</f>
        <v/>
      </c>
      <c r="ARD39" s="12">
        <f>VLOOKUP(ARB39,WinterPivotSeasonTable,5,FALSE)</f>
        <v/>
      </c>
      <c r="ARE39" s="12">
        <f>(1+InflationRate)^INT((ARA39-1)/12)</f>
        <v/>
      </c>
      <c r="ARF39" s="11">
        <f>MonthlyChurn*VLOOKUP(ARB39,WinterPivotChurnTable,6,FALSE)</f>
        <v/>
      </c>
      <c r="ARG39" s="12">
        <f>MIN(MAX(MktMin19plus,ASA38*MktPct19plus),MAX(0,ASO38-CashBuffer))</f>
        <v/>
      </c>
      <c r="ARH39" s="12">
        <f>IF(ARG39&gt;0,MAX(1,ROUND(ARG39/CAC*ARD39,0)),0)</f>
        <v/>
      </c>
      <c r="ARI39" s="12">
        <f>IF(ARH39&gt;0,ROUND(ARH39*ReferralMix/(1-ReferralMix),0),0)</f>
        <v/>
      </c>
      <c r="ARJ39" s="12">
        <f>ARH39+ARI39</f>
        <v/>
      </c>
      <c r="ARK39" s="12">
        <f>ROUND(ARJ39*(1-AnnualMix),0)</f>
        <v/>
      </c>
      <c r="ARL39" s="12">
        <f>ARJ39-ARK39</f>
        <v/>
      </c>
      <c r="ARM39" s="12">
        <f>ROUND(ARK39*'Sens - Winter Pivot'!$B$6,0)</f>
        <v/>
      </c>
      <c r="ARN39" s="12">
        <f>ARK39-ARM39</f>
        <v/>
      </c>
      <c r="ARO39" s="12">
        <f>ROUND(ARL39*'Sens - Winter Pivot'!$B$6,0)</f>
        <v/>
      </c>
      <c r="ARP39" s="12">
        <f>ARL39-ARO39</f>
        <v/>
      </c>
      <c r="ARQ39" s="12">
        <f>ARM39+ARM38+ARM37+MAX(0,ARQ38-ARM38-ARM37)*(1-ARF39)</f>
        <v/>
      </c>
      <c r="ARR39" s="12">
        <f>ARN39+ARN38+ARN37+MAX(0,ARR38-ARN38-ARN37)*(1-ARF39)</f>
        <v/>
      </c>
      <c r="ARS39" s="12">
        <f>ARS38+ARO39-ARO27*(AnnualChurn*VLOOKUP(ARB39,WinterPivotChurnTable,6,FALSE))*POWER(1-(AnnualChurn*VLOOKUP(ARB39,WinterPivotChurnTable,6,FALSE)),0)+ARO15*(AnnualChurn*VLOOKUP(ARB39,WinterPivotChurnTable,6,FALSE))*POWER(1-(AnnualChurn*VLOOKUP(ARB39,WinterPivotChurnTable,6,FALSE)),1)</f>
        <v/>
      </c>
      <c r="ART39" s="12">
        <f>ART38+ARP39-ARP27*(AnnualChurn*VLOOKUP(ARB39,WinterPivotChurnTable,6,FALSE))*POWER(1-(AnnualChurn*VLOOKUP(ARB39,WinterPivotChurnTable,6,FALSE)),0)+ARP15*(AnnualChurn*VLOOKUP(ARB39,WinterPivotChurnTable,6,FALSE))*POWER(1-(AnnualChurn*VLOOKUP(ARB39,WinterPivotChurnTable,6,FALSE)),1)</f>
        <v/>
      </c>
      <c r="ARU39" s="12">
        <f>ARQ39+ARR39+ARS39+ART39</f>
        <v/>
      </c>
      <c r="ARV39" s="9">
        <f>ARQ39*PriceEssMonthly*ARE39+ARR39*(PricePremMonthly+'Sens - Winter Pivot'!$B$7)*ARE39+ARS39*PriceEssAnnual*ARE39/12+ART39*(PricePremAnnual+'Sens - Winter Pivot'!$B$7*12)*ARE39/12</f>
        <v/>
      </c>
      <c r="ARW39" s="9">
        <f>ARV39*12</f>
        <v/>
      </c>
      <c r="ARX39" s="12">
        <f>ARQ39*PriceEssMonthly*ARE39+ARR39*(PricePremMonthly+'Sens - Winter Pivot'!$B$7)*ARE39</f>
        <v/>
      </c>
      <c r="ARY39" s="12">
        <f>ARO39*PriceEssAnnual*ARE39+ARP39*(PricePremAnnual+'Sens - Winter Pivot'!$B$7*12)*ARE39</f>
        <v/>
      </c>
      <c r="ARZ39" s="12">
        <f>ARO27*POWER(1-(AnnualChurn*VLOOKUP(ARB39,WinterPivotChurnTable,6,FALSE)),1)*PriceEssAnnual*ARE39+ARO15*POWER(1-(AnnualChurn*VLOOKUP(ARB39,WinterPivotChurnTable,6,FALSE)),2)*PriceEssAnnual*ARE39+ARP27*POWER(1-(AnnualChurn*VLOOKUP(ARB39,WinterPivotChurnTable,6,FALSE)),1)*PricePremAnnual*ARE39+ARP15*POWER(1-(AnnualChurn*VLOOKUP(ARB39,WinterPivotChurnTable,6,FALSE)),2)*PricePremAnnual*ARE39</f>
        <v/>
      </c>
      <c r="ASA39" s="9">
        <f>ARX39+ARY39+ARZ39</f>
        <v/>
      </c>
      <c r="ASB39" s="12">
        <f>SUM(ASA28:ASA39)</f>
        <v/>
      </c>
      <c r="ASC39" s="12">
        <f>OR(ASC38,ASB39&gt;=VATThreshold)</f>
        <v/>
      </c>
      <c r="ASD39" s="9">
        <f>IF(ASC39,ASA39/(1+VATRate),ASA39)</f>
        <v/>
      </c>
      <c r="ASE39" s="12">
        <f>ASA39-ASD39</f>
        <v/>
      </c>
      <c r="ASF39" s="12">
        <f>IF(ASC39=0,0,IF(ARB39=1,SUMPRODUCT(--(($ARC$5:$ARC39=$ARC39-1)*($ARB$5:$ARB39&gt;=10)*($ARB$5:$ARB39&lt;=12)),$ASE$5:$ASE39),IF(ARB39=4,SUMPRODUCT(--(($ARC$5:$ARC39=$ARC39)*($ARB$5:$ARB39&gt;=1)*($ARB$5:$ARB39&lt;=3)),$ASE$5:$ASE39),IF(ARB39=7,SUMPRODUCT(--(($ARC$5:$ARC39=$ARC39)*($ARB$5:$ARB39&gt;=4)*($ARB$5:$ARB39&lt;=6)),$ASE$5:$ASE39),IF(ARB39=10,SUMPRODUCT(--(($ARC$5:$ARC39=$ARC39)*($ARB$5:$ARB39&gt;=7)*($ARB$5:$ARB39&lt;=9)),$ASE$5:$ASE39),0)))))</f>
        <v/>
      </c>
      <c r="ASG39" s="12">
        <f>ASG38+ASE39-ASF39</f>
        <v/>
      </c>
      <c r="ASH39" s="12">
        <f>IF(ProviderDelay&gt;=1,ASD38*ProviderShare,ASD39*ProviderShare)</f>
        <v/>
      </c>
      <c r="ASI39" s="12">
        <f>ASA39*PaymentFee</f>
        <v/>
      </c>
      <c r="ASJ39" s="12">
        <f>ARU39*OpsAI</f>
        <v/>
      </c>
      <c r="ASK39" s="12">
        <f>MonthlyFixed</f>
        <v/>
      </c>
      <c r="ASL39" s="12">
        <f>ARI39*ReferralReward</f>
        <v/>
      </c>
      <c r="ASM39" s="12">
        <f>ARG39</f>
        <v/>
      </c>
      <c r="ASN39" s="9">
        <f>ASD39-ASH39-ASI39-ASJ39-ASK39-ASL39-ASM39</f>
        <v/>
      </c>
      <c r="ASO39" s="9">
        <f>ASO38+ASA39-(ASH39+ASI39+ASJ39+ASK39+ASL39+ASM39+ASF39)</f>
        <v/>
      </c>
      <c r="ASP39" s="12">
        <f>IF(ARU39&gt;0,ARV39/ARU39,0)</f>
        <v/>
      </c>
      <c r="ASQ39" s="11">
        <f>IF(ARU38&gt;0,MAX(0,(ARU38+ARJ39-ARU39)/ARU38),0)</f>
        <v/>
      </c>
    </row>
    <row r="40">
      <c r="A40" s="12" t="n">
        <v>36</v>
      </c>
      <c r="B40" s="12">
        <f>MOD(A40-1+LaunchMonth-1,12)+1</f>
        <v/>
      </c>
      <c r="C40" s="12">
        <f>INT((A40-1+LaunchMonth-1)/12)+1</f>
        <v/>
      </c>
      <c r="D40" s="12">
        <f>VLOOKUP(B40,SeasonTable,2,FALSE)</f>
        <v/>
      </c>
      <c r="E40" s="12">
        <f>(1+InflationRate)^INT((A40-1)/12)</f>
        <v/>
      </c>
      <c r="F40" s="11">
        <f>'Sens - Scenarios'!$B$5*VLOOKUP(B40,ChurnSeasonTable,4,FALSE)</f>
        <v/>
      </c>
      <c r="G40" s="12">
        <f>MIN(MAX(MktMin19plus,AA39*MktPct19plus),MAX(0,AO39-CashBuffer))</f>
        <v/>
      </c>
      <c r="H40" s="12">
        <f>IF(G40&gt;0,MAX(1,ROUND(G40/'Sens - Scenarios'!$B$8*D40,0)),0)</f>
        <v/>
      </c>
      <c r="I40" s="12">
        <f>IF(H40&gt;0,ROUND(H40*ReferralMix/(1-ReferralMix),0),0)</f>
        <v/>
      </c>
      <c r="J40" s="12">
        <f>H40+I40</f>
        <v/>
      </c>
      <c r="K40" s="12">
        <f>ROUND(J40*(1-'Sens - Scenarios'!$B$7),0)</f>
        <v/>
      </c>
      <c r="L40" s="12">
        <f>J40-K40</f>
        <v/>
      </c>
      <c r="M40" s="12">
        <f>ROUND(K40*EssentialMix,0)</f>
        <v/>
      </c>
      <c r="N40" s="12">
        <f>K40-M40</f>
        <v/>
      </c>
      <c r="O40" s="12">
        <f>ROUND(L40*EssentialMix,0)</f>
        <v/>
      </c>
      <c r="P40" s="12">
        <f>L40-O40</f>
        <v/>
      </c>
      <c r="Q40" s="12">
        <f>M40+M39+M38+MAX(0,Q39-M39-M38)*(1-F40)</f>
        <v/>
      </c>
      <c r="R40" s="12">
        <f>N40+N39+N38+MAX(0,R39-N39-N38)*(1-F40)</f>
        <v/>
      </c>
      <c r="S40" s="12">
        <f>S39+O40-O28*('Sens - Scenarios'!$B$6*VLOOKUP(B40,ChurnSeasonTable,4,FALSE))*POWER(1-('Sens - Scenarios'!$B$6*VLOOKUP(B40,ChurnSeasonTable,4,FALSE)),0)+O16*('Sens - Scenarios'!$B$6*VLOOKUP(B40,ChurnSeasonTable,4,FALSE))*POWER(1-('Sens - Scenarios'!$B$6*VLOOKUP(B40,ChurnSeasonTable,4,FALSE)),1)</f>
        <v/>
      </c>
      <c r="T40" s="12">
        <f>T39+P40-P28*('Sens - Scenarios'!$B$6*VLOOKUP(B40,ChurnSeasonTable,4,FALSE))*POWER(1-('Sens - Scenarios'!$B$6*VLOOKUP(B40,ChurnSeasonTable,4,FALSE)),0)+P16*('Sens - Scenarios'!$B$6*VLOOKUP(B40,ChurnSeasonTable,4,FALSE))*POWER(1-('Sens - Scenarios'!$B$6*VLOOKUP(B40,ChurnSeasonTable,4,FALSE)),1)</f>
        <v/>
      </c>
      <c r="U40" s="12">
        <f>Q40+R40+S40+T40</f>
        <v/>
      </c>
      <c r="V40" s="9">
        <f>Q40*PriceEssMonthly*E40+R40*PricePremMonthly*E40+S40*PriceEssAnnual*E40/12+T40*PricePremAnnual*E40/12</f>
        <v/>
      </c>
      <c r="W40" s="9">
        <f>V40*12</f>
        <v/>
      </c>
      <c r="X40" s="12">
        <f>Q40*PriceEssMonthly*E40+R40*PricePremMonthly*E40</f>
        <v/>
      </c>
      <c r="Y40" s="12">
        <f>O40*PriceEssAnnual*E40+P40*PricePremAnnual*E40</f>
        <v/>
      </c>
      <c r="Z40" s="12">
        <f>O28*POWER(1-('Sens - Scenarios'!$B$6*VLOOKUP(B40,ChurnSeasonTable,4,FALSE)),1)*PriceEssAnnual*E40+O16*POWER(1-('Sens - Scenarios'!$B$6*VLOOKUP(B40,ChurnSeasonTable,4,FALSE)),2)*PriceEssAnnual*E40+P28*POWER(1-('Sens - Scenarios'!$B$6*VLOOKUP(B40,ChurnSeasonTable,4,FALSE)),1)*PricePremAnnual*E40+P16*POWER(1-('Sens - Scenarios'!$B$6*VLOOKUP(B40,ChurnSeasonTable,4,FALSE)),2)*PricePremAnnual*E40</f>
        <v/>
      </c>
      <c r="AA40" s="9">
        <f>X40+Y40+Z40</f>
        <v/>
      </c>
      <c r="AB40" s="12">
        <f>SUM(AA29:AA40)</f>
        <v/>
      </c>
      <c r="AC40" s="12">
        <f>OR(AC39,AB40&gt;=VATThreshold)</f>
        <v/>
      </c>
      <c r="AD40" s="9">
        <f>IF(AC40,AA40/(1+VATRate),AA40)</f>
        <v/>
      </c>
      <c r="AE40" s="12">
        <f>AA40-AD40</f>
        <v/>
      </c>
      <c r="AF40" s="12">
        <f>IF(AC40=0,0,IF(B40=1,SUMPRODUCT(--(($C$5:$C40=$C40-1)*($B$5:$B40&gt;=10)*($B$5:$B40&lt;=12)),$AE$5:$AE40),IF(B40=4,SUMPRODUCT(--(($C$5:$C40=$C40)*($B$5:$B40&gt;=1)*($B$5:$B40&lt;=3)),$AE$5:$AE40),IF(B40=7,SUMPRODUCT(--(($C$5:$C40=$C40)*($B$5:$B40&gt;=4)*($B$5:$B40&lt;=6)),$AE$5:$AE40),IF(B40=10,SUMPRODUCT(--(($C$5:$C40=$C40)*($B$5:$B40&gt;=7)*($B$5:$B40&lt;=9)),$AE$5:$AE40),0)))))</f>
        <v/>
      </c>
      <c r="AG40" s="12">
        <f>AG39+AE40-AF40</f>
        <v/>
      </c>
      <c r="AH40" s="12">
        <f>IF(ProviderDelay&gt;=1,AD39*ProviderShare,AD40*ProviderShare)</f>
        <v/>
      </c>
      <c r="AI40" s="12">
        <f>AA40*PaymentFee</f>
        <v/>
      </c>
      <c r="AJ40" s="12">
        <f>U40*OpsAI</f>
        <v/>
      </c>
      <c r="AK40" s="12">
        <f>MonthlyFixed</f>
        <v/>
      </c>
      <c r="AL40" s="12">
        <f>I40*ReferralReward</f>
        <v/>
      </c>
      <c r="AM40" s="12">
        <f>G40</f>
        <v/>
      </c>
      <c r="AN40" s="9">
        <f>AD40-AH40-AI40-AJ40-AK40-AL40-AM40</f>
        <v/>
      </c>
      <c r="AO40" s="9">
        <f>AO39+AA40-(AH40+AI40+AJ40+AK40+AL40+AM40+AF40)</f>
        <v/>
      </c>
      <c r="AP40" s="12">
        <f>IF(U40&gt;0,V40/U40,0)</f>
        <v/>
      </c>
      <c r="AQ40" s="11">
        <f>IF(U39&gt;0,MAX(0,(U39+J40-U40)/U39),0)</f>
        <v/>
      </c>
      <c r="AS40" s="12" t="n">
        <v>36</v>
      </c>
      <c r="AT40" s="12">
        <f>MOD(AS40-1+LaunchMonth-1,12)+1</f>
        <v/>
      </c>
      <c r="AU40" s="12">
        <f>INT((AS40-1+LaunchMonth-1)/12)+1</f>
        <v/>
      </c>
      <c r="AV40" s="12">
        <f>VLOOKUP(AT40,SeasonTable,2,FALSE)</f>
        <v/>
      </c>
      <c r="AW40" s="12">
        <f>(1+InflationRate)^INT((AS40-1)/12)</f>
        <v/>
      </c>
      <c r="AX40" s="11">
        <f>MonthlyChurn*VLOOKUP(AT40,ChurnSeasonTable,4,FALSE)</f>
        <v/>
      </c>
      <c r="AY40" s="12">
        <f>MIN(MAX(MktMin19plus,BS39*MktPct19plus),MAX(0,CG39-CashBuffer))</f>
        <v/>
      </c>
      <c r="AZ40" s="12">
        <f>IF(AY40&gt;0,MAX(1,ROUND(AY40/CAC*AV40,0)),0)</f>
        <v/>
      </c>
      <c r="BA40" s="12">
        <f>IF(AZ40&gt;0,ROUND(AZ40*ReferralMix/(1-ReferralMix),0),0)</f>
        <v/>
      </c>
      <c r="BB40" s="12">
        <f>AZ40+BA40</f>
        <v/>
      </c>
      <c r="BC40" s="12">
        <f>ROUND(BB40*(1-AnnualMix),0)</f>
        <v/>
      </c>
      <c r="BD40" s="12">
        <f>BB40-BC40</f>
        <v/>
      </c>
      <c r="BE40" s="12">
        <f>ROUND(BC40*EssentialMix,0)</f>
        <v/>
      </c>
      <c r="BF40" s="12">
        <f>BC40-BE40</f>
        <v/>
      </c>
      <c r="BG40" s="12">
        <f>ROUND(BD40*EssentialMix,0)</f>
        <v/>
      </c>
      <c r="BH40" s="12">
        <f>BD40-BG40</f>
        <v/>
      </c>
      <c r="BI40" s="12">
        <f>BE40+BE39+BE38+MAX(0,BI39-BE39-BE38)*(1-AX40)</f>
        <v/>
      </c>
      <c r="BJ40" s="12">
        <f>BF40+BF39+BF38+MAX(0,BJ39-BF39-BF38)*(1-AX40)</f>
        <v/>
      </c>
      <c r="BK40" s="12">
        <f>BK39+BG40-BG28*(AnnualChurn*VLOOKUP(AT40,ChurnSeasonTable,4,FALSE))*POWER(1-(AnnualChurn*VLOOKUP(AT40,ChurnSeasonTable,4,FALSE)),0)+BG16*(AnnualChurn*VLOOKUP(AT40,ChurnSeasonTable,4,FALSE))*POWER(1-(AnnualChurn*VLOOKUP(AT40,ChurnSeasonTable,4,FALSE)),1)</f>
        <v/>
      </c>
      <c r="BL40" s="12">
        <f>BL39+BH40-BH28*(AnnualChurn*VLOOKUP(AT40,ChurnSeasonTable,4,FALSE))*POWER(1-(AnnualChurn*VLOOKUP(AT40,ChurnSeasonTable,4,FALSE)),0)+BH16*(AnnualChurn*VLOOKUP(AT40,ChurnSeasonTable,4,FALSE))*POWER(1-(AnnualChurn*VLOOKUP(AT40,ChurnSeasonTable,4,FALSE)),1)</f>
        <v/>
      </c>
      <c r="BM40" s="12">
        <f>BI40+BJ40+BK40+BL40</f>
        <v/>
      </c>
      <c r="BN40" s="9">
        <f>BI40*PriceEssMonthly*AW40+BJ40*PricePremMonthly*AW40+BK40*PriceEssAnnual*AW40/12+BL40*PricePremAnnual*AW40/12</f>
        <v/>
      </c>
      <c r="BO40" s="9">
        <f>BN40*12</f>
        <v/>
      </c>
      <c r="BP40" s="12">
        <f>BI40*PriceEssMonthly*AW40+BJ40*PricePremMonthly*AW40</f>
        <v/>
      </c>
      <c r="BQ40" s="12">
        <f>BG40*PriceEssAnnual*AW40+BH40*PricePremAnnual*AW40</f>
        <v/>
      </c>
      <c r="BR40" s="12">
        <f>BG28*POWER(1-(AnnualChurn*VLOOKUP(AT40,ChurnSeasonTable,4,FALSE)),1)*PriceEssAnnual*AW40+BG16*POWER(1-(AnnualChurn*VLOOKUP(AT40,ChurnSeasonTable,4,FALSE)),2)*PriceEssAnnual*AW40+BH28*POWER(1-(AnnualChurn*VLOOKUP(AT40,ChurnSeasonTable,4,FALSE)),1)*PricePremAnnual*AW40+BH16*POWER(1-(AnnualChurn*VLOOKUP(AT40,ChurnSeasonTable,4,FALSE)),2)*PricePremAnnual*AW40</f>
        <v/>
      </c>
      <c r="BS40" s="9">
        <f>BP40+BQ40+BR40</f>
        <v/>
      </c>
      <c r="BT40" s="12">
        <f>SUM(BS29:BS40)</f>
        <v/>
      </c>
      <c r="BU40" s="12">
        <f>OR(BU39,BT40&gt;=VATThreshold)</f>
        <v/>
      </c>
      <c r="BV40" s="9">
        <f>IF(BU40,BS40/(1+VATRate),BS40)</f>
        <v/>
      </c>
      <c r="BW40" s="12">
        <f>BS40-BV40</f>
        <v/>
      </c>
      <c r="BX40" s="12">
        <f>IF(BU40=0,0,IF(AT40=1,SUMPRODUCT(--(($AU$5:$AU40=$AU40-1)*($AT$5:$AT40&gt;=10)*($AT$5:$AT40&lt;=12)),$BW$5:$BW40),IF(AT40=4,SUMPRODUCT(--(($AU$5:$AU40=$AU40)*($AT$5:$AT40&gt;=1)*($AT$5:$AT40&lt;=3)),$BW$5:$BW40),IF(AT40=7,SUMPRODUCT(--(($AU$5:$AU40=$AU40)*($AT$5:$AT40&gt;=4)*($AT$5:$AT40&lt;=6)),$BW$5:$BW40),IF(AT40=10,SUMPRODUCT(--(($AU$5:$AU40=$AU40)*($AT$5:$AT40&gt;=7)*($AT$5:$AT40&lt;=9)),$BW$5:$BW40),0)))))</f>
        <v/>
      </c>
      <c r="BY40" s="12">
        <f>BY39+BW40-BX40</f>
        <v/>
      </c>
      <c r="BZ40" s="12">
        <f>IF(ProviderDelay&gt;=1,BV39*ProviderShare,BV40*ProviderShare)</f>
        <v/>
      </c>
      <c r="CA40" s="12">
        <f>BS40*PaymentFee</f>
        <v/>
      </c>
      <c r="CB40" s="12">
        <f>BM40*OpsAI</f>
        <v/>
      </c>
      <c r="CC40" s="12">
        <f>MonthlyFixed</f>
        <v/>
      </c>
      <c r="CD40" s="12">
        <f>BA40*ReferralReward</f>
        <v/>
      </c>
      <c r="CE40" s="12">
        <f>AY40</f>
        <v/>
      </c>
      <c r="CF40" s="9">
        <f>BV40-BZ40-CA40-CB40-CC40-CD40-CE40</f>
        <v/>
      </c>
      <c r="CG40" s="9">
        <f>CG39+BS40-(BZ40+CA40+CB40+CC40+CD40+CE40+BX40)</f>
        <v/>
      </c>
      <c r="CH40" s="12">
        <f>IF(BM40&gt;0,BN40/BM40,0)</f>
        <v/>
      </c>
      <c r="CI40" s="11">
        <f>IF(BM39&gt;0,MAX(0,(BM39+BB40-BM40)/BM39),0)</f>
        <v/>
      </c>
      <c r="CK40" s="12" t="n">
        <v>36</v>
      </c>
      <c r="CL40" s="12">
        <f>MOD(CK40-1+LaunchMonth-1,12)+1</f>
        <v/>
      </c>
      <c r="CM40" s="12">
        <f>INT((CK40-1+LaunchMonth-1)/12)+1</f>
        <v/>
      </c>
      <c r="CN40" s="12">
        <f>VLOOKUP(CL40,SeasonTable,2,FALSE)</f>
        <v/>
      </c>
      <c r="CO40" s="12">
        <f>(1+InflationRate)^INT((CK40-1)/12)</f>
        <v/>
      </c>
      <c r="CP40" s="11">
        <f>'Sens - Scenarios'!$D$5*VLOOKUP(CL40,ChurnSeasonTable,4,FALSE)</f>
        <v/>
      </c>
      <c r="CQ40" s="12">
        <f>MIN(MAX(MktMin19plus,DK39*MktPct19plus),MAX(0,DY39-CashBuffer))</f>
        <v/>
      </c>
      <c r="CR40" s="12">
        <f>IF(CQ40&gt;0,MAX(1,ROUND(CQ40/'Sens - Scenarios'!$D$8*CN40,0)),0)</f>
        <v/>
      </c>
      <c r="CS40" s="12">
        <f>IF(CR40&gt;0,ROUND(CR40*ReferralMix/(1-ReferralMix),0),0)</f>
        <v/>
      </c>
      <c r="CT40" s="12">
        <f>CR40+CS40</f>
        <v/>
      </c>
      <c r="CU40" s="12">
        <f>ROUND(CT40*(1-'Sens - Scenarios'!$D$7),0)</f>
        <v/>
      </c>
      <c r="CV40" s="12">
        <f>CT40-CU40</f>
        <v/>
      </c>
      <c r="CW40" s="12">
        <f>ROUND(CU40*EssentialMix,0)</f>
        <v/>
      </c>
      <c r="CX40" s="12">
        <f>CU40-CW40</f>
        <v/>
      </c>
      <c r="CY40" s="12">
        <f>ROUND(CV40*EssentialMix,0)</f>
        <v/>
      </c>
      <c r="CZ40" s="12">
        <f>CV40-CY40</f>
        <v/>
      </c>
      <c r="DA40" s="12">
        <f>CW40+CW39+CW38+MAX(0,DA39-CW39-CW38)*(1-CP40)</f>
        <v/>
      </c>
      <c r="DB40" s="12">
        <f>CX40+CX39+CX38+MAX(0,DB39-CX39-CX38)*(1-CP40)</f>
        <v/>
      </c>
      <c r="DC40" s="12">
        <f>DC39+CY40-CY28*('Sens - Scenarios'!$D$6*VLOOKUP(CL40,ChurnSeasonTable,4,FALSE))*POWER(1-('Sens - Scenarios'!$D$6*VLOOKUP(CL40,ChurnSeasonTable,4,FALSE)),0)+CY16*('Sens - Scenarios'!$D$6*VLOOKUP(CL40,ChurnSeasonTable,4,FALSE))*POWER(1-('Sens - Scenarios'!$D$6*VLOOKUP(CL40,ChurnSeasonTable,4,FALSE)),1)</f>
        <v/>
      </c>
      <c r="DD40" s="12">
        <f>DD39+CZ40-CZ28*('Sens - Scenarios'!$D$6*VLOOKUP(CL40,ChurnSeasonTable,4,FALSE))*POWER(1-('Sens - Scenarios'!$D$6*VLOOKUP(CL40,ChurnSeasonTable,4,FALSE)),0)+CZ16*('Sens - Scenarios'!$D$6*VLOOKUP(CL40,ChurnSeasonTable,4,FALSE))*POWER(1-('Sens - Scenarios'!$D$6*VLOOKUP(CL40,ChurnSeasonTable,4,FALSE)),1)</f>
        <v/>
      </c>
      <c r="DE40" s="12">
        <f>DA40+DB40+DC40+DD40</f>
        <v/>
      </c>
      <c r="DF40" s="9">
        <f>DA40*PriceEssMonthly*CO40+DB40*PricePremMonthly*CO40+DC40*PriceEssAnnual*CO40/12+DD40*PricePremAnnual*CO40/12</f>
        <v/>
      </c>
      <c r="DG40" s="9">
        <f>DF40*12</f>
        <v/>
      </c>
      <c r="DH40" s="12">
        <f>DA40*PriceEssMonthly*CO40+DB40*PricePremMonthly*CO40</f>
        <v/>
      </c>
      <c r="DI40" s="12">
        <f>CY40*PriceEssAnnual*CO40+CZ40*PricePremAnnual*CO40</f>
        <v/>
      </c>
      <c r="DJ40" s="12">
        <f>CY28*POWER(1-('Sens - Scenarios'!$D$6*VLOOKUP(CL40,ChurnSeasonTable,4,FALSE)),1)*PriceEssAnnual*CO40+CY16*POWER(1-('Sens - Scenarios'!$D$6*VLOOKUP(CL40,ChurnSeasonTable,4,FALSE)),2)*PriceEssAnnual*CO40+CZ28*POWER(1-('Sens - Scenarios'!$D$6*VLOOKUP(CL40,ChurnSeasonTable,4,FALSE)),1)*PricePremAnnual*CO40+CZ16*POWER(1-('Sens - Scenarios'!$D$6*VLOOKUP(CL40,ChurnSeasonTable,4,FALSE)),2)*PricePremAnnual*CO40</f>
        <v/>
      </c>
      <c r="DK40" s="9">
        <f>DH40+DI40+DJ40</f>
        <v/>
      </c>
      <c r="DL40" s="12">
        <f>SUM(DK29:DK40)</f>
        <v/>
      </c>
      <c r="DM40" s="12">
        <f>OR(DM39,DL40&gt;=VATThreshold)</f>
        <v/>
      </c>
      <c r="DN40" s="9">
        <f>IF(DM40,DK40/(1+VATRate),DK40)</f>
        <v/>
      </c>
      <c r="DO40" s="12">
        <f>DK40-DN40</f>
        <v/>
      </c>
      <c r="DP40" s="12">
        <f>IF(DM40=0,0,IF(CL40=1,SUMPRODUCT(--(($CM$5:$CM40=$CM40-1)*($CL$5:$CL40&gt;=10)*($CL$5:$CL40&lt;=12)),$DO$5:$DO40),IF(CL40=4,SUMPRODUCT(--(($CM$5:$CM40=$CM40)*($CL$5:$CL40&gt;=1)*($CL$5:$CL40&lt;=3)),$DO$5:$DO40),IF(CL40=7,SUMPRODUCT(--(($CM$5:$CM40=$CM40)*($CL$5:$CL40&gt;=4)*($CL$5:$CL40&lt;=6)),$DO$5:$DO40),IF(CL40=10,SUMPRODUCT(--(($CM$5:$CM40=$CM40)*($CL$5:$CL40&gt;=7)*($CL$5:$CL40&lt;=9)),$DO$5:$DO40),0)))))</f>
        <v/>
      </c>
      <c r="DQ40" s="12">
        <f>DQ39+DO40-DP40</f>
        <v/>
      </c>
      <c r="DR40" s="12">
        <f>IF(ProviderDelay&gt;=1,DN39*ProviderShare,DN40*ProviderShare)</f>
        <v/>
      </c>
      <c r="DS40" s="12">
        <f>DK40*PaymentFee</f>
        <v/>
      </c>
      <c r="DT40" s="12">
        <f>DE40*OpsAI</f>
        <v/>
      </c>
      <c r="DU40" s="12">
        <f>MonthlyFixed</f>
        <v/>
      </c>
      <c r="DV40" s="12">
        <f>CS40*ReferralReward</f>
        <v/>
      </c>
      <c r="DW40" s="12">
        <f>CQ40</f>
        <v/>
      </c>
      <c r="DX40" s="9">
        <f>DN40-DR40-DS40-DT40-DU40-DV40-DW40</f>
        <v/>
      </c>
      <c r="DY40" s="9">
        <f>DY39+DK40-(DR40+DS40+DT40+DU40+DV40+DW40+DP40)</f>
        <v/>
      </c>
      <c r="DZ40" s="12">
        <f>IF(DE40&gt;0,DF40/DE40,0)</f>
        <v/>
      </c>
      <c r="EA40" s="11">
        <f>IF(DE39&gt;0,MAX(0,(DE39+CT40-DE40)/DE39),0)</f>
        <v/>
      </c>
      <c r="EC40" s="12" t="n">
        <v>36</v>
      </c>
      <c r="ED40" s="12">
        <f>MOD(EC40-1+LaunchMonth-1,12)+1</f>
        <v/>
      </c>
      <c r="EE40" s="12">
        <f>INT((EC40-1+LaunchMonth-1)/12)+1</f>
        <v/>
      </c>
      <c r="EF40" s="12">
        <f>VLOOKUP(ED40,SeasonTable,2,FALSE)</f>
        <v/>
      </c>
      <c r="EG40" s="12">
        <f>(1+InflationRate)^INT((EC40-1)/12)</f>
        <v/>
      </c>
      <c r="EH40" s="11">
        <f>'Sens - Churn'!$A$13*VLOOKUP(ED40,ChurnSeasonTable,4,FALSE)</f>
        <v/>
      </c>
      <c r="EI40" s="12">
        <f>MIN(MAX(MktMin19plus,FC39*MktPct19plus),MAX(0,FQ39-CashBuffer))</f>
        <v/>
      </c>
      <c r="EJ40" s="12">
        <f>IF(EI40&gt;0,MAX(1,ROUND(EI40/CAC*EF40,0)),0)</f>
        <v/>
      </c>
      <c r="EK40" s="12">
        <f>IF(EJ40&gt;0,ROUND(EJ40*ReferralMix/(1-ReferralMix),0),0)</f>
        <v/>
      </c>
      <c r="EL40" s="12">
        <f>EJ40+EK40</f>
        <v/>
      </c>
      <c r="EM40" s="12">
        <f>ROUND(EL40*(1-AnnualMix),0)</f>
        <v/>
      </c>
      <c r="EN40" s="12">
        <f>EL40-EM40</f>
        <v/>
      </c>
      <c r="EO40" s="12">
        <f>ROUND(EM40*EssentialMix,0)</f>
        <v/>
      </c>
      <c r="EP40" s="12">
        <f>EM40-EO40</f>
        <v/>
      </c>
      <c r="EQ40" s="12">
        <f>ROUND(EN40*EssentialMix,0)</f>
        <v/>
      </c>
      <c r="ER40" s="12">
        <f>EN40-EQ40</f>
        <v/>
      </c>
      <c r="ES40" s="12">
        <f>EO40+EO39+EO38+MAX(0,ES39-EO39-EO38)*(1-EH40)</f>
        <v/>
      </c>
      <c r="ET40" s="12">
        <f>EP40+EP39+EP38+MAX(0,ET39-EP39-EP38)*(1-EH40)</f>
        <v/>
      </c>
      <c r="EU40" s="12">
        <f>EU39+EQ40-EQ28*(AnnualChurn*VLOOKUP(ED40,ChurnSeasonTable,4,FALSE))*POWER(1-(AnnualChurn*VLOOKUP(ED40,ChurnSeasonTable,4,FALSE)),0)+EQ16*(AnnualChurn*VLOOKUP(ED40,ChurnSeasonTable,4,FALSE))*POWER(1-(AnnualChurn*VLOOKUP(ED40,ChurnSeasonTable,4,FALSE)),1)</f>
        <v/>
      </c>
      <c r="EV40" s="12">
        <f>EV39+ER40-ER28*(AnnualChurn*VLOOKUP(ED40,ChurnSeasonTable,4,FALSE))*POWER(1-(AnnualChurn*VLOOKUP(ED40,ChurnSeasonTable,4,FALSE)),0)+ER16*(AnnualChurn*VLOOKUP(ED40,ChurnSeasonTable,4,FALSE))*POWER(1-(AnnualChurn*VLOOKUP(ED40,ChurnSeasonTable,4,FALSE)),1)</f>
        <v/>
      </c>
      <c r="EW40" s="12">
        <f>ES40+ET40+EU40+EV40</f>
        <v/>
      </c>
      <c r="EX40" s="9">
        <f>ES40*PriceEssMonthly*EG40+ET40*PricePremMonthly*EG40+EU40*PriceEssAnnual*EG40/12+EV40*PricePremAnnual*EG40/12</f>
        <v/>
      </c>
      <c r="EY40" s="9">
        <f>EX40*12</f>
        <v/>
      </c>
      <c r="EZ40" s="12">
        <f>ES40*PriceEssMonthly*EG40+ET40*PricePremMonthly*EG40</f>
        <v/>
      </c>
      <c r="FA40" s="12">
        <f>EQ40*PriceEssAnnual*EG40+ER40*PricePremAnnual*EG40</f>
        <v/>
      </c>
      <c r="FB40" s="12">
        <f>EQ28*POWER(1-(AnnualChurn*VLOOKUP(ED40,ChurnSeasonTable,4,FALSE)),1)*PriceEssAnnual*EG40+EQ16*POWER(1-(AnnualChurn*VLOOKUP(ED40,ChurnSeasonTable,4,FALSE)),2)*PriceEssAnnual*EG40+ER28*POWER(1-(AnnualChurn*VLOOKUP(ED40,ChurnSeasonTable,4,FALSE)),1)*PricePremAnnual*EG40+ER16*POWER(1-(AnnualChurn*VLOOKUP(ED40,ChurnSeasonTable,4,FALSE)),2)*PricePremAnnual*EG40</f>
        <v/>
      </c>
      <c r="FC40" s="9">
        <f>EZ40+FA40+FB40</f>
        <v/>
      </c>
      <c r="FD40" s="12">
        <f>SUM(FC29:FC40)</f>
        <v/>
      </c>
      <c r="FE40" s="12">
        <f>OR(FE39,FD40&gt;=VATThreshold)</f>
        <v/>
      </c>
      <c r="FF40" s="9">
        <f>IF(FE40,FC40/(1+VATRate),FC40)</f>
        <v/>
      </c>
      <c r="FG40" s="12">
        <f>FC40-FF40</f>
        <v/>
      </c>
      <c r="FH40" s="12">
        <f>IF(FE40=0,0,IF(ED40=1,SUMPRODUCT(--(($EE$5:$EE40=$EE40-1)*($ED$5:$ED40&gt;=10)*($ED$5:$ED40&lt;=12)),$FG$5:$FG40),IF(ED40=4,SUMPRODUCT(--(($EE$5:$EE40=$EE40)*($ED$5:$ED40&gt;=1)*($ED$5:$ED40&lt;=3)),$FG$5:$FG40),IF(ED40=7,SUMPRODUCT(--(($EE$5:$EE40=$EE40)*($ED$5:$ED40&gt;=4)*($ED$5:$ED40&lt;=6)),$FG$5:$FG40),IF(ED40=10,SUMPRODUCT(--(($EE$5:$EE40=$EE40)*($ED$5:$ED40&gt;=7)*($ED$5:$ED40&lt;=9)),$FG$5:$FG40),0)))))</f>
        <v/>
      </c>
      <c r="FI40" s="12">
        <f>FI39+FG40-FH40</f>
        <v/>
      </c>
      <c r="FJ40" s="12">
        <f>IF(ProviderDelay&gt;=1,FF39*ProviderShare,FF40*ProviderShare)</f>
        <v/>
      </c>
      <c r="FK40" s="12">
        <f>FC40*PaymentFee</f>
        <v/>
      </c>
      <c r="FL40" s="12">
        <f>EW40*OpsAI</f>
        <v/>
      </c>
      <c r="FM40" s="12">
        <f>MonthlyFixed</f>
        <v/>
      </c>
      <c r="FN40" s="12">
        <f>EK40*ReferralReward</f>
        <v/>
      </c>
      <c r="FO40" s="12">
        <f>EI40</f>
        <v/>
      </c>
      <c r="FP40" s="9">
        <f>FF40-FJ40-FK40-FL40-FM40-FN40-FO40</f>
        <v/>
      </c>
      <c r="FQ40" s="9">
        <f>FQ39+FC40-(FJ40+FK40+FL40+FM40+FN40+FO40+FH40)</f>
        <v/>
      </c>
      <c r="FR40" s="12">
        <f>IF(EW40&gt;0,EX40/EW40,0)</f>
        <v/>
      </c>
      <c r="FS40" s="11">
        <f>IF(EW39&gt;0,MAX(0,(EW39+EL40-EW40)/EW39),0)</f>
        <v/>
      </c>
      <c r="FU40" s="12" t="n">
        <v>36</v>
      </c>
      <c r="FV40" s="12">
        <f>MOD(FU40-1+LaunchMonth-1,12)+1</f>
        <v/>
      </c>
      <c r="FW40" s="12">
        <f>INT((FU40-1+LaunchMonth-1)/12)+1</f>
        <v/>
      </c>
      <c r="FX40" s="12">
        <f>VLOOKUP(FV40,SeasonTable,2,FALSE)</f>
        <v/>
      </c>
      <c r="FY40" s="12">
        <f>(1+InflationRate)^INT((FU40-1)/12)</f>
        <v/>
      </c>
      <c r="FZ40" s="11">
        <f>'Sens - Churn'!$A$14*VLOOKUP(FV40,ChurnSeasonTable,4,FALSE)</f>
        <v/>
      </c>
      <c r="GA40" s="12">
        <f>MIN(MAX(MktMin19plus,GU39*MktPct19plus),MAX(0,HI39-CashBuffer))</f>
        <v/>
      </c>
      <c r="GB40" s="12">
        <f>IF(GA40&gt;0,MAX(1,ROUND(GA40/CAC*FX40,0)),0)</f>
        <v/>
      </c>
      <c r="GC40" s="12">
        <f>IF(GB40&gt;0,ROUND(GB40*ReferralMix/(1-ReferralMix),0),0)</f>
        <v/>
      </c>
      <c r="GD40" s="12">
        <f>GB40+GC40</f>
        <v/>
      </c>
      <c r="GE40" s="12">
        <f>ROUND(GD40*(1-AnnualMix),0)</f>
        <v/>
      </c>
      <c r="GF40" s="12">
        <f>GD40-GE40</f>
        <v/>
      </c>
      <c r="GG40" s="12">
        <f>ROUND(GE40*EssentialMix,0)</f>
        <v/>
      </c>
      <c r="GH40" s="12">
        <f>GE40-GG40</f>
        <v/>
      </c>
      <c r="GI40" s="12">
        <f>ROUND(GF40*EssentialMix,0)</f>
        <v/>
      </c>
      <c r="GJ40" s="12">
        <f>GF40-GI40</f>
        <v/>
      </c>
      <c r="GK40" s="12">
        <f>GG40+GG39+GG38+MAX(0,GK39-GG39-GG38)*(1-FZ40)</f>
        <v/>
      </c>
      <c r="GL40" s="12">
        <f>GH40+GH39+GH38+MAX(0,GL39-GH39-GH38)*(1-FZ40)</f>
        <v/>
      </c>
      <c r="GM40" s="12">
        <f>GM39+GI40-GI28*(AnnualChurn*VLOOKUP(FV40,ChurnSeasonTable,4,FALSE))*POWER(1-(AnnualChurn*VLOOKUP(FV40,ChurnSeasonTable,4,FALSE)),0)+GI16*(AnnualChurn*VLOOKUP(FV40,ChurnSeasonTable,4,FALSE))*POWER(1-(AnnualChurn*VLOOKUP(FV40,ChurnSeasonTable,4,FALSE)),1)</f>
        <v/>
      </c>
      <c r="GN40" s="12">
        <f>GN39+GJ40-GJ28*(AnnualChurn*VLOOKUP(FV40,ChurnSeasonTable,4,FALSE))*POWER(1-(AnnualChurn*VLOOKUP(FV40,ChurnSeasonTable,4,FALSE)),0)+GJ16*(AnnualChurn*VLOOKUP(FV40,ChurnSeasonTable,4,FALSE))*POWER(1-(AnnualChurn*VLOOKUP(FV40,ChurnSeasonTable,4,FALSE)),1)</f>
        <v/>
      </c>
      <c r="GO40" s="12">
        <f>GK40+GL40+GM40+GN40</f>
        <v/>
      </c>
      <c r="GP40" s="9">
        <f>GK40*PriceEssMonthly*FY40+GL40*PricePremMonthly*FY40+GM40*PriceEssAnnual*FY40/12+GN40*PricePremAnnual*FY40/12</f>
        <v/>
      </c>
      <c r="GQ40" s="9">
        <f>GP40*12</f>
        <v/>
      </c>
      <c r="GR40" s="12">
        <f>GK40*PriceEssMonthly*FY40+GL40*PricePremMonthly*FY40</f>
        <v/>
      </c>
      <c r="GS40" s="12">
        <f>GI40*PriceEssAnnual*FY40+GJ40*PricePremAnnual*FY40</f>
        <v/>
      </c>
      <c r="GT40" s="12">
        <f>GI28*POWER(1-(AnnualChurn*VLOOKUP(FV40,ChurnSeasonTable,4,FALSE)),1)*PriceEssAnnual*FY40+GI16*POWER(1-(AnnualChurn*VLOOKUP(FV40,ChurnSeasonTable,4,FALSE)),2)*PriceEssAnnual*FY40+GJ28*POWER(1-(AnnualChurn*VLOOKUP(FV40,ChurnSeasonTable,4,FALSE)),1)*PricePremAnnual*FY40+GJ16*POWER(1-(AnnualChurn*VLOOKUP(FV40,ChurnSeasonTable,4,FALSE)),2)*PricePremAnnual*FY40</f>
        <v/>
      </c>
      <c r="GU40" s="9">
        <f>GR40+GS40+GT40</f>
        <v/>
      </c>
      <c r="GV40" s="12">
        <f>SUM(GU29:GU40)</f>
        <v/>
      </c>
      <c r="GW40" s="12">
        <f>OR(GW39,GV40&gt;=VATThreshold)</f>
        <v/>
      </c>
      <c r="GX40" s="9">
        <f>IF(GW40,GU40/(1+VATRate),GU40)</f>
        <v/>
      </c>
      <c r="GY40" s="12">
        <f>GU40-GX40</f>
        <v/>
      </c>
      <c r="GZ40" s="12">
        <f>IF(GW40=0,0,IF(FV40=1,SUMPRODUCT(--(($FW$5:$FW40=$FW40-1)*($FV$5:$FV40&gt;=10)*($FV$5:$FV40&lt;=12)),$GY$5:$GY40),IF(FV40=4,SUMPRODUCT(--(($FW$5:$FW40=$FW40)*($FV$5:$FV40&gt;=1)*($FV$5:$FV40&lt;=3)),$GY$5:$GY40),IF(FV40=7,SUMPRODUCT(--(($FW$5:$FW40=$FW40)*($FV$5:$FV40&gt;=4)*($FV$5:$FV40&lt;=6)),$GY$5:$GY40),IF(FV40=10,SUMPRODUCT(--(($FW$5:$FW40=$FW40)*($FV$5:$FV40&gt;=7)*($FV$5:$FV40&lt;=9)),$GY$5:$GY40),0)))))</f>
        <v/>
      </c>
      <c r="HA40" s="12">
        <f>HA39+GY40-GZ40</f>
        <v/>
      </c>
      <c r="HB40" s="12">
        <f>IF(ProviderDelay&gt;=1,GX39*ProviderShare,GX40*ProviderShare)</f>
        <v/>
      </c>
      <c r="HC40" s="12">
        <f>GU40*PaymentFee</f>
        <v/>
      </c>
      <c r="HD40" s="12">
        <f>GO40*OpsAI</f>
        <v/>
      </c>
      <c r="HE40" s="12">
        <f>MonthlyFixed</f>
        <v/>
      </c>
      <c r="HF40" s="12">
        <f>GC40*ReferralReward</f>
        <v/>
      </c>
      <c r="HG40" s="12">
        <f>GA40</f>
        <v/>
      </c>
      <c r="HH40" s="9">
        <f>GX40-HB40-HC40-HD40-HE40-HF40-HG40</f>
        <v/>
      </c>
      <c r="HI40" s="9">
        <f>HI39+GU40-(HB40+HC40+HD40+HE40+HF40+HG40+GZ40)</f>
        <v/>
      </c>
      <c r="HJ40" s="12">
        <f>IF(GO40&gt;0,GP40/GO40,0)</f>
        <v/>
      </c>
      <c r="HK40" s="11">
        <f>IF(GO39&gt;0,MAX(0,(GO39+GD40-GO40)/GO39),0)</f>
        <v/>
      </c>
      <c r="HM40" s="12" t="n">
        <v>36</v>
      </c>
      <c r="HN40" s="12">
        <f>MOD(HM40-1+LaunchMonth-1,12)+1</f>
        <v/>
      </c>
      <c r="HO40" s="12">
        <f>INT((HM40-1+LaunchMonth-1)/12)+1</f>
        <v/>
      </c>
      <c r="HP40" s="12">
        <f>VLOOKUP(HN40,SeasonTable,2,FALSE)</f>
        <v/>
      </c>
      <c r="HQ40" s="12">
        <f>(1+InflationRate)^INT((HM40-1)/12)</f>
        <v/>
      </c>
      <c r="HR40" s="11">
        <f>'Sens - Churn'!$A$15*VLOOKUP(HN40,ChurnSeasonTable,4,FALSE)</f>
        <v/>
      </c>
      <c r="HS40" s="12">
        <f>MIN(MAX(MktMin19plus,IM39*MktPct19plus),MAX(0,JA39-CashBuffer))</f>
        <v/>
      </c>
      <c r="HT40" s="12">
        <f>IF(HS40&gt;0,MAX(1,ROUND(HS40/CAC*HP40,0)),0)</f>
        <v/>
      </c>
      <c r="HU40" s="12">
        <f>IF(HT40&gt;0,ROUND(HT40*ReferralMix/(1-ReferralMix),0),0)</f>
        <v/>
      </c>
      <c r="HV40" s="12">
        <f>HT40+HU40</f>
        <v/>
      </c>
      <c r="HW40" s="12">
        <f>ROUND(HV40*(1-AnnualMix),0)</f>
        <v/>
      </c>
      <c r="HX40" s="12">
        <f>HV40-HW40</f>
        <v/>
      </c>
      <c r="HY40" s="12">
        <f>ROUND(HW40*EssentialMix,0)</f>
        <v/>
      </c>
      <c r="HZ40" s="12">
        <f>HW40-HY40</f>
        <v/>
      </c>
      <c r="IA40" s="12">
        <f>ROUND(HX40*EssentialMix,0)</f>
        <v/>
      </c>
      <c r="IB40" s="12">
        <f>HX40-IA40</f>
        <v/>
      </c>
      <c r="IC40" s="12">
        <f>HY40+HY39+HY38+MAX(0,IC39-HY39-HY38)*(1-HR40)</f>
        <v/>
      </c>
      <c r="ID40" s="12">
        <f>HZ40+HZ39+HZ38+MAX(0,ID39-HZ39-HZ38)*(1-HR40)</f>
        <v/>
      </c>
      <c r="IE40" s="12">
        <f>IE39+IA40-IA28*(AnnualChurn*VLOOKUP(HN40,ChurnSeasonTable,4,FALSE))*POWER(1-(AnnualChurn*VLOOKUP(HN40,ChurnSeasonTable,4,FALSE)),0)+IA16*(AnnualChurn*VLOOKUP(HN40,ChurnSeasonTable,4,FALSE))*POWER(1-(AnnualChurn*VLOOKUP(HN40,ChurnSeasonTable,4,FALSE)),1)</f>
        <v/>
      </c>
      <c r="IF40" s="12">
        <f>IF39+IB40-IB28*(AnnualChurn*VLOOKUP(HN40,ChurnSeasonTable,4,FALSE))*POWER(1-(AnnualChurn*VLOOKUP(HN40,ChurnSeasonTable,4,FALSE)),0)+IB16*(AnnualChurn*VLOOKUP(HN40,ChurnSeasonTable,4,FALSE))*POWER(1-(AnnualChurn*VLOOKUP(HN40,ChurnSeasonTable,4,FALSE)),1)</f>
        <v/>
      </c>
      <c r="IG40" s="12">
        <f>IC40+ID40+IE40+IF40</f>
        <v/>
      </c>
      <c r="IH40" s="9">
        <f>IC40*PriceEssMonthly*HQ40+ID40*PricePremMonthly*HQ40+IE40*PriceEssAnnual*HQ40/12+IF40*PricePremAnnual*HQ40/12</f>
        <v/>
      </c>
      <c r="II40" s="9">
        <f>IH40*12</f>
        <v/>
      </c>
      <c r="IJ40" s="12">
        <f>IC40*PriceEssMonthly*HQ40+ID40*PricePremMonthly*HQ40</f>
        <v/>
      </c>
      <c r="IK40" s="12">
        <f>IA40*PriceEssAnnual*HQ40+IB40*PricePremAnnual*HQ40</f>
        <v/>
      </c>
      <c r="IL40" s="12">
        <f>IA28*POWER(1-(AnnualChurn*VLOOKUP(HN40,ChurnSeasonTable,4,FALSE)),1)*PriceEssAnnual*HQ40+IA16*POWER(1-(AnnualChurn*VLOOKUP(HN40,ChurnSeasonTable,4,FALSE)),2)*PriceEssAnnual*HQ40+IB28*POWER(1-(AnnualChurn*VLOOKUP(HN40,ChurnSeasonTable,4,FALSE)),1)*PricePremAnnual*HQ40+IB16*POWER(1-(AnnualChurn*VLOOKUP(HN40,ChurnSeasonTable,4,FALSE)),2)*PricePremAnnual*HQ40</f>
        <v/>
      </c>
      <c r="IM40" s="9">
        <f>IJ40+IK40+IL40</f>
        <v/>
      </c>
      <c r="IN40" s="12">
        <f>SUM(IM29:IM40)</f>
        <v/>
      </c>
      <c r="IO40" s="12">
        <f>OR(IO39,IN40&gt;=VATThreshold)</f>
        <v/>
      </c>
      <c r="IP40" s="9">
        <f>IF(IO40,IM40/(1+VATRate),IM40)</f>
        <v/>
      </c>
      <c r="IQ40" s="12">
        <f>IM40-IP40</f>
        <v/>
      </c>
      <c r="IR40" s="12">
        <f>IF(IO40=0,0,IF(HN40=1,SUMPRODUCT(--(($HO$5:$HO40=$HO40-1)*($HN$5:$HN40&gt;=10)*($HN$5:$HN40&lt;=12)),$IQ$5:$IQ40),IF(HN40=4,SUMPRODUCT(--(($HO$5:$HO40=$HO40)*($HN$5:$HN40&gt;=1)*($HN$5:$HN40&lt;=3)),$IQ$5:$IQ40),IF(HN40=7,SUMPRODUCT(--(($HO$5:$HO40=$HO40)*($HN$5:$HN40&gt;=4)*($HN$5:$HN40&lt;=6)),$IQ$5:$IQ40),IF(HN40=10,SUMPRODUCT(--(($HO$5:$HO40=$HO40)*($HN$5:$HN40&gt;=7)*($HN$5:$HN40&lt;=9)),$IQ$5:$IQ40),0)))))</f>
        <v/>
      </c>
      <c r="IS40" s="12">
        <f>IS39+IQ40-IR40</f>
        <v/>
      </c>
      <c r="IT40" s="12">
        <f>IF(ProviderDelay&gt;=1,IP39*ProviderShare,IP40*ProviderShare)</f>
        <v/>
      </c>
      <c r="IU40" s="12">
        <f>IM40*PaymentFee</f>
        <v/>
      </c>
      <c r="IV40" s="12">
        <f>IG40*OpsAI</f>
        <v/>
      </c>
      <c r="IW40" s="12">
        <f>MonthlyFixed</f>
        <v/>
      </c>
      <c r="IX40" s="12">
        <f>HU40*ReferralReward</f>
        <v/>
      </c>
      <c r="IY40" s="12">
        <f>HS40</f>
        <v/>
      </c>
      <c r="IZ40" s="9">
        <f>IP40-IT40-IU40-IV40-IW40-IX40-IY40</f>
        <v/>
      </c>
      <c r="JA40" s="9">
        <f>JA39+IM40-(IT40+IU40+IV40+IW40+IX40+IY40+IR40)</f>
        <v/>
      </c>
      <c r="JB40" s="12">
        <f>IF(IG40&gt;0,IH40/IG40,0)</f>
        <v/>
      </c>
      <c r="JC40" s="11">
        <f>IF(IG39&gt;0,MAX(0,(IG39+HV40-IG40)/IG39),0)</f>
        <v/>
      </c>
      <c r="JE40" s="12" t="n">
        <v>36</v>
      </c>
      <c r="JF40" s="12">
        <f>MOD(JE40-1+LaunchMonth-1,12)+1</f>
        <v/>
      </c>
      <c r="JG40" s="12">
        <f>INT((JE40-1+LaunchMonth-1)/12)+1</f>
        <v/>
      </c>
      <c r="JH40" s="12">
        <f>VLOOKUP(JF40,SeasonTable,2,FALSE)</f>
        <v/>
      </c>
      <c r="JI40" s="12">
        <f>(1+InflationRate)^INT((JE40-1)/12)</f>
        <v/>
      </c>
      <c r="JJ40" s="11">
        <f>'Sens - Churn'!$A$16*VLOOKUP(JF40,ChurnSeasonTable,4,FALSE)</f>
        <v/>
      </c>
      <c r="JK40" s="12">
        <f>MIN(MAX(MktMin19plus,KE39*MktPct19plus),MAX(0,KS39-CashBuffer))</f>
        <v/>
      </c>
      <c r="JL40" s="12">
        <f>IF(JK40&gt;0,MAX(1,ROUND(JK40/CAC*JH40,0)),0)</f>
        <v/>
      </c>
      <c r="JM40" s="12">
        <f>IF(JL40&gt;0,ROUND(JL40*ReferralMix/(1-ReferralMix),0),0)</f>
        <v/>
      </c>
      <c r="JN40" s="12">
        <f>JL40+JM40</f>
        <v/>
      </c>
      <c r="JO40" s="12">
        <f>ROUND(JN40*(1-AnnualMix),0)</f>
        <v/>
      </c>
      <c r="JP40" s="12">
        <f>JN40-JO40</f>
        <v/>
      </c>
      <c r="JQ40" s="12">
        <f>ROUND(JO40*EssentialMix,0)</f>
        <v/>
      </c>
      <c r="JR40" s="12">
        <f>JO40-JQ40</f>
        <v/>
      </c>
      <c r="JS40" s="12">
        <f>ROUND(JP40*EssentialMix,0)</f>
        <v/>
      </c>
      <c r="JT40" s="12">
        <f>JP40-JS40</f>
        <v/>
      </c>
      <c r="JU40" s="12">
        <f>JQ40+JQ39+JQ38+MAX(0,JU39-JQ39-JQ38)*(1-JJ40)</f>
        <v/>
      </c>
      <c r="JV40" s="12">
        <f>JR40+JR39+JR38+MAX(0,JV39-JR39-JR38)*(1-JJ40)</f>
        <v/>
      </c>
      <c r="JW40" s="12">
        <f>JW39+JS40-JS28*(AnnualChurn*VLOOKUP(JF40,ChurnSeasonTable,4,FALSE))*POWER(1-(AnnualChurn*VLOOKUP(JF40,ChurnSeasonTable,4,FALSE)),0)+JS16*(AnnualChurn*VLOOKUP(JF40,ChurnSeasonTable,4,FALSE))*POWER(1-(AnnualChurn*VLOOKUP(JF40,ChurnSeasonTable,4,FALSE)),1)</f>
        <v/>
      </c>
      <c r="JX40" s="12">
        <f>JX39+JT40-JT28*(AnnualChurn*VLOOKUP(JF40,ChurnSeasonTable,4,FALSE))*POWER(1-(AnnualChurn*VLOOKUP(JF40,ChurnSeasonTable,4,FALSE)),0)+JT16*(AnnualChurn*VLOOKUP(JF40,ChurnSeasonTable,4,FALSE))*POWER(1-(AnnualChurn*VLOOKUP(JF40,ChurnSeasonTable,4,FALSE)),1)</f>
        <v/>
      </c>
      <c r="JY40" s="12">
        <f>JU40+JV40+JW40+JX40</f>
        <v/>
      </c>
      <c r="JZ40" s="9">
        <f>JU40*PriceEssMonthly*JI40+JV40*PricePremMonthly*JI40+JW40*PriceEssAnnual*JI40/12+JX40*PricePremAnnual*JI40/12</f>
        <v/>
      </c>
      <c r="KA40" s="9">
        <f>JZ40*12</f>
        <v/>
      </c>
      <c r="KB40" s="12">
        <f>JU40*PriceEssMonthly*JI40+JV40*PricePremMonthly*JI40</f>
        <v/>
      </c>
      <c r="KC40" s="12">
        <f>JS40*PriceEssAnnual*JI40+JT40*PricePremAnnual*JI40</f>
        <v/>
      </c>
      <c r="KD40" s="12">
        <f>JS28*POWER(1-(AnnualChurn*VLOOKUP(JF40,ChurnSeasonTable,4,FALSE)),1)*PriceEssAnnual*JI40+JS16*POWER(1-(AnnualChurn*VLOOKUP(JF40,ChurnSeasonTable,4,FALSE)),2)*PriceEssAnnual*JI40+JT28*POWER(1-(AnnualChurn*VLOOKUP(JF40,ChurnSeasonTable,4,FALSE)),1)*PricePremAnnual*JI40+JT16*POWER(1-(AnnualChurn*VLOOKUP(JF40,ChurnSeasonTable,4,FALSE)),2)*PricePremAnnual*JI40</f>
        <v/>
      </c>
      <c r="KE40" s="9">
        <f>KB40+KC40+KD40</f>
        <v/>
      </c>
      <c r="KF40" s="12">
        <f>SUM(KE29:KE40)</f>
        <v/>
      </c>
      <c r="KG40" s="12">
        <f>OR(KG39,KF40&gt;=VATThreshold)</f>
        <v/>
      </c>
      <c r="KH40" s="9">
        <f>IF(KG40,KE40/(1+VATRate),KE40)</f>
        <v/>
      </c>
      <c r="KI40" s="12">
        <f>KE40-KH40</f>
        <v/>
      </c>
      <c r="KJ40" s="12">
        <f>IF(KG40=0,0,IF(JF40=1,SUMPRODUCT(--(($JG$5:$JG40=$JG40-1)*($JF$5:$JF40&gt;=10)*($JF$5:$JF40&lt;=12)),$KI$5:$KI40),IF(JF40=4,SUMPRODUCT(--(($JG$5:$JG40=$JG40)*($JF$5:$JF40&gt;=1)*($JF$5:$JF40&lt;=3)),$KI$5:$KI40),IF(JF40=7,SUMPRODUCT(--(($JG$5:$JG40=$JG40)*($JF$5:$JF40&gt;=4)*($JF$5:$JF40&lt;=6)),$KI$5:$KI40),IF(JF40=10,SUMPRODUCT(--(($JG$5:$JG40=$JG40)*($JF$5:$JF40&gt;=7)*($JF$5:$JF40&lt;=9)),$KI$5:$KI40),0)))))</f>
        <v/>
      </c>
      <c r="KK40" s="12">
        <f>KK39+KI40-KJ40</f>
        <v/>
      </c>
      <c r="KL40" s="12">
        <f>IF(ProviderDelay&gt;=1,KH39*ProviderShare,KH40*ProviderShare)</f>
        <v/>
      </c>
      <c r="KM40" s="12">
        <f>KE40*PaymentFee</f>
        <v/>
      </c>
      <c r="KN40" s="12">
        <f>JY40*OpsAI</f>
        <v/>
      </c>
      <c r="KO40" s="12">
        <f>MonthlyFixed</f>
        <v/>
      </c>
      <c r="KP40" s="12">
        <f>JM40*ReferralReward</f>
        <v/>
      </c>
      <c r="KQ40" s="12">
        <f>JK40</f>
        <v/>
      </c>
      <c r="KR40" s="9">
        <f>KH40-KL40-KM40-KN40-KO40-KP40-KQ40</f>
        <v/>
      </c>
      <c r="KS40" s="9">
        <f>KS39+KE40-(KL40+KM40+KN40+KO40+KP40+KQ40+KJ40)</f>
        <v/>
      </c>
      <c r="KT40" s="12">
        <f>IF(JY40&gt;0,JZ40/JY40,0)</f>
        <v/>
      </c>
      <c r="KU40" s="11">
        <f>IF(JY39&gt;0,MAX(0,(JY39+JN40-JY40)/JY39),0)</f>
        <v/>
      </c>
      <c r="KW40" s="12" t="n">
        <v>36</v>
      </c>
      <c r="KX40" s="12">
        <f>MOD(KW40-1+LaunchMonth-1,12)+1</f>
        <v/>
      </c>
      <c r="KY40" s="12">
        <f>INT((KW40-1+LaunchMonth-1)/12)+1</f>
        <v/>
      </c>
      <c r="KZ40" s="12">
        <f>VLOOKUP(KX40,SeasonTable,2,FALSE)</f>
        <v/>
      </c>
      <c r="LA40" s="12">
        <f>(1+InflationRate)^INT((KW40-1)/12)</f>
        <v/>
      </c>
      <c r="LB40" s="11">
        <f>'Sens - Churn'!$A$17*VLOOKUP(KX40,ChurnSeasonTable,4,FALSE)</f>
        <v/>
      </c>
      <c r="LC40" s="12">
        <f>MIN(MAX(MktMin19plus,LW39*MktPct19plus),MAX(0,MK39-CashBuffer))</f>
        <v/>
      </c>
      <c r="LD40" s="12">
        <f>IF(LC40&gt;0,MAX(1,ROUND(LC40/CAC*KZ40,0)),0)</f>
        <v/>
      </c>
      <c r="LE40" s="12">
        <f>IF(LD40&gt;0,ROUND(LD40*ReferralMix/(1-ReferralMix),0),0)</f>
        <v/>
      </c>
      <c r="LF40" s="12">
        <f>LD40+LE40</f>
        <v/>
      </c>
      <c r="LG40" s="12">
        <f>ROUND(LF40*(1-AnnualMix),0)</f>
        <v/>
      </c>
      <c r="LH40" s="12">
        <f>LF40-LG40</f>
        <v/>
      </c>
      <c r="LI40" s="12">
        <f>ROUND(LG40*EssentialMix,0)</f>
        <v/>
      </c>
      <c r="LJ40" s="12">
        <f>LG40-LI40</f>
        <v/>
      </c>
      <c r="LK40" s="12">
        <f>ROUND(LH40*EssentialMix,0)</f>
        <v/>
      </c>
      <c r="LL40" s="12">
        <f>LH40-LK40</f>
        <v/>
      </c>
      <c r="LM40" s="12">
        <f>LI40+LI39+LI38+MAX(0,LM39-LI39-LI38)*(1-LB40)</f>
        <v/>
      </c>
      <c r="LN40" s="12">
        <f>LJ40+LJ39+LJ38+MAX(0,LN39-LJ39-LJ38)*(1-LB40)</f>
        <v/>
      </c>
      <c r="LO40" s="12">
        <f>LO39+LK40-LK28*(AnnualChurn*VLOOKUP(KX40,ChurnSeasonTable,4,FALSE))*POWER(1-(AnnualChurn*VLOOKUP(KX40,ChurnSeasonTable,4,FALSE)),0)+LK16*(AnnualChurn*VLOOKUP(KX40,ChurnSeasonTable,4,FALSE))*POWER(1-(AnnualChurn*VLOOKUP(KX40,ChurnSeasonTable,4,FALSE)),1)</f>
        <v/>
      </c>
      <c r="LP40" s="12">
        <f>LP39+LL40-LL28*(AnnualChurn*VLOOKUP(KX40,ChurnSeasonTable,4,FALSE))*POWER(1-(AnnualChurn*VLOOKUP(KX40,ChurnSeasonTable,4,FALSE)),0)+LL16*(AnnualChurn*VLOOKUP(KX40,ChurnSeasonTable,4,FALSE))*POWER(1-(AnnualChurn*VLOOKUP(KX40,ChurnSeasonTable,4,FALSE)),1)</f>
        <v/>
      </c>
      <c r="LQ40" s="12">
        <f>LM40+LN40+LO40+LP40</f>
        <v/>
      </c>
      <c r="LR40" s="9">
        <f>LM40*PriceEssMonthly*LA40+LN40*PricePremMonthly*LA40+LO40*PriceEssAnnual*LA40/12+LP40*PricePremAnnual*LA40/12</f>
        <v/>
      </c>
      <c r="LS40" s="9">
        <f>LR40*12</f>
        <v/>
      </c>
      <c r="LT40" s="12">
        <f>LM40*PriceEssMonthly*LA40+LN40*PricePremMonthly*LA40</f>
        <v/>
      </c>
      <c r="LU40" s="12">
        <f>LK40*PriceEssAnnual*LA40+LL40*PricePremAnnual*LA40</f>
        <v/>
      </c>
      <c r="LV40" s="12">
        <f>LK28*POWER(1-(AnnualChurn*VLOOKUP(KX40,ChurnSeasonTable,4,FALSE)),1)*PriceEssAnnual*LA40+LK16*POWER(1-(AnnualChurn*VLOOKUP(KX40,ChurnSeasonTable,4,FALSE)),2)*PriceEssAnnual*LA40+LL28*POWER(1-(AnnualChurn*VLOOKUP(KX40,ChurnSeasonTable,4,FALSE)),1)*PricePremAnnual*LA40+LL16*POWER(1-(AnnualChurn*VLOOKUP(KX40,ChurnSeasonTable,4,FALSE)),2)*PricePremAnnual*LA40</f>
        <v/>
      </c>
      <c r="LW40" s="9">
        <f>LT40+LU40+LV40</f>
        <v/>
      </c>
      <c r="LX40" s="12">
        <f>SUM(LW29:LW40)</f>
        <v/>
      </c>
      <c r="LY40" s="12">
        <f>OR(LY39,LX40&gt;=VATThreshold)</f>
        <v/>
      </c>
      <c r="LZ40" s="9">
        <f>IF(LY40,LW40/(1+VATRate),LW40)</f>
        <v/>
      </c>
      <c r="MA40" s="12">
        <f>LW40-LZ40</f>
        <v/>
      </c>
      <c r="MB40" s="12">
        <f>IF(LY40=0,0,IF(KX40=1,SUMPRODUCT(--(($KY$5:$KY40=$KY40-1)*($KX$5:$KX40&gt;=10)*($KX$5:$KX40&lt;=12)),$MA$5:$MA40),IF(KX40=4,SUMPRODUCT(--(($KY$5:$KY40=$KY40)*($KX$5:$KX40&gt;=1)*($KX$5:$KX40&lt;=3)),$MA$5:$MA40),IF(KX40=7,SUMPRODUCT(--(($KY$5:$KY40=$KY40)*($KX$5:$KX40&gt;=4)*($KX$5:$KX40&lt;=6)),$MA$5:$MA40),IF(KX40=10,SUMPRODUCT(--(($KY$5:$KY40=$KY40)*($KX$5:$KX40&gt;=7)*($KX$5:$KX40&lt;=9)),$MA$5:$MA40),0)))))</f>
        <v/>
      </c>
      <c r="MC40" s="12">
        <f>MC39+MA40-MB40</f>
        <v/>
      </c>
      <c r="MD40" s="12">
        <f>IF(ProviderDelay&gt;=1,LZ39*ProviderShare,LZ40*ProviderShare)</f>
        <v/>
      </c>
      <c r="ME40" s="12">
        <f>LW40*PaymentFee</f>
        <v/>
      </c>
      <c r="MF40" s="12">
        <f>LQ40*OpsAI</f>
        <v/>
      </c>
      <c r="MG40" s="12">
        <f>MonthlyFixed</f>
        <v/>
      </c>
      <c r="MH40" s="12">
        <f>LE40*ReferralReward</f>
        <v/>
      </c>
      <c r="MI40" s="12">
        <f>LC40</f>
        <v/>
      </c>
      <c r="MJ40" s="9">
        <f>LZ40-MD40-ME40-MF40-MG40-MH40-MI40</f>
        <v/>
      </c>
      <c r="MK40" s="9">
        <f>MK39+LW40-(MD40+ME40+MF40+MG40+MH40+MI40+MB40)</f>
        <v/>
      </c>
      <c r="ML40" s="12">
        <f>IF(LQ40&gt;0,LR40/LQ40,0)</f>
        <v/>
      </c>
      <c r="MM40" s="11">
        <f>IF(LQ39&gt;0,MAX(0,(LQ39+LF40-LQ40)/LQ39),0)</f>
        <v/>
      </c>
      <c r="MO40" s="12" t="n">
        <v>36</v>
      </c>
      <c r="MP40" s="12">
        <f>MOD(MO40-1+LaunchMonth-1,12)+1</f>
        <v/>
      </c>
      <c r="MQ40" s="12">
        <f>INT((MO40-1+LaunchMonth-1)/12)+1</f>
        <v/>
      </c>
      <c r="MR40" s="12">
        <f>VLOOKUP(MP40,SeasonTable,2,FALSE)</f>
        <v/>
      </c>
      <c r="MS40" s="12">
        <f>(1+InflationRate)^INT((MO40-1)/12)</f>
        <v/>
      </c>
      <c r="MT40" s="11">
        <f>'Sens - Churn'!$A$18*VLOOKUP(MP40,ChurnSeasonTable,4,FALSE)</f>
        <v/>
      </c>
      <c r="MU40" s="12">
        <f>MIN(MAX(MktMin19plus,NO39*MktPct19plus),MAX(0,OC39-CashBuffer))</f>
        <v/>
      </c>
      <c r="MV40" s="12">
        <f>IF(MU40&gt;0,MAX(1,ROUND(MU40/CAC*MR40,0)),0)</f>
        <v/>
      </c>
      <c r="MW40" s="12">
        <f>IF(MV40&gt;0,ROUND(MV40*ReferralMix/(1-ReferralMix),0),0)</f>
        <v/>
      </c>
      <c r="MX40" s="12">
        <f>MV40+MW40</f>
        <v/>
      </c>
      <c r="MY40" s="12">
        <f>ROUND(MX40*(1-AnnualMix),0)</f>
        <v/>
      </c>
      <c r="MZ40" s="12">
        <f>MX40-MY40</f>
        <v/>
      </c>
      <c r="NA40" s="12">
        <f>ROUND(MY40*EssentialMix,0)</f>
        <v/>
      </c>
      <c r="NB40" s="12">
        <f>MY40-NA40</f>
        <v/>
      </c>
      <c r="NC40" s="12">
        <f>ROUND(MZ40*EssentialMix,0)</f>
        <v/>
      </c>
      <c r="ND40" s="12">
        <f>MZ40-NC40</f>
        <v/>
      </c>
      <c r="NE40" s="12">
        <f>NA40+NA39+NA38+MAX(0,NE39-NA39-NA38)*(1-MT40)</f>
        <v/>
      </c>
      <c r="NF40" s="12">
        <f>NB40+NB39+NB38+MAX(0,NF39-NB39-NB38)*(1-MT40)</f>
        <v/>
      </c>
      <c r="NG40" s="12">
        <f>NG39+NC40-NC28*(AnnualChurn*VLOOKUP(MP40,ChurnSeasonTable,4,FALSE))*POWER(1-(AnnualChurn*VLOOKUP(MP40,ChurnSeasonTable,4,FALSE)),0)+NC16*(AnnualChurn*VLOOKUP(MP40,ChurnSeasonTable,4,FALSE))*POWER(1-(AnnualChurn*VLOOKUP(MP40,ChurnSeasonTable,4,FALSE)),1)</f>
        <v/>
      </c>
      <c r="NH40" s="12">
        <f>NH39+ND40-ND28*(AnnualChurn*VLOOKUP(MP40,ChurnSeasonTable,4,FALSE))*POWER(1-(AnnualChurn*VLOOKUP(MP40,ChurnSeasonTable,4,FALSE)),0)+ND16*(AnnualChurn*VLOOKUP(MP40,ChurnSeasonTable,4,FALSE))*POWER(1-(AnnualChurn*VLOOKUP(MP40,ChurnSeasonTable,4,FALSE)),1)</f>
        <v/>
      </c>
      <c r="NI40" s="12">
        <f>NE40+NF40+NG40+NH40</f>
        <v/>
      </c>
      <c r="NJ40" s="9">
        <f>NE40*PriceEssMonthly*MS40+NF40*PricePremMonthly*MS40+NG40*PriceEssAnnual*MS40/12+NH40*PricePremAnnual*MS40/12</f>
        <v/>
      </c>
      <c r="NK40" s="9">
        <f>NJ40*12</f>
        <v/>
      </c>
      <c r="NL40" s="12">
        <f>NE40*PriceEssMonthly*MS40+NF40*PricePremMonthly*MS40</f>
        <v/>
      </c>
      <c r="NM40" s="12">
        <f>NC40*PriceEssAnnual*MS40+ND40*PricePremAnnual*MS40</f>
        <v/>
      </c>
      <c r="NN40" s="12">
        <f>NC28*POWER(1-(AnnualChurn*VLOOKUP(MP40,ChurnSeasonTable,4,FALSE)),1)*PriceEssAnnual*MS40+NC16*POWER(1-(AnnualChurn*VLOOKUP(MP40,ChurnSeasonTable,4,FALSE)),2)*PriceEssAnnual*MS40+ND28*POWER(1-(AnnualChurn*VLOOKUP(MP40,ChurnSeasonTable,4,FALSE)),1)*PricePremAnnual*MS40+ND16*POWER(1-(AnnualChurn*VLOOKUP(MP40,ChurnSeasonTable,4,FALSE)),2)*PricePremAnnual*MS40</f>
        <v/>
      </c>
      <c r="NO40" s="9">
        <f>NL40+NM40+NN40</f>
        <v/>
      </c>
      <c r="NP40" s="12">
        <f>SUM(NO29:NO40)</f>
        <v/>
      </c>
      <c r="NQ40" s="12">
        <f>OR(NQ39,NP40&gt;=VATThreshold)</f>
        <v/>
      </c>
      <c r="NR40" s="9">
        <f>IF(NQ40,NO40/(1+VATRate),NO40)</f>
        <v/>
      </c>
      <c r="NS40" s="12">
        <f>NO40-NR40</f>
        <v/>
      </c>
      <c r="NT40" s="12">
        <f>IF(NQ40=0,0,IF(MP40=1,SUMPRODUCT(--(($MQ$5:$MQ40=$MQ40-1)*($MP$5:$MP40&gt;=10)*($MP$5:$MP40&lt;=12)),$NS$5:$NS40),IF(MP40=4,SUMPRODUCT(--(($MQ$5:$MQ40=$MQ40)*($MP$5:$MP40&gt;=1)*($MP$5:$MP40&lt;=3)),$NS$5:$NS40),IF(MP40=7,SUMPRODUCT(--(($MQ$5:$MQ40=$MQ40)*($MP$5:$MP40&gt;=4)*($MP$5:$MP40&lt;=6)),$NS$5:$NS40),IF(MP40=10,SUMPRODUCT(--(($MQ$5:$MQ40=$MQ40)*($MP$5:$MP40&gt;=7)*($MP$5:$MP40&lt;=9)),$NS$5:$NS40),0)))))</f>
        <v/>
      </c>
      <c r="NU40" s="12">
        <f>NU39+NS40-NT40</f>
        <v/>
      </c>
      <c r="NV40" s="12">
        <f>IF(ProviderDelay&gt;=1,NR39*ProviderShare,NR40*ProviderShare)</f>
        <v/>
      </c>
      <c r="NW40" s="12">
        <f>NO40*PaymentFee</f>
        <v/>
      </c>
      <c r="NX40" s="12">
        <f>NI40*OpsAI</f>
        <v/>
      </c>
      <c r="NY40" s="12">
        <f>MonthlyFixed</f>
        <v/>
      </c>
      <c r="NZ40" s="12">
        <f>MW40*ReferralReward</f>
        <v/>
      </c>
      <c r="OA40" s="12">
        <f>MU40</f>
        <v/>
      </c>
      <c r="OB40" s="9">
        <f>NR40-NV40-NW40-NX40-NY40-NZ40-OA40</f>
        <v/>
      </c>
      <c r="OC40" s="9">
        <f>OC39+NO40-(NV40+NW40+NX40+NY40+NZ40+OA40+NT40)</f>
        <v/>
      </c>
      <c r="OD40" s="12">
        <f>IF(NI40&gt;0,NJ40/NI40,0)</f>
        <v/>
      </c>
      <c r="OE40" s="11">
        <f>IF(NI39&gt;0,MAX(0,(NI39+MX40-NI40)/NI39),0)</f>
        <v/>
      </c>
      <c r="OG40" s="12" t="n">
        <v>36</v>
      </c>
      <c r="OH40" s="12">
        <f>MOD(OG40-1+LaunchMonth-1,12)+1</f>
        <v/>
      </c>
      <c r="OI40" s="12">
        <f>INT((OG40-1+LaunchMonth-1)/12)+1</f>
        <v/>
      </c>
      <c r="OJ40" s="12">
        <f>VLOOKUP(OH40,SeasonTable,2,FALSE)</f>
        <v/>
      </c>
      <c r="OK40" s="12">
        <f>(1+InflationRate)^INT((OG40-1)/12)</f>
        <v/>
      </c>
      <c r="OL40" s="11">
        <f>'Sens - Churn'!$A$19*VLOOKUP(OH40,ChurnSeasonTable,4,FALSE)</f>
        <v/>
      </c>
      <c r="OM40" s="12">
        <f>MIN(MAX(MktMin19plus,PG39*MktPct19plus),MAX(0,PU39-CashBuffer))</f>
        <v/>
      </c>
      <c r="ON40" s="12">
        <f>IF(OM40&gt;0,MAX(1,ROUND(OM40/CAC*OJ40,0)),0)</f>
        <v/>
      </c>
      <c r="OO40" s="12">
        <f>IF(ON40&gt;0,ROUND(ON40*ReferralMix/(1-ReferralMix),0),0)</f>
        <v/>
      </c>
      <c r="OP40" s="12">
        <f>ON40+OO40</f>
        <v/>
      </c>
      <c r="OQ40" s="12">
        <f>ROUND(OP40*(1-AnnualMix),0)</f>
        <v/>
      </c>
      <c r="OR40" s="12">
        <f>OP40-OQ40</f>
        <v/>
      </c>
      <c r="OS40" s="12">
        <f>ROUND(OQ40*EssentialMix,0)</f>
        <v/>
      </c>
      <c r="OT40" s="12">
        <f>OQ40-OS40</f>
        <v/>
      </c>
      <c r="OU40" s="12">
        <f>ROUND(OR40*EssentialMix,0)</f>
        <v/>
      </c>
      <c r="OV40" s="12">
        <f>OR40-OU40</f>
        <v/>
      </c>
      <c r="OW40" s="12">
        <f>OS40+OS39+OS38+MAX(0,OW39-OS39-OS38)*(1-OL40)</f>
        <v/>
      </c>
      <c r="OX40" s="12">
        <f>OT40+OT39+OT38+MAX(0,OX39-OT39-OT38)*(1-OL40)</f>
        <v/>
      </c>
      <c r="OY40" s="12">
        <f>OY39+OU40-OU28*(AnnualChurn*VLOOKUP(OH40,ChurnSeasonTable,4,FALSE))*POWER(1-(AnnualChurn*VLOOKUP(OH40,ChurnSeasonTable,4,FALSE)),0)+OU16*(AnnualChurn*VLOOKUP(OH40,ChurnSeasonTable,4,FALSE))*POWER(1-(AnnualChurn*VLOOKUP(OH40,ChurnSeasonTable,4,FALSE)),1)</f>
        <v/>
      </c>
      <c r="OZ40" s="12">
        <f>OZ39+OV40-OV28*(AnnualChurn*VLOOKUP(OH40,ChurnSeasonTable,4,FALSE))*POWER(1-(AnnualChurn*VLOOKUP(OH40,ChurnSeasonTable,4,FALSE)),0)+OV16*(AnnualChurn*VLOOKUP(OH40,ChurnSeasonTable,4,FALSE))*POWER(1-(AnnualChurn*VLOOKUP(OH40,ChurnSeasonTable,4,FALSE)),1)</f>
        <v/>
      </c>
      <c r="PA40" s="12">
        <f>OW40+OX40+OY40+OZ40</f>
        <v/>
      </c>
      <c r="PB40" s="9">
        <f>OW40*PriceEssMonthly*OK40+OX40*PricePremMonthly*OK40+OY40*PriceEssAnnual*OK40/12+OZ40*PricePremAnnual*OK40/12</f>
        <v/>
      </c>
      <c r="PC40" s="9">
        <f>PB40*12</f>
        <v/>
      </c>
      <c r="PD40" s="12">
        <f>OW40*PriceEssMonthly*OK40+OX40*PricePremMonthly*OK40</f>
        <v/>
      </c>
      <c r="PE40" s="12">
        <f>OU40*PriceEssAnnual*OK40+OV40*PricePremAnnual*OK40</f>
        <v/>
      </c>
      <c r="PF40" s="12">
        <f>OU28*POWER(1-(AnnualChurn*VLOOKUP(OH40,ChurnSeasonTable,4,FALSE)),1)*PriceEssAnnual*OK40+OU16*POWER(1-(AnnualChurn*VLOOKUP(OH40,ChurnSeasonTable,4,FALSE)),2)*PriceEssAnnual*OK40+OV28*POWER(1-(AnnualChurn*VLOOKUP(OH40,ChurnSeasonTable,4,FALSE)),1)*PricePremAnnual*OK40+OV16*POWER(1-(AnnualChurn*VLOOKUP(OH40,ChurnSeasonTable,4,FALSE)),2)*PricePremAnnual*OK40</f>
        <v/>
      </c>
      <c r="PG40" s="9">
        <f>PD40+PE40+PF40</f>
        <v/>
      </c>
      <c r="PH40" s="12">
        <f>SUM(PG29:PG40)</f>
        <v/>
      </c>
      <c r="PI40" s="12">
        <f>OR(PI39,PH40&gt;=VATThreshold)</f>
        <v/>
      </c>
      <c r="PJ40" s="9">
        <f>IF(PI40,PG40/(1+VATRate),PG40)</f>
        <v/>
      </c>
      <c r="PK40" s="12">
        <f>PG40-PJ40</f>
        <v/>
      </c>
      <c r="PL40" s="12">
        <f>IF(PI40=0,0,IF(OH40=1,SUMPRODUCT(--(($OI$5:$OI40=$OI40-1)*($OH$5:$OH40&gt;=10)*($OH$5:$OH40&lt;=12)),$PK$5:$PK40),IF(OH40=4,SUMPRODUCT(--(($OI$5:$OI40=$OI40)*($OH$5:$OH40&gt;=1)*($OH$5:$OH40&lt;=3)),$PK$5:$PK40),IF(OH40=7,SUMPRODUCT(--(($OI$5:$OI40=$OI40)*($OH$5:$OH40&gt;=4)*($OH$5:$OH40&lt;=6)),$PK$5:$PK40),IF(OH40=10,SUMPRODUCT(--(($OI$5:$OI40=$OI40)*($OH$5:$OH40&gt;=7)*($OH$5:$OH40&lt;=9)),$PK$5:$PK40),0)))))</f>
        <v/>
      </c>
      <c r="PM40" s="12">
        <f>PM39+PK40-PL40</f>
        <v/>
      </c>
      <c r="PN40" s="12">
        <f>IF(ProviderDelay&gt;=1,PJ39*ProviderShare,PJ40*ProviderShare)</f>
        <v/>
      </c>
      <c r="PO40" s="12">
        <f>PG40*PaymentFee</f>
        <v/>
      </c>
      <c r="PP40" s="12">
        <f>PA40*OpsAI</f>
        <v/>
      </c>
      <c r="PQ40" s="12">
        <f>MonthlyFixed</f>
        <v/>
      </c>
      <c r="PR40" s="12">
        <f>OO40*ReferralReward</f>
        <v/>
      </c>
      <c r="PS40" s="12">
        <f>OM40</f>
        <v/>
      </c>
      <c r="PT40" s="9">
        <f>PJ40-PN40-PO40-PP40-PQ40-PR40-PS40</f>
        <v/>
      </c>
      <c r="PU40" s="9">
        <f>PU39+PG40-(PN40+PO40+PP40+PQ40+PR40+PS40+PL40)</f>
        <v/>
      </c>
      <c r="PV40" s="12">
        <f>IF(PA40&gt;0,PB40/PA40,0)</f>
        <v/>
      </c>
      <c r="PW40" s="11">
        <f>IF(PA39&gt;0,MAX(0,(PA39+OP40-PA40)/PA39),0)</f>
        <v/>
      </c>
      <c r="PY40" s="12" t="n">
        <v>36</v>
      </c>
      <c r="PZ40" s="12">
        <f>MOD(PY40-1+LaunchMonth-1,12)+1</f>
        <v/>
      </c>
      <c r="QA40" s="12">
        <f>INT((PY40-1+LaunchMonth-1)/12)+1</f>
        <v/>
      </c>
      <c r="QB40" s="12">
        <f>VLOOKUP(PZ40,SeasonTable,2,FALSE)</f>
        <v/>
      </c>
      <c r="QC40" s="12">
        <f>(1+InflationRate)^INT((PY40-1)/12)</f>
        <v/>
      </c>
      <c r="QD40" s="11">
        <f>'Sens - Churn'!$A$20*VLOOKUP(PZ40,ChurnSeasonTable,4,FALSE)</f>
        <v/>
      </c>
      <c r="QE40" s="12">
        <f>MIN(MAX(MktMin19plus,QY39*MktPct19plus),MAX(0,RM39-CashBuffer))</f>
        <v/>
      </c>
      <c r="QF40" s="12">
        <f>IF(QE40&gt;0,MAX(1,ROUND(QE40/CAC*QB40,0)),0)</f>
        <v/>
      </c>
      <c r="QG40" s="12">
        <f>IF(QF40&gt;0,ROUND(QF40*ReferralMix/(1-ReferralMix),0),0)</f>
        <v/>
      </c>
      <c r="QH40" s="12">
        <f>QF40+QG40</f>
        <v/>
      </c>
      <c r="QI40" s="12">
        <f>ROUND(QH40*(1-AnnualMix),0)</f>
        <v/>
      </c>
      <c r="QJ40" s="12">
        <f>QH40-QI40</f>
        <v/>
      </c>
      <c r="QK40" s="12">
        <f>ROUND(QI40*EssentialMix,0)</f>
        <v/>
      </c>
      <c r="QL40" s="12">
        <f>QI40-QK40</f>
        <v/>
      </c>
      <c r="QM40" s="12">
        <f>ROUND(QJ40*EssentialMix,0)</f>
        <v/>
      </c>
      <c r="QN40" s="12">
        <f>QJ40-QM40</f>
        <v/>
      </c>
      <c r="QO40" s="12">
        <f>QK40+QK39+QK38+MAX(0,QO39-QK39-QK38)*(1-QD40)</f>
        <v/>
      </c>
      <c r="QP40" s="12">
        <f>QL40+QL39+QL38+MAX(0,QP39-QL39-QL38)*(1-QD40)</f>
        <v/>
      </c>
      <c r="QQ40" s="12">
        <f>QQ39+QM40-QM28*(AnnualChurn*VLOOKUP(PZ40,ChurnSeasonTable,4,FALSE))*POWER(1-(AnnualChurn*VLOOKUP(PZ40,ChurnSeasonTable,4,FALSE)),0)+QM16*(AnnualChurn*VLOOKUP(PZ40,ChurnSeasonTable,4,FALSE))*POWER(1-(AnnualChurn*VLOOKUP(PZ40,ChurnSeasonTable,4,FALSE)),1)</f>
        <v/>
      </c>
      <c r="QR40" s="12">
        <f>QR39+QN40-QN28*(AnnualChurn*VLOOKUP(PZ40,ChurnSeasonTable,4,FALSE))*POWER(1-(AnnualChurn*VLOOKUP(PZ40,ChurnSeasonTable,4,FALSE)),0)+QN16*(AnnualChurn*VLOOKUP(PZ40,ChurnSeasonTable,4,FALSE))*POWER(1-(AnnualChurn*VLOOKUP(PZ40,ChurnSeasonTable,4,FALSE)),1)</f>
        <v/>
      </c>
      <c r="QS40" s="12">
        <f>QO40+QP40+QQ40+QR40</f>
        <v/>
      </c>
      <c r="QT40" s="9">
        <f>QO40*PriceEssMonthly*QC40+QP40*PricePremMonthly*QC40+QQ40*PriceEssAnnual*QC40/12+QR40*PricePremAnnual*QC40/12</f>
        <v/>
      </c>
      <c r="QU40" s="9">
        <f>QT40*12</f>
        <v/>
      </c>
      <c r="QV40" s="12">
        <f>QO40*PriceEssMonthly*QC40+QP40*PricePremMonthly*QC40</f>
        <v/>
      </c>
      <c r="QW40" s="12">
        <f>QM40*PriceEssAnnual*QC40+QN40*PricePremAnnual*QC40</f>
        <v/>
      </c>
      <c r="QX40" s="12">
        <f>QM28*POWER(1-(AnnualChurn*VLOOKUP(PZ40,ChurnSeasonTable,4,FALSE)),1)*PriceEssAnnual*QC40+QM16*POWER(1-(AnnualChurn*VLOOKUP(PZ40,ChurnSeasonTable,4,FALSE)),2)*PriceEssAnnual*QC40+QN28*POWER(1-(AnnualChurn*VLOOKUP(PZ40,ChurnSeasonTable,4,FALSE)),1)*PricePremAnnual*QC40+QN16*POWER(1-(AnnualChurn*VLOOKUP(PZ40,ChurnSeasonTable,4,FALSE)),2)*PricePremAnnual*QC40</f>
        <v/>
      </c>
      <c r="QY40" s="9">
        <f>QV40+QW40+QX40</f>
        <v/>
      </c>
      <c r="QZ40" s="12">
        <f>SUM(QY29:QY40)</f>
        <v/>
      </c>
      <c r="RA40" s="12">
        <f>OR(RA39,QZ40&gt;=VATThreshold)</f>
        <v/>
      </c>
      <c r="RB40" s="9">
        <f>IF(RA40,QY40/(1+VATRate),QY40)</f>
        <v/>
      </c>
      <c r="RC40" s="12">
        <f>QY40-RB40</f>
        <v/>
      </c>
      <c r="RD40" s="12">
        <f>IF(RA40=0,0,IF(PZ40=1,SUMPRODUCT(--(($QA$5:$QA40=$QA40-1)*($PZ$5:$PZ40&gt;=10)*($PZ$5:$PZ40&lt;=12)),$RC$5:$RC40),IF(PZ40=4,SUMPRODUCT(--(($QA$5:$QA40=$QA40)*($PZ$5:$PZ40&gt;=1)*($PZ$5:$PZ40&lt;=3)),$RC$5:$RC40),IF(PZ40=7,SUMPRODUCT(--(($QA$5:$QA40=$QA40)*($PZ$5:$PZ40&gt;=4)*($PZ$5:$PZ40&lt;=6)),$RC$5:$RC40),IF(PZ40=10,SUMPRODUCT(--(($QA$5:$QA40=$QA40)*($PZ$5:$PZ40&gt;=7)*($PZ$5:$PZ40&lt;=9)),$RC$5:$RC40),0)))))</f>
        <v/>
      </c>
      <c r="RE40" s="12">
        <f>RE39+RC40-RD40</f>
        <v/>
      </c>
      <c r="RF40" s="12">
        <f>IF(ProviderDelay&gt;=1,RB39*ProviderShare,RB40*ProviderShare)</f>
        <v/>
      </c>
      <c r="RG40" s="12">
        <f>QY40*PaymentFee</f>
        <v/>
      </c>
      <c r="RH40" s="12">
        <f>QS40*OpsAI</f>
        <v/>
      </c>
      <c r="RI40" s="12">
        <f>MonthlyFixed</f>
        <v/>
      </c>
      <c r="RJ40" s="12">
        <f>QG40*ReferralReward</f>
        <v/>
      </c>
      <c r="RK40" s="12">
        <f>QE40</f>
        <v/>
      </c>
      <c r="RL40" s="9">
        <f>RB40-RF40-RG40-RH40-RI40-RJ40-RK40</f>
        <v/>
      </c>
      <c r="RM40" s="9">
        <f>RM39+QY40-(RF40+RG40+RH40+RI40+RJ40+RK40+RD40)</f>
        <v/>
      </c>
      <c r="RN40" s="12">
        <f>IF(QS40&gt;0,QT40/QS40,0)</f>
        <v/>
      </c>
      <c r="RO40" s="11">
        <f>IF(QS39&gt;0,MAX(0,(QS39+QH40-QS40)/QS39),0)</f>
        <v/>
      </c>
      <c r="RQ40" s="12" t="n">
        <v>36</v>
      </c>
      <c r="RR40" s="12">
        <f>MOD(RQ40-1+LaunchMonth-1,12)+1</f>
        <v/>
      </c>
      <c r="RS40" s="12">
        <f>INT((RQ40-1+LaunchMonth-1)/12)+1</f>
        <v/>
      </c>
      <c r="RT40" s="12">
        <f>VLOOKUP(RR40,SeasonTable,2,FALSE)</f>
        <v/>
      </c>
      <c r="RU40" s="12">
        <f>(1+InflationRate)^INT((RQ40-1)/12)</f>
        <v/>
      </c>
      <c r="RV40" s="11">
        <f>'Sens - Churn'!$A$21*VLOOKUP(RR40,ChurnSeasonTable,4,FALSE)</f>
        <v/>
      </c>
      <c r="RW40" s="12">
        <f>MIN(MAX(MktMin19plus,SQ39*MktPct19plus),MAX(0,TE39-CashBuffer))</f>
        <v/>
      </c>
      <c r="RX40" s="12">
        <f>IF(RW40&gt;0,MAX(1,ROUND(RW40/CAC*RT40,0)),0)</f>
        <v/>
      </c>
      <c r="RY40" s="12">
        <f>IF(RX40&gt;0,ROUND(RX40*ReferralMix/(1-ReferralMix),0),0)</f>
        <v/>
      </c>
      <c r="RZ40" s="12">
        <f>RX40+RY40</f>
        <v/>
      </c>
      <c r="SA40" s="12">
        <f>ROUND(RZ40*(1-AnnualMix),0)</f>
        <v/>
      </c>
      <c r="SB40" s="12">
        <f>RZ40-SA40</f>
        <v/>
      </c>
      <c r="SC40" s="12">
        <f>ROUND(SA40*EssentialMix,0)</f>
        <v/>
      </c>
      <c r="SD40" s="12">
        <f>SA40-SC40</f>
        <v/>
      </c>
      <c r="SE40" s="12">
        <f>ROUND(SB40*EssentialMix,0)</f>
        <v/>
      </c>
      <c r="SF40" s="12">
        <f>SB40-SE40</f>
        <v/>
      </c>
      <c r="SG40" s="12">
        <f>SC40+SC39+SC38+MAX(0,SG39-SC39-SC38)*(1-RV40)</f>
        <v/>
      </c>
      <c r="SH40" s="12">
        <f>SD40+SD39+SD38+MAX(0,SH39-SD39-SD38)*(1-RV40)</f>
        <v/>
      </c>
      <c r="SI40" s="12">
        <f>SI39+SE40-SE28*(AnnualChurn*VLOOKUP(RR40,ChurnSeasonTable,4,FALSE))*POWER(1-(AnnualChurn*VLOOKUP(RR40,ChurnSeasonTable,4,FALSE)),0)+SE16*(AnnualChurn*VLOOKUP(RR40,ChurnSeasonTable,4,FALSE))*POWER(1-(AnnualChurn*VLOOKUP(RR40,ChurnSeasonTable,4,FALSE)),1)</f>
        <v/>
      </c>
      <c r="SJ40" s="12">
        <f>SJ39+SF40-SF28*(AnnualChurn*VLOOKUP(RR40,ChurnSeasonTable,4,FALSE))*POWER(1-(AnnualChurn*VLOOKUP(RR40,ChurnSeasonTable,4,FALSE)),0)+SF16*(AnnualChurn*VLOOKUP(RR40,ChurnSeasonTable,4,FALSE))*POWER(1-(AnnualChurn*VLOOKUP(RR40,ChurnSeasonTable,4,FALSE)),1)</f>
        <v/>
      </c>
      <c r="SK40" s="12">
        <f>SG40+SH40+SI40+SJ40</f>
        <v/>
      </c>
      <c r="SL40" s="9">
        <f>SG40*PriceEssMonthly*RU40+SH40*PricePremMonthly*RU40+SI40*PriceEssAnnual*RU40/12+SJ40*PricePremAnnual*RU40/12</f>
        <v/>
      </c>
      <c r="SM40" s="9">
        <f>SL40*12</f>
        <v/>
      </c>
      <c r="SN40" s="12">
        <f>SG40*PriceEssMonthly*RU40+SH40*PricePremMonthly*RU40</f>
        <v/>
      </c>
      <c r="SO40" s="12">
        <f>SE40*PriceEssAnnual*RU40+SF40*PricePremAnnual*RU40</f>
        <v/>
      </c>
      <c r="SP40" s="12">
        <f>SE28*POWER(1-(AnnualChurn*VLOOKUP(RR40,ChurnSeasonTable,4,FALSE)),1)*PriceEssAnnual*RU40+SE16*POWER(1-(AnnualChurn*VLOOKUP(RR40,ChurnSeasonTable,4,FALSE)),2)*PriceEssAnnual*RU40+SF28*POWER(1-(AnnualChurn*VLOOKUP(RR40,ChurnSeasonTable,4,FALSE)),1)*PricePremAnnual*RU40+SF16*POWER(1-(AnnualChurn*VLOOKUP(RR40,ChurnSeasonTable,4,FALSE)),2)*PricePremAnnual*RU40</f>
        <v/>
      </c>
      <c r="SQ40" s="9">
        <f>SN40+SO40+SP40</f>
        <v/>
      </c>
      <c r="SR40" s="12">
        <f>SUM(SQ29:SQ40)</f>
        <v/>
      </c>
      <c r="SS40" s="12">
        <f>OR(SS39,SR40&gt;=VATThreshold)</f>
        <v/>
      </c>
      <c r="ST40" s="9">
        <f>IF(SS40,SQ40/(1+VATRate),SQ40)</f>
        <v/>
      </c>
      <c r="SU40" s="12">
        <f>SQ40-ST40</f>
        <v/>
      </c>
      <c r="SV40" s="12">
        <f>IF(SS40=0,0,IF(RR40=1,SUMPRODUCT(--(($RS$5:$RS40=$RS40-1)*($RR$5:$RR40&gt;=10)*($RR$5:$RR40&lt;=12)),$SU$5:$SU40),IF(RR40=4,SUMPRODUCT(--(($RS$5:$RS40=$RS40)*($RR$5:$RR40&gt;=1)*($RR$5:$RR40&lt;=3)),$SU$5:$SU40),IF(RR40=7,SUMPRODUCT(--(($RS$5:$RS40=$RS40)*($RR$5:$RR40&gt;=4)*($RR$5:$RR40&lt;=6)),$SU$5:$SU40),IF(RR40=10,SUMPRODUCT(--(($RS$5:$RS40=$RS40)*($RR$5:$RR40&gt;=7)*($RR$5:$RR40&lt;=9)),$SU$5:$SU40),0)))))</f>
        <v/>
      </c>
      <c r="SW40" s="12">
        <f>SW39+SU40-SV40</f>
        <v/>
      </c>
      <c r="SX40" s="12">
        <f>IF(ProviderDelay&gt;=1,ST39*ProviderShare,ST40*ProviderShare)</f>
        <v/>
      </c>
      <c r="SY40" s="12">
        <f>SQ40*PaymentFee</f>
        <v/>
      </c>
      <c r="SZ40" s="12">
        <f>SK40*OpsAI</f>
        <v/>
      </c>
      <c r="TA40" s="12">
        <f>MonthlyFixed</f>
        <v/>
      </c>
      <c r="TB40" s="12">
        <f>RY40*ReferralReward</f>
        <v/>
      </c>
      <c r="TC40" s="12">
        <f>RW40</f>
        <v/>
      </c>
      <c r="TD40" s="9">
        <f>ST40-SX40-SY40-SZ40-TA40-TB40-TC40</f>
        <v/>
      </c>
      <c r="TE40" s="9">
        <f>TE39+SQ40-(SX40+SY40+SZ40+TA40+TB40+TC40+SV40)</f>
        <v/>
      </c>
      <c r="TF40" s="12">
        <f>IF(SK40&gt;0,SL40/SK40,0)</f>
        <v/>
      </c>
      <c r="TG40" s="11">
        <f>IF(SK39&gt;0,MAX(0,(SK39+RZ40-SK40)/SK39),0)</f>
        <v/>
      </c>
      <c r="TI40" s="12" t="n">
        <v>36</v>
      </c>
      <c r="TJ40" s="12">
        <f>MOD(TI40-1+LaunchMonth-1,12)+1</f>
        <v/>
      </c>
      <c r="TK40" s="12">
        <f>INT((TI40-1+LaunchMonth-1)/12)+1</f>
        <v/>
      </c>
      <c r="TL40" s="12">
        <f>VLOOKUP(TJ40,SeasonTable,2,FALSE)</f>
        <v/>
      </c>
      <c r="TM40" s="12">
        <f>(1+InflationRate)^INT((TI40-1)/12)</f>
        <v/>
      </c>
      <c r="TN40" s="11">
        <f>MonthlyChurn*VLOOKUP(TJ40,ChurnSeasonTable,4,FALSE)</f>
        <v/>
      </c>
      <c r="TO40" s="12">
        <f>MIN(MAX(MktMin19plus,UI39*MktPct19plus),MAX(0,UW39-CashBuffer))</f>
        <v/>
      </c>
      <c r="TP40" s="12">
        <f>IF(TO40&gt;0,MAX(1,ROUND(TO40/CAC*TL40,0)),0)</f>
        <v/>
      </c>
      <c r="TQ40" s="12">
        <f>IF(TP40&gt;0,ROUND(TP40*ReferralMix/(1-ReferralMix),0),0)</f>
        <v/>
      </c>
      <c r="TR40" s="12">
        <f>TP40+TQ40</f>
        <v/>
      </c>
      <c r="TS40" s="12">
        <f>ROUND(TR40*(1-'Sens - Annual Mix'!$A$9),0)</f>
        <v/>
      </c>
      <c r="TT40" s="12">
        <f>TR40-TS40</f>
        <v/>
      </c>
      <c r="TU40" s="12">
        <f>ROUND(TS40*EssentialMix,0)</f>
        <v/>
      </c>
      <c r="TV40" s="12">
        <f>TS40-TU40</f>
        <v/>
      </c>
      <c r="TW40" s="12">
        <f>ROUND(TT40*EssentialMix,0)</f>
        <v/>
      </c>
      <c r="TX40" s="12">
        <f>TT40-TW40</f>
        <v/>
      </c>
      <c r="TY40" s="12">
        <f>TU40+TU39+TU38+MAX(0,TY39-TU39-TU38)*(1-TN40)</f>
        <v/>
      </c>
      <c r="TZ40" s="12">
        <f>TV40+TV39+TV38+MAX(0,TZ39-TV39-TV38)*(1-TN40)</f>
        <v/>
      </c>
      <c r="UA40" s="12">
        <f>UA39+TW40-TW28*(AnnualChurn*VLOOKUP(TJ40,ChurnSeasonTable,4,FALSE))*POWER(1-(AnnualChurn*VLOOKUP(TJ40,ChurnSeasonTable,4,FALSE)),0)+TW16*(AnnualChurn*VLOOKUP(TJ40,ChurnSeasonTable,4,FALSE))*POWER(1-(AnnualChurn*VLOOKUP(TJ40,ChurnSeasonTable,4,FALSE)),1)</f>
        <v/>
      </c>
      <c r="UB40" s="12">
        <f>UB39+TX40-TX28*(AnnualChurn*VLOOKUP(TJ40,ChurnSeasonTable,4,FALSE))*POWER(1-(AnnualChurn*VLOOKUP(TJ40,ChurnSeasonTable,4,FALSE)),0)+TX16*(AnnualChurn*VLOOKUP(TJ40,ChurnSeasonTable,4,FALSE))*POWER(1-(AnnualChurn*VLOOKUP(TJ40,ChurnSeasonTable,4,FALSE)),1)</f>
        <v/>
      </c>
      <c r="UC40" s="12">
        <f>TY40+TZ40+UA40+UB40</f>
        <v/>
      </c>
      <c r="UD40" s="9">
        <f>TY40*PriceEssMonthly*TM40+TZ40*PricePremMonthly*TM40+UA40*PriceEssAnnual*TM40/12+UB40*PricePremAnnual*TM40/12</f>
        <v/>
      </c>
      <c r="UE40" s="9">
        <f>UD40*12</f>
        <v/>
      </c>
      <c r="UF40" s="12">
        <f>TY40*PriceEssMonthly*TM40+TZ40*PricePremMonthly*TM40</f>
        <v/>
      </c>
      <c r="UG40" s="12">
        <f>TW40*PriceEssAnnual*TM40+TX40*PricePremAnnual*TM40</f>
        <v/>
      </c>
      <c r="UH40" s="12">
        <f>TW28*POWER(1-(AnnualChurn*VLOOKUP(TJ40,ChurnSeasonTable,4,FALSE)),1)*PriceEssAnnual*TM40+TW16*POWER(1-(AnnualChurn*VLOOKUP(TJ40,ChurnSeasonTable,4,FALSE)),2)*PriceEssAnnual*TM40+TX28*POWER(1-(AnnualChurn*VLOOKUP(TJ40,ChurnSeasonTable,4,FALSE)),1)*PricePremAnnual*TM40+TX16*POWER(1-(AnnualChurn*VLOOKUP(TJ40,ChurnSeasonTable,4,FALSE)),2)*PricePremAnnual*TM40</f>
        <v/>
      </c>
      <c r="UI40" s="9">
        <f>UF40+UG40+UH40</f>
        <v/>
      </c>
      <c r="UJ40" s="12">
        <f>SUM(UI29:UI40)</f>
        <v/>
      </c>
      <c r="UK40" s="12">
        <f>OR(UK39,UJ40&gt;=VATThreshold)</f>
        <v/>
      </c>
      <c r="UL40" s="9">
        <f>IF(UK40,UI40/(1+VATRate),UI40)</f>
        <v/>
      </c>
      <c r="UM40" s="12">
        <f>UI40-UL40</f>
        <v/>
      </c>
      <c r="UN40" s="12">
        <f>IF(UK40=0,0,IF(TJ40=1,SUMPRODUCT(--(($TK$5:$TK40=$TK40-1)*($TJ$5:$TJ40&gt;=10)*($TJ$5:$TJ40&lt;=12)),$UM$5:$UM40),IF(TJ40=4,SUMPRODUCT(--(($TK$5:$TK40=$TK40)*($TJ$5:$TJ40&gt;=1)*($TJ$5:$TJ40&lt;=3)),$UM$5:$UM40),IF(TJ40=7,SUMPRODUCT(--(($TK$5:$TK40=$TK40)*($TJ$5:$TJ40&gt;=4)*($TJ$5:$TJ40&lt;=6)),$UM$5:$UM40),IF(TJ40=10,SUMPRODUCT(--(($TK$5:$TK40=$TK40)*($TJ$5:$TJ40&gt;=7)*($TJ$5:$TJ40&lt;=9)),$UM$5:$UM40),0)))))</f>
        <v/>
      </c>
      <c r="UO40" s="12">
        <f>UO39+UM40-UN40</f>
        <v/>
      </c>
      <c r="UP40" s="12">
        <f>IF(ProviderDelay&gt;=1,UL39*ProviderShare,UL40*ProviderShare)</f>
        <v/>
      </c>
      <c r="UQ40" s="12">
        <f>UI40*PaymentFee</f>
        <v/>
      </c>
      <c r="UR40" s="12">
        <f>UC40*OpsAI</f>
        <v/>
      </c>
      <c r="US40" s="12">
        <f>MonthlyFixed</f>
        <v/>
      </c>
      <c r="UT40" s="12">
        <f>TQ40*ReferralReward</f>
        <v/>
      </c>
      <c r="UU40" s="12">
        <f>TO40</f>
        <v/>
      </c>
      <c r="UV40" s="9">
        <f>UL40-UP40-UQ40-UR40-US40-UT40-UU40</f>
        <v/>
      </c>
      <c r="UW40" s="9">
        <f>UW39+UI40-(UP40+UQ40+UR40+US40+UT40+UU40+UN40)</f>
        <v/>
      </c>
      <c r="UX40" s="12">
        <f>IF(UC40&gt;0,UD40/UC40,0)</f>
        <v/>
      </c>
      <c r="UY40" s="11">
        <f>IF(UC39&gt;0,MAX(0,(UC39+TR40-UC40)/UC39),0)</f>
        <v/>
      </c>
      <c r="VA40" s="12" t="n">
        <v>36</v>
      </c>
      <c r="VB40" s="12">
        <f>MOD(VA40-1+LaunchMonth-1,12)+1</f>
        <v/>
      </c>
      <c r="VC40" s="12">
        <f>INT((VA40-1+LaunchMonth-1)/12)+1</f>
        <v/>
      </c>
      <c r="VD40" s="12">
        <f>VLOOKUP(VB40,SeasonTable,2,FALSE)</f>
        <v/>
      </c>
      <c r="VE40" s="12">
        <f>(1+InflationRate)^INT((VA40-1)/12)</f>
        <v/>
      </c>
      <c r="VF40" s="11">
        <f>MonthlyChurn*VLOOKUP(VB40,ChurnSeasonTable,4,FALSE)</f>
        <v/>
      </c>
      <c r="VG40" s="12">
        <f>MIN(MAX(MktMin19plus,WA39*MktPct19plus),MAX(0,WO39-CashBuffer))</f>
        <v/>
      </c>
      <c r="VH40" s="12">
        <f>IF(VG40&gt;0,MAX(1,ROUND(VG40/CAC*VD40,0)),0)</f>
        <v/>
      </c>
      <c r="VI40" s="12">
        <f>IF(VH40&gt;0,ROUND(VH40*ReferralMix/(1-ReferralMix),0),0)</f>
        <v/>
      </c>
      <c r="VJ40" s="12">
        <f>VH40+VI40</f>
        <v/>
      </c>
      <c r="VK40" s="12">
        <f>ROUND(VJ40*(1-'Sens - Annual Mix'!$A$10),0)</f>
        <v/>
      </c>
      <c r="VL40" s="12">
        <f>VJ40-VK40</f>
        <v/>
      </c>
      <c r="VM40" s="12">
        <f>ROUND(VK40*EssentialMix,0)</f>
        <v/>
      </c>
      <c r="VN40" s="12">
        <f>VK40-VM40</f>
        <v/>
      </c>
      <c r="VO40" s="12">
        <f>ROUND(VL40*EssentialMix,0)</f>
        <v/>
      </c>
      <c r="VP40" s="12">
        <f>VL40-VO40</f>
        <v/>
      </c>
      <c r="VQ40" s="12">
        <f>VM40+VM39+VM38+MAX(0,VQ39-VM39-VM38)*(1-VF40)</f>
        <v/>
      </c>
      <c r="VR40" s="12">
        <f>VN40+VN39+VN38+MAX(0,VR39-VN39-VN38)*(1-VF40)</f>
        <v/>
      </c>
      <c r="VS40" s="12">
        <f>VS39+VO40-VO28*(AnnualChurn*VLOOKUP(VB40,ChurnSeasonTable,4,FALSE))*POWER(1-(AnnualChurn*VLOOKUP(VB40,ChurnSeasonTable,4,FALSE)),0)+VO16*(AnnualChurn*VLOOKUP(VB40,ChurnSeasonTable,4,FALSE))*POWER(1-(AnnualChurn*VLOOKUP(VB40,ChurnSeasonTable,4,FALSE)),1)</f>
        <v/>
      </c>
      <c r="VT40" s="12">
        <f>VT39+VP40-VP28*(AnnualChurn*VLOOKUP(VB40,ChurnSeasonTable,4,FALSE))*POWER(1-(AnnualChurn*VLOOKUP(VB40,ChurnSeasonTable,4,FALSE)),0)+VP16*(AnnualChurn*VLOOKUP(VB40,ChurnSeasonTable,4,FALSE))*POWER(1-(AnnualChurn*VLOOKUP(VB40,ChurnSeasonTable,4,FALSE)),1)</f>
        <v/>
      </c>
      <c r="VU40" s="12">
        <f>VQ40+VR40+VS40+VT40</f>
        <v/>
      </c>
      <c r="VV40" s="9">
        <f>VQ40*PriceEssMonthly*VE40+VR40*PricePremMonthly*VE40+VS40*PriceEssAnnual*VE40/12+VT40*PricePremAnnual*VE40/12</f>
        <v/>
      </c>
      <c r="VW40" s="9">
        <f>VV40*12</f>
        <v/>
      </c>
      <c r="VX40" s="12">
        <f>VQ40*PriceEssMonthly*VE40+VR40*PricePremMonthly*VE40</f>
        <v/>
      </c>
      <c r="VY40" s="12">
        <f>VO40*PriceEssAnnual*VE40+VP40*PricePremAnnual*VE40</f>
        <v/>
      </c>
      <c r="VZ40" s="12">
        <f>VO28*POWER(1-(AnnualChurn*VLOOKUP(VB40,ChurnSeasonTable,4,FALSE)),1)*PriceEssAnnual*VE40+VO16*POWER(1-(AnnualChurn*VLOOKUP(VB40,ChurnSeasonTable,4,FALSE)),2)*PriceEssAnnual*VE40+VP28*POWER(1-(AnnualChurn*VLOOKUP(VB40,ChurnSeasonTable,4,FALSE)),1)*PricePremAnnual*VE40+VP16*POWER(1-(AnnualChurn*VLOOKUP(VB40,ChurnSeasonTable,4,FALSE)),2)*PricePremAnnual*VE40</f>
        <v/>
      </c>
      <c r="WA40" s="9">
        <f>VX40+VY40+VZ40</f>
        <v/>
      </c>
      <c r="WB40" s="12">
        <f>SUM(WA29:WA40)</f>
        <v/>
      </c>
      <c r="WC40" s="12">
        <f>OR(WC39,WB40&gt;=VATThreshold)</f>
        <v/>
      </c>
      <c r="WD40" s="9">
        <f>IF(WC40,WA40/(1+VATRate),WA40)</f>
        <v/>
      </c>
      <c r="WE40" s="12">
        <f>WA40-WD40</f>
        <v/>
      </c>
      <c r="WF40" s="12">
        <f>IF(WC40=0,0,IF(VB40=1,SUMPRODUCT(--(($VC$5:$VC40=$VC40-1)*($VB$5:$VB40&gt;=10)*($VB$5:$VB40&lt;=12)),$WE$5:$WE40),IF(VB40=4,SUMPRODUCT(--(($VC$5:$VC40=$VC40)*($VB$5:$VB40&gt;=1)*($VB$5:$VB40&lt;=3)),$WE$5:$WE40),IF(VB40=7,SUMPRODUCT(--(($VC$5:$VC40=$VC40)*($VB$5:$VB40&gt;=4)*($VB$5:$VB40&lt;=6)),$WE$5:$WE40),IF(VB40=10,SUMPRODUCT(--(($VC$5:$VC40=$VC40)*($VB$5:$VB40&gt;=7)*($VB$5:$VB40&lt;=9)),$WE$5:$WE40),0)))))</f>
        <v/>
      </c>
      <c r="WG40" s="12">
        <f>WG39+WE40-WF40</f>
        <v/>
      </c>
      <c r="WH40" s="12">
        <f>IF(ProviderDelay&gt;=1,WD39*ProviderShare,WD40*ProviderShare)</f>
        <v/>
      </c>
      <c r="WI40" s="12">
        <f>WA40*PaymentFee</f>
        <v/>
      </c>
      <c r="WJ40" s="12">
        <f>VU40*OpsAI</f>
        <v/>
      </c>
      <c r="WK40" s="12">
        <f>MonthlyFixed</f>
        <v/>
      </c>
      <c r="WL40" s="12">
        <f>VI40*ReferralReward</f>
        <v/>
      </c>
      <c r="WM40" s="12">
        <f>VG40</f>
        <v/>
      </c>
      <c r="WN40" s="9">
        <f>WD40-WH40-WI40-WJ40-WK40-WL40-WM40</f>
        <v/>
      </c>
      <c r="WO40" s="9">
        <f>WO39+WA40-(WH40+WI40+WJ40+WK40+WL40+WM40+WF40)</f>
        <v/>
      </c>
      <c r="WP40" s="12">
        <f>IF(VU40&gt;0,VV40/VU40,0)</f>
        <v/>
      </c>
      <c r="WQ40" s="11">
        <f>IF(VU39&gt;0,MAX(0,(VU39+VJ40-VU40)/VU39),0)</f>
        <v/>
      </c>
      <c r="WS40" s="12" t="n">
        <v>36</v>
      </c>
      <c r="WT40" s="12">
        <f>MOD(WS40-1+LaunchMonth-1,12)+1</f>
        <v/>
      </c>
      <c r="WU40" s="12">
        <f>INT((WS40-1+LaunchMonth-1)/12)+1</f>
        <v/>
      </c>
      <c r="WV40" s="12">
        <f>VLOOKUP(WT40,SeasonTable,2,FALSE)</f>
        <v/>
      </c>
      <c r="WW40" s="12">
        <f>(1+InflationRate)^INT((WS40-1)/12)</f>
        <v/>
      </c>
      <c r="WX40" s="11">
        <f>MonthlyChurn*VLOOKUP(WT40,ChurnSeasonTable,4,FALSE)</f>
        <v/>
      </c>
      <c r="WY40" s="12">
        <f>MIN(MAX(MktMin19plus,XS39*MktPct19plus),MAX(0,YG39-CashBuffer))</f>
        <v/>
      </c>
      <c r="WZ40" s="12">
        <f>IF(WY40&gt;0,MAX(1,ROUND(WY40/CAC*WV40,0)),0)</f>
        <v/>
      </c>
      <c r="XA40" s="12">
        <f>IF(WZ40&gt;0,ROUND(WZ40*ReferralMix/(1-ReferralMix),0),0)</f>
        <v/>
      </c>
      <c r="XB40" s="12">
        <f>WZ40+XA40</f>
        <v/>
      </c>
      <c r="XC40" s="12">
        <f>ROUND(XB40*(1-'Sens - Annual Mix'!$A$11),0)</f>
        <v/>
      </c>
      <c r="XD40" s="12">
        <f>XB40-XC40</f>
        <v/>
      </c>
      <c r="XE40" s="12">
        <f>ROUND(XC40*EssentialMix,0)</f>
        <v/>
      </c>
      <c r="XF40" s="12">
        <f>XC40-XE40</f>
        <v/>
      </c>
      <c r="XG40" s="12">
        <f>ROUND(XD40*EssentialMix,0)</f>
        <v/>
      </c>
      <c r="XH40" s="12">
        <f>XD40-XG40</f>
        <v/>
      </c>
      <c r="XI40" s="12">
        <f>XE40+XE39+XE38+MAX(0,XI39-XE39-XE38)*(1-WX40)</f>
        <v/>
      </c>
      <c r="XJ40" s="12">
        <f>XF40+XF39+XF38+MAX(0,XJ39-XF39-XF38)*(1-WX40)</f>
        <v/>
      </c>
      <c r="XK40" s="12">
        <f>XK39+XG40-XG28*(AnnualChurn*VLOOKUP(WT40,ChurnSeasonTable,4,FALSE))*POWER(1-(AnnualChurn*VLOOKUP(WT40,ChurnSeasonTable,4,FALSE)),0)+XG16*(AnnualChurn*VLOOKUP(WT40,ChurnSeasonTable,4,FALSE))*POWER(1-(AnnualChurn*VLOOKUP(WT40,ChurnSeasonTable,4,FALSE)),1)</f>
        <v/>
      </c>
      <c r="XL40" s="12">
        <f>XL39+XH40-XH28*(AnnualChurn*VLOOKUP(WT40,ChurnSeasonTable,4,FALSE))*POWER(1-(AnnualChurn*VLOOKUP(WT40,ChurnSeasonTable,4,FALSE)),0)+XH16*(AnnualChurn*VLOOKUP(WT40,ChurnSeasonTable,4,FALSE))*POWER(1-(AnnualChurn*VLOOKUP(WT40,ChurnSeasonTable,4,FALSE)),1)</f>
        <v/>
      </c>
      <c r="XM40" s="12">
        <f>XI40+XJ40+XK40+XL40</f>
        <v/>
      </c>
      <c r="XN40" s="9">
        <f>XI40*PriceEssMonthly*WW40+XJ40*PricePremMonthly*WW40+XK40*PriceEssAnnual*WW40/12+XL40*PricePremAnnual*WW40/12</f>
        <v/>
      </c>
      <c r="XO40" s="9">
        <f>XN40*12</f>
        <v/>
      </c>
      <c r="XP40" s="12">
        <f>XI40*PriceEssMonthly*WW40+XJ40*PricePremMonthly*WW40</f>
        <v/>
      </c>
      <c r="XQ40" s="12">
        <f>XG40*PriceEssAnnual*WW40+XH40*PricePremAnnual*WW40</f>
        <v/>
      </c>
      <c r="XR40" s="12">
        <f>XG28*POWER(1-(AnnualChurn*VLOOKUP(WT40,ChurnSeasonTable,4,FALSE)),1)*PriceEssAnnual*WW40+XG16*POWER(1-(AnnualChurn*VLOOKUP(WT40,ChurnSeasonTable,4,FALSE)),2)*PriceEssAnnual*WW40+XH28*POWER(1-(AnnualChurn*VLOOKUP(WT40,ChurnSeasonTable,4,FALSE)),1)*PricePremAnnual*WW40+XH16*POWER(1-(AnnualChurn*VLOOKUP(WT40,ChurnSeasonTable,4,FALSE)),2)*PricePremAnnual*WW40</f>
        <v/>
      </c>
      <c r="XS40" s="9">
        <f>XP40+XQ40+XR40</f>
        <v/>
      </c>
      <c r="XT40" s="12">
        <f>SUM(XS29:XS40)</f>
        <v/>
      </c>
      <c r="XU40" s="12">
        <f>OR(XU39,XT40&gt;=VATThreshold)</f>
        <v/>
      </c>
      <c r="XV40" s="9">
        <f>IF(XU40,XS40/(1+VATRate),XS40)</f>
        <v/>
      </c>
      <c r="XW40" s="12">
        <f>XS40-XV40</f>
        <v/>
      </c>
      <c r="XX40" s="12">
        <f>IF(XU40=0,0,IF(WT40=1,SUMPRODUCT(--(($WU$5:$WU40=$WU40-1)*($WT$5:$WT40&gt;=10)*($WT$5:$WT40&lt;=12)),$XW$5:$XW40),IF(WT40=4,SUMPRODUCT(--(($WU$5:$WU40=$WU40)*($WT$5:$WT40&gt;=1)*($WT$5:$WT40&lt;=3)),$XW$5:$XW40),IF(WT40=7,SUMPRODUCT(--(($WU$5:$WU40=$WU40)*($WT$5:$WT40&gt;=4)*($WT$5:$WT40&lt;=6)),$XW$5:$XW40),IF(WT40=10,SUMPRODUCT(--(($WU$5:$WU40=$WU40)*($WT$5:$WT40&gt;=7)*($WT$5:$WT40&lt;=9)),$XW$5:$XW40),0)))))</f>
        <v/>
      </c>
      <c r="XY40" s="12">
        <f>XY39+XW40-XX40</f>
        <v/>
      </c>
      <c r="XZ40" s="12">
        <f>IF(ProviderDelay&gt;=1,XV39*ProviderShare,XV40*ProviderShare)</f>
        <v/>
      </c>
      <c r="YA40" s="12">
        <f>XS40*PaymentFee</f>
        <v/>
      </c>
      <c r="YB40" s="12">
        <f>XM40*OpsAI</f>
        <v/>
      </c>
      <c r="YC40" s="12">
        <f>MonthlyFixed</f>
        <v/>
      </c>
      <c r="YD40" s="12">
        <f>XA40*ReferralReward</f>
        <v/>
      </c>
      <c r="YE40" s="12">
        <f>WY40</f>
        <v/>
      </c>
      <c r="YF40" s="9">
        <f>XV40-XZ40-YA40-YB40-YC40-YD40-YE40</f>
        <v/>
      </c>
      <c r="YG40" s="9">
        <f>YG39+XS40-(XZ40+YA40+YB40+YC40+YD40+YE40+XX40)</f>
        <v/>
      </c>
      <c r="YH40" s="12">
        <f>IF(XM40&gt;0,XN40/XM40,0)</f>
        <v/>
      </c>
      <c r="YI40" s="11">
        <f>IF(XM39&gt;0,MAX(0,(XM39+XB40-XM40)/XM39),0)</f>
        <v/>
      </c>
      <c r="YK40" s="12" t="n">
        <v>36</v>
      </c>
      <c r="YL40" s="12">
        <f>MOD(YK40-1+LaunchMonth-1,12)+1</f>
        <v/>
      </c>
      <c r="YM40" s="12">
        <f>INT((YK40-1+LaunchMonth-1)/12)+1</f>
        <v/>
      </c>
      <c r="YN40" s="12">
        <f>VLOOKUP(YL40,SeasonTable,2,FALSE)</f>
        <v/>
      </c>
      <c r="YO40" s="12">
        <f>(1+InflationRate)^INT((YK40-1)/12)</f>
        <v/>
      </c>
      <c r="YP40" s="11">
        <f>MonthlyChurn*VLOOKUP(YL40,ChurnSeasonTable,4,FALSE)</f>
        <v/>
      </c>
      <c r="YQ40" s="12">
        <f>MIN(MAX(MktMin19plus,ZK39*MktPct19plus),MAX(0,ZY39-CashBuffer))</f>
        <v/>
      </c>
      <c r="YR40" s="12">
        <f>IF(YQ40&gt;0,MAX(1,ROUND(YQ40/CAC*YN40,0)),0)</f>
        <v/>
      </c>
      <c r="YS40" s="12">
        <f>IF(YR40&gt;0,ROUND(YR40*ReferralMix/(1-ReferralMix),0),0)</f>
        <v/>
      </c>
      <c r="YT40" s="12">
        <f>YR40+YS40</f>
        <v/>
      </c>
      <c r="YU40" s="12">
        <f>ROUND(YT40*(1-'Sens - Annual Mix'!$A$12),0)</f>
        <v/>
      </c>
      <c r="YV40" s="12">
        <f>YT40-YU40</f>
        <v/>
      </c>
      <c r="YW40" s="12">
        <f>ROUND(YU40*EssentialMix,0)</f>
        <v/>
      </c>
      <c r="YX40" s="12">
        <f>YU40-YW40</f>
        <v/>
      </c>
      <c r="YY40" s="12">
        <f>ROUND(YV40*EssentialMix,0)</f>
        <v/>
      </c>
      <c r="YZ40" s="12">
        <f>YV40-YY40</f>
        <v/>
      </c>
      <c r="ZA40" s="12">
        <f>YW40+YW39+YW38+MAX(0,ZA39-YW39-YW38)*(1-YP40)</f>
        <v/>
      </c>
      <c r="ZB40" s="12">
        <f>YX40+YX39+YX38+MAX(0,ZB39-YX39-YX38)*(1-YP40)</f>
        <v/>
      </c>
      <c r="ZC40" s="12">
        <f>ZC39+YY40-YY28*(AnnualChurn*VLOOKUP(YL40,ChurnSeasonTable,4,FALSE))*POWER(1-(AnnualChurn*VLOOKUP(YL40,ChurnSeasonTable,4,FALSE)),0)+YY16*(AnnualChurn*VLOOKUP(YL40,ChurnSeasonTable,4,FALSE))*POWER(1-(AnnualChurn*VLOOKUP(YL40,ChurnSeasonTable,4,FALSE)),1)</f>
        <v/>
      </c>
      <c r="ZD40" s="12">
        <f>ZD39+YZ40-YZ28*(AnnualChurn*VLOOKUP(YL40,ChurnSeasonTable,4,FALSE))*POWER(1-(AnnualChurn*VLOOKUP(YL40,ChurnSeasonTable,4,FALSE)),0)+YZ16*(AnnualChurn*VLOOKUP(YL40,ChurnSeasonTable,4,FALSE))*POWER(1-(AnnualChurn*VLOOKUP(YL40,ChurnSeasonTable,4,FALSE)),1)</f>
        <v/>
      </c>
      <c r="ZE40" s="12">
        <f>ZA40+ZB40+ZC40+ZD40</f>
        <v/>
      </c>
      <c r="ZF40" s="9">
        <f>ZA40*PriceEssMonthly*YO40+ZB40*PricePremMonthly*YO40+ZC40*PriceEssAnnual*YO40/12+ZD40*PricePremAnnual*YO40/12</f>
        <v/>
      </c>
      <c r="ZG40" s="9">
        <f>ZF40*12</f>
        <v/>
      </c>
      <c r="ZH40" s="12">
        <f>ZA40*PriceEssMonthly*YO40+ZB40*PricePremMonthly*YO40</f>
        <v/>
      </c>
      <c r="ZI40" s="12">
        <f>YY40*PriceEssAnnual*YO40+YZ40*PricePremAnnual*YO40</f>
        <v/>
      </c>
      <c r="ZJ40" s="12">
        <f>YY28*POWER(1-(AnnualChurn*VLOOKUP(YL40,ChurnSeasonTable,4,FALSE)),1)*PriceEssAnnual*YO40+YY16*POWER(1-(AnnualChurn*VLOOKUP(YL40,ChurnSeasonTable,4,FALSE)),2)*PriceEssAnnual*YO40+YZ28*POWER(1-(AnnualChurn*VLOOKUP(YL40,ChurnSeasonTable,4,FALSE)),1)*PricePremAnnual*YO40+YZ16*POWER(1-(AnnualChurn*VLOOKUP(YL40,ChurnSeasonTable,4,FALSE)),2)*PricePremAnnual*YO40</f>
        <v/>
      </c>
      <c r="ZK40" s="9">
        <f>ZH40+ZI40+ZJ40</f>
        <v/>
      </c>
      <c r="ZL40" s="12">
        <f>SUM(ZK29:ZK40)</f>
        <v/>
      </c>
      <c r="ZM40" s="12">
        <f>OR(ZM39,ZL40&gt;=VATThreshold)</f>
        <v/>
      </c>
      <c r="ZN40" s="9">
        <f>IF(ZM40,ZK40/(1+VATRate),ZK40)</f>
        <v/>
      </c>
      <c r="ZO40" s="12">
        <f>ZK40-ZN40</f>
        <v/>
      </c>
      <c r="ZP40" s="12">
        <f>IF(ZM40=0,0,IF(YL40=1,SUMPRODUCT(--(($YM$5:$YM40=$YM40-1)*($YL$5:$YL40&gt;=10)*($YL$5:$YL40&lt;=12)),$ZO$5:$ZO40),IF(YL40=4,SUMPRODUCT(--(($YM$5:$YM40=$YM40)*($YL$5:$YL40&gt;=1)*($YL$5:$YL40&lt;=3)),$ZO$5:$ZO40),IF(YL40=7,SUMPRODUCT(--(($YM$5:$YM40=$YM40)*($YL$5:$YL40&gt;=4)*($YL$5:$YL40&lt;=6)),$ZO$5:$ZO40),IF(YL40=10,SUMPRODUCT(--(($YM$5:$YM40=$YM40)*($YL$5:$YL40&gt;=7)*($YL$5:$YL40&lt;=9)),$ZO$5:$ZO40),0)))))</f>
        <v/>
      </c>
      <c r="ZQ40" s="12">
        <f>ZQ39+ZO40-ZP40</f>
        <v/>
      </c>
      <c r="ZR40" s="12">
        <f>IF(ProviderDelay&gt;=1,ZN39*ProviderShare,ZN40*ProviderShare)</f>
        <v/>
      </c>
      <c r="ZS40" s="12">
        <f>ZK40*PaymentFee</f>
        <v/>
      </c>
      <c r="ZT40" s="12">
        <f>ZE40*OpsAI</f>
        <v/>
      </c>
      <c r="ZU40" s="12">
        <f>MonthlyFixed</f>
        <v/>
      </c>
      <c r="ZV40" s="12">
        <f>YS40*ReferralReward</f>
        <v/>
      </c>
      <c r="ZW40" s="12">
        <f>YQ40</f>
        <v/>
      </c>
      <c r="ZX40" s="9">
        <f>ZN40-ZR40-ZS40-ZT40-ZU40-ZV40-ZW40</f>
        <v/>
      </c>
      <c r="ZY40" s="9">
        <f>ZY39+ZK40-(ZR40+ZS40+ZT40+ZU40+ZV40+ZW40+ZP40)</f>
        <v/>
      </c>
      <c r="ZZ40" s="12">
        <f>IF(ZE40&gt;0,ZF40/ZE40,0)</f>
        <v/>
      </c>
      <c r="AAA40" s="11">
        <f>IF(ZE39&gt;0,MAX(0,(ZE39+YT40-ZE40)/ZE39),0)</f>
        <v/>
      </c>
      <c r="AAC40" s="12" t="n">
        <v>36</v>
      </c>
      <c r="AAD40" s="12">
        <f>MOD(AAC40-1+LaunchMonth-1,12)+1</f>
        <v/>
      </c>
      <c r="AAE40" s="12">
        <f>INT((AAC40-1+LaunchMonth-1)/12)+1</f>
        <v/>
      </c>
      <c r="AAF40" s="12">
        <f>VLOOKUP(AAD40,SeasonTable,2,FALSE)</f>
        <v/>
      </c>
      <c r="AAG40" s="12">
        <f>(1+InflationRate)^INT((AAC40-1)/12)</f>
        <v/>
      </c>
      <c r="AAH40" s="11">
        <f>MonthlyChurn*VLOOKUP(AAD40,ChurnSeasonTable,4,FALSE)</f>
        <v/>
      </c>
      <c r="AAI40" s="12">
        <f>MIN(MAX(MktMin19plus,ABC39*MktPct19plus),MAX(0,ABQ39-CashBuffer))</f>
        <v/>
      </c>
      <c r="AAJ40" s="12">
        <f>IF(AAI40&gt;0,MAX(1,ROUND(AAI40/CAC*AAF40,0)),0)</f>
        <v/>
      </c>
      <c r="AAK40" s="12">
        <f>IF(AAJ40&gt;0,ROUND(AAJ40*ReferralMix/(1-ReferralMix),0),0)</f>
        <v/>
      </c>
      <c r="AAL40" s="12">
        <f>AAJ40+AAK40</f>
        <v/>
      </c>
      <c r="AAM40" s="12">
        <f>ROUND(AAL40*(1-'Sens - Annual Mix'!$A$13),0)</f>
        <v/>
      </c>
      <c r="AAN40" s="12">
        <f>AAL40-AAM40</f>
        <v/>
      </c>
      <c r="AAO40" s="12">
        <f>ROUND(AAM40*EssentialMix,0)</f>
        <v/>
      </c>
      <c r="AAP40" s="12">
        <f>AAM40-AAO40</f>
        <v/>
      </c>
      <c r="AAQ40" s="12">
        <f>ROUND(AAN40*EssentialMix,0)</f>
        <v/>
      </c>
      <c r="AAR40" s="12">
        <f>AAN40-AAQ40</f>
        <v/>
      </c>
      <c r="AAS40" s="12">
        <f>AAO40+AAO39+AAO38+MAX(0,AAS39-AAO39-AAO38)*(1-AAH40)</f>
        <v/>
      </c>
      <c r="AAT40" s="12">
        <f>AAP40+AAP39+AAP38+MAX(0,AAT39-AAP39-AAP38)*(1-AAH40)</f>
        <v/>
      </c>
      <c r="AAU40" s="12">
        <f>AAU39+AAQ40-AAQ28*(AnnualChurn*VLOOKUP(AAD40,ChurnSeasonTable,4,FALSE))*POWER(1-(AnnualChurn*VLOOKUP(AAD40,ChurnSeasonTable,4,FALSE)),0)+AAQ16*(AnnualChurn*VLOOKUP(AAD40,ChurnSeasonTable,4,FALSE))*POWER(1-(AnnualChurn*VLOOKUP(AAD40,ChurnSeasonTable,4,FALSE)),1)</f>
        <v/>
      </c>
      <c r="AAV40" s="12">
        <f>AAV39+AAR40-AAR28*(AnnualChurn*VLOOKUP(AAD40,ChurnSeasonTable,4,FALSE))*POWER(1-(AnnualChurn*VLOOKUP(AAD40,ChurnSeasonTable,4,FALSE)),0)+AAR16*(AnnualChurn*VLOOKUP(AAD40,ChurnSeasonTable,4,FALSE))*POWER(1-(AnnualChurn*VLOOKUP(AAD40,ChurnSeasonTable,4,FALSE)),1)</f>
        <v/>
      </c>
      <c r="AAW40" s="12">
        <f>AAS40+AAT40+AAU40+AAV40</f>
        <v/>
      </c>
      <c r="AAX40" s="9">
        <f>AAS40*PriceEssMonthly*AAG40+AAT40*PricePremMonthly*AAG40+AAU40*PriceEssAnnual*AAG40/12+AAV40*PricePremAnnual*AAG40/12</f>
        <v/>
      </c>
      <c r="AAY40" s="9">
        <f>AAX40*12</f>
        <v/>
      </c>
      <c r="AAZ40" s="12">
        <f>AAS40*PriceEssMonthly*AAG40+AAT40*PricePremMonthly*AAG40</f>
        <v/>
      </c>
      <c r="ABA40" s="12">
        <f>AAQ40*PriceEssAnnual*AAG40+AAR40*PricePremAnnual*AAG40</f>
        <v/>
      </c>
      <c r="ABB40" s="12">
        <f>AAQ28*POWER(1-(AnnualChurn*VLOOKUP(AAD40,ChurnSeasonTable,4,FALSE)),1)*PriceEssAnnual*AAG40+AAQ16*POWER(1-(AnnualChurn*VLOOKUP(AAD40,ChurnSeasonTable,4,FALSE)),2)*PriceEssAnnual*AAG40+AAR28*POWER(1-(AnnualChurn*VLOOKUP(AAD40,ChurnSeasonTable,4,FALSE)),1)*PricePremAnnual*AAG40+AAR16*POWER(1-(AnnualChurn*VLOOKUP(AAD40,ChurnSeasonTable,4,FALSE)),2)*PricePremAnnual*AAG40</f>
        <v/>
      </c>
      <c r="ABC40" s="9">
        <f>AAZ40+ABA40+ABB40</f>
        <v/>
      </c>
      <c r="ABD40" s="12">
        <f>SUM(ABC29:ABC40)</f>
        <v/>
      </c>
      <c r="ABE40" s="12">
        <f>OR(ABE39,ABD40&gt;=VATThreshold)</f>
        <v/>
      </c>
      <c r="ABF40" s="9">
        <f>IF(ABE40,ABC40/(1+VATRate),ABC40)</f>
        <v/>
      </c>
      <c r="ABG40" s="12">
        <f>ABC40-ABF40</f>
        <v/>
      </c>
      <c r="ABH40" s="12">
        <f>IF(ABE40=0,0,IF(AAD40=1,SUMPRODUCT(--(($AAE$5:$AAE40=$AAE40-1)*($AAD$5:$AAD40&gt;=10)*($AAD$5:$AAD40&lt;=12)),$ABG$5:$ABG40),IF(AAD40=4,SUMPRODUCT(--(($AAE$5:$AAE40=$AAE40)*($AAD$5:$AAD40&gt;=1)*($AAD$5:$AAD40&lt;=3)),$ABG$5:$ABG40),IF(AAD40=7,SUMPRODUCT(--(($AAE$5:$AAE40=$AAE40)*($AAD$5:$AAD40&gt;=4)*($AAD$5:$AAD40&lt;=6)),$ABG$5:$ABG40),IF(AAD40=10,SUMPRODUCT(--(($AAE$5:$AAE40=$AAE40)*($AAD$5:$AAD40&gt;=7)*($AAD$5:$AAD40&lt;=9)),$ABG$5:$ABG40),0)))))</f>
        <v/>
      </c>
      <c r="ABI40" s="12">
        <f>ABI39+ABG40-ABH40</f>
        <v/>
      </c>
      <c r="ABJ40" s="12">
        <f>IF(ProviderDelay&gt;=1,ABF39*ProviderShare,ABF40*ProviderShare)</f>
        <v/>
      </c>
      <c r="ABK40" s="12">
        <f>ABC40*PaymentFee</f>
        <v/>
      </c>
      <c r="ABL40" s="12">
        <f>AAW40*OpsAI</f>
        <v/>
      </c>
      <c r="ABM40" s="12">
        <f>MonthlyFixed</f>
        <v/>
      </c>
      <c r="ABN40" s="12">
        <f>AAK40*ReferralReward</f>
        <v/>
      </c>
      <c r="ABO40" s="12">
        <f>AAI40</f>
        <v/>
      </c>
      <c r="ABP40" s="9">
        <f>ABF40-ABJ40-ABK40-ABL40-ABM40-ABN40-ABO40</f>
        <v/>
      </c>
      <c r="ABQ40" s="9">
        <f>ABQ39+ABC40-(ABJ40+ABK40+ABL40+ABM40+ABN40+ABO40+ABH40)</f>
        <v/>
      </c>
      <c r="ABR40" s="12">
        <f>IF(AAW40&gt;0,AAX40/AAW40,0)</f>
        <v/>
      </c>
      <c r="ABS40" s="11">
        <f>IF(AAW39&gt;0,MAX(0,(AAW39+AAL40-AAW40)/AAW39),0)</f>
        <v/>
      </c>
      <c r="ABU40" s="12" t="n">
        <v>36</v>
      </c>
      <c r="ABV40" s="12">
        <f>MOD(ABU40-1+LaunchMonth-1,12)+1</f>
        <v/>
      </c>
      <c r="ABW40" s="12">
        <f>INT((ABU40-1+LaunchMonth-1)/12)+1</f>
        <v/>
      </c>
      <c r="ABX40" s="12">
        <f>VLOOKUP(ABV40,SeasonTable,2,FALSE)</f>
        <v/>
      </c>
      <c r="ABY40" s="12">
        <f>(1+InflationRate)^INT((ABU40-1)/12)</f>
        <v/>
      </c>
      <c r="ABZ40" s="11">
        <f>MonthlyChurn*VLOOKUP(ABV40,ChurnSeasonTable,4,FALSE)</f>
        <v/>
      </c>
      <c r="ACA40" s="12">
        <f>MIN(MAX(MktMin19plus,ACU39*MktPct19plus),MAX(0,ADI39-CashBuffer))</f>
        <v/>
      </c>
      <c r="ACB40" s="12">
        <f>IF(ACA40&gt;0,MAX(1,ROUND(ACA40/CAC*ABX40,0)),0)</f>
        <v/>
      </c>
      <c r="ACC40" s="12">
        <f>IF(ACB40&gt;0,ROUND(ACB40*ReferralMix/(1-ReferralMix),0),0)</f>
        <v/>
      </c>
      <c r="ACD40" s="12">
        <f>ACB40+ACC40</f>
        <v/>
      </c>
      <c r="ACE40" s="12">
        <f>ROUND(ACD40*(1-'Sens - Annual Mix'!$A$14),0)</f>
        <v/>
      </c>
      <c r="ACF40" s="12">
        <f>ACD40-ACE40</f>
        <v/>
      </c>
      <c r="ACG40" s="12">
        <f>ROUND(ACE40*EssentialMix,0)</f>
        <v/>
      </c>
      <c r="ACH40" s="12">
        <f>ACE40-ACG40</f>
        <v/>
      </c>
      <c r="ACI40" s="12">
        <f>ROUND(ACF40*EssentialMix,0)</f>
        <v/>
      </c>
      <c r="ACJ40" s="12">
        <f>ACF40-ACI40</f>
        <v/>
      </c>
      <c r="ACK40" s="12">
        <f>ACG40+ACG39+ACG38+MAX(0,ACK39-ACG39-ACG38)*(1-ABZ40)</f>
        <v/>
      </c>
      <c r="ACL40" s="12">
        <f>ACH40+ACH39+ACH38+MAX(0,ACL39-ACH39-ACH38)*(1-ABZ40)</f>
        <v/>
      </c>
      <c r="ACM40" s="12">
        <f>ACM39+ACI40-ACI28*(AnnualChurn*VLOOKUP(ABV40,ChurnSeasonTable,4,FALSE))*POWER(1-(AnnualChurn*VLOOKUP(ABV40,ChurnSeasonTable,4,FALSE)),0)+ACI16*(AnnualChurn*VLOOKUP(ABV40,ChurnSeasonTable,4,FALSE))*POWER(1-(AnnualChurn*VLOOKUP(ABV40,ChurnSeasonTable,4,FALSE)),1)</f>
        <v/>
      </c>
      <c r="ACN40" s="12">
        <f>ACN39+ACJ40-ACJ28*(AnnualChurn*VLOOKUP(ABV40,ChurnSeasonTable,4,FALSE))*POWER(1-(AnnualChurn*VLOOKUP(ABV40,ChurnSeasonTable,4,FALSE)),0)+ACJ16*(AnnualChurn*VLOOKUP(ABV40,ChurnSeasonTable,4,FALSE))*POWER(1-(AnnualChurn*VLOOKUP(ABV40,ChurnSeasonTable,4,FALSE)),1)</f>
        <v/>
      </c>
      <c r="ACO40" s="12">
        <f>ACK40+ACL40+ACM40+ACN40</f>
        <v/>
      </c>
      <c r="ACP40" s="9">
        <f>ACK40*PriceEssMonthly*ABY40+ACL40*PricePremMonthly*ABY40+ACM40*PriceEssAnnual*ABY40/12+ACN40*PricePremAnnual*ABY40/12</f>
        <v/>
      </c>
      <c r="ACQ40" s="9">
        <f>ACP40*12</f>
        <v/>
      </c>
      <c r="ACR40" s="12">
        <f>ACK40*PriceEssMonthly*ABY40+ACL40*PricePremMonthly*ABY40</f>
        <v/>
      </c>
      <c r="ACS40" s="12">
        <f>ACI40*PriceEssAnnual*ABY40+ACJ40*PricePremAnnual*ABY40</f>
        <v/>
      </c>
      <c r="ACT40" s="12">
        <f>ACI28*POWER(1-(AnnualChurn*VLOOKUP(ABV40,ChurnSeasonTable,4,FALSE)),1)*PriceEssAnnual*ABY40+ACI16*POWER(1-(AnnualChurn*VLOOKUP(ABV40,ChurnSeasonTable,4,FALSE)),2)*PriceEssAnnual*ABY40+ACJ28*POWER(1-(AnnualChurn*VLOOKUP(ABV40,ChurnSeasonTable,4,FALSE)),1)*PricePremAnnual*ABY40+ACJ16*POWER(1-(AnnualChurn*VLOOKUP(ABV40,ChurnSeasonTable,4,FALSE)),2)*PricePremAnnual*ABY40</f>
        <v/>
      </c>
      <c r="ACU40" s="9">
        <f>ACR40+ACS40+ACT40</f>
        <v/>
      </c>
      <c r="ACV40" s="12">
        <f>SUM(ACU29:ACU40)</f>
        <v/>
      </c>
      <c r="ACW40" s="12">
        <f>OR(ACW39,ACV40&gt;=VATThreshold)</f>
        <v/>
      </c>
      <c r="ACX40" s="9">
        <f>IF(ACW40,ACU40/(1+VATRate),ACU40)</f>
        <v/>
      </c>
      <c r="ACY40" s="12">
        <f>ACU40-ACX40</f>
        <v/>
      </c>
      <c r="ACZ40" s="12">
        <f>IF(ACW40=0,0,IF(ABV40=1,SUMPRODUCT(--(($ABW$5:$ABW40=$ABW40-1)*($ABV$5:$ABV40&gt;=10)*($ABV$5:$ABV40&lt;=12)),$ACY$5:$ACY40),IF(ABV40=4,SUMPRODUCT(--(($ABW$5:$ABW40=$ABW40)*($ABV$5:$ABV40&gt;=1)*($ABV$5:$ABV40&lt;=3)),$ACY$5:$ACY40),IF(ABV40=7,SUMPRODUCT(--(($ABW$5:$ABW40=$ABW40)*($ABV$5:$ABV40&gt;=4)*($ABV$5:$ABV40&lt;=6)),$ACY$5:$ACY40),IF(ABV40=10,SUMPRODUCT(--(($ABW$5:$ABW40=$ABW40)*($ABV$5:$ABV40&gt;=7)*($ABV$5:$ABV40&lt;=9)),$ACY$5:$ACY40),0)))))</f>
        <v/>
      </c>
      <c r="ADA40" s="12">
        <f>ADA39+ACY40-ACZ40</f>
        <v/>
      </c>
      <c r="ADB40" s="12">
        <f>IF(ProviderDelay&gt;=1,ACX39*ProviderShare,ACX40*ProviderShare)</f>
        <v/>
      </c>
      <c r="ADC40" s="12">
        <f>ACU40*PaymentFee</f>
        <v/>
      </c>
      <c r="ADD40" s="12">
        <f>ACO40*OpsAI</f>
        <v/>
      </c>
      <c r="ADE40" s="12">
        <f>MonthlyFixed</f>
        <v/>
      </c>
      <c r="ADF40" s="12">
        <f>ACC40*ReferralReward</f>
        <v/>
      </c>
      <c r="ADG40" s="12">
        <f>ACA40</f>
        <v/>
      </c>
      <c r="ADH40" s="9">
        <f>ACX40-ADB40-ADC40-ADD40-ADE40-ADF40-ADG40</f>
        <v/>
      </c>
      <c r="ADI40" s="9">
        <f>ADI39+ACU40-(ADB40+ADC40+ADD40+ADE40+ADF40+ADG40+ACZ40)</f>
        <v/>
      </c>
      <c r="ADJ40" s="12">
        <f>IF(ACO40&gt;0,ACP40/ACO40,0)</f>
        <v/>
      </c>
      <c r="ADK40" s="11">
        <f>IF(ACO39&gt;0,MAX(0,(ACO39+ACD40-ACO40)/ACO39),0)</f>
        <v/>
      </c>
      <c r="ADM40" s="12" t="n">
        <v>36</v>
      </c>
      <c r="ADN40" s="12">
        <f>MOD(ADM40-1+LaunchMonth-1,12)+1</f>
        <v/>
      </c>
      <c r="ADO40" s="12">
        <f>INT((ADM40-1+LaunchMonth-1)/12)+1</f>
        <v/>
      </c>
      <c r="ADP40" s="12">
        <f>VLOOKUP(ADN40,SeasonTable,2,FALSE)</f>
        <v/>
      </c>
      <c r="ADQ40" s="12">
        <f>(1+InflationRate)^INT((ADM40-1)/12)</f>
        <v/>
      </c>
      <c r="ADR40" s="11">
        <f>MonthlyChurn*VLOOKUP(ADN40,ChurnSeasonTable,4,FALSE)</f>
        <v/>
      </c>
      <c r="ADS40" s="12">
        <f>MIN(MAX(MktMin19plus,AEM39*MktPct19plus),MAX(0,AFA39-CashBuffer))</f>
        <v/>
      </c>
      <c r="ADT40" s="12">
        <f>IF(ADS40&gt;0,MAX(1,ROUND(ADS40/CAC*ADP40,0)),0)</f>
        <v/>
      </c>
      <c r="ADU40" s="12">
        <f>IF(ADT40&gt;0,ROUND(ADT40*ReferralMix/(1-ReferralMix),0),0)</f>
        <v/>
      </c>
      <c r="ADV40" s="12">
        <f>ADT40+ADU40</f>
        <v/>
      </c>
      <c r="ADW40" s="12">
        <f>ROUND(ADV40*(1-'Sens - Annual Mix'!$A$15),0)</f>
        <v/>
      </c>
      <c r="ADX40" s="12">
        <f>ADV40-ADW40</f>
        <v/>
      </c>
      <c r="ADY40" s="12">
        <f>ROUND(ADW40*EssentialMix,0)</f>
        <v/>
      </c>
      <c r="ADZ40" s="12">
        <f>ADW40-ADY40</f>
        <v/>
      </c>
      <c r="AEA40" s="12">
        <f>ROUND(ADX40*EssentialMix,0)</f>
        <v/>
      </c>
      <c r="AEB40" s="12">
        <f>ADX40-AEA40</f>
        <v/>
      </c>
      <c r="AEC40" s="12">
        <f>ADY40+ADY39+ADY38+MAX(0,AEC39-ADY39-ADY38)*(1-ADR40)</f>
        <v/>
      </c>
      <c r="AED40" s="12">
        <f>ADZ40+ADZ39+ADZ38+MAX(0,AED39-ADZ39-ADZ38)*(1-ADR40)</f>
        <v/>
      </c>
      <c r="AEE40" s="12">
        <f>AEE39+AEA40-AEA28*(AnnualChurn*VLOOKUP(ADN40,ChurnSeasonTable,4,FALSE))*POWER(1-(AnnualChurn*VLOOKUP(ADN40,ChurnSeasonTable,4,FALSE)),0)+AEA16*(AnnualChurn*VLOOKUP(ADN40,ChurnSeasonTable,4,FALSE))*POWER(1-(AnnualChurn*VLOOKUP(ADN40,ChurnSeasonTable,4,FALSE)),1)</f>
        <v/>
      </c>
      <c r="AEF40" s="12">
        <f>AEF39+AEB40-AEB28*(AnnualChurn*VLOOKUP(ADN40,ChurnSeasonTable,4,FALSE))*POWER(1-(AnnualChurn*VLOOKUP(ADN40,ChurnSeasonTable,4,FALSE)),0)+AEB16*(AnnualChurn*VLOOKUP(ADN40,ChurnSeasonTable,4,FALSE))*POWER(1-(AnnualChurn*VLOOKUP(ADN40,ChurnSeasonTable,4,FALSE)),1)</f>
        <v/>
      </c>
      <c r="AEG40" s="12">
        <f>AEC40+AED40+AEE40+AEF40</f>
        <v/>
      </c>
      <c r="AEH40" s="9">
        <f>AEC40*PriceEssMonthly*ADQ40+AED40*PricePremMonthly*ADQ40+AEE40*PriceEssAnnual*ADQ40/12+AEF40*PricePremAnnual*ADQ40/12</f>
        <v/>
      </c>
      <c r="AEI40" s="9">
        <f>AEH40*12</f>
        <v/>
      </c>
      <c r="AEJ40" s="12">
        <f>AEC40*PriceEssMonthly*ADQ40+AED40*PricePremMonthly*ADQ40</f>
        <v/>
      </c>
      <c r="AEK40" s="12">
        <f>AEA40*PriceEssAnnual*ADQ40+AEB40*PricePremAnnual*ADQ40</f>
        <v/>
      </c>
      <c r="AEL40" s="12">
        <f>AEA28*POWER(1-(AnnualChurn*VLOOKUP(ADN40,ChurnSeasonTable,4,FALSE)),1)*PriceEssAnnual*ADQ40+AEA16*POWER(1-(AnnualChurn*VLOOKUP(ADN40,ChurnSeasonTable,4,FALSE)),2)*PriceEssAnnual*ADQ40+AEB28*POWER(1-(AnnualChurn*VLOOKUP(ADN40,ChurnSeasonTable,4,FALSE)),1)*PricePremAnnual*ADQ40+AEB16*POWER(1-(AnnualChurn*VLOOKUP(ADN40,ChurnSeasonTable,4,FALSE)),2)*PricePremAnnual*ADQ40</f>
        <v/>
      </c>
      <c r="AEM40" s="9">
        <f>AEJ40+AEK40+AEL40</f>
        <v/>
      </c>
      <c r="AEN40" s="12">
        <f>SUM(AEM29:AEM40)</f>
        <v/>
      </c>
      <c r="AEO40" s="12">
        <f>OR(AEO39,AEN40&gt;=VATThreshold)</f>
        <v/>
      </c>
      <c r="AEP40" s="9">
        <f>IF(AEO40,AEM40/(1+VATRate),AEM40)</f>
        <v/>
      </c>
      <c r="AEQ40" s="12">
        <f>AEM40-AEP40</f>
        <v/>
      </c>
      <c r="AER40" s="12">
        <f>IF(AEO40=0,0,IF(ADN40=1,SUMPRODUCT(--(($ADO$5:$ADO40=$ADO40-1)*($ADN$5:$ADN40&gt;=10)*($ADN$5:$ADN40&lt;=12)),$AEQ$5:$AEQ40),IF(ADN40=4,SUMPRODUCT(--(($ADO$5:$ADO40=$ADO40)*($ADN$5:$ADN40&gt;=1)*($ADN$5:$ADN40&lt;=3)),$AEQ$5:$AEQ40),IF(ADN40=7,SUMPRODUCT(--(($ADO$5:$ADO40=$ADO40)*($ADN$5:$ADN40&gt;=4)*($ADN$5:$ADN40&lt;=6)),$AEQ$5:$AEQ40),IF(ADN40=10,SUMPRODUCT(--(($ADO$5:$ADO40=$ADO40)*($ADN$5:$ADN40&gt;=7)*($ADN$5:$ADN40&lt;=9)),$AEQ$5:$AEQ40),0)))))</f>
        <v/>
      </c>
      <c r="AES40" s="12">
        <f>AES39+AEQ40-AER40</f>
        <v/>
      </c>
      <c r="AET40" s="12">
        <f>IF(ProviderDelay&gt;=1,AEP39*ProviderShare,AEP40*ProviderShare)</f>
        <v/>
      </c>
      <c r="AEU40" s="12">
        <f>AEM40*PaymentFee</f>
        <v/>
      </c>
      <c r="AEV40" s="12">
        <f>AEG40*OpsAI</f>
        <v/>
      </c>
      <c r="AEW40" s="12">
        <f>MonthlyFixed</f>
        <v/>
      </c>
      <c r="AEX40" s="12">
        <f>ADU40*ReferralReward</f>
        <v/>
      </c>
      <c r="AEY40" s="12">
        <f>ADS40</f>
        <v/>
      </c>
      <c r="AEZ40" s="9">
        <f>AEP40-AET40-AEU40-AEV40-AEW40-AEX40-AEY40</f>
        <v/>
      </c>
      <c r="AFA40" s="9">
        <f>AFA39+AEM40-(AET40+AEU40+AEV40+AEW40+AEX40+AEY40+AER40)</f>
        <v/>
      </c>
      <c r="AFB40" s="12">
        <f>IF(AEG40&gt;0,AEH40/AEG40,0)</f>
        <v/>
      </c>
      <c r="AFC40" s="11">
        <f>IF(AEG39&gt;0,MAX(0,(AEG39+ADV40-AEG40)/AEG39),0)</f>
        <v/>
      </c>
      <c r="AFE40" s="12" t="n">
        <v>36</v>
      </c>
      <c r="AFF40" s="12">
        <f>MOD(AFE40-1+LaunchMonth-1,12)+1</f>
        <v/>
      </c>
      <c r="AFG40" s="12">
        <f>INT((AFE40-1+LaunchMonth-1)/12)+1</f>
        <v/>
      </c>
      <c r="AFH40" s="12">
        <f>VLOOKUP(AFF40,SeasonTable,2,FALSE)</f>
        <v/>
      </c>
      <c r="AFI40" s="12">
        <f>(1+InflationRate)^INT((AFE40-1)/12)</f>
        <v/>
      </c>
      <c r="AFJ40" s="11">
        <f>MonthlyChurn*VLOOKUP(AFF40,ChurnSeasonTable,4,FALSE)</f>
        <v/>
      </c>
      <c r="AFK40" s="12">
        <f>MIN(MAX(MktMin19plus,AGE39*MktPct19plus),MAX(0,AGS39-CashBuffer))</f>
        <v/>
      </c>
      <c r="AFL40" s="12">
        <f>IF(AFK40&gt;0,MAX(1,ROUND(AFK40/'Sens - CAC &amp; Marketing'!$A$9*AFH40,0)),0)</f>
        <v/>
      </c>
      <c r="AFM40" s="12">
        <f>IF(AFL40&gt;0,ROUND(AFL40*ReferralMix/(1-ReferralMix),0),0)</f>
        <v/>
      </c>
      <c r="AFN40" s="12">
        <f>AFL40+AFM40</f>
        <v/>
      </c>
      <c r="AFO40" s="12">
        <f>ROUND(AFN40*(1-AnnualMix),0)</f>
        <v/>
      </c>
      <c r="AFP40" s="12">
        <f>AFN40-AFO40</f>
        <v/>
      </c>
      <c r="AFQ40" s="12">
        <f>ROUND(AFO40*EssentialMix,0)</f>
        <v/>
      </c>
      <c r="AFR40" s="12">
        <f>AFO40-AFQ40</f>
        <v/>
      </c>
      <c r="AFS40" s="12">
        <f>ROUND(AFP40*EssentialMix,0)</f>
        <v/>
      </c>
      <c r="AFT40" s="12">
        <f>AFP40-AFS40</f>
        <v/>
      </c>
      <c r="AFU40" s="12">
        <f>AFQ40+AFQ39+AFQ38+MAX(0,AFU39-AFQ39-AFQ38)*(1-AFJ40)</f>
        <v/>
      </c>
      <c r="AFV40" s="12">
        <f>AFR40+AFR39+AFR38+MAX(0,AFV39-AFR39-AFR38)*(1-AFJ40)</f>
        <v/>
      </c>
      <c r="AFW40" s="12">
        <f>AFW39+AFS40-AFS28*(AnnualChurn*VLOOKUP(AFF40,ChurnSeasonTable,4,FALSE))*POWER(1-(AnnualChurn*VLOOKUP(AFF40,ChurnSeasonTable,4,FALSE)),0)+AFS16*(AnnualChurn*VLOOKUP(AFF40,ChurnSeasonTable,4,FALSE))*POWER(1-(AnnualChurn*VLOOKUP(AFF40,ChurnSeasonTable,4,FALSE)),1)</f>
        <v/>
      </c>
      <c r="AFX40" s="12">
        <f>AFX39+AFT40-AFT28*(AnnualChurn*VLOOKUP(AFF40,ChurnSeasonTable,4,FALSE))*POWER(1-(AnnualChurn*VLOOKUP(AFF40,ChurnSeasonTable,4,FALSE)),0)+AFT16*(AnnualChurn*VLOOKUP(AFF40,ChurnSeasonTable,4,FALSE))*POWER(1-(AnnualChurn*VLOOKUP(AFF40,ChurnSeasonTable,4,FALSE)),1)</f>
        <v/>
      </c>
      <c r="AFY40" s="12">
        <f>AFU40+AFV40+AFW40+AFX40</f>
        <v/>
      </c>
      <c r="AFZ40" s="9">
        <f>AFU40*PriceEssMonthly*AFI40+AFV40*PricePremMonthly*AFI40+AFW40*PriceEssAnnual*AFI40/12+AFX40*PricePremAnnual*AFI40/12</f>
        <v/>
      </c>
      <c r="AGA40" s="9">
        <f>AFZ40*12</f>
        <v/>
      </c>
      <c r="AGB40" s="12">
        <f>AFU40*PriceEssMonthly*AFI40+AFV40*PricePremMonthly*AFI40</f>
        <v/>
      </c>
      <c r="AGC40" s="12">
        <f>AFS40*PriceEssAnnual*AFI40+AFT40*PricePremAnnual*AFI40</f>
        <v/>
      </c>
      <c r="AGD40" s="12">
        <f>AFS28*POWER(1-(AnnualChurn*VLOOKUP(AFF40,ChurnSeasonTable,4,FALSE)),1)*PriceEssAnnual*AFI40+AFS16*POWER(1-(AnnualChurn*VLOOKUP(AFF40,ChurnSeasonTable,4,FALSE)),2)*PriceEssAnnual*AFI40+AFT28*POWER(1-(AnnualChurn*VLOOKUP(AFF40,ChurnSeasonTable,4,FALSE)),1)*PricePremAnnual*AFI40+AFT16*POWER(1-(AnnualChurn*VLOOKUP(AFF40,ChurnSeasonTable,4,FALSE)),2)*PricePremAnnual*AFI40</f>
        <v/>
      </c>
      <c r="AGE40" s="9">
        <f>AGB40+AGC40+AGD40</f>
        <v/>
      </c>
      <c r="AGF40" s="12">
        <f>SUM(AGE29:AGE40)</f>
        <v/>
      </c>
      <c r="AGG40" s="12">
        <f>OR(AGG39,AGF40&gt;=VATThreshold)</f>
        <v/>
      </c>
      <c r="AGH40" s="9">
        <f>IF(AGG40,AGE40/(1+VATRate),AGE40)</f>
        <v/>
      </c>
      <c r="AGI40" s="12">
        <f>AGE40-AGH40</f>
        <v/>
      </c>
      <c r="AGJ40" s="12">
        <f>IF(AGG40=0,0,IF(AFF40=1,SUMPRODUCT(--(($AFG$5:$AFG40=$AFG40-1)*($AFF$5:$AFF40&gt;=10)*($AFF$5:$AFF40&lt;=12)),$AGI$5:$AGI40),IF(AFF40=4,SUMPRODUCT(--(($AFG$5:$AFG40=$AFG40)*($AFF$5:$AFF40&gt;=1)*($AFF$5:$AFF40&lt;=3)),$AGI$5:$AGI40),IF(AFF40=7,SUMPRODUCT(--(($AFG$5:$AFG40=$AFG40)*($AFF$5:$AFF40&gt;=4)*($AFF$5:$AFF40&lt;=6)),$AGI$5:$AGI40),IF(AFF40=10,SUMPRODUCT(--(($AFG$5:$AFG40=$AFG40)*($AFF$5:$AFF40&gt;=7)*($AFF$5:$AFF40&lt;=9)),$AGI$5:$AGI40),0)))))</f>
        <v/>
      </c>
      <c r="AGK40" s="12">
        <f>AGK39+AGI40-AGJ40</f>
        <v/>
      </c>
      <c r="AGL40" s="12">
        <f>IF(ProviderDelay&gt;=1,AGH39*ProviderShare,AGH40*ProviderShare)</f>
        <v/>
      </c>
      <c r="AGM40" s="12">
        <f>AGE40*PaymentFee</f>
        <v/>
      </c>
      <c r="AGN40" s="12">
        <f>AFY40*OpsAI</f>
        <v/>
      </c>
      <c r="AGO40" s="12">
        <f>MonthlyFixed</f>
        <v/>
      </c>
      <c r="AGP40" s="12">
        <f>AFM40*ReferralReward</f>
        <v/>
      </c>
      <c r="AGQ40" s="12">
        <f>AFK40</f>
        <v/>
      </c>
      <c r="AGR40" s="9">
        <f>AGH40-AGL40-AGM40-AGN40-AGO40-AGP40-AGQ40</f>
        <v/>
      </c>
      <c r="AGS40" s="9">
        <f>AGS39+AGE40-(AGL40+AGM40+AGN40+AGO40+AGP40+AGQ40+AGJ40)</f>
        <v/>
      </c>
      <c r="AGT40" s="12">
        <f>IF(AFY40&gt;0,AFZ40/AFY40,0)</f>
        <v/>
      </c>
      <c r="AGU40" s="11">
        <f>IF(AFY39&gt;0,MAX(0,(AFY39+AFN40-AFY40)/AFY39),0)</f>
        <v/>
      </c>
      <c r="AGW40" s="12" t="n">
        <v>36</v>
      </c>
      <c r="AGX40" s="12">
        <f>MOD(AGW40-1+LaunchMonth-1,12)+1</f>
        <v/>
      </c>
      <c r="AGY40" s="12">
        <f>INT((AGW40-1+LaunchMonth-1)/12)+1</f>
        <v/>
      </c>
      <c r="AGZ40" s="12">
        <f>VLOOKUP(AGX40,SeasonTable,2,FALSE)</f>
        <v/>
      </c>
      <c r="AHA40" s="12">
        <f>(1+InflationRate)^INT((AGW40-1)/12)</f>
        <v/>
      </c>
      <c r="AHB40" s="11">
        <f>MonthlyChurn*VLOOKUP(AGX40,ChurnSeasonTable,4,FALSE)</f>
        <v/>
      </c>
      <c r="AHC40" s="12">
        <f>MIN(MAX(MktMin19plus,AHW39*MktPct19plus),MAX(0,AIK39-CashBuffer))</f>
        <v/>
      </c>
      <c r="AHD40" s="12">
        <f>IF(AHC40&gt;0,MAX(1,ROUND(AHC40/'Sens - CAC &amp; Marketing'!$A$10*AGZ40,0)),0)</f>
        <v/>
      </c>
      <c r="AHE40" s="12">
        <f>IF(AHD40&gt;0,ROUND(AHD40*ReferralMix/(1-ReferralMix),0),0)</f>
        <v/>
      </c>
      <c r="AHF40" s="12">
        <f>AHD40+AHE40</f>
        <v/>
      </c>
      <c r="AHG40" s="12">
        <f>ROUND(AHF40*(1-AnnualMix),0)</f>
        <v/>
      </c>
      <c r="AHH40" s="12">
        <f>AHF40-AHG40</f>
        <v/>
      </c>
      <c r="AHI40" s="12">
        <f>ROUND(AHG40*EssentialMix,0)</f>
        <v/>
      </c>
      <c r="AHJ40" s="12">
        <f>AHG40-AHI40</f>
        <v/>
      </c>
      <c r="AHK40" s="12">
        <f>ROUND(AHH40*EssentialMix,0)</f>
        <v/>
      </c>
      <c r="AHL40" s="12">
        <f>AHH40-AHK40</f>
        <v/>
      </c>
      <c r="AHM40" s="12">
        <f>AHI40+AHI39+AHI38+MAX(0,AHM39-AHI39-AHI38)*(1-AHB40)</f>
        <v/>
      </c>
      <c r="AHN40" s="12">
        <f>AHJ40+AHJ39+AHJ38+MAX(0,AHN39-AHJ39-AHJ38)*(1-AHB40)</f>
        <v/>
      </c>
      <c r="AHO40" s="12">
        <f>AHO39+AHK40-AHK28*(AnnualChurn*VLOOKUP(AGX40,ChurnSeasonTable,4,FALSE))*POWER(1-(AnnualChurn*VLOOKUP(AGX40,ChurnSeasonTable,4,FALSE)),0)+AHK16*(AnnualChurn*VLOOKUP(AGX40,ChurnSeasonTable,4,FALSE))*POWER(1-(AnnualChurn*VLOOKUP(AGX40,ChurnSeasonTable,4,FALSE)),1)</f>
        <v/>
      </c>
      <c r="AHP40" s="12">
        <f>AHP39+AHL40-AHL28*(AnnualChurn*VLOOKUP(AGX40,ChurnSeasonTable,4,FALSE))*POWER(1-(AnnualChurn*VLOOKUP(AGX40,ChurnSeasonTable,4,FALSE)),0)+AHL16*(AnnualChurn*VLOOKUP(AGX40,ChurnSeasonTable,4,FALSE))*POWER(1-(AnnualChurn*VLOOKUP(AGX40,ChurnSeasonTable,4,FALSE)),1)</f>
        <v/>
      </c>
      <c r="AHQ40" s="12">
        <f>AHM40+AHN40+AHO40+AHP40</f>
        <v/>
      </c>
      <c r="AHR40" s="9">
        <f>AHM40*PriceEssMonthly*AHA40+AHN40*PricePremMonthly*AHA40+AHO40*PriceEssAnnual*AHA40/12+AHP40*PricePremAnnual*AHA40/12</f>
        <v/>
      </c>
      <c r="AHS40" s="9">
        <f>AHR40*12</f>
        <v/>
      </c>
      <c r="AHT40" s="12">
        <f>AHM40*PriceEssMonthly*AHA40+AHN40*PricePremMonthly*AHA40</f>
        <v/>
      </c>
      <c r="AHU40" s="12">
        <f>AHK40*PriceEssAnnual*AHA40+AHL40*PricePremAnnual*AHA40</f>
        <v/>
      </c>
      <c r="AHV40" s="12">
        <f>AHK28*POWER(1-(AnnualChurn*VLOOKUP(AGX40,ChurnSeasonTable,4,FALSE)),1)*PriceEssAnnual*AHA40+AHK16*POWER(1-(AnnualChurn*VLOOKUP(AGX40,ChurnSeasonTable,4,FALSE)),2)*PriceEssAnnual*AHA40+AHL28*POWER(1-(AnnualChurn*VLOOKUP(AGX40,ChurnSeasonTable,4,FALSE)),1)*PricePremAnnual*AHA40+AHL16*POWER(1-(AnnualChurn*VLOOKUP(AGX40,ChurnSeasonTable,4,FALSE)),2)*PricePremAnnual*AHA40</f>
        <v/>
      </c>
      <c r="AHW40" s="9">
        <f>AHT40+AHU40+AHV40</f>
        <v/>
      </c>
      <c r="AHX40" s="12">
        <f>SUM(AHW29:AHW40)</f>
        <v/>
      </c>
      <c r="AHY40" s="12">
        <f>OR(AHY39,AHX40&gt;=VATThreshold)</f>
        <v/>
      </c>
      <c r="AHZ40" s="9">
        <f>IF(AHY40,AHW40/(1+VATRate),AHW40)</f>
        <v/>
      </c>
      <c r="AIA40" s="12">
        <f>AHW40-AHZ40</f>
        <v/>
      </c>
      <c r="AIB40" s="12">
        <f>IF(AHY40=0,0,IF(AGX40=1,SUMPRODUCT(--(($AGY$5:$AGY40=$AGY40-1)*($AGX$5:$AGX40&gt;=10)*($AGX$5:$AGX40&lt;=12)),$AIA$5:$AIA40),IF(AGX40=4,SUMPRODUCT(--(($AGY$5:$AGY40=$AGY40)*($AGX$5:$AGX40&gt;=1)*($AGX$5:$AGX40&lt;=3)),$AIA$5:$AIA40),IF(AGX40=7,SUMPRODUCT(--(($AGY$5:$AGY40=$AGY40)*($AGX$5:$AGX40&gt;=4)*($AGX$5:$AGX40&lt;=6)),$AIA$5:$AIA40),IF(AGX40=10,SUMPRODUCT(--(($AGY$5:$AGY40=$AGY40)*($AGX$5:$AGX40&gt;=7)*($AGX$5:$AGX40&lt;=9)),$AIA$5:$AIA40),0)))))</f>
        <v/>
      </c>
      <c r="AIC40" s="12">
        <f>AIC39+AIA40-AIB40</f>
        <v/>
      </c>
      <c r="AID40" s="12">
        <f>IF(ProviderDelay&gt;=1,AHZ39*ProviderShare,AHZ40*ProviderShare)</f>
        <v/>
      </c>
      <c r="AIE40" s="12">
        <f>AHW40*PaymentFee</f>
        <v/>
      </c>
      <c r="AIF40" s="12">
        <f>AHQ40*OpsAI</f>
        <v/>
      </c>
      <c r="AIG40" s="12">
        <f>MonthlyFixed</f>
        <v/>
      </c>
      <c r="AIH40" s="12">
        <f>AHE40*ReferralReward</f>
        <v/>
      </c>
      <c r="AII40" s="12">
        <f>AHC40</f>
        <v/>
      </c>
      <c r="AIJ40" s="9">
        <f>AHZ40-AID40-AIE40-AIF40-AIG40-AIH40-AII40</f>
        <v/>
      </c>
      <c r="AIK40" s="9">
        <f>AIK39+AHW40-(AID40+AIE40+AIF40+AIG40+AIH40+AII40+AIB40)</f>
        <v/>
      </c>
      <c r="AIL40" s="12">
        <f>IF(AHQ40&gt;0,AHR40/AHQ40,0)</f>
        <v/>
      </c>
      <c r="AIM40" s="11">
        <f>IF(AHQ39&gt;0,MAX(0,(AHQ39+AHF40-AHQ40)/AHQ39),0)</f>
        <v/>
      </c>
      <c r="AIO40" s="12" t="n">
        <v>36</v>
      </c>
      <c r="AIP40" s="12">
        <f>MOD(AIO40-1+LaunchMonth-1,12)+1</f>
        <v/>
      </c>
      <c r="AIQ40" s="12">
        <f>INT((AIO40-1+LaunchMonth-1)/12)+1</f>
        <v/>
      </c>
      <c r="AIR40" s="12">
        <f>VLOOKUP(AIP40,SeasonTable,2,FALSE)</f>
        <v/>
      </c>
      <c r="AIS40" s="12">
        <f>(1+InflationRate)^INT((AIO40-1)/12)</f>
        <v/>
      </c>
      <c r="AIT40" s="11">
        <f>MonthlyChurn*VLOOKUP(AIP40,ChurnSeasonTable,4,FALSE)</f>
        <v/>
      </c>
      <c r="AIU40" s="12">
        <f>MIN(MAX(MktMin19plus,AJO39*MktPct19plus),MAX(0,AKC39-CashBuffer))</f>
        <v/>
      </c>
      <c r="AIV40" s="12">
        <f>IF(AIU40&gt;0,MAX(1,ROUND(AIU40/'Sens - CAC &amp; Marketing'!$A$11*AIR40,0)),0)</f>
        <v/>
      </c>
      <c r="AIW40" s="12">
        <f>IF(AIV40&gt;0,ROUND(AIV40*ReferralMix/(1-ReferralMix),0),0)</f>
        <v/>
      </c>
      <c r="AIX40" s="12">
        <f>AIV40+AIW40</f>
        <v/>
      </c>
      <c r="AIY40" s="12">
        <f>ROUND(AIX40*(1-AnnualMix),0)</f>
        <v/>
      </c>
      <c r="AIZ40" s="12">
        <f>AIX40-AIY40</f>
        <v/>
      </c>
      <c r="AJA40" s="12">
        <f>ROUND(AIY40*EssentialMix,0)</f>
        <v/>
      </c>
      <c r="AJB40" s="12">
        <f>AIY40-AJA40</f>
        <v/>
      </c>
      <c r="AJC40" s="12">
        <f>ROUND(AIZ40*EssentialMix,0)</f>
        <v/>
      </c>
      <c r="AJD40" s="12">
        <f>AIZ40-AJC40</f>
        <v/>
      </c>
      <c r="AJE40" s="12">
        <f>AJA40+AJA39+AJA38+MAX(0,AJE39-AJA39-AJA38)*(1-AIT40)</f>
        <v/>
      </c>
      <c r="AJF40" s="12">
        <f>AJB40+AJB39+AJB38+MAX(0,AJF39-AJB39-AJB38)*(1-AIT40)</f>
        <v/>
      </c>
      <c r="AJG40" s="12">
        <f>AJG39+AJC40-AJC28*(AnnualChurn*VLOOKUP(AIP40,ChurnSeasonTable,4,FALSE))*POWER(1-(AnnualChurn*VLOOKUP(AIP40,ChurnSeasonTable,4,FALSE)),0)+AJC16*(AnnualChurn*VLOOKUP(AIP40,ChurnSeasonTable,4,FALSE))*POWER(1-(AnnualChurn*VLOOKUP(AIP40,ChurnSeasonTable,4,FALSE)),1)</f>
        <v/>
      </c>
      <c r="AJH40" s="12">
        <f>AJH39+AJD40-AJD28*(AnnualChurn*VLOOKUP(AIP40,ChurnSeasonTable,4,FALSE))*POWER(1-(AnnualChurn*VLOOKUP(AIP40,ChurnSeasonTable,4,FALSE)),0)+AJD16*(AnnualChurn*VLOOKUP(AIP40,ChurnSeasonTable,4,FALSE))*POWER(1-(AnnualChurn*VLOOKUP(AIP40,ChurnSeasonTable,4,FALSE)),1)</f>
        <v/>
      </c>
      <c r="AJI40" s="12">
        <f>AJE40+AJF40+AJG40+AJH40</f>
        <v/>
      </c>
      <c r="AJJ40" s="9">
        <f>AJE40*PriceEssMonthly*AIS40+AJF40*PricePremMonthly*AIS40+AJG40*PriceEssAnnual*AIS40/12+AJH40*PricePremAnnual*AIS40/12</f>
        <v/>
      </c>
      <c r="AJK40" s="9">
        <f>AJJ40*12</f>
        <v/>
      </c>
      <c r="AJL40" s="12">
        <f>AJE40*PriceEssMonthly*AIS40+AJF40*PricePremMonthly*AIS40</f>
        <v/>
      </c>
      <c r="AJM40" s="12">
        <f>AJC40*PriceEssAnnual*AIS40+AJD40*PricePremAnnual*AIS40</f>
        <v/>
      </c>
      <c r="AJN40" s="12">
        <f>AJC28*POWER(1-(AnnualChurn*VLOOKUP(AIP40,ChurnSeasonTable,4,FALSE)),1)*PriceEssAnnual*AIS40+AJC16*POWER(1-(AnnualChurn*VLOOKUP(AIP40,ChurnSeasonTable,4,FALSE)),2)*PriceEssAnnual*AIS40+AJD28*POWER(1-(AnnualChurn*VLOOKUP(AIP40,ChurnSeasonTable,4,FALSE)),1)*PricePremAnnual*AIS40+AJD16*POWER(1-(AnnualChurn*VLOOKUP(AIP40,ChurnSeasonTable,4,FALSE)),2)*PricePremAnnual*AIS40</f>
        <v/>
      </c>
      <c r="AJO40" s="9">
        <f>AJL40+AJM40+AJN40</f>
        <v/>
      </c>
      <c r="AJP40" s="12">
        <f>SUM(AJO29:AJO40)</f>
        <v/>
      </c>
      <c r="AJQ40" s="12">
        <f>OR(AJQ39,AJP40&gt;=VATThreshold)</f>
        <v/>
      </c>
      <c r="AJR40" s="9">
        <f>IF(AJQ40,AJO40/(1+VATRate),AJO40)</f>
        <v/>
      </c>
      <c r="AJS40" s="12">
        <f>AJO40-AJR40</f>
        <v/>
      </c>
      <c r="AJT40" s="12">
        <f>IF(AJQ40=0,0,IF(AIP40=1,SUMPRODUCT(--(($AIQ$5:$AIQ40=$AIQ40-1)*($AIP$5:$AIP40&gt;=10)*($AIP$5:$AIP40&lt;=12)),$AJS$5:$AJS40),IF(AIP40=4,SUMPRODUCT(--(($AIQ$5:$AIQ40=$AIQ40)*($AIP$5:$AIP40&gt;=1)*($AIP$5:$AIP40&lt;=3)),$AJS$5:$AJS40),IF(AIP40=7,SUMPRODUCT(--(($AIQ$5:$AIQ40=$AIQ40)*($AIP$5:$AIP40&gt;=4)*($AIP$5:$AIP40&lt;=6)),$AJS$5:$AJS40),IF(AIP40=10,SUMPRODUCT(--(($AIQ$5:$AIQ40=$AIQ40)*($AIP$5:$AIP40&gt;=7)*($AIP$5:$AIP40&lt;=9)),$AJS$5:$AJS40),0)))))</f>
        <v/>
      </c>
      <c r="AJU40" s="12">
        <f>AJU39+AJS40-AJT40</f>
        <v/>
      </c>
      <c r="AJV40" s="12">
        <f>IF(ProviderDelay&gt;=1,AJR39*ProviderShare,AJR40*ProviderShare)</f>
        <v/>
      </c>
      <c r="AJW40" s="12">
        <f>AJO40*PaymentFee</f>
        <v/>
      </c>
      <c r="AJX40" s="12">
        <f>AJI40*OpsAI</f>
        <v/>
      </c>
      <c r="AJY40" s="12">
        <f>MonthlyFixed</f>
        <v/>
      </c>
      <c r="AJZ40" s="12">
        <f>AIW40*ReferralReward</f>
        <v/>
      </c>
      <c r="AKA40" s="12">
        <f>AIU40</f>
        <v/>
      </c>
      <c r="AKB40" s="9">
        <f>AJR40-AJV40-AJW40-AJX40-AJY40-AJZ40-AKA40</f>
        <v/>
      </c>
      <c r="AKC40" s="9">
        <f>AKC39+AJO40-(AJV40+AJW40+AJX40+AJY40+AJZ40+AKA40+AJT40)</f>
        <v/>
      </c>
      <c r="AKD40" s="12">
        <f>IF(AJI40&gt;0,AJJ40/AJI40,0)</f>
        <v/>
      </c>
      <c r="AKE40" s="11">
        <f>IF(AJI39&gt;0,MAX(0,(AJI39+AIX40-AJI40)/AJI39),0)</f>
        <v/>
      </c>
      <c r="AKG40" s="12" t="n">
        <v>36</v>
      </c>
      <c r="AKH40" s="12">
        <f>MOD(AKG40-1+LaunchMonth-1,12)+1</f>
        <v/>
      </c>
      <c r="AKI40" s="12">
        <f>INT((AKG40-1+LaunchMonth-1)/12)+1</f>
        <v/>
      </c>
      <c r="AKJ40" s="12">
        <f>VLOOKUP(AKH40,SeasonTable,2,FALSE)</f>
        <v/>
      </c>
      <c r="AKK40" s="12">
        <f>(1+InflationRate)^INT((AKG40-1)/12)</f>
        <v/>
      </c>
      <c r="AKL40" s="11">
        <f>MonthlyChurn*VLOOKUP(AKH40,ChurnSeasonTable,4,FALSE)</f>
        <v/>
      </c>
      <c r="AKM40" s="12">
        <f>MIN(MAX(MktMin19plus,ALG39*MktPct19plus),MAX(0,ALU39-CashBuffer))</f>
        <v/>
      </c>
      <c r="AKN40" s="12">
        <f>IF(AKM40&gt;0,MAX(1,ROUND(AKM40/'Sens - CAC &amp; Marketing'!$A$12*AKJ40,0)),0)</f>
        <v/>
      </c>
      <c r="AKO40" s="12">
        <f>IF(AKN40&gt;0,ROUND(AKN40*ReferralMix/(1-ReferralMix),0),0)</f>
        <v/>
      </c>
      <c r="AKP40" s="12">
        <f>AKN40+AKO40</f>
        <v/>
      </c>
      <c r="AKQ40" s="12">
        <f>ROUND(AKP40*(1-AnnualMix),0)</f>
        <v/>
      </c>
      <c r="AKR40" s="12">
        <f>AKP40-AKQ40</f>
        <v/>
      </c>
      <c r="AKS40" s="12">
        <f>ROUND(AKQ40*EssentialMix,0)</f>
        <v/>
      </c>
      <c r="AKT40" s="12">
        <f>AKQ40-AKS40</f>
        <v/>
      </c>
      <c r="AKU40" s="12">
        <f>ROUND(AKR40*EssentialMix,0)</f>
        <v/>
      </c>
      <c r="AKV40" s="12">
        <f>AKR40-AKU40</f>
        <v/>
      </c>
      <c r="AKW40" s="12">
        <f>AKS40+AKS39+AKS38+MAX(0,AKW39-AKS39-AKS38)*(1-AKL40)</f>
        <v/>
      </c>
      <c r="AKX40" s="12">
        <f>AKT40+AKT39+AKT38+MAX(0,AKX39-AKT39-AKT38)*(1-AKL40)</f>
        <v/>
      </c>
      <c r="AKY40" s="12">
        <f>AKY39+AKU40-AKU28*(AnnualChurn*VLOOKUP(AKH40,ChurnSeasonTable,4,FALSE))*POWER(1-(AnnualChurn*VLOOKUP(AKH40,ChurnSeasonTable,4,FALSE)),0)+AKU16*(AnnualChurn*VLOOKUP(AKH40,ChurnSeasonTable,4,FALSE))*POWER(1-(AnnualChurn*VLOOKUP(AKH40,ChurnSeasonTable,4,FALSE)),1)</f>
        <v/>
      </c>
      <c r="AKZ40" s="12">
        <f>AKZ39+AKV40-AKV28*(AnnualChurn*VLOOKUP(AKH40,ChurnSeasonTable,4,FALSE))*POWER(1-(AnnualChurn*VLOOKUP(AKH40,ChurnSeasonTable,4,FALSE)),0)+AKV16*(AnnualChurn*VLOOKUP(AKH40,ChurnSeasonTable,4,FALSE))*POWER(1-(AnnualChurn*VLOOKUP(AKH40,ChurnSeasonTable,4,FALSE)),1)</f>
        <v/>
      </c>
      <c r="ALA40" s="12">
        <f>AKW40+AKX40+AKY40+AKZ40</f>
        <v/>
      </c>
      <c r="ALB40" s="9">
        <f>AKW40*PriceEssMonthly*AKK40+AKX40*PricePremMonthly*AKK40+AKY40*PriceEssAnnual*AKK40/12+AKZ40*PricePremAnnual*AKK40/12</f>
        <v/>
      </c>
      <c r="ALC40" s="9">
        <f>ALB40*12</f>
        <v/>
      </c>
      <c r="ALD40" s="12">
        <f>AKW40*PriceEssMonthly*AKK40+AKX40*PricePremMonthly*AKK40</f>
        <v/>
      </c>
      <c r="ALE40" s="12">
        <f>AKU40*PriceEssAnnual*AKK40+AKV40*PricePremAnnual*AKK40</f>
        <v/>
      </c>
      <c r="ALF40" s="12">
        <f>AKU28*POWER(1-(AnnualChurn*VLOOKUP(AKH40,ChurnSeasonTable,4,FALSE)),1)*PriceEssAnnual*AKK40+AKU16*POWER(1-(AnnualChurn*VLOOKUP(AKH40,ChurnSeasonTable,4,FALSE)),2)*PriceEssAnnual*AKK40+AKV28*POWER(1-(AnnualChurn*VLOOKUP(AKH40,ChurnSeasonTable,4,FALSE)),1)*PricePremAnnual*AKK40+AKV16*POWER(1-(AnnualChurn*VLOOKUP(AKH40,ChurnSeasonTable,4,FALSE)),2)*PricePremAnnual*AKK40</f>
        <v/>
      </c>
      <c r="ALG40" s="9">
        <f>ALD40+ALE40+ALF40</f>
        <v/>
      </c>
      <c r="ALH40" s="12">
        <f>SUM(ALG29:ALG40)</f>
        <v/>
      </c>
      <c r="ALI40" s="12">
        <f>OR(ALI39,ALH40&gt;=VATThreshold)</f>
        <v/>
      </c>
      <c r="ALJ40" s="9">
        <f>IF(ALI40,ALG40/(1+VATRate),ALG40)</f>
        <v/>
      </c>
      <c r="ALK40" s="12">
        <f>ALG40-ALJ40</f>
        <v/>
      </c>
      <c r="ALL40" s="12">
        <f>IF(ALI40=0,0,IF(AKH40=1,SUMPRODUCT(--(($AKI$5:$AKI40=$AKI40-1)*($AKH$5:$AKH40&gt;=10)*($AKH$5:$AKH40&lt;=12)),$ALK$5:$ALK40),IF(AKH40=4,SUMPRODUCT(--(($AKI$5:$AKI40=$AKI40)*($AKH$5:$AKH40&gt;=1)*($AKH$5:$AKH40&lt;=3)),$ALK$5:$ALK40),IF(AKH40=7,SUMPRODUCT(--(($AKI$5:$AKI40=$AKI40)*($AKH$5:$AKH40&gt;=4)*($AKH$5:$AKH40&lt;=6)),$ALK$5:$ALK40),IF(AKH40=10,SUMPRODUCT(--(($AKI$5:$AKI40=$AKI40)*($AKH$5:$AKH40&gt;=7)*($AKH$5:$AKH40&lt;=9)),$ALK$5:$ALK40),0)))))</f>
        <v/>
      </c>
      <c r="ALM40" s="12">
        <f>ALM39+ALK40-ALL40</f>
        <v/>
      </c>
      <c r="ALN40" s="12">
        <f>IF(ProviderDelay&gt;=1,ALJ39*ProviderShare,ALJ40*ProviderShare)</f>
        <v/>
      </c>
      <c r="ALO40" s="12">
        <f>ALG40*PaymentFee</f>
        <v/>
      </c>
      <c r="ALP40" s="12">
        <f>ALA40*OpsAI</f>
        <v/>
      </c>
      <c r="ALQ40" s="12">
        <f>MonthlyFixed</f>
        <v/>
      </c>
      <c r="ALR40" s="12">
        <f>AKO40*ReferralReward</f>
        <v/>
      </c>
      <c r="ALS40" s="12">
        <f>AKM40</f>
        <v/>
      </c>
      <c r="ALT40" s="9">
        <f>ALJ40-ALN40-ALO40-ALP40-ALQ40-ALR40-ALS40</f>
        <v/>
      </c>
      <c r="ALU40" s="9">
        <f>ALU39+ALG40-(ALN40+ALO40+ALP40+ALQ40+ALR40+ALS40+ALL40)</f>
        <v/>
      </c>
      <c r="ALV40" s="12">
        <f>IF(ALA40&gt;0,ALB40/ALA40,0)</f>
        <v/>
      </c>
      <c r="ALW40" s="11">
        <f>IF(ALA39&gt;0,MAX(0,(ALA39+AKP40-ALA40)/ALA39),0)</f>
        <v/>
      </c>
      <c r="ALY40" s="12" t="n">
        <v>36</v>
      </c>
      <c r="ALZ40" s="12">
        <f>MOD(ALY40-1+LaunchMonth-1,12)+1</f>
        <v/>
      </c>
      <c r="AMA40" s="12">
        <f>INT((ALY40-1+LaunchMonth-1)/12)+1</f>
        <v/>
      </c>
      <c r="AMB40" s="12">
        <f>VLOOKUP(ALZ40,SeasonTable,2,FALSE)</f>
        <v/>
      </c>
      <c r="AMC40" s="12">
        <f>(1+InflationRate)^INT((ALY40-1)/12)</f>
        <v/>
      </c>
      <c r="AMD40" s="11">
        <f>MonthlyChurn*VLOOKUP(ALZ40,ChurnSeasonTable,4,FALSE)</f>
        <v/>
      </c>
      <c r="AME40" s="12">
        <f>MIN(MAX(MktMin19plus,AMY39*MktPct19plus),MAX(0,ANM39-CashBuffer))</f>
        <v/>
      </c>
      <c r="AMF40" s="12">
        <f>IF(AME40&gt;0,MAX(1,ROUND(AME40/'Sens - CAC &amp; Marketing'!$A$13*AMB40,0)),0)</f>
        <v/>
      </c>
      <c r="AMG40" s="12">
        <f>IF(AMF40&gt;0,ROUND(AMF40*ReferralMix/(1-ReferralMix),0),0)</f>
        <v/>
      </c>
      <c r="AMH40" s="12">
        <f>AMF40+AMG40</f>
        <v/>
      </c>
      <c r="AMI40" s="12">
        <f>ROUND(AMH40*(1-AnnualMix),0)</f>
        <v/>
      </c>
      <c r="AMJ40" s="12">
        <f>AMH40-AMI40</f>
        <v/>
      </c>
      <c r="AMK40" s="12">
        <f>ROUND(AMI40*EssentialMix,0)</f>
        <v/>
      </c>
      <c r="AML40" s="12">
        <f>AMI40-AMK40</f>
        <v/>
      </c>
      <c r="AMM40" s="12">
        <f>ROUND(AMJ40*EssentialMix,0)</f>
        <v/>
      </c>
      <c r="AMN40" s="12">
        <f>AMJ40-AMM40</f>
        <v/>
      </c>
      <c r="AMO40" s="12">
        <f>AMK40+AMK39+AMK38+MAX(0,AMO39-AMK39-AMK38)*(1-AMD40)</f>
        <v/>
      </c>
      <c r="AMP40" s="12">
        <f>AML40+AML39+AML38+MAX(0,AMP39-AML39-AML38)*(1-AMD40)</f>
        <v/>
      </c>
      <c r="AMQ40" s="12">
        <f>AMQ39+AMM40-AMM28*(AnnualChurn*VLOOKUP(ALZ40,ChurnSeasonTable,4,FALSE))*POWER(1-(AnnualChurn*VLOOKUP(ALZ40,ChurnSeasonTable,4,FALSE)),0)+AMM16*(AnnualChurn*VLOOKUP(ALZ40,ChurnSeasonTable,4,FALSE))*POWER(1-(AnnualChurn*VLOOKUP(ALZ40,ChurnSeasonTable,4,FALSE)),1)</f>
        <v/>
      </c>
      <c r="AMR40" s="12">
        <f>AMR39+AMN40-AMN28*(AnnualChurn*VLOOKUP(ALZ40,ChurnSeasonTable,4,FALSE))*POWER(1-(AnnualChurn*VLOOKUP(ALZ40,ChurnSeasonTable,4,FALSE)),0)+AMN16*(AnnualChurn*VLOOKUP(ALZ40,ChurnSeasonTable,4,FALSE))*POWER(1-(AnnualChurn*VLOOKUP(ALZ40,ChurnSeasonTable,4,FALSE)),1)</f>
        <v/>
      </c>
      <c r="AMS40" s="12">
        <f>AMO40+AMP40+AMQ40+AMR40</f>
        <v/>
      </c>
      <c r="AMT40" s="9">
        <f>AMO40*PriceEssMonthly*AMC40+AMP40*PricePremMonthly*AMC40+AMQ40*PriceEssAnnual*AMC40/12+AMR40*PricePremAnnual*AMC40/12</f>
        <v/>
      </c>
      <c r="AMU40" s="9">
        <f>AMT40*12</f>
        <v/>
      </c>
      <c r="AMV40" s="12">
        <f>AMO40*PriceEssMonthly*AMC40+AMP40*PricePremMonthly*AMC40</f>
        <v/>
      </c>
      <c r="AMW40" s="12">
        <f>AMM40*PriceEssAnnual*AMC40+AMN40*PricePremAnnual*AMC40</f>
        <v/>
      </c>
      <c r="AMX40" s="12">
        <f>AMM28*POWER(1-(AnnualChurn*VLOOKUP(ALZ40,ChurnSeasonTable,4,FALSE)),1)*PriceEssAnnual*AMC40+AMM16*POWER(1-(AnnualChurn*VLOOKUP(ALZ40,ChurnSeasonTable,4,FALSE)),2)*PriceEssAnnual*AMC40+AMN28*POWER(1-(AnnualChurn*VLOOKUP(ALZ40,ChurnSeasonTable,4,FALSE)),1)*PricePremAnnual*AMC40+AMN16*POWER(1-(AnnualChurn*VLOOKUP(ALZ40,ChurnSeasonTable,4,FALSE)),2)*PricePremAnnual*AMC40</f>
        <v/>
      </c>
      <c r="AMY40" s="9">
        <f>AMV40+AMW40+AMX40</f>
        <v/>
      </c>
      <c r="AMZ40" s="12">
        <f>SUM(AMY29:AMY40)</f>
        <v/>
      </c>
      <c r="ANA40" s="12">
        <f>OR(ANA39,AMZ40&gt;=VATThreshold)</f>
        <v/>
      </c>
      <c r="ANB40" s="9">
        <f>IF(ANA40,AMY40/(1+VATRate),AMY40)</f>
        <v/>
      </c>
      <c r="ANC40" s="12">
        <f>AMY40-ANB40</f>
        <v/>
      </c>
      <c r="AND40" s="12">
        <f>IF(ANA40=0,0,IF(ALZ40=1,SUMPRODUCT(--(($AMA$5:$AMA40=$AMA40-1)*($ALZ$5:$ALZ40&gt;=10)*($ALZ$5:$ALZ40&lt;=12)),$ANC$5:$ANC40),IF(ALZ40=4,SUMPRODUCT(--(($AMA$5:$AMA40=$AMA40)*($ALZ$5:$ALZ40&gt;=1)*($ALZ$5:$ALZ40&lt;=3)),$ANC$5:$ANC40),IF(ALZ40=7,SUMPRODUCT(--(($AMA$5:$AMA40=$AMA40)*($ALZ$5:$ALZ40&gt;=4)*($ALZ$5:$ALZ40&lt;=6)),$ANC$5:$ANC40),IF(ALZ40=10,SUMPRODUCT(--(($AMA$5:$AMA40=$AMA40)*($ALZ$5:$ALZ40&gt;=7)*($ALZ$5:$ALZ40&lt;=9)),$ANC$5:$ANC40),0)))))</f>
        <v/>
      </c>
      <c r="ANE40" s="12">
        <f>ANE39+ANC40-AND40</f>
        <v/>
      </c>
      <c r="ANF40" s="12">
        <f>IF(ProviderDelay&gt;=1,ANB39*ProviderShare,ANB40*ProviderShare)</f>
        <v/>
      </c>
      <c r="ANG40" s="12">
        <f>AMY40*PaymentFee</f>
        <v/>
      </c>
      <c r="ANH40" s="12">
        <f>AMS40*OpsAI</f>
        <v/>
      </c>
      <c r="ANI40" s="12">
        <f>MonthlyFixed</f>
        <v/>
      </c>
      <c r="ANJ40" s="12">
        <f>AMG40*ReferralReward</f>
        <v/>
      </c>
      <c r="ANK40" s="12">
        <f>AME40</f>
        <v/>
      </c>
      <c r="ANL40" s="9">
        <f>ANB40-ANF40-ANG40-ANH40-ANI40-ANJ40-ANK40</f>
        <v/>
      </c>
      <c r="ANM40" s="9">
        <f>ANM39+AMY40-(ANF40+ANG40+ANH40+ANI40+ANJ40+ANK40+AND40)</f>
        <v/>
      </c>
      <c r="ANN40" s="12">
        <f>IF(AMS40&gt;0,AMT40/AMS40,0)</f>
        <v/>
      </c>
      <c r="ANO40" s="11">
        <f>IF(AMS39&gt;0,MAX(0,(AMS39+AMH40-AMS40)/AMS39),0)</f>
        <v/>
      </c>
      <c r="ANQ40" s="12" t="n">
        <v>36</v>
      </c>
      <c r="ANR40" s="12">
        <f>MOD(ANQ40-1+LaunchMonth-1,12)+1</f>
        <v/>
      </c>
      <c r="ANS40" s="12">
        <f>INT((ANQ40-1+LaunchMonth-1)/12)+1</f>
        <v/>
      </c>
      <c r="ANT40" s="12">
        <f>VLOOKUP(ANR40,SeasonTable,2,FALSE)</f>
        <v/>
      </c>
      <c r="ANU40" s="12">
        <f>(1+InflationRate)^INT((ANQ40-1)/12)</f>
        <v/>
      </c>
      <c r="ANV40" s="11">
        <f>MonthlyChurn*VLOOKUP(ANR40,ChurnSeasonTable,4,FALSE)</f>
        <v/>
      </c>
      <c r="ANW40" s="12">
        <f>MIN(MAX(MktMin19plus,AOQ39*MktPct19plus),MAX(0,APE39-CashBuffer))</f>
        <v/>
      </c>
      <c r="ANX40" s="12">
        <f>IF(ANW40&gt;0,MAX(1,ROUND(ANW40/'Sens - CAC &amp; Marketing'!$A$14*ANT40,0)),0)</f>
        <v/>
      </c>
      <c r="ANY40" s="12">
        <f>IF(ANX40&gt;0,ROUND(ANX40*ReferralMix/(1-ReferralMix),0),0)</f>
        <v/>
      </c>
      <c r="ANZ40" s="12">
        <f>ANX40+ANY40</f>
        <v/>
      </c>
      <c r="AOA40" s="12">
        <f>ROUND(ANZ40*(1-AnnualMix),0)</f>
        <v/>
      </c>
      <c r="AOB40" s="12">
        <f>ANZ40-AOA40</f>
        <v/>
      </c>
      <c r="AOC40" s="12">
        <f>ROUND(AOA40*EssentialMix,0)</f>
        <v/>
      </c>
      <c r="AOD40" s="12">
        <f>AOA40-AOC40</f>
        <v/>
      </c>
      <c r="AOE40" s="12">
        <f>ROUND(AOB40*EssentialMix,0)</f>
        <v/>
      </c>
      <c r="AOF40" s="12">
        <f>AOB40-AOE40</f>
        <v/>
      </c>
      <c r="AOG40" s="12">
        <f>AOC40+AOC39+AOC38+MAX(0,AOG39-AOC39-AOC38)*(1-ANV40)</f>
        <v/>
      </c>
      <c r="AOH40" s="12">
        <f>AOD40+AOD39+AOD38+MAX(0,AOH39-AOD39-AOD38)*(1-ANV40)</f>
        <v/>
      </c>
      <c r="AOI40" s="12">
        <f>AOI39+AOE40-AOE28*(AnnualChurn*VLOOKUP(ANR40,ChurnSeasonTable,4,FALSE))*POWER(1-(AnnualChurn*VLOOKUP(ANR40,ChurnSeasonTable,4,FALSE)),0)+AOE16*(AnnualChurn*VLOOKUP(ANR40,ChurnSeasonTable,4,FALSE))*POWER(1-(AnnualChurn*VLOOKUP(ANR40,ChurnSeasonTable,4,FALSE)),1)</f>
        <v/>
      </c>
      <c r="AOJ40" s="12">
        <f>AOJ39+AOF40-AOF28*(AnnualChurn*VLOOKUP(ANR40,ChurnSeasonTable,4,FALSE))*POWER(1-(AnnualChurn*VLOOKUP(ANR40,ChurnSeasonTable,4,FALSE)),0)+AOF16*(AnnualChurn*VLOOKUP(ANR40,ChurnSeasonTable,4,FALSE))*POWER(1-(AnnualChurn*VLOOKUP(ANR40,ChurnSeasonTable,4,FALSE)),1)</f>
        <v/>
      </c>
      <c r="AOK40" s="12">
        <f>AOG40+AOH40+AOI40+AOJ40</f>
        <v/>
      </c>
      <c r="AOL40" s="9">
        <f>AOG40*PriceEssMonthly*ANU40+AOH40*PricePremMonthly*ANU40+AOI40*PriceEssAnnual*ANU40/12+AOJ40*PricePremAnnual*ANU40/12</f>
        <v/>
      </c>
      <c r="AOM40" s="9">
        <f>AOL40*12</f>
        <v/>
      </c>
      <c r="AON40" s="12">
        <f>AOG40*PriceEssMonthly*ANU40+AOH40*PricePremMonthly*ANU40</f>
        <v/>
      </c>
      <c r="AOO40" s="12">
        <f>AOE40*PriceEssAnnual*ANU40+AOF40*PricePremAnnual*ANU40</f>
        <v/>
      </c>
      <c r="AOP40" s="12">
        <f>AOE28*POWER(1-(AnnualChurn*VLOOKUP(ANR40,ChurnSeasonTable,4,FALSE)),1)*PriceEssAnnual*ANU40+AOE16*POWER(1-(AnnualChurn*VLOOKUP(ANR40,ChurnSeasonTable,4,FALSE)),2)*PriceEssAnnual*ANU40+AOF28*POWER(1-(AnnualChurn*VLOOKUP(ANR40,ChurnSeasonTable,4,FALSE)),1)*PricePremAnnual*ANU40+AOF16*POWER(1-(AnnualChurn*VLOOKUP(ANR40,ChurnSeasonTable,4,FALSE)),2)*PricePremAnnual*ANU40</f>
        <v/>
      </c>
      <c r="AOQ40" s="9">
        <f>AON40+AOO40+AOP40</f>
        <v/>
      </c>
      <c r="AOR40" s="12">
        <f>SUM(AOQ29:AOQ40)</f>
        <v/>
      </c>
      <c r="AOS40" s="12">
        <f>OR(AOS39,AOR40&gt;=VATThreshold)</f>
        <v/>
      </c>
      <c r="AOT40" s="9">
        <f>IF(AOS40,AOQ40/(1+VATRate),AOQ40)</f>
        <v/>
      </c>
      <c r="AOU40" s="12">
        <f>AOQ40-AOT40</f>
        <v/>
      </c>
      <c r="AOV40" s="12">
        <f>IF(AOS40=0,0,IF(ANR40=1,SUMPRODUCT(--(($ANS$5:$ANS40=$ANS40-1)*($ANR$5:$ANR40&gt;=10)*($ANR$5:$ANR40&lt;=12)),$AOU$5:$AOU40),IF(ANR40=4,SUMPRODUCT(--(($ANS$5:$ANS40=$ANS40)*($ANR$5:$ANR40&gt;=1)*($ANR$5:$ANR40&lt;=3)),$AOU$5:$AOU40),IF(ANR40=7,SUMPRODUCT(--(($ANS$5:$ANS40=$ANS40)*($ANR$5:$ANR40&gt;=4)*($ANR$5:$ANR40&lt;=6)),$AOU$5:$AOU40),IF(ANR40=10,SUMPRODUCT(--(($ANS$5:$ANS40=$ANS40)*($ANR$5:$ANR40&gt;=7)*($ANR$5:$ANR40&lt;=9)),$AOU$5:$AOU40),0)))))</f>
        <v/>
      </c>
      <c r="AOW40" s="12">
        <f>AOW39+AOU40-AOV40</f>
        <v/>
      </c>
      <c r="AOX40" s="12">
        <f>IF(ProviderDelay&gt;=1,AOT39*ProviderShare,AOT40*ProviderShare)</f>
        <v/>
      </c>
      <c r="AOY40" s="12">
        <f>AOQ40*PaymentFee</f>
        <v/>
      </c>
      <c r="AOZ40" s="12">
        <f>AOK40*OpsAI</f>
        <v/>
      </c>
      <c r="APA40" s="12">
        <f>MonthlyFixed</f>
        <v/>
      </c>
      <c r="APB40" s="12">
        <f>ANY40*ReferralReward</f>
        <v/>
      </c>
      <c r="APC40" s="12">
        <f>ANW40</f>
        <v/>
      </c>
      <c r="APD40" s="9">
        <f>AOT40-AOX40-AOY40-AOZ40-APA40-APB40-APC40</f>
        <v/>
      </c>
      <c r="APE40" s="9">
        <f>APE39+AOQ40-(AOX40+AOY40+AOZ40+APA40+APB40+APC40+AOV40)</f>
        <v/>
      </c>
      <c r="APF40" s="12">
        <f>IF(AOK40&gt;0,AOL40/AOK40,0)</f>
        <v/>
      </c>
      <c r="APG40" s="11">
        <f>IF(AOK39&gt;0,MAX(0,(AOK39+ANZ40-AOK40)/AOK39),0)</f>
        <v/>
      </c>
      <c r="API40" s="12" t="n">
        <v>36</v>
      </c>
      <c r="APJ40" s="12">
        <f>MOD(API40-1+LaunchMonth-1,12)+1</f>
        <v/>
      </c>
      <c r="APK40" s="12">
        <f>INT((API40-1+LaunchMonth-1)/12)+1</f>
        <v/>
      </c>
      <c r="APL40" s="12">
        <f>VLOOKUP(APJ40,SeasonTable,2,FALSE)</f>
        <v/>
      </c>
      <c r="APM40" s="12">
        <f>(1+InflationRate)^INT((API40-1)/12)</f>
        <v/>
      </c>
      <c r="APN40" s="11">
        <f>MonthlyChurn*VLOOKUP(APJ40,ChurnSeasonTable,4,FALSE)</f>
        <v/>
      </c>
      <c r="APO40" s="12">
        <f>MIN(MAX(MktMin19plus,AQI39*MktPct19plus),MAX(0,AQW39-CashBuffer))</f>
        <v/>
      </c>
      <c r="APP40" s="12">
        <f>IF(APO40&gt;0,MAX(1,ROUND(APO40/'Sens - CAC &amp; Marketing'!$A$15*APL40,0)),0)</f>
        <v/>
      </c>
      <c r="APQ40" s="12">
        <f>IF(APP40&gt;0,ROUND(APP40*ReferralMix/(1-ReferralMix),0),0)</f>
        <v/>
      </c>
      <c r="APR40" s="12">
        <f>APP40+APQ40</f>
        <v/>
      </c>
      <c r="APS40" s="12">
        <f>ROUND(APR40*(1-AnnualMix),0)</f>
        <v/>
      </c>
      <c r="APT40" s="12">
        <f>APR40-APS40</f>
        <v/>
      </c>
      <c r="APU40" s="12">
        <f>ROUND(APS40*EssentialMix,0)</f>
        <v/>
      </c>
      <c r="APV40" s="12">
        <f>APS40-APU40</f>
        <v/>
      </c>
      <c r="APW40" s="12">
        <f>ROUND(APT40*EssentialMix,0)</f>
        <v/>
      </c>
      <c r="APX40" s="12">
        <f>APT40-APW40</f>
        <v/>
      </c>
      <c r="APY40" s="12">
        <f>APU40+APU39+APU38+MAX(0,APY39-APU39-APU38)*(1-APN40)</f>
        <v/>
      </c>
      <c r="APZ40" s="12">
        <f>APV40+APV39+APV38+MAX(0,APZ39-APV39-APV38)*(1-APN40)</f>
        <v/>
      </c>
      <c r="AQA40" s="12">
        <f>AQA39+APW40-APW28*(AnnualChurn*VLOOKUP(APJ40,ChurnSeasonTable,4,FALSE))*POWER(1-(AnnualChurn*VLOOKUP(APJ40,ChurnSeasonTable,4,FALSE)),0)+APW16*(AnnualChurn*VLOOKUP(APJ40,ChurnSeasonTable,4,FALSE))*POWER(1-(AnnualChurn*VLOOKUP(APJ40,ChurnSeasonTable,4,FALSE)),1)</f>
        <v/>
      </c>
      <c r="AQB40" s="12">
        <f>AQB39+APX40-APX28*(AnnualChurn*VLOOKUP(APJ40,ChurnSeasonTable,4,FALSE))*POWER(1-(AnnualChurn*VLOOKUP(APJ40,ChurnSeasonTable,4,FALSE)),0)+APX16*(AnnualChurn*VLOOKUP(APJ40,ChurnSeasonTable,4,FALSE))*POWER(1-(AnnualChurn*VLOOKUP(APJ40,ChurnSeasonTable,4,FALSE)),1)</f>
        <v/>
      </c>
      <c r="AQC40" s="12">
        <f>APY40+APZ40+AQA40+AQB40</f>
        <v/>
      </c>
      <c r="AQD40" s="9">
        <f>APY40*PriceEssMonthly*APM40+APZ40*PricePremMonthly*APM40+AQA40*PriceEssAnnual*APM40/12+AQB40*PricePremAnnual*APM40/12</f>
        <v/>
      </c>
      <c r="AQE40" s="9">
        <f>AQD40*12</f>
        <v/>
      </c>
      <c r="AQF40" s="12">
        <f>APY40*PriceEssMonthly*APM40+APZ40*PricePremMonthly*APM40</f>
        <v/>
      </c>
      <c r="AQG40" s="12">
        <f>APW40*PriceEssAnnual*APM40+APX40*PricePremAnnual*APM40</f>
        <v/>
      </c>
      <c r="AQH40" s="12">
        <f>APW28*POWER(1-(AnnualChurn*VLOOKUP(APJ40,ChurnSeasonTable,4,FALSE)),1)*PriceEssAnnual*APM40+APW16*POWER(1-(AnnualChurn*VLOOKUP(APJ40,ChurnSeasonTable,4,FALSE)),2)*PriceEssAnnual*APM40+APX28*POWER(1-(AnnualChurn*VLOOKUP(APJ40,ChurnSeasonTable,4,FALSE)),1)*PricePremAnnual*APM40+APX16*POWER(1-(AnnualChurn*VLOOKUP(APJ40,ChurnSeasonTable,4,FALSE)),2)*PricePremAnnual*APM40</f>
        <v/>
      </c>
      <c r="AQI40" s="9">
        <f>AQF40+AQG40+AQH40</f>
        <v/>
      </c>
      <c r="AQJ40" s="12">
        <f>SUM(AQI29:AQI40)</f>
        <v/>
      </c>
      <c r="AQK40" s="12">
        <f>OR(AQK39,AQJ40&gt;=VATThreshold)</f>
        <v/>
      </c>
      <c r="AQL40" s="9">
        <f>IF(AQK40,AQI40/(1+VATRate),AQI40)</f>
        <v/>
      </c>
      <c r="AQM40" s="12">
        <f>AQI40-AQL40</f>
        <v/>
      </c>
      <c r="AQN40" s="12">
        <f>IF(AQK40=0,0,IF(APJ40=1,SUMPRODUCT(--(($APK$5:$APK40=$APK40-1)*($APJ$5:$APJ40&gt;=10)*($APJ$5:$APJ40&lt;=12)),$AQM$5:$AQM40),IF(APJ40=4,SUMPRODUCT(--(($APK$5:$APK40=$APK40)*($APJ$5:$APJ40&gt;=1)*($APJ$5:$APJ40&lt;=3)),$AQM$5:$AQM40),IF(APJ40=7,SUMPRODUCT(--(($APK$5:$APK40=$APK40)*($APJ$5:$APJ40&gt;=4)*($APJ$5:$APJ40&lt;=6)),$AQM$5:$AQM40),IF(APJ40=10,SUMPRODUCT(--(($APK$5:$APK40=$APK40)*($APJ$5:$APJ40&gt;=7)*($APJ$5:$APJ40&lt;=9)),$AQM$5:$AQM40),0)))))</f>
        <v/>
      </c>
      <c r="AQO40" s="12">
        <f>AQO39+AQM40-AQN40</f>
        <v/>
      </c>
      <c r="AQP40" s="12">
        <f>IF(ProviderDelay&gt;=1,AQL39*ProviderShare,AQL40*ProviderShare)</f>
        <v/>
      </c>
      <c r="AQQ40" s="12">
        <f>AQI40*PaymentFee</f>
        <v/>
      </c>
      <c r="AQR40" s="12">
        <f>AQC40*OpsAI</f>
        <v/>
      </c>
      <c r="AQS40" s="12">
        <f>MonthlyFixed</f>
        <v/>
      </c>
      <c r="AQT40" s="12">
        <f>APQ40*ReferralReward</f>
        <v/>
      </c>
      <c r="AQU40" s="12">
        <f>APO40</f>
        <v/>
      </c>
      <c r="AQV40" s="9">
        <f>AQL40-AQP40-AQQ40-AQR40-AQS40-AQT40-AQU40</f>
        <v/>
      </c>
      <c r="AQW40" s="9">
        <f>AQW39+AQI40-(AQP40+AQQ40+AQR40+AQS40+AQT40+AQU40+AQN40)</f>
        <v/>
      </c>
      <c r="AQX40" s="12">
        <f>IF(AQC40&gt;0,AQD40/AQC40,0)</f>
        <v/>
      </c>
      <c r="AQY40" s="11">
        <f>IF(AQC39&gt;0,MAX(0,(AQC39+APR40-AQC40)/AQC39),0)</f>
        <v/>
      </c>
      <c r="ARA40" s="12" t="n">
        <v>36</v>
      </c>
      <c r="ARB40" s="12">
        <f>MOD(ARA40-1+LaunchMonth-1,12)+1</f>
        <v/>
      </c>
      <c r="ARC40" s="12">
        <f>INT((ARA40-1+LaunchMonth-1)/12)+1</f>
        <v/>
      </c>
      <c r="ARD40" s="12">
        <f>VLOOKUP(ARB40,WinterPivotSeasonTable,5,FALSE)</f>
        <v/>
      </c>
      <c r="ARE40" s="12">
        <f>(1+InflationRate)^INT((ARA40-1)/12)</f>
        <v/>
      </c>
      <c r="ARF40" s="11">
        <f>MonthlyChurn*VLOOKUP(ARB40,WinterPivotChurnTable,6,FALSE)</f>
        <v/>
      </c>
      <c r="ARG40" s="12">
        <f>MIN(MAX(MktMin19plus,ASA39*MktPct19plus),MAX(0,ASO39-CashBuffer))</f>
        <v/>
      </c>
      <c r="ARH40" s="12">
        <f>IF(ARG40&gt;0,MAX(1,ROUND(ARG40/CAC*ARD40,0)),0)</f>
        <v/>
      </c>
      <c r="ARI40" s="12">
        <f>IF(ARH40&gt;0,ROUND(ARH40*ReferralMix/(1-ReferralMix),0),0)</f>
        <v/>
      </c>
      <c r="ARJ40" s="12">
        <f>ARH40+ARI40</f>
        <v/>
      </c>
      <c r="ARK40" s="12">
        <f>ROUND(ARJ40*(1-AnnualMix),0)</f>
        <v/>
      </c>
      <c r="ARL40" s="12">
        <f>ARJ40-ARK40</f>
        <v/>
      </c>
      <c r="ARM40" s="12">
        <f>ROUND(ARK40*'Sens - Winter Pivot'!$B$6,0)</f>
        <v/>
      </c>
      <c r="ARN40" s="12">
        <f>ARK40-ARM40</f>
        <v/>
      </c>
      <c r="ARO40" s="12">
        <f>ROUND(ARL40*'Sens - Winter Pivot'!$B$6,0)</f>
        <v/>
      </c>
      <c r="ARP40" s="12">
        <f>ARL40-ARO40</f>
        <v/>
      </c>
      <c r="ARQ40" s="12">
        <f>ARM40+ARM39+ARM38+MAX(0,ARQ39-ARM39-ARM38)*(1-ARF40)</f>
        <v/>
      </c>
      <c r="ARR40" s="12">
        <f>ARN40+ARN39+ARN38+MAX(0,ARR39-ARN39-ARN38)*(1-ARF40)</f>
        <v/>
      </c>
      <c r="ARS40" s="12">
        <f>ARS39+ARO40-ARO28*(AnnualChurn*VLOOKUP(ARB40,WinterPivotChurnTable,6,FALSE))*POWER(1-(AnnualChurn*VLOOKUP(ARB40,WinterPivotChurnTable,6,FALSE)),0)+ARO16*(AnnualChurn*VLOOKUP(ARB40,WinterPivotChurnTable,6,FALSE))*POWER(1-(AnnualChurn*VLOOKUP(ARB40,WinterPivotChurnTable,6,FALSE)),1)</f>
        <v/>
      </c>
      <c r="ART40" s="12">
        <f>ART39+ARP40-ARP28*(AnnualChurn*VLOOKUP(ARB40,WinterPivotChurnTable,6,FALSE))*POWER(1-(AnnualChurn*VLOOKUP(ARB40,WinterPivotChurnTable,6,FALSE)),0)+ARP16*(AnnualChurn*VLOOKUP(ARB40,WinterPivotChurnTable,6,FALSE))*POWER(1-(AnnualChurn*VLOOKUP(ARB40,WinterPivotChurnTable,6,FALSE)),1)</f>
        <v/>
      </c>
      <c r="ARU40" s="12">
        <f>ARQ40+ARR40+ARS40+ART40</f>
        <v/>
      </c>
      <c r="ARV40" s="9">
        <f>ARQ40*PriceEssMonthly*ARE40+ARR40*(PricePremMonthly+'Sens - Winter Pivot'!$B$7)*ARE40+ARS40*PriceEssAnnual*ARE40/12+ART40*(PricePremAnnual+'Sens - Winter Pivot'!$B$7*12)*ARE40/12</f>
        <v/>
      </c>
      <c r="ARW40" s="9">
        <f>ARV40*12</f>
        <v/>
      </c>
      <c r="ARX40" s="12">
        <f>ARQ40*PriceEssMonthly*ARE40+ARR40*(PricePremMonthly+'Sens - Winter Pivot'!$B$7)*ARE40</f>
        <v/>
      </c>
      <c r="ARY40" s="12">
        <f>ARO40*PriceEssAnnual*ARE40+ARP40*(PricePremAnnual+'Sens - Winter Pivot'!$B$7*12)*ARE40</f>
        <v/>
      </c>
      <c r="ARZ40" s="12">
        <f>ARO28*POWER(1-(AnnualChurn*VLOOKUP(ARB40,WinterPivotChurnTable,6,FALSE)),1)*PriceEssAnnual*ARE40+ARO16*POWER(1-(AnnualChurn*VLOOKUP(ARB40,WinterPivotChurnTable,6,FALSE)),2)*PriceEssAnnual*ARE40+ARP28*POWER(1-(AnnualChurn*VLOOKUP(ARB40,WinterPivotChurnTable,6,FALSE)),1)*PricePremAnnual*ARE40+ARP16*POWER(1-(AnnualChurn*VLOOKUP(ARB40,WinterPivotChurnTable,6,FALSE)),2)*PricePremAnnual*ARE40</f>
        <v/>
      </c>
      <c r="ASA40" s="9">
        <f>ARX40+ARY40+ARZ40</f>
        <v/>
      </c>
      <c r="ASB40" s="12">
        <f>SUM(ASA29:ASA40)</f>
        <v/>
      </c>
      <c r="ASC40" s="12">
        <f>OR(ASC39,ASB40&gt;=VATThreshold)</f>
        <v/>
      </c>
      <c r="ASD40" s="9">
        <f>IF(ASC40,ASA40/(1+VATRate),ASA40)</f>
        <v/>
      </c>
      <c r="ASE40" s="12">
        <f>ASA40-ASD40</f>
        <v/>
      </c>
      <c r="ASF40" s="12">
        <f>IF(ASC40=0,0,IF(ARB40=1,SUMPRODUCT(--(($ARC$5:$ARC40=$ARC40-1)*($ARB$5:$ARB40&gt;=10)*($ARB$5:$ARB40&lt;=12)),$ASE$5:$ASE40),IF(ARB40=4,SUMPRODUCT(--(($ARC$5:$ARC40=$ARC40)*($ARB$5:$ARB40&gt;=1)*($ARB$5:$ARB40&lt;=3)),$ASE$5:$ASE40),IF(ARB40=7,SUMPRODUCT(--(($ARC$5:$ARC40=$ARC40)*($ARB$5:$ARB40&gt;=4)*($ARB$5:$ARB40&lt;=6)),$ASE$5:$ASE40),IF(ARB40=10,SUMPRODUCT(--(($ARC$5:$ARC40=$ARC40)*($ARB$5:$ARB40&gt;=7)*($ARB$5:$ARB40&lt;=9)),$ASE$5:$ASE40),0)))))</f>
        <v/>
      </c>
      <c r="ASG40" s="12">
        <f>ASG39+ASE40-ASF40</f>
        <v/>
      </c>
      <c r="ASH40" s="12">
        <f>IF(ProviderDelay&gt;=1,ASD39*ProviderShare,ASD40*ProviderShare)</f>
        <v/>
      </c>
      <c r="ASI40" s="12">
        <f>ASA40*PaymentFee</f>
        <v/>
      </c>
      <c r="ASJ40" s="12">
        <f>ARU40*OpsAI</f>
        <v/>
      </c>
      <c r="ASK40" s="12">
        <f>MonthlyFixed</f>
        <v/>
      </c>
      <c r="ASL40" s="12">
        <f>ARI40*ReferralReward</f>
        <v/>
      </c>
      <c r="ASM40" s="12">
        <f>ARG40</f>
        <v/>
      </c>
      <c r="ASN40" s="9">
        <f>ASD40-ASH40-ASI40-ASJ40-ASK40-ASL40-ASM40</f>
        <v/>
      </c>
      <c r="ASO40" s="9">
        <f>ASO39+ASA40-(ASH40+ASI40+ASJ40+ASK40+ASL40+ASM40+ASF40)</f>
        <v/>
      </c>
      <c r="ASP40" s="12">
        <f>IF(ARU40&gt;0,ARV40/ARU40,0)</f>
        <v/>
      </c>
      <c r="ASQ40" s="11">
        <f>IF(ARU39&gt;0,MAX(0,(ARU39+ARJ40-ARU40)/ARU39),0)</f>
        <v/>
      </c>
    </row>
    <row r="41">
      <c r="A41" s="12" t="n">
        <v>37</v>
      </c>
      <c r="B41" s="12">
        <f>MOD(A41-1+LaunchMonth-1,12)+1</f>
        <v/>
      </c>
      <c r="C41" s="12">
        <f>INT((A41-1+LaunchMonth-1)/12)+1</f>
        <v/>
      </c>
      <c r="D41" s="12">
        <f>VLOOKUP(B41,SeasonTable,2,FALSE)</f>
        <v/>
      </c>
      <c r="E41" s="12">
        <f>(1+InflationRate)^INT((A41-1)/12)</f>
        <v/>
      </c>
      <c r="F41" s="11">
        <f>'Sens - Scenarios'!$B$5*VLOOKUP(B41,ChurnSeasonTable,4,FALSE)</f>
        <v/>
      </c>
      <c r="G41" s="12">
        <f>MIN(MAX(MktMin19plus,AA40*MktPct19plus),MAX(0,AO40-CashBuffer))</f>
        <v/>
      </c>
      <c r="H41" s="12">
        <f>IF(G41&gt;0,MAX(1,ROUND(G41/'Sens - Scenarios'!$B$8*D41,0)),0)</f>
        <v/>
      </c>
      <c r="I41" s="12">
        <f>IF(H41&gt;0,ROUND(H41*ReferralMix/(1-ReferralMix),0),0)</f>
        <v/>
      </c>
      <c r="J41" s="12">
        <f>H41+I41</f>
        <v/>
      </c>
      <c r="K41" s="12">
        <f>ROUND(J41*(1-'Sens - Scenarios'!$B$7),0)</f>
        <v/>
      </c>
      <c r="L41" s="12">
        <f>J41-K41</f>
        <v/>
      </c>
      <c r="M41" s="12">
        <f>ROUND(K41*EssentialMix,0)</f>
        <v/>
      </c>
      <c r="N41" s="12">
        <f>K41-M41</f>
        <v/>
      </c>
      <c r="O41" s="12">
        <f>ROUND(L41*EssentialMix,0)</f>
        <v/>
      </c>
      <c r="P41" s="12">
        <f>L41-O41</f>
        <v/>
      </c>
      <c r="Q41" s="12">
        <f>M41+M40+M39+MAX(0,Q40-M40-M39)*(1-F41)</f>
        <v/>
      </c>
      <c r="R41" s="12">
        <f>N41+N40+N39+MAX(0,R40-N40-N39)*(1-F41)</f>
        <v/>
      </c>
      <c r="S41" s="12">
        <f>S40+O41-O29*('Sens - Scenarios'!$B$6*VLOOKUP(B41,ChurnSeasonTable,4,FALSE))*POWER(1-('Sens - Scenarios'!$B$6*VLOOKUP(B41,ChurnSeasonTable,4,FALSE)),0)+O17*('Sens - Scenarios'!$B$6*VLOOKUP(B41,ChurnSeasonTable,4,FALSE))*POWER(1-('Sens - Scenarios'!$B$6*VLOOKUP(B41,ChurnSeasonTable,4,FALSE)),1)+O5*('Sens - Scenarios'!$B$6*VLOOKUP(B41,ChurnSeasonTable,4,FALSE))*POWER(1-('Sens - Scenarios'!$B$6*VLOOKUP(B41,ChurnSeasonTable,4,FALSE)),2)</f>
        <v/>
      </c>
      <c r="T41" s="12">
        <f>T40+P41-P29*('Sens - Scenarios'!$B$6*VLOOKUP(B41,ChurnSeasonTable,4,FALSE))*POWER(1-('Sens - Scenarios'!$B$6*VLOOKUP(B41,ChurnSeasonTable,4,FALSE)),0)+P17*('Sens - Scenarios'!$B$6*VLOOKUP(B41,ChurnSeasonTable,4,FALSE))*POWER(1-('Sens - Scenarios'!$B$6*VLOOKUP(B41,ChurnSeasonTable,4,FALSE)),1)+P5*('Sens - Scenarios'!$B$6*VLOOKUP(B41,ChurnSeasonTable,4,FALSE))*POWER(1-('Sens - Scenarios'!$B$6*VLOOKUP(B41,ChurnSeasonTable,4,FALSE)),2)</f>
        <v/>
      </c>
      <c r="U41" s="12">
        <f>Q41+R41+S41+T41</f>
        <v/>
      </c>
      <c r="V41" s="9">
        <f>Q41*PriceEssMonthly*E41+R41*PricePremMonthly*E41+S41*PriceEssAnnual*E41/12+T41*PricePremAnnual*E41/12</f>
        <v/>
      </c>
      <c r="W41" s="9">
        <f>V41*12</f>
        <v/>
      </c>
      <c r="X41" s="12">
        <f>Q41*PriceEssMonthly*E41+R41*PricePremMonthly*E41</f>
        <v/>
      </c>
      <c r="Y41" s="12">
        <f>O41*PriceEssAnnual*E41+P41*PricePremAnnual*E41</f>
        <v/>
      </c>
      <c r="Z41" s="12">
        <f>O29*POWER(1-('Sens - Scenarios'!$B$6*VLOOKUP(B41,ChurnSeasonTable,4,FALSE)),1)*PriceEssAnnual*E41+O17*POWER(1-('Sens - Scenarios'!$B$6*VLOOKUP(B41,ChurnSeasonTable,4,FALSE)),2)*PriceEssAnnual*E41+O5*POWER(1-('Sens - Scenarios'!$B$6*VLOOKUP(B41,ChurnSeasonTable,4,FALSE)),3)*PriceEssAnnual*E41+P29*POWER(1-('Sens - Scenarios'!$B$6*VLOOKUP(B41,ChurnSeasonTable,4,FALSE)),1)*PricePremAnnual*E41+P17*POWER(1-('Sens - Scenarios'!$B$6*VLOOKUP(B41,ChurnSeasonTable,4,FALSE)),2)*PricePremAnnual*E41+P5*POWER(1-('Sens - Scenarios'!$B$6*VLOOKUP(B41,ChurnSeasonTable,4,FALSE)),3)*PricePremAnnual*E41</f>
        <v/>
      </c>
      <c r="AA41" s="9">
        <f>X41+Y41+Z41</f>
        <v/>
      </c>
      <c r="AB41" s="12">
        <f>SUM(AA30:AA41)</f>
        <v/>
      </c>
      <c r="AC41" s="12">
        <f>OR(AC40,AB41&gt;=VATThreshold)</f>
        <v/>
      </c>
      <c r="AD41" s="9">
        <f>IF(AC41,AA41/(1+VATRate),AA41)</f>
        <v/>
      </c>
      <c r="AE41" s="12">
        <f>AA41-AD41</f>
        <v/>
      </c>
      <c r="AF41" s="12">
        <f>IF(AC41=0,0,IF(B41=1,SUMPRODUCT(--(($C$5:$C41=$C41-1)*($B$5:$B41&gt;=10)*($B$5:$B41&lt;=12)),$AE$5:$AE41),IF(B41=4,SUMPRODUCT(--(($C$5:$C41=$C41)*($B$5:$B41&gt;=1)*($B$5:$B41&lt;=3)),$AE$5:$AE41),IF(B41=7,SUMPRODUCT(--(($C$5:$C41=$C41)*($B$5:$B41&gt;=4)*($B$5:$B41&lt;=6)),$AE$5:$AE41),IF(B41=10,SUMPRODUCT(--(($C$5:$C41=$C41)*($B$5:$B41&gt;=7)*($B$5:$B41&lt;=9)),$AE$5:$AE41),0)))))</f>
        <v/>
      </c>
      <c r="AG41" s="12">
        <f>AG40+AE41-AF41</f>
        <v/>
      </c>
      <c r="AH41" s="12">
        <f>IF(ProviderDelay&gt;=1,AD40*ProviderShare,AD41*ProviderShare)</f>
        <v/>
      </c>
      <c r="AI41" s="12">
        <f>AA41*PaymentFee</f>
        <v/>
      </c>
      <c r="AJ41" s="12">
        <f>U41*OpsAI</f>
        <v/>
      </c>
      <c r="AK41" s="12">
        <f>MonthlyFixed</f>
        <v/>
      </c>
      <c r="AL41" s="12">
        <f>I41*ReferralReward</f>
        <v/>
      </c>
      <c r="AM41" s="12">
        <f>G41</f>
        <v/>
      </c>
      <c r="AN41" s="9">
        <f>AD41-AH41-AI41-AJ41-AK41-AL41-AM41</f>
        <v/>
      </c>
      <c r="AO41" s="9">
        <f>AO40+AA41-(AH41+AI41+AJ41+AK41+AL41+AM41+AF41)</f>
        <v/>
      </c>
      <c r="AP41" s="12">
        <f>IF(U41&gt;0,V41/U41,0)</f>
        <v/>
      </c>
      <c r="AQ41" s="11">
        <f>IF(U40&gt;0,MAX(0,(U40+J41-U41)/U40),0)</f>
        <v/>
      </c>
      <c r="AS41" s="12" t="n">
        <v>37</v>
      </c>
      <c r="AT41" s="12">
        <f>MOD(AS41-1+LaunchMonth-1,12)+1</f>
        <v/>
      </c>
      <c r="AU41" s="12">
        <f>INT((AS41-1+LaunchMonth-1)/12)+1</f>
        <v/>
      </c>
      <c r="AV41" s="12">
        <f>VLOOKUP(AT41,SeasonTable,2,FALSE)</f>
        <v/>
      </c>
      <c r="AW41" s="12">
        <f>(1+InflationRate)^INT((AS41-1)/12)</f>
        <v/>
      </c>
      <c r="AX41" s="11">
        <f>MonthlyChurn*VLOOKUP(AT41,ChurnSeasonTable,4,FALSE)</f>
        <v/>
      </c>
      <c r="AY41" s="12">
        <f>MIN(MAX(MktMin19plus,BS40*MktPct19plus),MAX(0,CG40-CashBuffer))</f>
        <v/>
      </c>
      <c r="AZ41" s="12">
        <f>IF(AY41&gt;0,MAX(1,ROUND(AY41/CAC*AV41,0)),0)</f>
        <v/>
      </c>
      <c r="BA41" s="12">
        <f>IF(AZ41&gt;0,ROUND(AZ41*ReferralMix/(1-ReferralMix),0),0)</f>
        <v/>
      </c>
      <c r="BB41" s="12">
        <f>AZ41+BA41</f>
        <v/>
      </c>
      <c r="BC41" s="12">
        <f>ROUND(BB41*(1-AnnualMix),0)</f>
        <v/>
      </c>
      <c r="BD41" s="12">
        <f>BB41-BC41</f>
        <v/>
      </c>
      <c r="BE41" s="12">
        <f>ROUND(BC41*EssentialMix,0)</f>
        <v/>
      </c>
      <c r="BF41" s="12">
        <f>BC41-BE41</f>
        <v/>
      </c>
      <c r="BG41" s="12">
        <f>ROUND(BD41*EssentialMix,0)</f>
        <v/>
      </c>
      <c r="BH41" s="12">
        <f>BD41-BG41</f>
        <v/>
      </c>
      <c r="BI41" s="12">
        <f>BE41+BE40+BE39+MAX(0,BI40-BE40-BE39)*(1-AX41)</f>
        <v/>
      </c>
      <c r="BJ41" s="12">
        <f>BF41+BF40+BF39+MAX(0,BJ40-BF40-BF39)*(1-AX41)</f>
        <v/>
      </c>
      <c r="BK41" s="12">
        <f>BK40+BG41-BG29*(AnnualChurn*VLOOKUP(AT41,ChurnSeasonTable,4,FALSE))*POWER(1-(AnnualChurn*VLOOKUP(AT41,ChurnSeasonTable,4,FALSE)),0)+BG17*(AnnualChurn*VLOOKUP(AT41,ChurnSeasonTable,4,FALSE))*POWER(1-(AnnualChurn*VLOOKUP(AT41,ChurnSeasonTable,4,FALSE)),1)+BG5*(AnnualChurn*VLOOKUP(AT41,ChurnSeasonTable,4,FALSE))*POWER(1-(AnnualChurn*VLOOKUP(AT41,ChurnSeasonTable,4,FALSE)),2)</f>
        <v/>
      </c>
      <c r="BL41" s="12">
        <f>BL40+BH41-BH29*(AnnualChurn*VLOOKUP(AT41,ChurnSeasonTable,4,FALSE))*POWER(1-(AnnualChurn*VLOOKUP(AT41,ChurnSeasonTable,4,FALSE)),0)+BH17*(AnnualChurn*VLOOKUP(AT41,ChurnSeasonTable,4,FALSE))*POWER(1-(AnnualChurn*VLOOKUP(AT41,ChurnSeasonTable,4,FALSE)),1)+BH5*(AnnualChurn*VLOOKUP(AT41,ChurnSeasonTable,4,FALSE))*POWER(1-(AnnualChurn*VLOOKUP(AT41,ChurnSeasonTable,4,FALSE)),2)</f>
        <v/>
      </c>
      <c r="BM41" s="12">
        <f>BI41+BJ41+BK41+BL41</f>
        <v/>
      </c>
      <c r="BN41" s="9">
        <f>BI41*PriceEssMonthly*AW41+BJ41*PricePremMonthly*AW41+BK41*PriceEssAnnual*AW41/12+BL41*PricePremAnnual*AW41/12</f>
        <v/>
      </c>
      <c r="BO41" s="9">
        <f>BN41*12</f>
        <v/>
      </c>
      <c r="BP41" s="12">
        <f>BI41*PriceEssMonthly*AW41+BJ41*PricePremMonthly*AW41</f>
        <v/>
      </c>
      <c r="BQ41" s="12">
        <f>BG41*PriceEssAnnual*AW41+BH41*PricePremAnnual*AW41</f>
        <v/>
      </c>
      <c r="BR41" s="12">
        <f>BG29*POWER(1-(AnnualChurn*VLOOKUP(AT41,ChurnSeasonTable,4,FALSE)),1)*PriceEssAnnual*AW41+BG17*POWER(1-(AnnualChurn*VLOOKUP(AT41,ChurnSeasonTable,4,FALSE)),2)*PriceEssAnnual*AW41+BG5*POWER(1-(AnnualChurn*VLOOKUP(AT41,ChurnSeasonTable,4,FALSE)),3)*PriceEssAnnual*AW41+BH29*POWER(1-(AnnualChurn*VLOOKUP(AT41,ChurnSeasonTable,4,FALSE)),1)*PricePremAnnual*AW41+BH17*POWER(1-(AnnualChurn*VLOOKUP(AT41,ChurnSeasonTable,4,FALSE)),2)*PricePremAnnual*AW41+BH5*POWER(1-(AnnualChurn*VLOOKUP(AT41,ChurnSeasonTable,4,FALSE)),3)*PricePremAnnual*AW41</f>
        <v/>
      </c>
      <c r="BS41" s="9">
        <f>BP41+BQ41+BR41</f>
        <v/>
      </c>
      <c r="BT41" s="12">
        <f>SUM(BS30:BS41)</f>
        <v/>
      </c>
      <c r="BU41" s="12">
        <f>OR(BU40,BT41&gt;=VATThreshold)</f>
        <v/>
      </c>
      <c r="BV41" s="9">
        <f>IF(BU41,BS41/(1+VATRate),BS41)</f>
        <v/>
      </c>
      <c r="BW41" s="12">
        <f>BS41-BV41</f>
        <v/>
      </c>
      <c r="BX41" s="12">
        <f>IF(BU41=0,0,IF(AT41=1,SUMPRODUCT(--(($AU$5:$AU41=$AU41-1)*($AT$5:$AT41&gt;=10)*($AT$5:$AT41&lt;=12)),$BW$5:$BW41),IF(AT41=4,SUMPRODUCT(--(($AU$5:$AU41=$AU41)*($AT$5:$AT41&gt;=1)*($AT$5:$AT41&lt;=3)),$BW$5:$BW41),IF(AT41=7,SUMPRODUCT(--(($AU$5:$AU41=$AU41)*($AT$5:$AT41&gt;=4)*($AT$5:$AT41&lt;=6)),$BW$5:$BW41),IF(AT41=10,SUMPRODUCT(--(($AU$5:$AU41=$AU41)*($AT$5:$AT41&gt;=7)*($AT$5:$AT41&lt;=9)),$BW$5:$BW41),0)))))</f>
        <v/>
      </c>
      <c r="BY41" s="12">
        <f>BY40+BW41-BX41</f>
        <v/>
      </c>
      <c r="BZ41" s="12">
        <f>IF(ProviderDelay&gt;=1,BV40*ProviderShare,BV41*ProviderShare)</f>
        <v/>
      </c>
      <c r="CA41" s="12">
        <f>BS41*PaymentFee</f>
        <v/>
      </c>
      <c r="CB41" s="12">
        <f>BM41*OpsAI</f>
        <v/>
      </c>
      <c r="CC41" s="12">
        <f>MonthlyFixed</f>
        <v/>
      </c>
      <c r="CD41" s="12">
        <f>BA41*ReferralReward</f>
        <v/>
      </c>
      <c r="CE41" s="12">
        <f>AY41</f>
        <v/>
      </c>
      <c r="CF41" s="9">
        <f>BV41-BZ41-CA41-CB41-CC41-CD41-CE41</f>
        <v/>
      </c>
      <c r="CG41" s="9">
        <f>CG40+BS41-(BZ41+CA41+CB41+CC41+CD41+CE41+BX41)</f>
        <v/>
      </c>
      <c r="CH41" s="12">
        <f>IF(BM41&gt;0,BN41/BM41,0)</f>
        <v/>
      </c>
      <c r="CI41" s="11">
        <f>IF(BM40&gt;0,MAX(0,(BM40+BB41-BM41)/BM40),0)</f>
        <v/>
      </c>
      <c r="CK41" s="12" t="n">
        <v>37</v>
      </c>
      <c r="CL41" s="12">
        <f>MOD(CK41-1+LaunchMonth-1,12)+1</f>
        <v/>
      </c>
      <c r="CM41" s="12">
        <f>INT((CK41-1+LaunchMonth-1)/12)+1</f>
        <v/>
      </c>
      <c r="CN41" s="12">
        <f>VLOOKUP(CL41,SeasonTable,2,FALSE)</f>
        <v/>
      </c>
      <c r="CO41" s="12">
        <f>(1+InflationRate)^INT((CK41-1)/12)</f>
        <v/>
      </c>
      <c r="CP41" s="11">
        <f>'Sens - Scenarios'!$D$5*VLOOKUP(CL41,ChurnSeasonTable,4,FALSE)</f>
        <v/>
      </c>
      <c r="CQ41" s="12">
        <f>MIN(MAX(MktMin19plus,DK40*MktPct19plus),MAX(0,DY40-CashBuffer))</f>
        <v/>
      </c>
      <c r="CR41" s="12">
        <f>IF(CQ41&gt;0,MAX(1,ROUND(CQ41/'Sens - Scenarios'!$D$8*CN41,0)),0)</f>
        <v/>
      </c>
      <c r="CS41" s="12">
        <f>IF(CR41&gt;0,ROUND(CR41*ReferralMix/(1-ReferralMix),0),0)</f>
        <v/>
      </c>
      <c r="CT41" s="12">
        <f>CR41+CS41</f>
        <v/>
      </c>
      <c r="CU41" s="12">
        <f>ROUND(CT41*(1-'Sens - Scenarios'!$D$7),0)</f>
        <v/>
      </c>
      <c r="CV41" s="12">
        <f>CT41-CU41</f>
        <v/>
      </c>
      <c r="CW41" s="12">
        <f>ROUND(CU41*EssentialMix,0)</f>
        <v/>
      </c>
      <c r="CX41" s="12">
        <f>CU41-CW41</f>
        <v/>
      </c>
      <c r="CY41" s="12">
        <f>ROUND(CV41*EssentialMix,0)</f>
        <v/>
      </c>
      <c r="CZ41" s="12">
        <f>CV41-CY41</f>
        <v/>
      </c>
      <c r="DA41" s="12">
        <f>CW41+CW40+CW39+MAX(0,DA40-CW40-CW39)*(1-CP41)</f>
        <v/>
      </c>
      <c r="DB41" s="12">
        <f>CX41+CX40+CX39+MAX(0,DB40-CX40-CX39)*(1-CP41)</f>
        <v/>
      </c>
      <c r="DC41" s="12">
        <f>DC40+CY41-CY29*('Sens - Scenarios'!$D$6*VLOOKUP(CL41,ChurnSeasonTable,4,FALSE))*POWER(1-('Sens - Scenarios'!$D$6*VLOOKUP(CL41,ChurnSeasonTable,4,FALSE)),0)+CY17*('Sens - Scenarios'!$D$6*VLOOKUP(CL41,ChurnSeasonTable,4,FALSE))*POWER(1-('Sens - Scenarios'!$D$6*VLOOKUP(CL41,ChurnSeasonTable,4,FALSE)),1)+CY5*('Sens - Scenarios'!$D$6*VLOOKUP(CL41,ChurnSeasonTable,4,FALSE))*POWER(1-('Sens - Scenarios'!$D$6*VLOOKUP(CL41,ChurnSeasonTable,4,FALSE)),2)</f>
        <v/>
      </c>
      <c r="DD41" s="12">
        <f>DD40+CZ41-CZ29*('Sens - Scenarios'!$D$6*VLOOKUP(CL41,ChurnSeasonTable,4,FALSE))*POWER(1-('Sens - Scenarios'!$D$6*VLOOKUP(CL41,ChurnSeasonTable,4,FALSE)),0)+CZ17*('Sens - Scenarios'!$D$6*VLOOKUP(CL41,ChurnSeasonTable,4,FALSE))*POWER(1-('Sens - Scenarios'!$D$6*VLOOKUP(CL41,ChurnSeasonTable,4,FALSE)),1)+CZ5*('Sens - Scenarios'!$D$6*VLOOKUP(CL41,ChurnSeasonTable,4,FALSE))*POWER(1-('Sens - Scenarios'!$D$6*VLOOKUP(CL41,ChurnSeasonTable,4,FALSE)),2)</f>
        <v/>
      </c>
      <c r="DE41" s="12">
        <f>DA41+DB41+DC41+DD41</f>
        <v/>
      </c>
      <c r="DF41" s="9">
        <f>DA41*PriceEssMonthly*CO41+DB41*PricePremMonthly*CO41+DC41*PriceEssAnnual*CO41/12+DD41*PricePremAnnual*CO41/12</f>
        <v/>
      </c>
      <c r="DG41" s="9">
        <f>DF41*12</f>
        <v/>
      </c>
      <c r="DH41" s="12">
        <f>DA41*PriceEssMonthly*CO41+DB41*PricePremMonthly*CO41</f>
        <v/>
      </c>
      <c r="DI41" s="12">
        <f>CY41*PriceEssAnnual*CO41+CZ41*PricePremAnnual*CO41</f>
        <v/>
      </c>
      <c r="DJ41" s="12">
        <f>CY29*POWER(1-('Sens - Scenarios'!$D$6*VLOOKUP(CL41,ChurnSeasonTable,4,FALSE)),1)*PriceEssAnnual*CO41+CY17*POWER(1-('Sens - Scenarios'!$D$6*VLOOKUP(CL41,ChurnSeasonTable,4,FALSE)),2)*PriceEssAnnual*CO41+CY5*POWER(1-('Sens - Scenarios'!$D$6*VLOOKUP(CL41,ChurnSeasonTable,4,FALSE)),3)*PriceEssAnnual*CO41+CZ29*POWER(1-('Sens - Scenarios'!$D$6*VLOOKUP(CL41,ChurnSeasonTable,4,FALSE)),1)*PricePremAnnual*CO41+CZ17*POWER(1-('Sens - Scenarios'!$D$6*VLOOKUP(CL41,ChurnSeasonTable,4,FALSE)),2)*PricePremAnnual*CO41+CZ5*POWER(1-('Sens - Scenarios'!$D$6*VLOOKUP(CL41,ChurnSeasonTable,4,FALSE)),3)*PricePremAnnual*CO41</f>
        <v/>
      </c>
      <c r="DK41" s="9">
        <f>DH41+DI41+DJ41</f>
        <v/>
      </c>
      <c r="DL41" s="12">
        <f>SUM(DK30:DK41)</f>
        <v/>
      </c>
      <c r="DM41" s="12">
        <f>OR(DM40,DL41&gt;=VATThreshold)</f>
        <v/>
      </c>
      <c r="DN41" s="9">
        <f>IF(DM41,DK41/(1+VATRate),DK41)</f>
        <v/>
      </c>
      <c r="DO41" s="12">
        <f>DK41-DN41</f>
        <v/>
      </c>
      <c r="DP41" s="12">
        <f>IF(DM41=0,0,IF(CL41=1,SUMPRODUCT(--(($CM$5:$CM41=$CM41-1)*($CL$5:$CL41&gt;=10)*($CL$5:$CL41&lt;=12)),$DO$5:$DO41),IF(CL41=4,SUMPRODUCT(--(($CM$5:$CM41=$CM41)*($CL$5:$CL41&gt;=1)*($CL$5:$CL41&lt;=3)),$DO$5:$DO41),IF(CL41=7,SUMPRODUCT(--(($CM$5:$CM41=$CM41)*($CL$5:$CL41&gt;=4)*($CL$5:$CL41&lt;=6)),$DO$5:$DO41),IF(CL41=10,SUMPRODUCT(--(($CM$5:$CM41=$CM41)*($CL$5:$CL41&gt;=7)*($CL$5:$CL41&lt;=9)),$DO$5:$DO41),0)))))</f>
        <v/>
      </c>
      <c r="DQ41" s="12">
        <f>DQ40+DO41-DP41</f>
        <v/>
      </c>
      <c r="DR41" s="12">
        <f>IF(ProviderDelay&gt;=1,DN40*ProviderShare,DN41*ProviderShare)</f>
        <v/>
      </c>
      <c r="DS41" s="12">
        <f>DK41*PaymentFee</f>
        <v/>
      </c>
      <c r="DT41" s="12">
        <f>DE41*OpsAI</f>
        <v/>
      </c>
      <c r="DU41" s="12">
        <f>MonthlyFixed</f>
        <v/>
      </c>
      <c r="DV41" s="12">
        <f>CS41*ReferralReward</f>
        <v/>
      </c>
      <c r="DW41" s="12">
        <f>CQ41</f>
        <v/>
      </c>
      <c r="DX41" s="9">
        <f>DN41-DR41-DS41-DT41-DU41-DV41-DW41</f>
        <v/>
      </c>
      <c r="DY41" s="9">
        <f>DY40+DK41-(DR41+DS41+DT41+DU41+DV41+DW41+DP41)</f>
        <v/>
      </c>
      <c r="DZ41" s="12">
        <f>IF(DE41&gt;0,DF41/DE41,0)</f>
        <v/>
      </c>
      <c r="EA41" s="11">
        <f>IF(DE40&gt;0,MAX(0,(DE40+CT41-DE41)/DE40),0)</f>
        <v/>
      </c>
      <c r="EC41" s="12" t="n">
        <v>37</v>
      </c>
      <c r="ED41" s="12">
        <f>MOD(EC41-1+LaunchMonth-1,12)+1</f>
        <v/>
      </c>
      <c r="EE41" s="12">
        <f>INT((EC41-1+LaunchMonth-1)/12)+1</f>
        <v/>
      </c>
      <c r="EF41" s="12">
        <f>VLOOKUP(ED41,SeasonTable,2,FALSE)</f>
        <v/>
      </c>
      <c r="EG41" s="12">
        <f>(1+InflationRate)^INT((EC41-1)/12)</f>
        <v/>
      </c>
      <c r="EH41" s="11">
        <f>'Sens - Churn'!$A$13*VLOOKUP(ED41,ChurnSeasonTable,4,FALSE)</f>
        <v/>
      </c>
      <c r="EI41" s="12">
        <f>MIN(MAX(MktMin19plus,FC40*MktPct19plus),MAX(0,FQ40-CashBuffer))</f>
        <v/>
      </c>
      <c r="EJ41" s="12">
        <f>IF(EI41&gt;0,MAX(1,ROUND(EI41/CAC*EF41,0)),0)</f>
        <v/>
      </c>
      <c r="EK41" s="12">
        <f>IF(EJ41&gt;0,ROUND(EJ41*ReferralMix/(1-ReferralMix),0),0)</f>
        <v/>
      </c>
      <c r="EL41" s="12">
        <f>EJ41+EK41</f>
        <v/>
      </c>
      <c r="EM41" s="12">
        <f>ROUND(EL41*(1-AnnualMix),0)</f>
        <v/>
      </c>
      <c r="EN41" s="12">
        <f>EL41-EM41</f>
        <v/>
      </c>
      <c r="EO41" s="12">
        <f>ROUND(EM41*EssentialMix,0)</f>
        <v/>
      </c>
      <c r="EP41" s="12">
        <f>EM41-EO41</f>
        <v/>
      </c>
      <c r="EQ41" s="12">
        <f>ROUND(EN41*EssentialMix,0)</f>
        <v/>
      </c>
      <c r="ER41" s="12">
        <f>EN41-EQ41</f>
        <v/>
      </c>
      <c r="ES41" s="12">
        <f>EO41+EO40+EO39+MAX(0,ES40-EO40-EO39)*(1-EH41)</f>
        <v/>
      </c>
      <c r="ET41" s="12">
        <f>EP41+EP40+EP39+MAX(0,ET40-EP40-EP39)*(1-EH41)</f>
        <v/>
      </c>
      <c r="EU41" s="12">
        <f>EU40+EQ41-EQ29*(AnnualChurn*VLOOKUP(ED41,ChurnSeasonTable,4,FALSE))*POWER(1-(AnnualChurn*VLOOKUP(ED41,ChurnSeasonTable,4,FALSE)),0)+EQ17*(AnnualChurn*VLOOKUP(ED41,ChurnSeasonTable,4,FALSE))*POWER(1-(AnnualChurn*VLOOKUP(ED41,ChurnSeasonTable,4,FALSE)),1)+EQ5*(AnnualChurn*VLOOKUP(ED41,ChurnSeasonTable,4,FALSE))*POWER(1-(AnnualChurn*VLOOKUP(ED41,ChurnSeasonTable,4,FALSE)),2)</f>
        <v/>
      </c>
      <c r="EV41" s="12">
        <f>EV40+ER41-ER29*(AnnualChurn*VLOOKUP(ED41,ChurnSeasonTable,4,FALSE))*POWER(1-(AnnualChurn*VLOOKUP(ED41,ChurnSeasonTable,4,FALSE)),0)+ER17*(AnnualChurn*VLOOKUP(ED41,ChurnSeasonTable,4,FALSE))*POWER(1-(AnnualChurn*VLOOKUP(ED41,ChurnSeasonTable,4,FALSE)),1)+ER5*(AnnualChurn*VLOOKUP(ED41,ChurnSeasonTable,4,FALSE))*POWER(1-(AnnualChurn*VLOOKUP(ED41,ChurnSeasonTable,4,FALSE)),2)</f>
        <v/>
      </c>
      <c r="EW41" s="12">
        <f>ES41+ET41+EU41+EV41</f>
        <v/>
      </c>
      <c r="EX41" s="9">
        <f>ES41*PriceEssMonthly*EG41+ET41*PricePremMonthly*EG41+EU41*PriceEssAnnual*EG41/12+EV41*PricePremAnnual*EG41/12</f>
        <v/>
      </c>
      <c r="EY41" s="9">
        <f>EX41*12</f>
        <v/>
      </c>
      <c r="EZ41" s="12">
        <f>ES41*PriceEssMonthly*EG41+ET41*PricePremMonthly*EG41</f>
        <v/>
      </c>
      <c r="FA41" s="12">
        <f>EQ41*PriceEssAnnual*EG41+ER41*PricePremAnnual*EG41</f>
        <v/>
      </c>
      <c r="FB41" s="12">
        <f>EQ29*POWER(1-(AnnualChurn*VLOOKUP(ED41,ChurnSeasonTable,4,FALSE)),1)*PriceEssAnnual*EG41+EQ17*POWER(1-(AnnualChurn*VLOOKUP(ED41,ChurnSeasonTable,4,FALSE)),2)*PriceEssAnnual*EG41+EQ5*POWER(1-(AnnualChurn*VLOOKUP(ED41,ChurnSeasonTable,4,FALSE)),3)*PriceEssAnnual*EG41+ER29*POWER(1-(AnnualChurn*VLOOKUP(ED41,ChurnSeasonTable,4,FALSE)),1)*PricePremAnnual*EG41+ER17*POWER(1-(AnnualChurn*VLOOKUP(ED41,ChurnSeasonTable,4,FALSE)),2)*PricePremAnnual*EG41+ER5*POWER(1-(AnnualChurn*VLOOKUP(ED41,ChurnSeasonTable,4,FALSE)),3)*PricePremAnnual*EG41</f>
        <v/>
      </c>
      <c r="FC41" s="9">
        <f>EZ41+FA41+FB41</f>
        <v/>
      </c>
      <c r="FD41" s="12">
        <f>SUM(FC30:FC41)</f>
        <v/>
      </c>
      <c r="FE41" s="12">
        <f>OR(FE40,FD41&gt;=VATThreshold)</f>
        <v/>
      </c>
      <c r="FF41" s="9">
        <f>IF(FE41,FC41/(1+VATRate),FC41)</f>
        <v/>
      </c>
      <c r="FG41" s="12">
        <f>FC41-FF41</f>
        <v/>
      </c>
      <c r="FH41" s="12">
        <f>IF(FE41=0,0,IF(ED41=1,SUMPRODUCT(--(($EE$5:$EE41=$EE41-1)*($ED$5:$ED41&gt;=10)*($ED$5:$ED41&lt;=12)),$FG$5:$FG41),IF(ED41=4,SUMPRODUCT(--(($EE$5:$EE41=$EE41)*($ED$5:$ED41&gt;=1)*($ED$5:$ED41&lt;=3)),$FG$5:$FG41),IF(ED41=7,SUMPRODUCT(--(($EE$5:$EE41=$EE41)*($ED$5:$ED41&gt;=4)*($ED$5:$ED41&lt;=6)),$FG$5:$FG41),IF(ED41=10,SUMPRODUCT(--(($EE$5:$EE41=$EE41)*($ED$5:$ED41&gt;=7)*($ED$5:$ED41&lt;=9)),$FG$5:$FG41),0)))))</f>
        <v/>
      </c>
      <c r="FI41" s="12">
        <f>FI40+FG41-FH41</f>
        <v/>
      </c>
      <c r="FJ41" s="12">
        <f>IF(ProviderDelay&gt;=1,FF40*ProviderShare,FF41*ProviderShare)</f>
        <v/>
      </c>
      <c r="FK41" s="12">
        <f>FC41*PaymentFee</f>
        <v/>
      </c>
      <c r="FL41" s="12">
        <f>EW41*OpsAI</f>
        <v/>
      </c>
      <c r="FM41" s="12">
        <f>MonthlyFixed</f>
        <v/>
      </c>
      <c r="FN41" s="12">
        <f>EK41*ReferralReward</f>
        <v/>
      </c>
      <c r="FO41" s="12">
        <f>EI41</f>
        <v/>
      </c>
      <c r="FP41" s="9">
        <f>FF41-FJ41-FK41-FL41-FM41-FN41-FO41</f>
        <v/>
      </c>
      <c r="FQ41" s="9">
        <f>FQ40+FC41-(FJ41+FK41+FL41+FM41+FN41+FO41+FH41)</f>
        <v/>
      </c>
      <c r="FR41" s="12">
        <f>IF(EW41&gt;0,EX41/EW41,0)</f>
        <v/>
      </c>
      <c r="FS41" s="11">
        <f>IF(EW40&gt;0,MAX(0,(EW40+EL41-EW41)/EW40),0)</f>
        <v/>
      </c>
      <c r="FU41" s="12" t="n">
        <v>37</v>
      </c>
      <c r="FV41" s="12">
        <f>MOD(FU41-1+LaunchMonth-1,12)+1</f>
        <v/>
      </c>
      <c r="FW41" s="12">
        <f>INT((FU41-1+LaunchMonth-1)/12)+1</f>
        <v/>
      </c>
      <c r="FX41" s="12">
        <f>VLOOKUP(FV41,SeasonTable,2,FALSE)</f>
        <v/>
      </c>
      <c r="FY41" s="12">
        <f>(1+InflationRate)^INT((FU41-1)/12)</f>
        <v/>
      </c>
      <c r="FZ41" s="11">
        <f>'Sens - Churn'!$A$14*VLOOKUP(FV41,ChurnSeasonTable,4,FALSE)</f>
        <v/>
      </c>
      <c r="GA41" s="12">
        <f>MIN(MAX(MktMin19plus,GU40*MktPct19plus),MAX(0,HI40-CashBuffer))</f>
        <v/>
      </c>
      <c r="GB41" s="12">
        <f>IF(GA41&gt;0,MAX(1,ROUND(GA41/CAC*FX41,0)),0)</f>
        <v/>
      </c>
      <c r="GC41" s="12">
        <f>IF(GB41&gt;0,ROUND(GB41*ReferralMix/(1-ReferralMix),0),0)</f>
        <v/>
      </c>
      <c r="GD41" s="12">
        <f>GB41+GC41</f>
        <v/>
      </c>
      <c r="GE41" s="12">
        <f>ROUND(GD41*(1-AnnualMix),0)</f>
        <v/>
      </c>
      <c r="GF41" s="12">
        <f>GD41-GE41</f>
        <v/>
      </c>
      <c r="GG41" s="12">
        <f>ROUND(GE41*EssentialMix,0)</f>
        <v/>
      </c>
      <c r="GH41" s="12">
        <f>GE41-GG41</f>
        <v/>
      </c>
      <c r="GI41" s="12">
        <f>ROUND(GF41*EssentialMix,0)</f>
        <v/>
      </c>
      <c r="GJ41" s="12">
        <f>GF41-GI41</f>
        <v/>
      </c>
      <c r="GK41" s="12">
        <f>GG41+GG40+GG39+MAX(0,GK40-GG40-GG39)*(1-FZ41)</f>
        <v/>
      </c>
      <c r="GL41" s="12">
        <f>GH41+GH40+GH39+MAX(0,GL40-GH40-GH39)*(1-FZ41)</f>
        <v/>
      </c>
      <c r="GM41" s="12">
        <f>GM40+GI41-GI29*(AnnualChurn*VLOOKUP(FV41,ChurnSeasonTable,4,FALSE))*POWER(1-(AnnualChurn*VLOOKUP(FV41,ChurnSeasonTable,4,FALSE)),0)+GI17*(AnnualChurn*VLOOKUP(FV41,ChurnSeasonTable,4,FALSE))*POWER(1-(AnnualChurn*VLOOKUP(FV41,ChurnSeasonTable,4,FALSE)),1)+GI5*(AnnualChurn*VLOOKUP(FV41,ChurnSeasonTable,4,FALSE))*POWER(1-(AnnualChurn*VLOOKUP(FV41,ChurnSeasonTable,4,FALSE)),2)</f>
        <v/>
      </c>
      <c r="GN41" s="12">
        <f>GN40+GJ41-GJ29*(AnnualChurn*VLOOKUP(FV41,ChurnSeasonTable,4,FALSE))*POWER(1-(AnnualChurn*VLOOKUP(FV41,ChurnSeasonTable,4,FALSE)),0)+GJ17*(AnnualChurn*VLOOKUP(FV41,ChurnSeasonTable,4,FALSE))*POWER(1-(AnnualChurn*VLOOKUP(FV41,ChurnSeasonTable,4,FALSE)),1)+GJ5*(AnnualChurn*VLOOKUP(FV41,ChurnSeasonTable,4,FALSE))*POWER(1-(AnnualChurn*VLOOKUP(FV41,ChurnSeasonTable,4,FALSE)),2)</f>
        <v/>
      </c>
      <c r="GO41" s="12">
        <f>GK41+GL41+GM41+GN41</f>
        <v/>
      </c>
      <c r="GP41" s="9">
        <f>GK41*PriceEssMonthly*FY41+GL41*PricePremMonthly*FY41+GM41*PriceEssAnnual*FY41/12+GN41*PricePremAnnual*FY41/12</f>
        <v/>
      </c>
      <c r="GQ41" s="9">
        <f>GP41*12</f>
        <v/>
      </c>
      <c r="GR41" s="12">
        <f>GK41*PriceEssMonthly*FY41+GL41*PricePremMonthly*FY41</f>
        <v/>
      </c>
      <c r="GS41" s="12">
        <f>GI41*PriceEssAnnual*FY41+GJ41*PricePremAnnual*FY41</f>
        <v/>
      </c>
      <c r="GT41" s="12">
        <f>GI29*POWER(1-(AnnualChurn*VLOOKUP(FV41,ChurnSeasonTable,4,FALSE)),1)*PriceEssAnnual*FY41+GI17*POWER(1-(AnnualChurn*VLOOKUP(FV41,ChurnSeasonTable,4,FALSE)),2)*PriceEssAnnual*FY41+GI5*POWER(1-(AnnualChurn*VLOOKUP(FV41,ChurnSeasonTable,4,FALSE)),3)*PriceEssAnnual*FY41+GJ29*POWER(1-(AnnualChurn*VLOOKUP(FV41,ChurnSeasonTable,4,FALSE)),1)*PricePremAnnual*FY41+GJ17*POWER(1-(AnnualChurn*VLOOKUP(FV41,ChurnSeasonTable,4,FALSE)),2)*PricePremAnnual*FY41+GJ5*POWER(1-(AnnualChurn*VLOOKUP(FV41,ChurnSeasonTable,4,FALSE)),3)*PricePremAnnual*FY41</f>
        <v/>
      </c>
      <c r="GU41" s="9">
        <f>GR41+GS41+GT41</f>
        <v/>
      </c>
      <c r="GV41" s="12">
        <f>SUM(GU30:GU41)</f>
        <v/>
      </c>
      <c r="GW41" s="12">
        <f>OR(GW40,GV41&gt;=VATThreshold)</f>
        <v/>
      </c>
      <c r="GX41" s="9">
        <f>IF(GW41,GU41/(1+VATRate),GU41)</f>
        <v/>
      </c>
      <c r="GY41" s="12">
        <f>GU41-GX41</f>
        <v/>
      </c>
      <c r="GZ41" s="12">
        <f>IF(GW41=0,0,IF(FV41=1,SUMPRODUCT(--(($FW$5:$FW41=$FW41-1)*($FV$5:$FV41&gt;=10)*($FV$5:$FV41&lt;=12)),$GY$5:$GY41),IF(FV41=4,SUMPRODUCT(--(($FW$5:$FW41=$FW41)*($FV$5:$FV41&gt;=1)*($FV$5:$FV41&lt;=3)),$GY$5:$GY41),IF(FV41=7,SUMPRODUCT(--(($FW$5:$FW41=$FW41)*($FV$5:$FV41&gt;=4)*($FV$5:$FV41&lt;=6)),$GY$5:$GY41),IF(FV41=10,SUMPRODUCT(--(($FW$5:$FW41=$FW41)*($FV$5:$FV41&gt;=7)*($FV$5:$FV41&lt;=9)),$GY$5:$GY41),0)))))</f>
        <v/>
      </c>
      <c r="HA41" s="12">
        <f>HA40+GY41-GZ41</f>
        <v/>
      </c>
      <c r="HB41" s="12">
        <f>IF(ProviderDelay&gt;=1,GX40*ProviderShare,GX41*ProviderShare)</f>
        <v/>
      </c>
      <c r="HC41" s="12">
        <f>GU41*PaymentFee</f>
        <v/>
      </c>
      <c r="HD41" s="12">
        <f>GO41*OpsAI</f>
        <v/>
      </c>
      <c r="HE41" s="12">
        <f>MonthlyFixed</f>
        <v/>
      </c>
      <c r="HF41" s="12">
        <f>GC41*ReferralReward</f>
        <v/>
      </c>
      <c r="HG41" s="12">
        <f>GA41</f>
        <v/>
      </c>
      <c r="HH41" s="9">
        <f>GX41-HB41-HC41-HD41-HE41-HF41-HG41</f>
        <v/>
      </c>
      <c r="HI41" s="9">
        <f>HI40+GU41-(HB41+HC41+HD41+HE41+HF41+HG41+GZ41)</f>
        <v/>
      </c>
      <c r="HJ41" s="12">
        <f>IF(GO41&gt;0,GP41/GO41,0)</f>
        <v/>
      </c>
      <c r="HK41" s="11">
        <f>IF(GO40&gt;0,MAX(0,(GO40+GD41-GO41)/GO40),0)</f>
        <v/>
      </c>
      <c r="HM41" s="12" t="n">
        <v>37</v>
      </c>
      <c r="HN41" s="12">
        <f>MOD(HM41-1+LaunchMonth-1,12)+1</f>
        <v/>
      </c>
      <c r="HO41" s="12">
        <f>INT((HM41-1+LaunchMonth-1)/12)+1</f>
        <v/>
      </c>
      <c r="HP41" s="12">
        <f>VLOOKUP(HN41,SeasonTable,2,FALSE)</f>
        <v/>
      </c>
      <c r="HQ41" s="12">
        <f>(1+InflationRate)^INT((HM41-1)/12)</f>
        <v/>
      </c>
      <c r="HR41" s="11">
        <f>'Sens - Churn'!$A$15*VLOOKUP(HN41,ChurnSeasonTable,4,FALSE)</f>
        <v/>
      </c>
      <c r="HS41" s="12">
        <f>MIN(MAX(MktMin19plus,IM40*MktPct19plus),MAX(0,JA40-CashBuffer))</f>
        <v/>
      </c>
      <c r="HT41" s="12">
        <f>IF(HS41&gt;0,MAX(1,ROUND(HS41/CAC*HP41,0)),0)</f>
        <v/>
      </c>
      <c r="HU41" s="12">
        <f>IF(HT41&gt;0,ROUND(HT41*ReferralMix/(1-ReferralMix),0),0)</f>
        <v/>
      </c>
      <c r="HV41" s="12">
        <f>HT41+HU41</f>
        <v/>
      </c>
      <c r="HW41" s="12">
        <f>ROUND(HV41*(1-AnnualMix),0)</f>
        <v/>
      </c>
      <c r="HX41" s="12">
        <f>HV41-HW41</f>
        <v/>
      </c>
      <c r="HY41" s="12">
        <f>ROUND(HW41*EssentialMix,0)</f>
        <v/>
      </c>
      <c r="HZ41" s="12">
        <f>HW41-HY41</f>
        <v/>
      </c>
      <c r="IA41" s="12">
        <f>ROUND(HX41*EssentialMix,0)</f>
        <v/>
      </c>
      <c r="IB41" s="12">
        <f>HX41-IA41</f>
        <v/>
      </c>
      <c r="IC41" s="12">
        <f>HY41+HY40+HY39+MAX(0,IC40-HY40-HY39)*(1-HR41)</f>
        <v/>
      </c>
      <c r="ID41" s="12">
        <f>HZ41+HZ40+HZ39+MAX(0,ID40-HZ40-HZ39)*(1-HR41)</f>
        <v/>
      </c>
      <c r="IE41" s="12">
        <f>IE40+IA41-IA29*(AnnualChurn*VLOOKUP(HN41,ChurnSeasonTable,4,FALSE))*POWER(1-(AnnualChurn*VLOOKUP(HN41,ChurnSeasonTable,4,FALSE)),0)+IA17*(AnnualChurn*VLOOKUP(HN41,ChurnSeasonTable,4,FALSE))*POWER(1-(AnnualChurn*VLOOKUP(HN41,ChurnSeasonTable,4,FALSE)),1)+IA5*(AnnualChurn*VLOOKUP(HN41,ChurnSeasonTable,4,FALSE))*POWER(1-(AnnualChurn*VLOOKUP(HN41,ChurnSeasonTable,4,FALSE)),2)</f>
        <v/>
      </c>
      <c r="IF41" s="12">
        <f>IF40+IB41-IB29*(AnnualChurn*VLOOKUP(HN41,ChurnSeasonTable,4,FALSE))*POWER(1-(AnnualChurn*VLOOKUP(HN41,ChurnSeasonTable,4,FALSE)),0)+IB17*(AnnualChurn*VLOOKUP(HN41,ChurnSeasonTable,4,FALSE))*POWER(1-(AnnualChurn*VLOOKUP(HN41,ChurnSeasonTable,4,FALSE)),1)+IB5*(AnnualChurn*VLOOKUP(HN41,ChurnSeasonTable,4,FALSE))*POWER(1-(AnnualChurn*VLOOKUP(HN41,ChurnSeasonTable,4,FALSE)),2)</f>
        <v/>
      </c>
      <c r="IG41" s="12">
        <f>IC41+ID41+IE41+IF41</f>
        <v/>
      </c>
      <c r="IH41" s="9">
        <f>IC41*PriceEssMonthly*HQ41+ID41*PricePremMonthly*HQ41+IE41*PriceEssAnnual*HQ41/12+IF41*PricePremAnnual*HQ41/12</f>
        <v/>
      </c>
      <c r="II41" s="9">
        <f>IH41*12</f>
        <v/>
      </c>
      <c r="IJ41" s="12">
        <f>IC41*PriceEssMonthly*HQ41+ID41*PricePremMonthly*HQ41</f>
        <v/>
      </c>
      <c r="IK41" s="12">
        <f>IA41*PriceEssAnnual*HQ41+IB41*PricePremAnnual*HQ41</f>
        <v/>
      </c>
      <c r="IL41" s="12">
        <f>IA29*POWER(1-(AnnualChurn*VLOOKUP(HN41,ChurnSeasonTable,4,FALSE)),1)*PriceEssAnnual*HQ41+IA17*POWER(1-(AnnualChurn*VLOOKUP(HN41,ChurnSeasonTable,4,FALSE)),2)*PriceEssAnnual*HQ41+IA5*POWER(1-(AnnualChurn*VLOOKUP(HN41,ChurnSeasonTable,4,FALSE)),3)*PriceEssAnnual*HQ41+IB29*POWER(1-(AnnualChurn*VLOOKUP(HN41,ChurnSeasonTable,4,FALSE)),1)*PricePremAnnual*HQ41+IB17*POWER(1-(AnnualChurn*VLOOKUP(HN41,ChurnSeasonTable,4,FALSE)),2)*PricePremAnnual*HQ41+IB5*POWER(1-(AnnualChurn*VLOOKUP(HN41,ChurnSeasonTable,4,FALSE)),3)*PricePremAnnual*HQ41</f>
        <v/>
      </c>
      <c r="IM41" s="9">
        <f>IJ41+IK41+IL41</f>
        <v/>
      </c>
      <c r="IN41" s="12">
        <f>SUM(IM30:IM41)</f>
        <v/>
      </c>
      <c r="IO41" s="12">
        <f>OR(IO40,IN41&gt;=VATThreshold)</f>
        <v/>
      </c>
      <c r="IP41" s="9">
        <f>IF(IO41,IM41/(1+VATRate),IM41)</f>
        <v/>
      </c>
      <c r="IQ41" s="12">
        <f>IM41-IP41</f>
        <v/>
      </c>
      <c r="IR41" s="12">
        <f>IF(IO41=0,0,IF(HN41=1,SUMPRODUCT(--(($HO$5:$HO41=$HO41-1)*($HN$5:$HN41&gt;=10)*($HN$5:$HN41&lt;=12)),$IQ$5:$IQ41),IF(HN41=4,SUMPRODUCT(--(($HO$5:$HO41=$HO41)*($HN$5:$HN41&gt;=1)*($HN$5:$HN41&lt;=3)),$IQ$5:$IQ41),IF(HN41=7,SUMPRODUCT(--(($HO$5:$HO41=$HO41)*($HN$5:$HN41&gt;=4)*($HN$5:$HN41&lt;=6)),$IQ$5:$IQ41),IF(HN41=10,SUMPRODUCT(--(($HO$5:$HO41=$HO41)*($HN$5:$HN41&gt;=7)*($HN$5:$HN41&lt;=9)),$IQ$5:$IQ41),0)))))</f>
        <v/>
      </c>
      <c r="IS41" s="12">
        <f>IS40+IQ41-IR41</f>
        <v/>
      </c>
      <c r="IT41" s="12">
        <f>IF(ProviderDelay&gt;=1,IP40*ProviderShare,IP41*ProviderShare)</f>
        <v/>
      </c>
      <c r="IU41" s="12">
        <f>IM41*PaymentFee</f>
        <v/>
      </c>
      <c r="IV41" s="12">
        <f>IG41*OpsAI</f>
        <v/>
      </c>
      <c r="IW41" s="12">
        <f>MonthlyFixed</f>
        <v/>
      </c>
      <c r="IX41" s="12">
        <f>HU41*ReferralReward</f>
        <v/>
      </c>
      <c r="IY41" s="12">
        <f>HS41</f>
        <v/>
      </c>
      <c r="IZ41" s="9">
        <f>IP41-IT41-IU41-IV41-IW41-IX41-IY41</f>
        <v/>
      </c>
      <c r="JA41" s="9">
        <f>JA40+IM41-(IT41+IU41+IV41+IW41+IX41+IY41+IR41)</f>
        <v/>
      </c>
      <c r="JB41" s="12">
        <f>IF(IG41&gt;0,IH41/IG41,0)</f>
        <v/>
      </c>
      <c r="JC41" s="11">
        <f>IF(IG40&gt;0,MAX(0,(IG40+HV41-IG41)/IG40),0)</f>
        <v/>
      </c>
      <c r="JE41" s="12" t="n">
        <v>37</v>
      </c>
      <c r="JF41" s="12">
        <f>MOD(JE41-1+LaunchMonth-1,12)+1</f>
        <v/>
      </c>
      <c r="JG41" s="12">
        <f>INT((JE41-1+LaunchMonth-1)/12)+1</f>
        <v/>
      </c>
      <c r="JH41" s="12">
        <f>VLOOKUP(JF41,SeasonTable,2,FALSE)</f>
        <v/>
      </c>
      <c r="JI41" s="12">
        <f>(1+InflationRate)^INT((JE41-1)/12)</f>
        <v/>
      </c>
      <c r="JJ41" s="11">
        <f>'Sens - Churn'!$A$16*VLOOKUP(JF41,ChurnSeasonTable,4,FALSE)</f>
        <v/>
      </c>
      <c r="JK41" s="12">
        <f>MIN(MAX(MktMin19plus,KE40*MktPct19plus),MAX(0,KS40-CashBuffer))</f>
        <v/>
      </c>
      <c r="JL41" s="12">
        <f>IF(JK41&gt;0,MAX(1,ROUND(JK41/CAC*JH41,0)),0)</f>
        <v/>
      </c>
      <c r="JM41" s="12">
        <f>IF(JL41&gt;0,ROUND(JL41*ReferralMix/(1-ReferralMix),0),0)</f>
        <v/>
      </c>
      <c r="JN41" s="12">
        <f>JL41+JM41</f>
        <v/>
      </c>
      <c r="JO41" s="12">
        <f>ROUND(JN41*(1-AnnualMix),0)</f>
        <v/>
      </c>
      <c r="JP41" s="12">
        <f>JN41-JO41</f>
        <v/>
      </c>
      <c r="JQ41" s="12">
        <f>ROUND(JO41*EssentialMix,0)</f>
        <v/>
      </c>
      <c r="JR41" s="12">
        <f>JO41-JQ41</f>
        <v/>
      </c>
      <c r="JS41" s="12">
        <f>ROUND(JP41*EssentialMix,0)</f>
        <v/>
      </c>
      <c r="JT41" s="12">
        <f>JP41-JS41</f>
        <v/>
      </c>
      <c r="JU41" s="12">
        <f>JQ41+JQ40+JQ39+MAX(0,JU40-JQ40-JQ39)*(1-JJ41)</f>
        <v/>
      </c>
      <c r="JV41" s="12">
        <f>JR41+JR40+JR39+MAX(0,JV40-JR40-JR39)*(1-JJ41)</f>
        <v/>
      </c>
      <c r="JW41" s="12">
        <f>JW40+JS41-JS29*(AnnualChurn*VLOOKUP(JF41,ChurnSeasonTable,4,FALSE))*POWER(1-(AnnualChurn*VLOOKUP(JF41,ChurnSeasonTable,4,FALSE)),0)+JS17*(AnnualChurn*VLOOKUP(JF41,ChurnSeasonTable,4,FALSE))*POWER(1-(AnnualChurn*VLOOKUP(JF41,ChurnSeasonTable,4,FALSE)),1)+JS5*(AnnualChurn*VLOOKUP(JF41,ChurnSeasonTable,4,FALSE))*POWER(1-(AnnualChurn*VLOOKUP(JF41,ChurnSeasonTable,4,FALSE)),2)</f>
        <v/>
      </c>
      <c r="JX41" s="12">
        <f>JX40+JT41-JT29*(AnnualChurn*VLOOKUP(JF41,ChurnSeasonTable,4,FALSE))*POWER(1-(AnnualChurn*VLOOKUP(JF41,ChurnSeasonTable,4,FALSE)),0)+JT17*(AnnualChurn*VLOOKUP(JF41,ChurnSeasonTable,4,FALSE))*POWER(1-(AnnualChurn*VLOOKUP(JF41,ChurnSeasonTable,4,FALSE)),1)+JT5*(AnnualChurn*VLOOKUP(JF41,ChurnSeasonTable,4,FALSE))*POWER(1-(AnnualChurn*VLOOKUP(JF41,ChurnSeasonTable,4,FALSE)),2)</f>
        <v/>
      </c>
      <c r="JY41" s="12">
        <f>JU41+JV41+JW41+JX41</f>
        <v/>
      </c>
      <c r="JZ41" s="9">
        <f>JU41*PriceEssMonthly*JI41+JV41*PricePremMonthly*JI41+JW41*PriceEssAnnual*JI41/12+JX41*PricePremAnnual*JI41/12</f>
        <v/>
      </c>
      <c r="KA41" s="9">
        <f>JZ41*12</f>
        <v/>
      </c>
      <c r="KB41" s="12">
        <f>JU41*PriceEssMonthly*JI41+JV41*PricePremMonthly*JI41</f>
        <v/>
      </c>
      <c r="KC41" s="12">
        <f>JS41*PriceEssAnnual*JI41+JT41*PricePremAnnual*JI41</f>
        <v/>
      </c>
      <c r="KD41" s="12">
        <f>JS29*POWER(1-(AnnualChurn*VLOOKUP(JF41,ChurnSeasonTable,4,FALSE)),1)*PriceEssAnnual*JI41+JS17*POWER(1-(AnnualChurn*VLOOKUP(JF41,ChurnSeasonTable,4,FALSE)),2)*PriceEssAnnual*JI41+JS5*POWER(1-(AnnualChurn*VLOOKUP(JF41,ChurnSeasonTable,4,FALSE)),3)*PriceEssAnnual*JI41+JT29*POWER(1-(AnnualChurn*VLOOKUP(JF41,ChurnSeasonTable,4,FALSE)),1)*PricePremAnnual*JI41+JT17*POWER(1-(AnnualChurn*VLOOKUP(JF41,ChurnSeasonTable,4,FALSE)),2)*PricePremAnnual*JI41+JT5*POWER(1-(AnnualChurn*VLOOKUP(JF41,ChurnSeasonTable,4,FALSE)),3)*PricePremAnnual*JI41</f>
        <v/>
      </c>
      <c r="KE41" s="9">
        <f>KB41+KC41+KD41</f>
        <v/>
      </c>
      <c r="KF41" s="12">
        <f>SUM(KE30:KE41)</f>
        <v/>
      </c>
      <c r="KG41" s="12">
        <f>OR(KG40,KF41&gt;=VATThreshold)</f>
        <v/>
      </c>
      <c r="KH41" s="9">
        <f>IF(KG41,KE41/(1+VATRate),KE41)</f>
        <v/>
      </c>
      <c r="KI41" s="12">
        <f>KE41-KH41</f>
        <v/>
      </c>
      <c r="KJ41" s="12">
        <f>IF(KG41=0,0,IF(JF41=1,SUMPRODUCT(--(($JG$5:$JG41=$JG41-1)*($JF$5:$JF41&gt;=10)*($JF$5:$JF41&lt;=12)),$KI$5:$KI41),IF(JF41=4,SUMPRODUCT(--(($JG$5:$JG41=$JG41)*($JF$5:$JF41&gt;=1)*($JF$5:$JF41&lt;=3)),$KI$5:$KI41),IF(JF41=7,SUMPRODUCT(--(($JG$5:$JG41=$JG41)*($JF$5:$JF41&gt;=4)*($JF$5:$JF41&lt;=6)),$KI$5:$KI41),IF(JF41=10,SUMPRODUCT(--(($JG$5:$JG41=$JG41)*($JF$5:$JF41&gt;=7)*($JF$5:$JF41&lt;=9)),$KI$5:$KI41),0)))))</f>
        <v/>
      </c>
      <c r="KK41" s="12">
        <f>KK40+KI41-KJ41</f>
        <v/>
      </c>
      <c r="KL41" s="12">
        <f>IF(ProviderDelay&gt;=1,KH40*ProviderShare,KH41*ProviderShare)</f>
        <v/>
      </c>
      <c r="KM41" s="12">
        <f>KE41*PaymentFee</f>
        <v/>
      </c>
      <c r="KN41" s="12">
        <f>JY41*OpsAI</f>
        <v/>
      </c>
      <c r="KO41" s="12">
        <f>MonthlyFixed</f>
        <v/>
      </c>
      <c r="KP41" s="12">
        <f>JM41*ReferralReward</f>
        <v/>
      </c>
      <c r="KQ41" s="12">
        <f>JK41</f>
        <v/>
      </c>
      <c r="KR41" s="9">
        <f>KH41-KL41-KM41-KN41-KO41-KP41-KQ41</f>
        <v/>
      </c>
      <c r="KS41" s="9">
        <f>KS40+KE41-(KL41+KM41+KN41+KO41+KP41+KQ41+KJ41)</f>
        <v/>
      </c>
      <c r="KT41" s="12">
        <f>IF(JY41&gt;0,JZ41/JY41,0)</f>
        <v/>
      </c>
      <c r="KU41" s="11">
        <f>IF(JY40&gt;0,MAX(0,(JY40+JN41-JY41)/JY40),0)</f>
        <v/>
      </c>
      <c r="KW41" s="12" t="n">
        <v>37</v>
      </c>
      <c r="KX41" s="12">
        <f>MOD(KW41-1+LaunchMonth-1,12)+1</f>
        <v/>
      </c>
      <c r="KY41" s="12">
        <f>INT((KW41-1+LaunchMonth-1)/12)+1</f>
        <v/>
      </c>
      <c r="KZ41" s="12">
        <f>VLOOKUP(KX41,SeasonTable,2,FALSE)</f>
        <v/>
      </c>
      <c r="LA41" s="12">
        <f>(1+InflationRate)^INT((KW41-1)/12)</f>
        <v/>
      </c>
      <c r="LB41" s="11">
        <f>'Sens - Churn'!$A$17*VLOOKUP(KX41,ChurnSeasonTable,4,FALSE)</f>
        <v/>
      </c>
      <c r="LC41" s="12">
        <f>MIN(MAX(MktMin19plus,LW40*MktPct19plus),MAX(0,MK40-CashBuffer))</f>
        <v/>
      </c>
      <c r="LD41" s="12">
        <f>IF(LC41&gt;0,MAX(1,ROUND(LC41/CAC*KZ41,0)),0)</f>
        <v/>
      </c>
      <c r="LE41" s="12">
        <f>IF(LD41&gt;0,ROUND(LD41*ReferralMix/(1-ReferralMix),0),0)</f>
        <v/>
      </c>
      <c r="LF41" s="12">
        <f>LD41+LE41</f>
        <v/>
      </c>
      <c r="LG41" s="12">
        <f>ROUND(LF41*(1-AnnualMix),0)</f>
        <v/>
      </c>
      <c r="LH41" s="12">
        <f>LF41-LG41</f>
        <v/>
      </c>
      <c r="LI41" s="12">
        <f>ROUND(LG41*EssentialMix,0)</f>
        <v/>
      </c>
      <c r="LJ41" s="12">
        <f>LG41-LI41</f>
        <v/>
      </c>
      <c r="LK41" s="12">
        <f>ROUND(LH41*EssentialMix,0)</f>
        <v/>
      </c>
      <c r="LL41" s="12">
        <f>LH41-LK41</f>
        <v/>
      </c>
      <c r="LM41" s="12">
        <f>LI41+LI40+LI39+MAX(0,LM40-LI40-LI39)*(1-LB41)</f>
        <v/>
      </c>
      <c r="LN41" s="12">
        <f>LJ41+LJ40+LJ39+MAX(0,LN40-LJ40-LJ39)*(1-LB41)</f>
        <v/>
      </c>
      <c r="LO41" s="12">
        <f>LO40+LK41-LK29*(AnnualChurn*VLOOKUP(KX41,ChurnSeasonTable,4,FALSE))*POWER(1-(AnnualChurn*VLOOKUP(KX41,ChurnSeasonTable,4,FALSE)),0)+LK17*(AnnualChurn*VLOOKUP(KX41,ChurnSeasonTable,4,FALSE))*POWER(1-(AnnualChurn*VLOOKUP(KX41,ChurnSeasonTable,4,FALSE)),1)+LK5*(AnnualChurn*VLOOKUP(KX41,ChurnSeasonTable,4,FALSE))*POWER(1-(AnnualChurn*VLOOKUP(KX41,ChurnSeasonTable,4,FALSE)),2)</f>
        <v/>
      </c>
      <c r="LP41" s="12">
        <f>LP40+LL41-LL29*(AnnualChurn*VLOOKUP(KX41,ChurnSeasonTable,4,FALSE))*POWER(1-(AnnualChurn*VLOOKUP(KX41,ChurnSeasonTable,4,FALSE)),0)+LL17*(AnnualChurn*VLOOKUP(KX41,ChurnSeasonTable,4,FALSE))*POWER(1-(AnnualChurn*VLOOKUP(KX41,ChurnSeasonTable,4,FALSE)),1)+LL5*(AnnualChurn*VLOOKUP(KX41,ChurnSeasonTable,4,FALSE))*POWER(1-(AnnualChurn*VLOOKUP(KX41,ChurnSeasonTable,4,FALSE)),2)</f>
        <v/>
      </c>
      <c r="LQ41" s="12">
        <f>LM41+LN41+LO41+LP41</f>
        <v/>
      </c>
      <c r="LR41" s="9">
        <f>LM41*PriceEssMonthly*LA41+LN41*PricePremMonthly*LA41+LO41*PriceEssAnnual*LA41/12+LP41*PricePremAnnual*LA41/12</f>
        <v/>
      </c>
      <c r="LS41" s="9">
        <f>LR41*12</f>
        <v/>
      </c>
      <c r="LT41" s="12">
        <f>LM41*PriceEssMonthly*LA41+LN41*PricePremMonthly*LA41</f>
        <v/>
      </c>
      <c r="LU41" s="12">
        <f>LK41*PriceEssAnnual*LA41+LL41*PricePremAnnual*LA41</f>
        <v/>
      </c>
      <c r="LV41" s="12">
        <f>LK29*POWER(1-(AnnualChurn*VLOOKUP(KX41,ChurnSeasonTable,4,FALSE)),1)*PriceEssAnnual*LA41+LK17*POWER(1-(AnnualChurn*VLOOKUP(KX41,ChurnSeasonTable,4,FALSE)),2)*PriceEssAnnual*LA41+LK5*POWER(1-(AnnualChurn*VLOOKUP(KX41,ChurnSeasonTable,4,FALSE)),3)*PriceEssAnnual*LA41+LL29*POWER(1-(AnnualChurn*VLOOKUP(KX41,ChurnSeasonTable,4,FALSE)),1)*PricePremAnnual*LA41+LL17*POWER(1-(AnnualChurn*VLOOKUP(KX41,ChurnSeasonTable,4,FALSE)),2)*PricePremAnnual*LA41+LL5*POWER(1-(AnnualChurn*VLOOKUP(KX41,ChurnSeasonTable,4,FALSE)),3)*PricePremAnnual*LA41</f>
        <v/>
      </c>
      <c r="LW41" s="9">
        <f>LT41+LU41+LV41</f>
        <v/>
      </c>
      <c r="LX41" s="12">
        <f>SUM(LW30:LW41)</f>
        <v/>
      </c>
      <c r="LY41" s="12">
        <f>OR(LY40,LX41&gt;=VATThreshold)</f>
        <v/>
      </c>
      <c r="LZ41" s="9">
        <f>IF(LY41,LW41/(1+VATRate),LW41)</f>
        <v/>
      </c>
      <c r="MA41" s="12">
        <f>LW41-LZ41</f>
        <v/>
      </c>
      <c r="MB41" s="12">
        <f>IF(LY41=0,0,IF(KX41=1,SUMPRODUCT(--(($KY$5:$KY41=$KY41-1)*($KX$5:$KX41&gt;=10)*($KX$5:$KX41&lt;=12)),$MA$5:$MA41),IF(KX41=4,SUMPRODUCT(--(($KY$5:$KY41=$KY41)*($KX$5:$KX41&gt;=1)*($KX$5:$KX41&lt;=3)),$MA$5:$MA41),IF(KX41=7,SUMPRODUCT(--(($KY$5:$KY41=$KY41)*($KX$5:$KX41&gt;=4)*($KX$5:$KX41&lt;=6)),$MA$5:$MA41),IF(KX41=10,SUMPRODUCT(--(($KY$5:$KY41=$KY41)*($KX$5:$KX41&gt;=7)*($KX$5:$KX41&lt;=9)),$MA$5:$MA41),0)))))</f>
        <v/>
      </c>
      <c r="MC41" s="12">
        <f>MC40+MA41-MB41</f>
        <v/>
      </c>
      <c r="MD41" s="12">
        <f>IF(ProviderDelay&gt;=1,LZ40*ProviderShare,LZ41*ProviderShare)</f>
        <v/>
      </c>
      <c r="ME41" s="12">
        <f>LW41*PaymentFee</f>
        <v/>
      </c>
      <c r="MF41" s="12">
        <f>LQ41*OpsAI</f>
        <v/>
      </c>
      <c r="MG41" s="12">
        <f>MonthlyFixed</f>
        <v/>
      </c>
      <c r="MH41" s="12">
        <f>LE41*ReferralReward</f>
        <v/>
      </c>
      <c r="MI41" s="12">
        <f>LC41</f>
        <v/>
      </c>
      <c r="MJ41" s="9">
        <f>LZ41-MD41-ME41-MF41-MG41-MH41-MI41</f>
        <v/>
      </c>
      <c r="MK41" s="9">
        <f>MK40+LW41-(MD41+ME41+MF41+MG41+MH41+MI41+MB41)</f>
        <v/>
      </c>
      <c r="ML41" s="12">
        <f>IF(LQ41&gt;0,LR41/LQ41,0)</f>
        <v/>
      </c>
      <c r="MM41" s="11">
        <f>IF(LQ40&gt;0,MAX(0,(LQ40+LF41-LQ41)/LQ40),0)</f>
        <v/>
      </c>
      <c r="MO41" s="12" t="n">
        <v>37</v>
      </c>
      <c r="MP41" s="12">
        <f>MOD(MO41-1+LaunchMonth-1,12)+1</f>
        <v/>
      </c>
      <c r="MQ41" s="12">
        <f>INT((MO41-1+LaunchMonth-1)/12)+1</f>
        <v/>
      </c>
      <c r="MR41" s="12">
        <f>VLOOKUP(MP41,SeasonTable,2,FALSE)</f>
        <v/>
      </c>
      <c r="MS41" s="12">
        <f>(1+InflationRate)^INT((MO41-1)/12)</f>
        <v/>
      </c>
      <c r="MT41" s="11">
        <f>'Sens - Churn'!$A$18*VLOOKUP(MP41,ChurnSeasonTable,4,FALSE)</f>
        <v/>
      </c>
      <c r="MU41" s="12">
        <f>MIN(MAX(MktMin19plus,NO40*MktPct19plus),MAX(0,OC40-CashBuffer))</f>
        <v/>
      </c>
      <c r="MV41" s="12">
        <f>IF(MU41&gt;0,MAX(1,ROUND(MU41/CAC*MR41,0)),0)</f>
        <v/>
      </c>
      <c r="MW41" s="12">
        <f>IF(MV41&gt;0,ROUND(MV41*ReferralMix/(1-ReferralMix),0),0)</f>
        <v/>
      </c>
      <c r="MX41" s="12">
        <f>MV41+MW41</f>
        <v/>
      </c>
      <c r="MY41" s="12">
        <f>ROUND(MX41*(1-AnnualMix),0)</f>
        <v/>
      </c>
      <c r="MZ41" s="12">
        <f>MX41-MY41</f>
        <v/>
      </c>
      <c r="NA41" s="12">
        <f>ROUND(MY41*EssentialMix,0)</f>
        <v/>
      </c>
      <c r="NB41" s="12">
        <f>MY41-NA41</f>
        <v/>
      </c>
      <c r="NC41" s="12">
        <f>ROUND(MZ41*EssentialMix,0)</f>
        <v/>
      </c>
      <c r="ND41" s="12">
        <f>MZ41-NC41</f>
        <v/>
      </c>
      <c r="NE41" s="12">
        <f>NA41+NA40+NA39+MAX(0,NE40-NA40-NA39)*(1-MT41)</f>
        <v/>
      </c>
      <c r="NF41" s="12">
        <f>NB41+NB40+NB39+MAX(0,NF40-NB40-NB39)*(1-MT41)</f>
        <v/>
      </c>
      <c r="NG41" s="12">
        <f>NG40+NC41-NC29*(AnnualChurn*VLOOKUP(MP41,ChurnSeasonTable,4,FALSE))*POWER(1-(AnnualChurn*VLOOKUP(MP41,ChurnSeasonTable,4,FALSE)),0)+NC17*(AnnualChurn*VLOOKUP(MP41,ChurnSeasonTable,4,FALSE))*POWER(1-(AnnualChurn*VLOOKUP(MP41,ChurnSeasonTable,4,FALSE)),1)+NC5*(AnnualChurn*VLOOKUP(MP41,ChurnSeasonTable,4,FALSE))*POWER(1-(AnnualChurn*VLOOKUP(MP41,ChurnSeasonTable,4,FALSE)),2)</f>
        <v/>
      </c>
      <c r="NH41" s="12">
        <f>NH40+ND41-ND29*(AnnualChurn*VLOOKUP(MP41,ChurnSeasonTable,4,FALSE))*POWER(1-(AnnualChurn*VLOOKUP(MP41,ChurnSeasonTable,4,FALSE)),0)+ND17*(AnnualChurn*VLOOKUP(MP41,ChurnSeasonTable,4,FALSE))*POWER(1-(AnnualChurn*VLOOKUP(MP41,ChurnSeasonTable,4,FALSE)),1)+ND5*(AnnualChurn*VLOOKUP(MP41,ChurnSeasonTable,4,FALSE))*POWER(1-(AnnualChurn*VLOOKUP(MP41,ChurnSeasonTable,4,FALSE)),2)</f>
        <v/>
      </c>
      <c r="NI41" s="12">
        <f>NE41+NF41+NG41+NH41</f>
        <v/>
      </c>
      <c r="NJ41" s="9">
        <f>NE41*PriceEssMonthly*MS41+NF41*PricePremMonthly*MS41+NG41*PriceEssAnnual*MS41/12+NH41*PricePremAnnual*MS41/12</f>
        <v/>
      </c>
      <c r="NK41" s="9">
        <f>NJ41*12</f>
        <v/>
      </c>
      <c r="NL41" s="12">
        <f>NE41*PriceEssMonthly*MS41+NF41*PricePremMonthly*MS41</f>
        <v/>
      </c>
      <c r="NM41" s="12">
        <f>NC41*PriceEssAnnual*MS41+ND41*PricePremAnnual*MS41</f>
        <v/>
      </c>
      <c r="NN41" s="12">
        <f>NC29*POWER(1-(AnnualChurn*VLOOKUP(MP41,ChurnSeasonTable,4,FALSE)),1)*PriceEssAnnual*MS41+NC17*POWER(1-(AnnualChurn*VLOOKUP(MP41,ChurnSeasonTable,4,FALSE)),2)*PriceEssAnnual*MS41+NC5*POWER(1-(AnnualChurn*VLOOKUP(MP41,ChurnSeasonTable,4,FALSE)),3)*PriceEssAnnual*MS41+ND29*POWER(1-(AnnualChurn*VLOOKUP(MP41,ChurnSeasonTable,4,FALSE)),1)*PricePremAnnual*MS41+ND17*POWER(1-(AnnualChurn*VLOOKUP(MP41,ChurnSeasonTable,4,FALSE)),2)*PricePremAnnual*MS41+ND5*POWER(1-(AnnualChurn*VLOOKUP(MP41,ChurnSeasonTable,4,FALSE)),3)*PricePremAnnual*MS41</f>
        <v/>
      </c>
      <c r="NO41" s="9">
        <f>NL41+NM41+NN41</f>
        <v/>
      </c>
      <c r="NP41" s="12">
        <f>SUM(NO30:NO41)</f>
        <v/>
      </c>
      <c r="NQ41" s="12">
        <f>OR(NQ40,NP41&gt;=VATThreshold)</f>
        <v/>
      </c>
      <c r="NR41" s="9">
        <f>IF(NQ41,NO41/(1+VATRate),NO41)</f>
        <v/>
      </c>
      <c r="NS41" s="12">
        <f>NO41-NR41</f>
        <v/>
      </c>
      <c r="NT41" s="12">
        <f>IF(NQ41=0,0,IF(MP41=1,SUMPRODUCT(--(($MQ$5:$MQ41=$MQ41-1)*($MP$5:$MP41&gt;=10)*($MP$5:$MP41&lt;=12)),$NS$5:$NS41),IF(MP41=4,SUMPRODUCT(--(($MQ$5:$MQ41=$MQ41)*($MP$5:$MP41&gt;=1)*($MP$5:$MP41&lt;=3)),$NS$5:$NS41),IF(MP41=7,SUMPRODUCT(--(($MQ$5:$MQ41=$MQ41)*($MP$5:$MP41&gt;=4)*($MP$5:$MP41&lt;=6)),$NS$5:$NS41),IF(MP41=10,SUMPRODUCT(--(($MQ$5:$MQ41=$MQ41)*($MP$5:$MP41&gt;=7)*($MP$5:$MP41&lt;=9)),$NS$5:$NS41),0)))))</f>
        <v/>
      </c>
      <c r="NU41" s="12">
        <f>NU40+NS41-NT41</f>
        <v/>
      </c>
      <c r="NV41" s="12">
        <f>IF(ProviderDelay&gt;=1,NR40*ProviderShare,NR41*ProviderShare)</f>
        <v/>
      </c>
      <c r="NW41" s="12">
        <f>NO41*PaymentFee</f>
        <v/>
      </c>
      <c r="NX41" s="12">
        <f>NI41*OpsAI</f>
        <v/>
      </c>
      <c r="NY41" s="12">
        <f>MonthlyFixed</f>
        <v/>
      </c>
      <c r="NZ41" s="12">
        <f>MW41*ReferralReward</f>
        <v/>
      </c>
      <c r="OA41" s="12">
        <f>MU41</f>
        <v/>
      </c>
      <c r="OB41" s="9">
        <f>NR41-NV41-NW41-NX41-NY41-NZ41-OA41</f>
        <v/>
      </c>
      <c r="OC41" s="9">
        <f>OC40+NO41-(NV41+NW41+NX41+NY41+NZ41+OA41+NT41)</f>
        <v/>
      </c>
      <c r="OD41" s="12">
        <f>IF(NI41&gt;0,NJ41/NI41,0)</f>
        <v/>
      </c>
      <c r="OE41" s="11">
        <f>IF(NI40&gt;0,MAX(0,(NI40+MX41-NI41)/NI40),0)</f>
        <v/>
      </c>
      <c r="OG41" s="12" t="n">
        <v>37</v>
      </c>
      <c r="OH41" s="12">
        <f>MOD(OG41-1+LaunchMonth-1,12)+1</f>
        <v/>
      </c>
      <c r="OI41" s="12">
        <f>INT((OG41-1+LaunchMonth-1)/12)+1</f>
        <v/>
      </c>
      <c r="OJ41" s="12">
        <f>VLOOKUP(OH41,SeasonTable,2,FALSE)</f>
        <v/>
      </c>
      <c r="OK41" s="12">
        <f>(1+InflationRate)^INT((OG41-1)/12)</f>
        <v/>
      </c>
      <c r="OL41" s="11">
        <f>'Sens - Churn'!$A$19*VLOOKUP(OH41,ChurnSeasonTable,4,FALSE)</f>
        <v/>
      </c>
      <c r="OM41" s="12">
        <f>MIN(MAX(MktMin19plus,PG40*MktPct19plus),MAX(0,PU40-CashBuffer))</f>
        <v/>
      </c>
      <c r="ON41" s="12">
        <f>IF(OM41&gt;0,MAX(1,ROUND(OM41/CAC*OJ41,0)),0)</f>
        <v/>
      </c>
      <c r="OO41" s="12">
        <f>IF(ON41&gt;0,ROUND(ON41*ReferralMix/(1-ReferralMix),0),0)</f>
        <v/>
      </c>
      <c r="OP41" s="12">
        <f>ON41+OO41</f>
        <v/>
      </c>
      <c r="OQ41" s="12">
        <f>ROUND(OP41*(1-AnnualMix),0)</f>
        <v/>
      </c>
      <c r="OR41" s="12">
        <f>OP41-OQ41</f>
        <v/>
      </c>
      <c r="OS41" s="12">
        <f>ROUND(OQ41*EssentialMix,0)</f>
        <v/>
      </c>
      <c r="OT41" s="12">
        <f>OQ41-OS41</f>
        <v/>
      </c>
      <c r="OU41" s="12">
        <f>ROUND(OR41*EssentialMix,0)</f>
        <v/>
      </c>
      <c r="OV41" s="12">
        <f>OR41-OU41</f>
        <v/>
      </c>
      <c r="OW41" s="12">
        <f>OS41+OS40+OS39+MAX(0,OW40-OS40-OS39)*(1-OL41)</f>
        <v/>
      </c>
      <c r="OX41" s="12">
        <f>OT41+OT40+OT39+MAX(0,OX40-OT40-OT39)*(1-OL41)</f>
        <v/>
      </c>
      <c r="OY41" s="12">
        <f>OY40+OU41-OU29*(AnnualChurn*VLOOKUP(OH41,ChurnSeasonTable,4,FALSE))*POWER(1-(AnnualChurn*VLOOKUP(OH41,ChurnSeasonTable,4,FALSE)),0)+OU17*(AnnualChurn*VLOOKUP(OH41,ChurnSeasonTable,4,FALSE))*POWER(1-(AnnualChurn*VLOOKUP(OH41,ChurnSeasonTable,4,FALSE)),1)+OU5*(AnnualChurn*VLOOKUP(OH41,ChurnSeasonTable,4,FALSE))*POWER(1-(AnnualChurn*VLOOKUP(OH41,ChurnSeasonTable,4,FALSE)),2)</f>
        <v/>
      </c>
      <c r="OZ41" s="12">
        <f>OZ40+OV41-OV29*(AnnualChurn*VLOOKUP(OH41,ChurnSeasonTable,4,FALSE))*POWER(1-(AnnualChurn*VLOOKUP(OH41,ChurnSeasonTable,4,FALSE)),0)+OV17*(AnnualChurn*VLOOKUP(OH41,ChurnSeasonTable,4,FALSE))*POWER(1-(AnnualChurn*VLOOKUP(OH41,ChurnSeasonTable,4,FALSE)),1)+OV5*(AnnualChurn*VLOOKUP(OH41,ChurnSeasonTable,4,FALSE))*POWER(1-(AnnualChurn*VLOOKUP(OH41,ChurnSeasonTable,4,FALSE)),2)</f>
        <v/>
      </c>
      <c r="PA41" s="12">
        <f>OW41+OX41+OY41+OZ41</f>
        <v/>
      </c>
      <c r="PB41" s="9">
        <f>OW41*PriceEssMonthly*OK41+OX41*PricePremMonthly*OK41+OY41*PriceEssAnnual*OK41/12+OZ41*PricePremAnnual*OK41/12</f>
        <v/>
      </c>
      <c r="PC41" s="9">
        <f>PB41*12</f>
        <v/>
      </c>
      <c r="PD41" s="12">
        <f>OW41*PriceEssMonthly*OK41+OX41*PricePremMonthly*OK41</f>
        <v/>
      </c>
      <c r="PE41" s="12">
        <f>OU41*PriceEssAnnual*OK41+OV41*PricePremAnnual*OK41</f>
        <v/>
      </c>
      <c r="PF41" s="12">
        <f>OU29*POWER(1-(AnnualChurn*VLOOKUP(OH41,ChurnSeasonTable,4,FALSE)),1)*PriceEssAnnual*OK41+OU17*POWER(1-(AnnualChurn*VLOOKUP(OH41,ChurnSeasonTable,4,FALSE)),2)*PriceEssAnnual*OK41+OU5*POWER(1-(AnnualChurn*VLOOKUP(OH41,ChurnSeasonTable,4,FALSE)),3)*PriceEssAnnual*OK41+OV29*POWER(1-(AnnualChurn*VLOOKUP(OH41,ChurnSeasonTable,4,FALSE)),1)*PricePremAnnual*OK41+OV17*POWER(1-(AnnualChurn*VLOOKUP(OH41,ChurnSeasonTable,4,FALSE)),2)*PricePremAnnual*OK41+OV5*POWER(1-(AnnualChurn*VLOOKUP(OH41,ChurnSeasonTable,4,FALSE)),3)*PricePremAnnual*OK41</f>
        <v/>
      </c>
      <c r="PG41" s="9">
        <f>PD41+PE41+PF41</f>
        <v/>
      </c>
      <c r="PH41" s="12">
        <f>SUM(PG30:PG41)</f>
        <v/>
      </c>
      <c r="PI41" s="12">
        <f>OR(PI40,PH41&gt;=VATThreshold)</f>
        <v/>
      </c>
      <c r="PJ41" s="9">
        <f>IF(PI41,PG41/(1+VATRate),PG41)</f>
        <v/>
      </c>
      <c r="PK41" s="12">
        <f>PG41-PJ41</f>
        <v/>
      </c>
      <c r="PL41" s="12">
        <f>IF(PI41=0,0,IF(OH41=1,SUMPRODUCT(--(($OI$5:$OI41=$OI41-1)*($OH$5:$OH41&gt;=10)*($OH$5:$OH41&lt;=12)),$PK$5:$PK41),IF(OH41=4,SUMPRODUCT(--(($OI$5:$OI41=$OI41)*($OH$5:$OH41&gt;=1)*($OH$5:$OH41&lt;=3)),$PK$5:$PK41),IF(OH41=7,SUMPRODUCT(--(($OI$5:$OI41=$OI41)*($OH$5:$OH41&gt;=4)*($OH$5:$OH41&lt;=6)),$PK$5:$PK41),IF(OH41=10,SUMPRODUCT(--(($OI$5:$OI41=$OI41)*($OH$5:$OH41&gt;=7)*($OH$5:$OH41&lt;=9)),$PK$5:$PK41),0)))))</f>
        <v/>
      </c>
      <c r="PM41" s="12">
        <f>PM40+PK41-PL41</f>
        <v/>
      </c>
      <c r="PN41" s="12">
        <f>IF(ProviderDelay&gt;=1,PJ40*ProviderShare,PJ41*ProviderShare)</f>
        <v/>
      </c>
      <c r="PO41" s="12">
        <f>PG41*PaymentFee</f>
        <v/>
      </c>
      <c r="PP41" s="12">
        <f>PA41*OpsAI</f>
        <v/>
      </c>
      <c r="PQ41" s="12">
        <f>MonthlyFixed</f>
        <v/>
      </c>
      <c r="PR41" s="12">
        <f>OO41*ReferralReward</f>
        <v/>
      </c>
      <c r="PS41" s="12">
        <f>OM41</f>
        <v/>
      </c>
      <c r="PT41" s="9">
        <f>PJ41-PN41-PO41-PP41-PQ41-PR41-PS41</f>
        <v/>
      </c>
      <c r="PU41" s="9">
        <f>PU40+PG41-(PN41+PO41+PP41+PQ41+PR41+PS41+PL41)</f>
        <v/>
      </c>
      <c r="PV41" s="12">
        <f>IF(PA41&gt;0,PB41/PA41,0)</f>
        <v/>
      </c>
      <c r="PW41" s="11">
        <f>IF(PA40&gt;0,MAX(0,(PA40+OP41-PA41)/PA40),0)</f>
        <v/>
      </c>
      <c r="PY41" s="12" t="n">
        <v>37</v>
      </c>
      <c r="PZ41" s="12">
        <f>MOD(PY41-1+LaunchMonth-1,12)+1</f>
        <v/>
      </c>
      <c r="QA41" s="12">
        <f>INT((PY41-1+LaunchMonth-1)/12)+1</f>
        <v/>
      </c>
      <c r="QB41" s="12">
        <f>VLOOKUP(PZ41,SeasonTable,2,FALSE)</f>
        <v/>
      </c>
      <c r="QC41" s="12">
        <f>(1+InflationRate)^INT((PY41-1)/12)</f>
        <v/>
      </c>
      <c r="QD41" s="11">
        <f>'Sens - Churn'!$A$20*VLOOKUP(PZ41,ChurnSeasonTable,4,FALSE)</f>
        <v/>
      </c>
      <c r="QE41" s="12">
        <f>MIN(MAX(MktMin19plus,QY40*MktPct19plus),MAX(0,RM40-CashBuffer))</f>
        <v/>
      </c>
      <c r="QF41" s="12">
        <f>IF(QE41&gt;0,MAX(1,ROUND(QE41/CAC*QB41,0)),0)</f>
        <v/>
      </c>
      <c r="QG41" s="12">
        <f>IF(QF41&gt;0,ROUND(QF41*ReferralMix/(1-ReferralMix),0),0)</f>
        <v/>
      </c>
      <c r="QH41" s="12">
        <f>QF41+QG41</f>
        <v/>
      </c>
      <c r="QI41" s="12">
        <f>ROUND(QH41*(1-AnnualMix),0)</f>
        <v/>
      </c>
      <c r="QJ41" s="12">
        <f>QH41-QI41</f>
        <v/>
      </c>
      <c r="QK41" s="12">
        <f>ROUND(QI41*EssentialMix,0)</f>
        <v/>
      </c>
      <c r="QL41" s="12">
        <f>QI41-QK41</f>
        <v/>
      </c>
      <c r="QM41" s="12">
        <f>ROUND(QJ41*EssentialMix,0)</f>
        <v/>
      </c>
      <c r="QN41" s="12">
        <f>QJ41-QM41</f>
        <v/>
      </c>
      <c r="QO41" s="12">
        <f>QK41+QK40+QK39+MAX(0,QO40-QK40-QK39)*(1-QD41)</f>
        <v/>
      </c>
      <c r="QP41" s="12">
        <f>QL41+QL40+QL39+MAX(0,QP40-QL40-QL39)*(1-QD41)</f>
        <v/>
      </c>
      <c r="QQ41" s="12">
        <f>QQ40+QM41-QM29*(AnnualChurn*VLOOKUP(PZ41,ChurnSeasonTable,4,FALSE))*POWER(1-(AnnualChurn*VLOOKUP(PZ41,ChurnSeasonTable,4,FALSE)),0)+QM17*(AnnualChurn*VLOOKUP(PZ41,ChurnSeasonTable,4,FALSE))*POWER(1-(AnnualChurn*VLOOKUP(PZ41,ChurnSeasonTable,4,FALSE)),1)+QM5*(AnnualChurn*VLOOKUP(PZ41,ChurnSeasonTable,4,FALSE))*POWER(1-(AnnualChurn*VLOOKUP(PZ41,ChurnSeasonTable,4,FALSE)),2)</f>
        <v/>
      </c>
      <c r="QR41" s="12">
        <f>QR40+QN41-QN29*(AnnualChurn*VLOOKUP(PZ41,ChurnSeasonTable,4,FALSE))*POWER(1-(AnnualChurn*VLOOKUP(PZ41,ChurnSeasonTable,4,FALSE)),0)+QN17*(AnnualChurn*VLOOKUP(PZ41,ChurnSeasonTable,4,FALSE))*POWER(1-(AnnualChurn*VLOOKUP(PZ41,ChurnSeasonTable,4,FALSE)),1)+QN5*(AnnualChurn*VLOOKUP(PZ41,ChurnSeasonTable,4,FALSE))*POWER(1-(AnnualChurn*VLOOKUP(PZ41,ChurnSeasonTable,4,FALSE)),2)</f>
        <v/>
      </c>
      <c r="QS41" s="12">
        <f>QO41+QP41+QQ41+QR41</f>
        <v/>
      </c>
      <c r="QT41" s="9">
        <f>QO41*PriceEssMonthly*QC41+QP41*PricePremMonthly*QC41+QQ41*PriceEssAnnual*QC41/12+QR41*PricePremAnnual*QC41/12</f>
        <v/>
      </c>
      <c r="QU41" s="9">
        <f>QT41*12</f>
        <v/>
      </c>
      <c r="QV41" s="12">
        <f>QO41*PriceEssMonthly*QC41+QP41*PricePremMonthly*QC41</f>
        <v/>
      </c>
      <c r="QW41" s="12">
        <f>QM41*PriceEssAnnual*QC41+QN41*PricePremAnnual*QC41</f>
        <v/>
      </c>
      <c r="QX41" s="12">
        <f>QM29*POWER(1-(AnnualChurn*VLOOKUP(PZ41,ChurnSeasonTable,4,FALSE)),1)*PriceEssAnnual*QC41+QM17*POWER(1-(AnnualChurn*VLOOKUP(PZ41,ChurnSeasonTable,4,FALSE)),2)*PriceEssAnnual*QC41+QM5*POWER(1-(AnnualChurn*VLOOKUP(PZ41,ChurnSeasonTable,4,FALSE)),3)*PriceEssAnnual*QC41+QN29*POWER(1-(AnnualChurn*VLOOKUP(PZ41,ChurnSeasonTable,4,FALSE)),1)*PricePremAnnual*QC41+QN17*POWER(1-(AnnualChurn*VLOOKUP(PZ41,ChurnSeasonTable,4,FALSE)),2)*PricePremAnnual*QC41+QN5*POWER(1-(AnnualChurn*VLOOKUP(PZ41,ChurnSeasonTable,4,FALSE)),3)*PricePremAnnual*QC41</f>
        <v/>
      </c>
      <c r="QY41" s="9">
        <f>QV41+QW41+QX41</f>
        <v/>
      </c>
      <c r="QZ41" s="12">
        <f>SUM(QY30:QY41)</f>
        <v/>
      </c>
      <c r="RA41" s="12">
        <f>OR(RA40,QZ41&gt;=VATThreshold)</f>
        <v/>
      </c>
      <c r="RB41" s="9">
        <f>IF(RA41,QY41/(1+VATRate),QY41)</f>
        <v/>
      </c>
      <c r="RC41" s="12">
        <f>QY41-RB41</f>
        <v/>
      </c>
      <c r="RD41" s="12">
        <f>IF(RA41=0,0,IF(PZ41=1,SUMPRODUCT(--(($QA$5:$QA41=$QA41-1)*($PZ$5:$PZ41&gt;=10)*($PZ$5:$PZ41&lt;=12)),$RC$5:$RC41),IF(PZ41=4,SUMPRODUCT(--(($QA$5:$QA41=$QA41)*($PZ$5:$PZ41&gt;=1)*($PZ$5:$PZ41&lt;=3)),$RC$5:$RC41),IF(PZ41=7,SUMPRODUCT(--(($QA$5:$QA41=$QA41)*($PZ$5:$PZ41&gt;=4)*($PZ$5:$PZ41&lt;=6)),$RC$5:$RC41),IF(PZ41=10,SUMPRODUCT(--(($QA$5:$QA41=$QA41)*($PZ$5:$PZ41&gt;=7)*($PZ$5:$PZ41&lt;=9)),$RC$5:$RC41),0)))))</f>
        <v/>
      </c>
      <c r="RE41" s="12">
        <f>RE40+RC41-RD41</f>
        <v/>
      </c>
      <c r="RF41" s="12">
        <f>IF(ProviderDelay&gt;=1,RB40*ProviderShare,RB41*ProviderShare)</f>
        <v/>
      </c>
      <c r="RG41" s="12">
        <f>QY41*PaymentFee</f>
        <v/>
      </c>
      <c r="RH41" s="12">
        <f>QS41*OpsAI</f>
        <v/>
      </c>
      <c r="RI41" s="12">
        <f>MonthlyFixed</f>
        <v/>
      </c>
      <c r="RJ41" s="12">
        <f>QG41*ReferralReward</f>
        <v/>
      </c>
      <c r="RK41" s="12">
        <f>QE41</f>
        <v/>
      </c>
      <c r="RL41" s="9">
        <f>RB41-RF41-RG41-RH41-RI41-RJ41-RK41</f>
        <v/>
      </c>
      <c r="RM41" s="9">
        <f>RM40+QY41-(RF41+RG41+RH41+RI41+RJ41+RK41+RD41)</f>
        <v/>
      </c>
      <c r="RN41" s="12">
        <f>IF(QS41&gt;0,QT41/QS41,0)</f>
        <v/>
      </c>
      <c r="RO41" s="11">
        <f>IF(QS40&gt;0,MAX(0,(QS40+QH41-QS41)/QS40),0)</f>
        <v/>
      </c>
      <c r="RQ41" s="12" t="n">
        <v>37</v>
      </c>
      <c r="RR41" s="12">
        <f>MOD(RQ41-1+LaunchMonth-1,12)+1</f>
        <v/>
      </c>
      <c r="RS41" s="12">
        <f>INT((RQ41-1+LaunchMonth-1)/12)+1</f>
        <v/>
      </c>
      <c r="RT41" s="12">
        <f>VLOOKUP(RR41,SeasonTable,2,FALSE)</f>
        <v/>
      </c>
      <c r="RU41" s="12">
        <f>(1+InflationRate)^INT((RQ41-1)/12)</f>
        <v/>
      </c>
      <c r="RV41" s="11">
        <f>'Sens - Churn'!$A$21*VLOOKUP(RR41,ChurnSeasonTable,4,FALSE)</f>
        <v/>
      </c>
      <c r="RW41" s="12">
        <f>MIN(MAX(MktMin19plus,SQ40*MktPct19plus),MAX(0,TE40-CashBuffer))</f>
        <v/>
      </c>
      <c r="RX41" s="12">
        <f>IF(RW41&gt;0,MAX(1,ROUND(RW41/CAC*RT41,0)),0)</f>
        <v/>
      </c>
      <c r="RY41" s="12">
        <f>IF(RX41&gt;0,ROUND(RX41*ReferralMix/(1-ReferralMix),0),0)</f>
        <v/>
      </c>
      <c r="RZ41" s="12">
        <f>RX41+RY41</f>
        <v/>
      </c>
      <c r="SA41" s="12">
        <f>ROUND(RZ41*(1-AnnualMix),0)</f>
        <v/>
      </c>
      <c r="SB41" s="12">
        <f>RZ41-SA41</f>
        <v/>
      </c>
      <c r="SC41" s="12">
        <f>ROUND(SA41*EssentialMix,0)</f>
        <v/>
      </c>
      <c r="SD41" s="12">
        <f>SA41-SC41</f>
        <v/>
      </c>
      <c r="SE41" s="12">
        <f>ROUND(SB41*EssentialMix,0)</f>
        <v/>
      </c>
      <c r="SF41" s="12">
        <f>SB41-SE41</f>
        <v/>
      </c>
      <c r="SG41" s="12">
        <f>SC41+SC40+SC39+MAX(0,SG40-SC40-SC39)*(1-RV41)</f>
        <v/>
      </c>
      <c r="SH41" s="12">
        <f>SD41+SD40+SD39+MAX(0,SH40-SD40-SD39)*(1-RV41)</f>
        <v/>
      </c>
      <c r="SI41" s="12">
        <f>SI40+SE41-SE29*(AnnualChurn*VLOOKUP(RR41,ChurnSeasonTable,4,FALSE))*POWER(1-(AnnualChurn*VLOOKUP(RR41,ChurnSeasonTable,4,FALSE)),0)+SE17*(AnnualChurn*VLOOKUP(RR41,ChurnSeasonTable,4,FALSE))*POWER(1-(AnnualChurn*VLOOKUP(RR41,ChurnSeasonTable,4,FALSE)),1)+SE5*(AnnualChurn*VLOOKUP(RR41,ChurnSeasonTable,4,FALSE))*POWER(1-(AnnualChurn*VLOOKUP(RR41,ChurnSeasonTable,4,FALSE)),2)</f>
        <v/>
      </c>
      <c r="SJ41" s="12">
        <f>SJ40+SF41-SF29*(AnnualChurn*VLOOKUP(RR41,ChurnSeasonTable,4,FALSE))*POWER(1-(AnnualChurn*VLOOKUP(RR41,ChurnSeasonTable,4,FALSE)),0)+SF17*(AnnualChurn*VLOOKUP(RR41,ChurnSeasonTable,4,FALSE))*POWER(1-(AnnualChurn*VLOOKUP(RR41,ChurnSeasonTable,4,FALSE)),1)+SF5*(AnnualChurn*VLOOKUP(RR41,ChurnSeasonTable,4,FALSE))*POWER(1-(AnnualChurn*VLOOKUP(RR41,ChurnSeasonTable,4,FALSE)),2)</f>
        <v/>
      </c>
      <c r="SK41" s="12">
        <f>SG41+SH41+SI41+SJ41</f>
        <v/>
      </c>
      <c r="SL41" s="9">
        <f>SG41*PriceEssMonthly*RU41+SH41*PricePremMonthly*RU41+SI41*PriceEssAnnual*RU41/12+SJ41*PricePremAnnual*RU41/12</f>
        <v/>
      </c>
      <c r="SM41" s="9">
        <f>SL41*12</f>
        <v/>
      </c>
      <c r="SN41" s="12">
        <f>SG41*PriceEssMonthly*RU41+SH41*PricePremMonthly*RU41</f>
        <v/>
      </c>
      <c r="SO41" s="12">
        <f>SE41*PriceEssAnnual*RU41+SF41*PricePremAnnual*RU41</f>
        <v/>
      </c>
      <c r="SP41" s="12">
        <f>SE29*POWER(1-(AnnualChurn*VLOOKUP(RR41,ChurnSeasonTable,4,FALSE)),1)*PriceEssAnnual*RU41+SE17*POWER(1-(AnnualChurn*VLOOKUP(RR41,ChurnSeasonTable,4,FALSE)),2)*PriceEssAnnual*RU41+SE5*POWER(1-(AnnualChurn*VLOOKUP(RR41,ChurnSeasonTable,4,FALSE)),3)*PriceEssAnnual*RU41+SF29*POWER(1-(AnnualChurn*VLOOKUP(RR41,ChurnSeasonTable,4,FALSE)),1)*PricePremAnnual*RU41+SF17*POWER(1-(AnnualChurn*VLOOKUP(RR41,ChurnSeasonTable,4,FALSE)),2)*PricePremAnnual*RU41+SF5*POWER(1-(AnnualChurn*VLOOKUP(RR41,ChurnSeasonTable,4,FALSE)),3)*PricePremAnnual*RU41</f>
        <v/>
      </c>
      <c r="SQ41" s="9">
        <f>SN41+SO41+SP41</f>
        <v/>
      </c>
      <c r="SR41" s="12">
        <f>SUM(SQ30:SQ41)</f>
        <v/>
      </c>
      <c r="SS41" s="12">
        <f>OR(SS40,SR41&gt;=VATThreshold)</f>
        <v/>
      </c>
      <c r="ST41" s="9">
        <f>IF(SS41,SQ41/(1+VATRate),SQ41)</f>
        <v/>
      </c>
      <c r="SU41" s="12">
        <f>SQ41-ST41</f>
        <v/>
      </c>
      <c r="SV41" s="12">
        <f>IF(SS41=0,0,IF(RR41=1,SUMPRODUCT(--(($RS$5:$RS41=$RS41-1)*($RR$5:$RR41&gt;=10)*($RR$5:$RR41&lt;=12)),$SU$5:$SU41),IF(RR41=4,SUMPRODUCT(--(($RS$5:$RS41=$RS41)*($RR$5:$RR41&gt;=1)*($RR$5:$RR41&lt;=3)),$SU$5:$SU41),IF(RR41=7,SUMPRODUCT(--(($RS$5:$RS41=$RS41)*($RR$5:$RR41&gt;=4)*($RR$5:$RR41&lt;=6)),$SU$5:$SU41),IF(RR41=10,SUMPRODUCT(--(($RS$5:$RS41=$RS41)*($RR$5:$RR41&gt;=7)*($RR$5:$RR41&lt;=9)),$SU$5:$SU41),0)))))</f>
        <v/>
      </c>
      <c r="SW41" s="12">
        <f>SW40+SU41-SV41</f>
        <v/>
      </c>
      <c r="SX41" s="12">
        <f>IF(ProviderDelay&gt;=1,ST40*ProviderShare,ST41*ProviderShare)</f>
        <v/>
      </c>
      <c r="SY41" s="12">
        <f>SQ41*PaymentFee</f>
        <v/>
      </c>
      <c r="SZ41" s="12">
        <f>SK41*OpsAI</f>
        <v/>
      </c>
      <c r="TA41" s="12">
        <f>MonthlyFixed</f>
        <v/>
      </c>
      <c r="TB41" s="12">
        <f>RY41*ReferralReward</f>
        <v/>
      </c>
      <c r="TC41" s="12">
        <f>RW41</f>
        <v/>
      </c>
      <c r="TD41" s="9">
        <f>ST41-SX41-SY41-SZ41-TA41-TB41-TC41</f>
        <v/>
      </c>
      <c r="TE41" s="9">
        <f>TE40+SQ41-(SX41+SY41+SZ41+TA41+TB41+TC41+SV41)</f>
        <v/>
      </c>
      <c r="TF41" s="12">
        <f>IF(SK41&gt;0,SL41/SK41,0)</f>
        <v/>
      </c>
      <c r="TG41" s="11">
        <f>IF(SK40&gt;0,MAX(0,(SK40+RZ41-SK41)/SK40),0)</f>
        <v/>
      </c>
      <c r="TI41" s="12" t="n">
        <v>37</v>
      </c>
      <c r="TJ41" s="12">
        <f>MOD(TI41-1+LaunchMonth-1,12)+1</f>
        <v/>
      </c>
      <c r="TK41" s="12">
        <f>INT((TI41-1+LaunchMonth-1)/12)+1</f>
        <v/>
      </c>
      <c r="TL41" s="12">
        <f>VLOOKUP(TJ41,SeasonTable,2,FALSE)</f>
        <v/>
      </c>
      <c r="TM41" s="12">
        <f>(1+InflationRate)^INT((TI41-1)/12)</f>
        <v/>
      </c>
      <c r="TN41" s="11">
        <f>MonthlyChurn*VLOOKUP(TJ41,ChurnSeasonTable,4,FALSE)</f>
        <v/>
      </c>
      <c r="TO41" s="12">
        <f>MIN(MAX(MktMin19plus,UI40*MktPct19plus),MAX(0,UW40-CashBuffer))</f>
        <v/>
      </c>
      <c r="TP41" s="12">
        <f>IF(TO41&gt;0,MAX(1,ROUND(TO41/CAC*TL41,0)),0)</f>
        <v/>
      </c>
      <c r="TQ41" s="12">
        <f>IF(TP41&gt;0,ROUND(TP41*ReferralMix/(1-ReferralMix),0),0)</f>
        <v/>
      </c>
      <c r="TR41" s="12">
        <f>TP41+TQ41</f>
        <v/>
      </c>
      <c r="TS41" s="12">
        <f>ROUND(TR41*(1-'Sens - Annual Mix'!$A$9),0)</f>
        <v/>
      </c>
      <c r="TT41" s="12">
        <f>TR41-TS41</f>
        <v/>
      </c>
      <c r="TU41" s="12">
        <f>ROUND(TS41*EssentialMix,0)</f>
        <v/>
      </c>
      <c r="TV41" s="12">
        <f>TS41-TU41</f>
        <v/>
      </c>
      <c r="TW41" s="12">
        <f>ROUND(TT41*EssentialMix,0)</f>
        <v/>
      </c>
      <c r="TX41" s="12">
        <f>TT41-TW41</f>
        <v/>
      </c>
      <c r="TY41" s="12">
        <f>TU41+TU40+TU39+MAX(0,TY40-TU40-TU39)*(1-TN41)</f>
        <v/>
      </c>
      <c r="TZ41" s="12">
        <f>TV41+TV40+TV39+MAX(0,TZ40-TV40-TV39)*(1-TN41)</f>
        <v/>
      </c>
      <c r="UA41" s="12">
        <f>UA40+TW41-TW29*(AnnualChurn*VLOOKUP(TJ41,ChurnSeasonTable,4,FALSE))*POWER(1-(AnnualChurn*VLOOKUP(TJ41,ChurnSeasonTable,4,FALSE)),0)+TW17*(AnnualChurn*VLOOKUP(TJ41,ChurnSeasonTable,4,FALSE))*POWER(1-(AnnualChurn*VLOOKUP(TJ41,ChurnSeasonTable,4,FALSE)),1)+TW5*(AnnualChurn*VLOOKUP(TJ41,ChurnSeasonTable,4,FALSE))*POWER(1-(AnnualChurn*VLOOKUP(TJ41,ChurnSeasonTable,4,FALSE)),2)</f>
        <v/>
      </c>
      <c r="UB41" s="12">
        <f>UB40+TX41-TX29*(AnnualChurn*VLOOKUP(TJ41,ChurnSeasonTable,4,FALSE))*POWER(1-(AnnualChurn*VLOOKUP(TJ41,ChurnSeasonTable,4,FALSE)),0)+TX17*(AnnualChurn*VLOOKUP(TJ41,ChurnSeasonTable,4,FALSE))*POWER(1-(AnnualChurn*VLOOKUP(TJ41,ChurnSeasonTable,4,FALSE)),1)+TX5*(AnnualChurn*VLOOKUP(TJ41,ChurnSeasonTable,4,FALSE))*POWER(1-(AnnualChurn*VLOOKUP(TJ41,ChurnSeasonTable,4,FALSE)),2)</f>
        <v/>
      </c>
      <c r="UC41" s="12">
        <f>TY41+TZ41+UA41+UB41</f>
        <v/>
      </c>
      <c r="UD41" s="9">
        <f>TY41*PriceEssMonthly*TM41+TZ41*PricePremMonthly*TM41+UA41*PriceEssAnnual*TM41/12+UB41*PricePremAnnual*TM41/12</f>
        <v/>
      </c>
      <c r="UE41" s="9">
        <f>UD41*12</f>
        <v/>
      </c>
      <c r="UF41" s="12">
        <f>TY41*PriceEssMonthly*TM41+TZ41*PricePremMonthly*TM41</f>
        <v/>
      </c>
      <c r="UG41" s="12">
        <f>TW41*PriceEssAnnual*TM41+TX41*PricePremAnnual*TM41</f>
        <v/>
      </c>
      <c r="UH41" s="12">
        <f>TW29*POWER(1-(AnnualChurn*VLOOKUP(TJ41,ChurnSeasonTable,4,FALSE)),1)*PriceEssAnnual*TM41+TW17*POWER(1-(AnnualChurn*VLOOKUP(TJ41,ChurnSeasonTable,4,FALSE)),2)*PriceEssAnnual*TM41+TW5*POWER(1-(AnnualChurn*VLOOKUP(TJ41,ChurnSeasonTable,4,FALSE)),3)*PriceEssAnnual*TM41+TX29*POWER(1-(AnnualChurn*VLOOKUP(TJ41,ChurnSeasonTable,4,FALSE)),1)*PricePremAnnual*TM41+TX17*POWER(1-(AnnualChurn*VLOOKUP(TJ41,ChurnSeasonTable,4,FALSE)),2)*PricePremAnnual*TM41+TX5*POWER(1-(AnnualChurn*VLOOKUP(TJ41,ChurnSeasonTable,4,FALSE)),3)*PricePremAnnual*TM41</f>
        <v/>
      </c>
      <c r="UI41" s="9">
        <f>UF41+UG41+UH41</f>
        <v/>
      </c>
      <c r="UJ41" s="12">
        <f>SUM(UI30:UI41)</f>
        <v/>
      </c>
      <c r="UK41" s="12">
        <f>OR(UK40,UJ41&gt;=VATThreshold)</f>
        <v/>
      </c>
      <c r="UL41" s="9">
        <f>IF(UK41,UI41/(1+VATRate),UI41)</f>
        <v/>
      </c>
      <c r="UM41" s="12">
        <f>UI41-UL41</f>
        <v/>
      </c>
      <c r="UN41" s="12">
        <f>IF(UK41=0,0,IF(TJ41=1,SUMPRODUCT(--(($TK$5:$TK41=$TK41-1)*($TJ$5:$TJ41&gt;=10)*($TJ$5:$TJ41&lt;=12)),$UM$5:$UM41),IF(TJ41=4,SUMPRODUCT(--(($TK$5:$TK41=$TK41)*($TJ$5:$TJ41&gt;=1)*($TJ$5:$TJ41&lt;=3)),$UM$5:$UM41),IF(TJ41=7,SUMPRODUCT(--(($TK$5:$TK41=$TK41)*($TJ$5:$TJ41&gt;=4)*($TJ$5:$TJ41&lt;=6)),$UM$5:$UM41),IF(TJ41=10,SUMPRODUCT(--(($TK$5:$TK41=$TK41)*($TJ$5:$TJ41&gt;=7)*($TJ$5:$TJ41&lt;=9)),$UM$5:$UM41),0)))))</f>
        <v/>
      </c>
      <c r="UO41" s="12">
        <f>UO40+UM41-UN41</f>
        <v/>
      </c>
      <c r="UP41" s="12">
        <f>IF(ProviderDelay&gt;=1,UL40*ProviderShare,UL41*ProviderShare)</f>
        <v/>
      </c>
      <c r="UQ41" s="12">
        <f>UI41*PaymentFee</f>
        <v/>
      </c>
      <c r="UR41" s="12">
        <f>UC41*OpsAI</f>
        <v/>
      </c>
      <c r="US41" s="12">
        <f>MonthlyFixed</f>
        <v/>
      </c>
      <c r="UT41" s="12">
        <f>TQ41*ReferralReward</f>
        <v/>
      </c>
      <c r="UU41" s="12">
        <f>TO41</f>
        <v/>
      </c>
      <c r="UV41" s="9">
        <f>UL41-UP41-UQ41-UR41-US41-UT41-UU41</f>
        <v/>
      </c>
      <c r="UW41" s="9">
        <f>UW40+UI41-(UP41+UQ41+UR41+US41+UT41+UU41+UN41)</f>
        <v/>
      </c>
      <c r="UX41" s="12">
        <f>IF(UC41&gt;0,UD41/UC41,0)</f>
        <v/>
      </c>
      <c r="UY41" s="11">
        <f>IF(UC40&gt;0,MAX(0,(UC40+TR41-UC41)/UC40),0)</f>
        <v/>
      </c>
      <c r="VA41" s="12" t="n">
        <v>37</v>
      </c>
      <c r="VB41" s="12">
        <f>MOD(VA41-1+LaunchMonth-1,12)+1</f>
        <v/>
      </c>
      <c r="VC41" s="12">
        <f>INT((VA41-1+LaunchMonth-1)/12)+1</f>
        <v/>
      </c>
      <c r="VD41" s="12">
        <f>VLOOKUP(VB41,SeasonTable,2,FALSE)</f>
        <v/>
      </c>
      <c r="VE41" s="12">
        <f>(1+InflationRate)^INT((VA41-1)/12)</f>
        <v/>
      </c>
      <c r="VF41" s="11">
        <f>MonthlyChurn*VLOOKUP(VB41,ChurnSeasonTable,4,FALSE)</f>
        <v/>
      </c>
      <c r="VG41" s="12">
        <f>MIN(MAX(MktMin19plus,WA40*MktPct19plus),MAX(0,WO40-CashBuffer))</f>
        <v/>
      </c>
      <c r="VH41" s="12">
        <f>IF(VG41&gt;0,MAX(1,ROUND(VG41/CAC*VD41,0)),0)</f>
        <v/>
      </c>
      <c r="VI41" s="12">
        <f>IF(VH41&gt;0,ROUND(VH41*ReferralMix/(1-ReferralMix),0),0)</f>
        <v/>
      </c>
      <c r="VJ41" s="12">
        <f>VH41+VI41</f>
        <v/>
      </c>
      <c r="VK41" s="12">
        <f>ROUND(VJ41*(1-'Sens - Annual Mix'!$A$10),0)</f>
        <v/>
      </c>
      <c r="VL41" s="12">
        <f>VJ41-VK41</f>
        <v/>
      </c>
      <c r="VM41" s="12">
        <f>ROUND(VK41*EssentialMix,0)</f>
        <v/>
      </c>
      <c r="VN41" s="12">
        <f>VK41-VM41</f>
        <v/>
      </c>
      <c r="VO41" s="12">
        <f>ROUND(VL41*EssentialMix,0)</f>
        <v/>
      </c>
      <c r="VP41" s="12">
        <f>VL41-VO41</f>
        <v/>
      </c>
      <c r="VQ41" s="12">
        <f>VM41+VM40+VM39+MAX(0,VQ40-VM40-VM39)*(1-VF41)</f>
        <v/>
      </c>
      <c r="VR41" s="12">
        <f>VN41+VN40+VN39+MAX(0,VR40-VN40-VN39)*(1-VF41)</f>
        <v/>
      </c>
      <c r="VS41" s="12">
        <f>VS40+VO41-VO29*(AnnualChurn*VLOOKUP(VB41,ChurnSeasonTable,4,FALSE))*POWER(1-(AnnualChurn*VLOOKUP(VB41,ChurnSeasonTable,4,FALSE)),0)+VO17*(AnnualChurn*VLOOKUP(VB41,ChurnSeasonTable,4,FALSE))*POWER(1-(AnnualChurn*VLOOKUP(VB41,ChurnSeasonTable,4,FALSE)),1)+VO5*(AnnualChurn*VLOOKUP(VB41,ChurnSeasonTable,4,FALSE))*POWER(1-(AnnualChurn*VLOOKUP(VB41,ChurnSeasonTable,4,FALSE)),2)</f>
        <v/>
      </c>
      <c r="VT41" s="12">
        <f>VT40+VP41-VP29*(AnnualChurn*VLOOKUP(VB41,ChurnSeasonTable,4,FALSE))*POWER(1-(AnnualChurn*VLOOKUP(VB41,ChurnSeasonTable,4,FALSE)),0)+VP17*(AnnualChurn*VLOOKUP(VB41,ChurnSeasonTable,4,FALSE))*POWER(1-(AnnualChurn*VLOOKUP(VB41,ChurnSeasonTable,4,FALSE)),1)+VP5*(AnnualChurn*VLOOKUP(VB41,ChurnSeasonTable,4,FALSE))*POWER(1-(AnnualChurn*VLOOKUP(VB41,ChurnSeasonTable,4,FALSE)),2)</f>
        <v/>
      </c>
      <c r="VU41" s="12">
        <f>VQ41+VR41+VS41+VT41</f>
        <v/>
      </c>
      <c r="VV41" s="9">
        <f>VQ41*PriceEssMonthly*VE41+VR41*PricePremMonthly*VE41+VS41*PriceEssAnnual*VE41/12+VT41*PricePremAnnual*VE41/12</f>
        <v/>
      </c>
      <c r="VW41" s="9">
        <f>VV41*12</f>
        <v/>
      </c>
      <c r="VX41" s="12">
        <f>VQ41*PriceEssMonthly*VE41+VR41*PricePremMonthly*VE41</f>
        <v/>
      </c>
      <c r="VY41" s="12">
        <f>VO41*PriceEssAnnual*VE41+VP41*PricePremAnnual*VE41</f>
        <v/>
      </c>
      <c r="VZ41" s="12">
        <f>VO29*POWER(1-(AnnualChurn*VLOOKUP(VB41,ChurnSeasonTable,4,FALSE)),1)*PriceEssAnnual*VE41+VO17*POWER(1-(AnnualChurn*VLOOKUP(VB41,ChurnSeasonTable,4,FALSE)),2)*PriceEssAnnual*VE41+VO5*POWER(1-(AnnualChurn*VLOOKUP(VB41,ChurnSeasonTable,4,FALSE)),3)*PriceEssAnnual*VE41+VP29*POWER(1-(AnnualChurn*VLOOKUP(VB41,ChurnSeasonTable,4,FALSE)),1)*PricePremAnnual*VE41+VP17*POWER(1-(AnnualChurn*VLOOKUP(VB41,ChurnSeasonTable,4,FALSE)),2)*PricePremAnnual*VE41+VP5*POWER(1-(AnnualChurn*VLOOKUP(VB41,ChurnSeasonTable,4,FALSE)),3)*PricePremAnnual*VE41</f>
        <v/>
      </c>
      <c r="WA41" s="9">
        <f>VX41+VY41+VZ41</f>
        <v/>
      </c>
      <c r="WB41" s="12">
        <f>SUM(WA30:WA41)</f>
        <v/>
      </c>
      <c r="WC41" s="12">
        <f>OR(WC40,WB41&gt;=VATThreshold)</f>
        <v/>
      </c>
      <c r="WD41" s="9">
        <f>IF(WC41,WA41/(1+VATRate),WA41)</f>
        <v/>
      </c>
      <c r="WE41" s="12">
        <f>WA41-WD41</f>
        <v/>
      </c>
      <c r="WF41" s="12">
        <f>IF(WC41=0,0,IF(VB41=1,SUMPRODUCT(--(($VC$5:$VC41=$VC41-1)*($VB$5:$VB41&gt;=10)*($VB$5:$VB41&lt;=12)),$WE$5:$WE41),IF(VB41=4,SUMPRODUCT(--(($VC$5:$VC41=$VC41)*($VB$5:$VB41&gt;=1)*($VB$5:$VB41&lt;=3)),$WE$5:$WE41),IF(VB41=7,SUMPRODUCT(--(($VC$5:$VC41=$VC41)*($VB$5:$VB41&gt;=4)*($VB$5:$VB41&lt;=6)),$WE$5:$WE41),IF(VB41=10,SUMPRODUCT(--(($VC$5:$VC41=$VC41)*($VB$5:$VB41&gt;=7)*($VB$5:$VB41&lt;=9)),$WE$5:$WE41),0)))))</f>
        <v/>
      </c>
      <c r="WG41" s="12">
        <f>WG40+WE41-WF41</f>
        <v/>
      </c>
      <c r="WH41" s="12">
        <f>IF(ProviderDelay&gt;=1,WD40*ProviderShare,WD41*ProviderShare)</f>
        <v/>
      </c>
      <c r="WI41" s="12">
        <f>WA41*PaymentFee</f>
        <v/>
      </c>
      <c r="WJ41" s="12">
        <f>VU41*OpsAI</f>
        <v/>
      </c>
      <c r="WK41" s="12">
        <f>MonthlyFixed</f>
        <v/>
      </c>
      <c r="WL41" s="12">
        <f>VI41*ReferralReward</f>
        <v/>
      </c>
      <c r="WM41" s="12">
        <f>VG41</f>
        <v/>
      </c>
      <c r="WN41" s="9">
        <f>WD41-WH41-WI41-WJ41-WK41-WL41-WM41</f>
        <v/>
      </c>
      <c r="WO41" s="9">
        <f>WO40+WA41-(WH41+WI41+WJ41+WK41+WL41+WM41+WF41)</f>
        <v/>
      </c>
      <c r="WP41" s="12">
        <f>IF(VU41&gt;0,VV41/VU41,0)</f>
        <v/>
      </c>
      <c r="WQ41" s="11">
        <f>IF(VU40&gt;0,MAX(0,(VU40+VJ41-VU41)/VU40),0)</f>
        <v/>
      </c>
      <c r="WS41" s="12" t="n">
        <v>37</v>
      </c>
      <c r="WT41" s="12">
        <f>MOD(WS41-1+LaunchMonth-1,12)+1</f>
        <v/>
      </c>
      <c r="WU41" s="12">
        <f>INT((WS41-1+LaunchMonth-1)/12)+1</f>
        <v/>
      </c>
      <c r="WV41" s="12">
        <f>VLOOKUP(WT41,SeasonTable,2,FALSE)</f>
        <v/>
      </c>
      <c r="WW41" s="12">
        <f>(1+InflationRate)^INT((WS41-1)/12)</f>
        <v/>
      </c>
      <c r="WX41" s="11">
        <f>MonthlyChurn*VLOOKUP(WT41,ChurnSeasonTable,4,FALSE)</f>
        <v/>
      </c>
      <c r="WY41" s="12">
        <f>MIN(MAX(MktMin19plus,XS40*MktPct19plus),MAX(0,YG40-CashBuffer))</f>
        <v/>
      </c>
      <c r="WZ41" s="12">
        <f>IF(WY41&gt;0,MAX(1,ROUND(WY41/CAC*WV41,0)),0)</f>
        <v/>
      </c>
      <c r="XA41" s="12">
        <f>IF(WZ41&gt;0,ROUND(WZ41*ReferralMix/(1-ReferralMix),0),0)</f>
        <v/>
      </c>
      <c r="XB41" s="12">
        <f>WZ41+XA41</f>
        <v/>
      </c>
      <c r="XC41" s="12">
        <f>ROUND(XB41*(1-'Sens - Annual Mix'!$A$11),0)</f>
        <v/>
      </c>
      <c r="XD41" s="12">
        <f>XB41-XC41</f>
        <v/>
      </c>
      <c r="XE41" s="12">
        <f>ROUND(XC41*EssentialMix,0)</f>
        <v/>
      </c>
      <c r="XF41" s="12">
        <f>XC41-XE41</f>
        <v/>
      </c>
      <c r="XG41" s="12">
        <f>ROUND(XD41*EssentialMix,0)</f>
        <v/>
      </c>
      <c r="XH41" s="12">
        <f>XD41-XG41</f>
        <v/>
      </c>
      <c r="XI41" s="12">
        <f>XE41+XE40+XE39+MAX(0,XI40-XE40-XE39)*(1-WX41)</f>
        <v/>
      </c>
      <c r="XJ41" s="12">
        <f>XF41+XF40+XF39+MAX(0,XJ40-XF40-XF39)*(1-WX41)</f>
        <v/>
      </c>
      <c r="XK41" s="12">
        <f>XK40+XG41-XG29*(AnnualChurn*VLOOKUP(WT41,ChurnSeasonTable,4,FALSE))*POWER(1-(AnnualChurn*VLOOKUP(WT41,ChurnSeasonTable,4,FALSE)),0)+XG17*(AnnualChurn*VLOOKUP(WT41,ChurnSeasonTable,4,FALSE))*POWER(1-(AnnualChurn*VLOOKUP(WT41,ChurnSeasonTable,4,FALSE)),1)+XG5*(AnnualChurn*VLOOKUP(WT41,ChurnSeasonTable,4,FALSE))*POWER(1-(AnnualChurn*VLOOKUP(WT41,ChurnSeasonTable,4,FALSE)),2)</f>
        <v/>
      </c>
      <c r="XL41" s="12">
        <f>XL40+XH41-XH29*(AnnualChurn*VLOOKUP(WT41,ChurnSeasonTable,4,FALSE))*POWER(1-(AnnualChurn*VLOOKUP(WT41,ChurnSeasonTable,4,FALSE)),0)+XH17*(AnnualChurn*VLOOKUP(WT41,ChurnSeasonTable,4,FALSE))*POWER(1-(AnnualChurn*VLOOKUP(WT41,ChurnSeasonTable,4,FALSE)),1)+XH5*(AnnualChurn*VLOOKUP(WT41,ChurnSeasonTable,4,FALSE))*POWER(1-(AnnualChurn*VLOOKUP(WT41,ChurnSeasonTable,4,FALSE)),2)</f>
        <v/>
      </c>
      <c r="XM41" s="12">
        <f>XI41+XJ41+XK41+XL41</f>
        <v/>
      </c>
      <c r="XN41" s="9">
        <f>XI41*PriceEssMonthly*WW41+XJ41*PricePremMonthly*WW41+XK41*PriceEssAnnual*WW41/12+XL41*PricePremAnnual*WW41/12</f>
        <v/>
      </c>
      <c r="XO41" s="9">
        <f>XN41*12</f>
        <v/>
      </c>
      <c r="XP41" s="12">
        <f>XI41*PriceEssMonthly*WW41+XJ41*PricePremMonthly*WW41</f>
        <v/>
      </c>
      <c r="XQ41" s="12">
        <f>XG41*PriceEssAnnual*WW41+XH41*PricePremAnnual*WW41</f>
        <v/>
      </c>
      <c r="XR41" s="12">
        <f>XG29*POWER(1-(AnnualChurn*VLOOKUP(WT41,ChurnSeasonTable,4,FALSE)),1)*PriceEssAnnual*WW41+XG17*POWER(1-(AnnualChurn*VLOOKUP(WT41,ChurnSeasonTable,4,FALSE)),2)*PriceEssAnnual*WW41+XG5*POWER(1-(AnnualChurn*VLOOKUP(WT41,ChurnSeasonTable,4,FALSE)),3)*PriceEssAnnual*WW41+XH29*POWER(1-(AnnualChurn*VLOOKUP(WT41,ChurnSeasonTable,4,FALSE)),1)*PricePremAnnual*WW41+XH17*POWER(1-(AnnualChurn*VLOOKUP(WT41,ChurnSeasonTable,4,FALSE)),2)*PricePremAnnual*WW41+XH5*POWER(1-(AnnualChurn*VLOOKUP(WT41,ChurnSeasonTable,4,FALSE)),3)*PricePremAnnual*WW41</f>
        <v/>
      </c>
      <c r="XS41" s="9">
        <f>XP41+XQ41+XR41</f>
        <v/>
      </c>
      <c r="XT41" s="12">
        <f>SUM(XS30:XS41)</f>
        <v/>
      </c>
      <c r="XU41" s="12">
        <f>OR(XU40,XT41&gt;=VATThreshold)</f>
        <v/>
      </c>
      <c r="XV41" s="9">
        <f>IF(XU41,XS41/(1+VATRate),XS41)</f>
        <v/>
      </c>
      <c r="XW41" s="12">
        <f>XS41-XV41</f>
        <v/>
      </c>
      <c r="XX41" s="12">
        <f>IF(XU41=0,0,IF(WT41=1,SUMPRODUCT(--(($WU$5:$WU41=$WU41-1)*($WT$5:$WT41&gt;=10)*($WT$5:$WT41&lt;=12)),$XW$5:$XW41),IF(WT41=4,SUMPRODUCT(--(($WU$5:$WU41=$WU41)*($WT$5:$WT41&gt;=1)*($WT$5:$WT41&lt;=3)),$XW$5:$XW41),IF(WT41=7,SUMPRODUCT(--(($WU$5:$WU41=$WU41)*($WT$5:$WT41&gt;=4)*($WT$5:$WT41&lt;=6)),$XW$5:$XW41),IF(WT41=10,SUMPRODUCT(--(($WU$5:$WU41=$WU41)*($WT$5:$WT41&gt;=7)*($WT$5:$WT41&lt;=9)),$XW$5:$XW41),0)))))</f>
        <v/>
      </c>
      <c r="XY41" s="12">
        <f>XY40+XW41-XX41</f>
        <v/>
      </c>
      <c r="XZ41" s="12">
        <f>IF(ProviderDelay&gt;=1,XV40*ProviderShare,XV41*ProviderShare)</f>
        <v/>
      </c>
      <c r="YA41" s="12">
        <f>XS41*PaymentFee</f>
        <v/>
      </c>
      <c r="YB41" s="12">
        <f>XM41*OpsAI</f>
        <v/>
      </c>
      <c r="YC41" s="12">
        <f>MonthlyFixed</f>
        <v/>
      </c>
      <c r="YD41" s="12">
        <f>XA41*ReferralReward</f>
        <v/>
      </c>
      <c r="YE41" s="12">
        <f>WY41</f>
        <v/>
      </c>
      <c r="YF41" s="9">
        <f>XV41-XZ41-YA41-YB41-YC41-YD41-YE41</f>
        <v/>
      </c>
      <c r="YG41" s="9">
        <f>YG40+XS41-(XZ41+YA41+YB41+YC41+YD41+YE41+XX41)</f>
        <v/>
      </c>
      <c r="YH41" s="12">
        <f>IF(XM41&gt;0,XN41/XM41,0)</f>
        <v/>
      </c>
      <c r="YI41" s="11">
        <f>IF(XM40&gt;0,MAX(0,(XM40+XB41-XM41)/XM40),0)</f>
        <v/>
      </c>
      <c r="YK41" s="12" t="n">
        <v>37</v>
      </c>
      <c r="YL41" s="12">
        <f>MOD(YK41-1+LaunchMonth-1,12)+1</f>
        <v/>
      </c>
      <c r="YM41" s="12">
        <f>INT((YK41-1+LaunchMonth-1)/12)+1</f>
        <v/>
      </c>
      <c r="YN41" s="12">
        <f>VLOOKUP(YL41,SeasonTable,2,FALSE)</f>
        <v/>
      </c>
      <c r="YO41" s="12">
        <f>(1+InflationRate)^INT((YK41-1)/12)</f>
        <v/>
      </c>
      <c r="YP41" s="11">
        <f>MonthlyChurn*VLOOKUP(YL41,ChurnSeasonTable,4,FALSE)</f>
        <v/>
      </c>
      <c r="YQ41" s="12">
        <f>MIN(MAX(MktMin19plus,ZK40*MktPct19plus),MAX(0,ZY40-CashBuffer))</f>
        <v/>
      </c>
      <c r="YR41" s="12">
        <f>IF(YQ41&gt;0,MAX(1,ROUND(YQ41/CAC*YN41,0)),0)</f>
        <v/>
      </c>
      <c r="YS41" s="12">
        <f>IF(YR41&gt;0,ROUND(YR41*ReferralMix/(1-ReferralMix),0),0)</f>
        <v/>
      </c>
      <c r="YT41" s="12">
        <f>YR41+YS41</f>
        <v/>
      </c>
      <c r="YU41" s="12">
        <f>ROUND(YT41*(1-'Sens - Annual Mix'!$A$12),0)</f>
        <v/>
      </c>
      <c r="YV41" s="12">
        <f>YT41-YU41</f>
        <v/>
      </c>
      <c r="YW41" s="12">
        <f>ROUND(YU41*EssentialMix,0)</f>
        <v/>
      </c>
      <c r="YX41" s="12">
        <f>YU41-YW41</f>
        <v/>
      </c>
      <c r="YY41" s="12">
        <f>ROUND(YV41*EssentialMix,0)</f>
        <v/>
      </c>
      <c r="YZ41" s="12">
        <f>YV41-YY41</f>
        <v/>
      </c>
      <c r="ZA41" s="12">
        <f>YW41+YW40+YW39+MAX(0,ZA40-YW40-YW39)*(1-YP41)</f>
        <v/>
      </c>
      <c r="ZB41" s="12">
        <f>YX41+YX40+YX39+MAX(0,ZB40-YX40-YX39)*(1-YP41)</f>
        <v/>
      </c>
      <c r="ZC41" s="12">
        <f>ZC40+YY41-YY29*(AnnualChurn*VLOOKUP(YL41,ChurnSeasonTable,4,FALSE))*POWER(1-(AnnualChurn*VLOOKUP(YL41,ChurnSeasonTable,4,FALSE)),0)+YY17*(AnnualChurn*VLOOKUP(YL41,ChurnSeasonTable,4,FALSE))*POWER(1-(AnnualChurn*VLOOKUP(YL41,ChurnSeasonTable,4,FALSE)),1)+YY5*(AnnualChurn*VLOOKUP(YL41,ChurnSeasonTable,4,FALSE))*POWER(1-(AnnualChurn*VLOOKUP(YL41,ChurnSeasonTable,4,FALSE)),2)</f>
        <v/>
      </c>
      <c r="ZD41" s="12">
        <f>ZD40+YZ41-YZ29*(AnnualChurn*VLOOKUP(YL41,ChurnSeasonTable,4,FALSE))*POWER(1-(AnnualChurn*VLOOKUP(YL41,ChurnSeasonTable,4,FALSE)),0)+YZ17*(AnnualChurn*VLOOKUP(YL41,ChurnSeasonTable,4,FALSE))*POWER(1-(AnnualChurn*VLOOKUP(YL41,ChurnSeasonTable,4,FALSE)),1)+YZ5*(AnnualChurn*VLOOKUP(YL41,ChurnSeasonTable,4,FALSE))*POWER(1-(AnnualChurn*VLOOKUP(YL41,ChurnSeasonTable,4,FALSE)),2)</f>
        <v/>
      </c>
      <c r="ZE41" s="12">
        <f>ZA41+ZB41+ZC41+ZD41</f>
        <v/>
      </c>
      <c r="ZF41" s="9">
        <f>ZA41*PriceEssMonthly*YO41+ZB41*PricePremMonthly*YO41+ZC41*PriceEssAnnual*YO41/12+ZD41*PricePremAnnual*YO41/12</f>
        <v/>
      </c>
      <c r="ZG41" s="9">
        <f>ZF41*12</f>
        <v/>
      </c>
      <c r="ZH41" s="12">
        <f>ZA41*PriceEssMonthly*YO41+ZB41*PricePremMonthly*YO41</f>
        <v/>
      </c>
      <c r="ZI41" s="12">
        <f>YY41*PriceEssAnnual*YO41+YZ41*PricePremAnnual*YO41</f>
        <v/>
      </c>
      <c r="ZJ41" s="12">
        <f>YY29*POWER(1-(AnnualChurn*VLOOKUP(YL41,ChurnSeasonTable,4,FALSE)),1)*PriceEssAnnual*YO41+YY17*POWER(1-(AnnualChurn*VLOOKUP(YL41,ChurnSeasonTable,4,FALSE)),2)*PriceEssAnnual*YO41+YY5*POWER(1-(AnnualChurn*VLOOKUP(YL41,ChurnSeasonTable,4,FALSE)),3)*PriceEssAnnual*YO41+YZ29*POWER(1-(AnnualChurn*VLOOKUP(YL41,ChurnSeasonTable,4,FALSE)),1)*PricePremAnnual*YO41+YZ17*POWER(1-(AnnualChurn*VLOOKUP(YL41,ChurnSeasonTable,4,FALSE)),2)*PricePremAnnual*YO41+YZ5*POWER(1-(AnnualChurn*VLOOKUP(YL41,ChurnSeasonTable,4,FALSE)),3)*PricePremAnnual*YO41</f>
        <v/>
      </c>
      <c r="ZK41" s="9">
        <f>ZH41+ZI41+ZJ41</f>
        <v/>
      </c>
      <c r="ZL41" s="12">
        <f>SUM(ZK30:ZK41)</f>
        <v/>
      </c>
      <c r="ZM41" s="12">
        <f>OR(ZM40,ZL41&gt;=VATThreshold)</f>
        <v/>
      </c>
      <c r="ZN41" s="9">
        <f>IF(ZM41,ZK41/(1+VATRate),ZK41)</f>
        <v/>
      </c>
      <c r="ZO41" s="12">
        <f>ZK41-ZN41</f>
        <v/>
      </c>
      <c r="ZP41" s="12">
        <f>IF(ZM41=0,0,IF(YL41=1,SUMPRODUCT(--(($YM$5:$YM41=$YM41-1)*($YL$5:$YL41&gt;=10)*($YL$5:$YL41&lt;=12)),$ZO$5:$ZO41),IF(YL41=4,SUMPRODUCT(--(($YM$5:$YM41=$YM41)*($YL$5:$YL41&gt;=1)*($YL$5:$YL41&lt;=3)),$ZO$5:$ZO41),IF(YL41=7,SUMPRODUCT(--(($YM$5:$YM41=$YM41)*($YL$5:$YL41&gt;=4)*($YL$5:$YL41&lt;=6)),$ZO$5:$ZO41),IF(YL41=10,SUMPRODUCT(--(($YM$5:$YM41=$YM41)*($YL$5:$YL41&gt;=7)*($YL$5:$YL41&lt;=9)),$ZO$5:$ZO41),0)))))</f>
        <v/>
      </c>
      <c r="ZQ41" s="12">
        <f>ZQ40+ZO41-ZP41</f>
        <v/>
      </c>
      <c r="ZR41" s="12">
        <f>IF(ProviderDelay&gt;=1,ZN40*ProviderShare,ZN41*ProviderShare)</f>
        <v/>
      </c>
      <c r="ZS41" s="12">
        <f>ZK41*PaymentFee</f>
        <v/>
      </c>
      <c r="ZT41" s="12">
        <f>ZE41*OpsAI</f>
        <v/>
      </c>
      <c r="ZU41" s="12">
        <f>MonthlyFixed</f>
        <v/>
      </c>
      <c r="ZV41" s="12">
        <f>YS41*ReferralReward</f>
        <v/>
      </c>
      <c r="ZW41" s="12">
        <f>YQ41</f>
        <v/>
      </c>
      <c r="ZX41" s="9">
        <f>ZN41-ZR41-ZS41-ZT41-ZU41-ZV41-ZW41</f>
        <v/>
      </c>
      <c r="ZY41" s="9">
        <f>ZY40+ZK41-(ZR41+ZS41+ZT41+ZU41+ZV41+ZW41+ZP41)</f>
        <v/>
      </c>
      <c r="ZZ41" s="12">
        <f>IF(ZE41&gt;0,ZF41/ZE41,0)</f>
        <v/>
      </c>
      <c r="AAA41" s="11">
        <f>IF(ZE40&gt;0,MAX(0,(ZE40+YT41-ZE41)/ZE40),0)</f>
        <v/>
      </c>
      <c r="AAC41" s="12" t="n">
        <v>37</v>
      </c>
      <c r="AAD41" s="12">
        <f>MOD(AAC41-1+LaunchMonth-1,12)+1</f>
        <v/>
      </c>
      <c r="AAE41" s="12">
        <f>INT((AAC41-1+LaunchMonth-1)/12)+1</f>
        <v/>
      </c>
      <c r="AAF41" s="12">
        <f>VLOOKUP(AAD41,SeasonTable,2,FALSE)</f>
        <v/>
      </c>
      <c r="AAG41" s="12">
        <f>(1+InflationRate)^INT((AAC41-1)/12)</f>
        <v/>
      </c>
      <c r="AAH41" s="11">
        <f>MonthlyChurn*VLOOKUP(AAD41,ChurnSeasonTable,4,FALSE)</f>
        <v/>
      </c>
      <c r="AAI41" s="12">
        <f>MIN(MAX(MktMin19plus,ABC40*MktPct19plus),MAX(0,ABQ40-CashBuffer))</f>
        <v/>
      </c>
      <c r="AAJ41" s="12">
        <f>IF(AAI41&gt;0,MAX(1,ROUND(AAI41/CAC*AAF41,0)),0)</f>
        <v/>
      </c>
      <c r="AAK41" s="12">
        <f>IF(AAJ41&gt;0,ROUND(AAJ41*ReferralMix/(1-ReferralMix),0),0)</f>
        <v/>
      </c>
      <c r="AAL41" s="12">
        <f>AAJ41+AAK41</f>
        <v/>
      </c>
      <c r="AAM41" s="12">
        <f>ROUND(AAL41*(1-'Sens - Annual Mix'!$A$13),0)</f>
        <v/>
      </c>
      <c r="AAN41" s="12">
        <f>AAL41-AAM41</f>
        <v/>
      </c>
      <c r="AAO41" s="12">
        <f>ROUND(AAM41*EssentialMix,0)</f>
        <v/>
      </c>
      <c r="AAP41" s="12">
        <f>AAM41-AAO41</f>
        <v/>
      </c>
      <c r="AAQ41" s="12">
        <f>ROUND(AAN41*EssentialMix,0)</f>
        <v/>
      </c>
      <c r="AAR41" s="12">
        <f>AAN41-AAQ41</f>
        <v/>
      </c>
      <c r="AAS41" s="12">
        <f>AAO41+AAO40+AAO39+MAX(0,AAS40-AAO40-AAO39)*(1-AAH41)</f>
        <v/>
      </c>
      <c r="AAT41" s="12">
        <f>AAP41+AAP40+AAP39+MAX(0,AAT40-AAP40-AAP39)*(1-AAH41)</f>
        <v/>
      </c>
      <c r="AAU41" s="12">
        <f>AAU40+AAQ41-AAQ29*(AnnualChurn*VLOOKUP(AAD41,ChurnSeasonTable,4,FALSE))*POWER(1-(AnnualChurn*VLOOKUP(AAD41,ChurnSeasonTable,4,FALSE)),0)+AAQ17*(AnnualChurn*VLOOKUP(AAD41,ChurnSeasonTable,4,FALSE))*POWER(1-(AnnualChurn*VLOOKUP(AAD41,ChurnSeasonTable,4,FALSE)),1)+AAQ5*(AnnualChurn*VLOOKUP(AAD41,ChurnSeasonTable,4,FALSE))*POWER(1-(AnnualChurn*VLOOKUP(AAD41,ChurnSeasonTable,4,FALSE)),2)</f>
        <v/>
      </c>
      <c r="AAV41" s="12">
        <f>AAV40+AAR41-AAR29*(AnnualChurn*VLOOKUP(AAD41,ChurnSeasonTable,4,FALSE))*POWER(1-(AnnualChurn*VLOOKUP(AAD41,ChurnSeasonTable,4,FALSE)),0)+AAR17*(AnnualChurn*VLOOKUP(AAD41,ChurnSeasonTable,4,FALSE))*POWER(1-(AnnualChurn*VLOOKUP(AAD41,ChurnSeasonTable,4,FALSE)),1)+AAR5*(AnnualChurn*VLOOKUP(AAD41,ChurnSeasonTable,4,FALSE))*POWER(1-(AnnualChurn*VLOOKUP(AAD41,ChurnSeasonTable,4,FALSE)),2)</f>
        <v/>
      </c>
      <c r="AAW41" s="12">
        <f>AAS41+AAT41+AAU41+AAV41</f>
        <v/>
      </c>
      <c r="AAX41" s="9">
        <f>AAS41*PriceEssMonthly*AAG41+AAT41*PricePremMonthly*AAG41+AAU41*PriceEssAnnual*AAG41/12+AAV41*PricePremAnnual*AAG41/12</f>
        <v/>
      </c>
      <c r="AAY41" s="9">
        <f>AAX41*12</f>
        <v/>
      </c>
      <c r="AAZ41" s="12">
        <f>AAS41*PriceEssMonthly*AAG41+AAT41*PricePremMonthly*AAG41</f>
        <v/>
      </c>
      <c r="ABA41" s="12">
        <f>AAQ41*PriceEssAnnual*AAG41+AAR41*PricePremAnnual*AAG41</f>
        <v/>
      </c>
      <c r="ABB41" s="12">
        <f>AAQ29*POWER(1-(AnnualChurn*VLOOKUP(AAD41,ChurnSeasonTable,4,FALSE)),1)*PriceEssAnnual*AAG41+AAQ17*POWER(1-(AnnualChurn*VLOOKUP(AAD41,ChurnSeasonTable,4,FALSE)),2)*PriceEssAnnual*AAG41+AAQ5*POWER(1-(AnnualChurn*VLOOKUP(AAD41,ChurnSeasonTable,4,FALSE)),3)*PriceEssAnnual*AAG41+AAR29*POWER(1-(AnnualChurn*VLOOKUP(AAD41,ChurnSeasonTable,4,FALSE)),1)*PricePremAnnual*AAG41+AAR17*POWER(1-(AnnualChurn*VLOOKUP(AAD41,ChurnSeasonTable,4,FALSE)),2)*PricePremAnnual*AAG41+AAR5*POWER(1-(AnnualChurn*VLOOKUP(AAD41,ChurnSeasonTable,4,FALSE)),3)*PricePremAnnual*AAG41</f>
        <v/>
      </c>
      <c r="ABC41" s="9">
        <f>AAZ41+ABA41+ABB41</f>
        <v/>
      </c>
      <c r="ABD41" s="12">
        <f>SUM(ABC30:ABC41)</f>
        <v/>
      </c>
      <c r="ABE41" s="12">
        <f>OR(ABE40,ABD41&gt;=VATThreshold)</f>
        <v/>
      </c>
      <c r="ABF41" s="9">
        <f>IF(ABE41,ABC41/(1+VATRate),ABC41)</f>
        <v/>
      </c>
      <c r="ABG41" s="12">
        <f>ABC41-ABF41</f>
        <v/>
      </c>
      <c r="ABH41" s="12">
        <f>IF(ABE41=0,0,IF(AAD41=1,SUMPRODUCT(--(($AAE$5:$AAE41=$AAE41-1)*($AAD$5:$AAD41&gt;=10)*($AAD$5:$AAD41&lt;=12)),$ABG$5:$ABG41),IF(AAD41=4,SUMPRODUCT(--(($AAE$5:$AAE41=$AAE41)*($AAD$5:$AAD41&gt;=1)*($AAD$5:$AAD41&lt;=3)),$ABG$5:$ABG41),IF(AAD41=7,SUMPRODUCT(--(($AAE$5:$AAE41=$AAE41)*($AAD$5:$AAD41&gt;=4)*($AAD$5:$AAD41&lt;=6)),$ABG$5:$ABG41),IF(AAD41=10,SUMPRODUCT(--(($AAE$5:$AAE41=$AAE41)*($AAD$5:$AAD41&gt;=7)*($AAD$5:$AAD41&lt;=9)),$ABG$5:$ABG41),0)))))</f>
        <v/>
      </c>
      <c r="ABI41" s="12">
        <f>ABI40+ABG41-ABH41</f>
        <v/>
      </c>
      <c r="ABJ41" s="12">
        <f>IF(ProviderDelay&gt;=1,ABF40*ProviderShare,ABF41*ProviderShare)</f>
        <v/>
      </c>
      <c r="ABK41" s="12">
        <f>ABC41*PaymentFee</f>
        <v/>
      </c>
      <c r="ABL41" s="12">
        <f>AAW41*OpsAI</f>
        <v/>
      </c>
      <c r="ABM41" s="12">
        <f>MonthlyFixed</f>
        <v/>
      </c>
      <c r="ABN41" s="12">
        <f>AAK41*ReferralReward</f>
        <v/>
      </c>
      <c r="ABO41" s="12">
        <f>AAI41</f>
        <v/>
      </c>
      <c r="ABP41" s="9">
        <f>ABF41-ABJ41-ABK41-ABL41-ABM41-ABN41-ABO41</f>
        <v/>
      </c>
      <c r="ABQ41" s="9">
        <f>ABQ40+ABC41-(ABJ41+ABK41+ABL41+ABM41+ABN41+ABO41+ABH41)</f>
        <v/>
      </c>
      <c r="ABR41" s="12">
        <f>IF(AAW41&gt;0,AAX41/AAW41,0)</f>
        <v/>
      </c>
      <c r="ABS41" s="11">
        <f>IF(AAW40&gt;0,MAX(0,(AAW40+AAL41-AAW41)/AAW40),0)</f>
        <v/>
      </c>
      <c r="ABU41" s="12" t="n">
        <v>37</v>
      </c>
      <c r="ABV41" s="12">
        <f>MOD(ABU41-1+LaunchMonth-1,12)+1</f>
        <v/>
      </c>
      <c r="ABW41" s="12">
        <f>INT((ABU41-1+LaunchMonth-1)/12)+1</f>
        <v/>
      </c>
      <c r="ABX41" s="12">
        <f>VLOOKUP(ABV41,SeasonTable,2,FALSE)</f>
        <v/>
      </c>
      <c r="ABY41" s="12">
        <f>(1+InflationRate)^INT((ABU41-1)/12)</f>
        <v/>
      </c>
      <c r="ABZ41" s="11">
        <f>MonthlyChurn*VLOOKUP(ABV41,ChurnSeasonTable,4,FALSE)</f>
        <v/>
      </c>
      <c r="ACA41" s="12">
        <f>MIN(MAX(MktMin19plus,ACU40*MktPct19plus),MAX(0,ADI40-CashBuffer))</f>
        <v/>
      </c>
      <c r="ACB41" s="12">
        <f>IF(ACA41&gt;0,MAX(1,ROUND(ACA41/CAC*ABX41,0)),0)</f>
        <v/>
      </c>
      <c r="ACC41" s="12">
        <f>IF(ACB41&gt;0,ROUND(ACB41*ReferralMix/(1-ReferralMix),0),0)</f>
        <v/>
      </c>
      <c r="ACD41" s="12">
        <f>ACB41+ACC41</f>
        <v/>
      </c>
      <c r="ACE41" s="12">
        <f>ROUND(ACD41*(1-'Sens - Annual Mix'!$A$14),0)</f>
        <v/>
      </c>
      <c r="ACF41" s="12">
        <f>ACD41-ACE41</f>
        <v/>
      </c>
      <c r="ACG41" s="12">
        <f>ROUND(ACE41*EssentialMix,0)</f>
        <v/>
      </c>
      <c r="ACH41" s="12">
        <f>ACE41-ACG41</f>
        <v/>
      </c>
      <c r="ACI41" s="12">
        <f>ROUND(ACF41*EssentialMix,0)</f>
        <v/>
      </c>
      <c r="ACJ41" s="12">
        <f>ACF41-ACI41</f>
        <v/>
      </c>
      <c r="ACK41" s="12">
        <f>ACG41+ACG40+ACG39+MAX(0,ACK40-ACG40-ACG39)*(1-ABZ41)</f>
        <v/>
      </c>
      <c r="ACL41" s="12">
        <f>ACH41+ACH40+ACH39+MAX(0,ACL40-ACH40-ACH39)*(1-ABZ41)</f>
        <v/>
      </c>
      <c r="ACM41" s="12">
        <f>ACM40+ACI41-ACI29*(AnnualChurn*VLOOKUP(ABV41,ChurnSeasonTable,4,FALSE))*POWER(1-(AnnualChurn*VLOOKUP(ABV41,ChurnSeasonTable,4,FALSE)),0)+ACI17*(AnnualChurn*VLOOKUP(ABV41,ChurnSeasonTable,4,FALSE))*POWER(1-(AnnualChurn*VLOOKUP(ABV41,ChurnSeasonTable,4,FALSE)),1)+ACI5*(AnnualChurn*VLOOKUP(ABV41,ChurnSeasonTable,4,FALSE))*POWER(1-(AnnualChurn*VLOOKUP(ABV41,ChurnSeasonTable,4,FALSE)),2)</f>
        <v/>
      </c>
      <c r="ACN41" s="12">
        <f>ACN40+ACJ41-ACJ29*(AnnualChurn*VLOOKUP(ABV41,ChurnSeasonTable,4,FALSE))*POWER(1-(AnnualChurn*VLOOKUP(ABV41,ChurnSeasonTable,4,FALSE)),0)+ACJ17*(AnnualChurn*VLOOKUP(ABV41,ChurnSeasonTable,4,FALSE))*POWER(1-(AnnualChurn*VLOOKUP(ABV41,ChurnSeasonTable,4,FALSE)),1)+ACJ5*(AnnualChurn*VLOOKUP(ABV41,ChurnSeasonTable,4,FALSE))*POWER(1-(AnnualChurn*VLOOKUP(ABV41,ChurnSeasonTable,4,FALSE)),2)</f>
        <v/>
      </c>
      <c r="ACO41" s="12">
        <f>ACK41+ACL41+ACM41+ACN41</f>
        <v/>
      </c>
      <c r="ACP41" s="9">
        <f>ACK41*PriceEssMonthly*ABY41+ACL41*PricePremMonthly*ABY41+ACM41*PriceEssAnnual*ABY41/12+ACN41*PricePremAnnual*ABY41/12</f>
        <v/>
      </c>
      <c r="ACQ41" s="9">
        <f>ACP41*12</f>
        <v/>
      </c>
      <c r="ACR41" s="12">
        <f>ACK41*PriceEssMonthly*ABY41+ACL41*PricePremMonthly*ABY41</f>
        <v/>
      </c>
      <c r="ACS41" s="12">
        <f>ACI41*PriceEssAnnual*ABY41+ACJ41*PricePremAnnual*ABY41</f>
        <v/>
      </c>
      <c r="ACT41" s="12">
        <f>ACI29*POWER(1-(AnnualChurn*VLOOKUP(ABV41,ChurnSeasonTable,4,FALSE)),1)*PriceEssAnnual*ABY41+ACI17*POWER(1-(AnnualChurn*VLOOKUP(ABV41,ChurnSeasonTable,4,FALSE)),2)*PriceEssAnnual*ABY41+ACI5*POWER(1-(AnnualChurn*VLOOKUP(ABV41,ChurnSeasonTable,4,FALSE)),3)*PriceEssAnnual*ABY41+ACJ29*POWER(1-(AnnualChurn*VLOOKUP(ABV41,ChurnSeasonTable,4,FALSE)),1)*PricePremAnnual*ABY41+ACJ17*POWER(1-(AnnualChurn*VLOOKUP(ABV41,ChurnSeasonTable,4,FALSE)),2)*PricePremAnnual*ABY41+ACJ5*POWER(1-(AnnualChurn*VLOOKUP(ABV41,ChurnSeasonTable,4,FALSE)),3)*PricePremAnnual*ABY41</f>
        <v/>
      </c>
      <c r="ACU41" s="9">
        <f>ACR41+ACS41+ACT41</f>
        <v/>
      </c>
      <c r="ACV41" s="12">
        <f>SUM(ACU30:ACU41)</f>
        <v/>
      </c>
      <c r="ACW41" s="12">
        <f>OR(ACW40,ACV41&gt;=VATThreshold)</f>
        <v/>
      </c>
      <c r="ACX41" s="9">
        <f>IF(ACW41,ACU41/(1+VATRate),ACU41)</f>
        <v/>
      </c>
      <c r="ACY41" s="12">
        <f>ACU41-ACX41</f>
        <v/>
      </c>
      <c r="ACZ41" s="12">
        <f>IF(ACW41=0,0,IF(ABV41=1,SUMPRODUCT(--(($ABW$5:$ABW41=$ABW41-1)*($ABV$5:$ABV41&gt;=10)*($ABV$5:$ABV41&lt;=12)),$ACY$5:$ACY41),IF(ABV41=4,SUMPRODUCT(--(($ABW$5:$ABW41=$ABW41)*($ABV$5:$ABV41&gt;=1)*($ABV$5:$ABV41&lt;=3)),$ACY$5:$ACY41),IF(ABV41=7,SUMPRODUCT(--(($ABW$5:$ABW41=$ABW41)*($ABV$5:$ABV41&gt;=4)*($ABV$5:$ABV41&lt;=6)),$ACY$5:$ACY41),IF(ABV41=10,SUMPRODUCT(--(($ABW$5:$ABW41=$ABW41)*($ABV$5:$ABV41&gt;=7)*($ABV$5:$ABV41&lt;=9)),$ACY$5:$ACY41),0)))))</f>
        <v/>
      </c>
      <c r="ADA41" s="12">
        <f>ADA40+ACY41-ACZ41</f>
        <v/>
      </c>
      <c r="ADB41" s="12">
        <f>IF(ProviderDelay&gt;=1,ACX40*ProviderShare,ACX41*ProviderShare)</f>
        <v/>
      </c>
      <c r="ADC41" s="12">
        <f>ACU41*PaymentFee</f>
        <v/>
      </c>
      <c r="ADD41" s="12">
        <f>ACO41*OpsAI</f>
        <v/>
      </c>
      <c r="ADE41" s="12">
        <f>MonthlyFixed</f>
        <v/>
      </c>
      <c r="ADF41" s="12">
        <f>ACC41*ReferralReward</f>
        <v/>
      </c>
      <c r="ADG41" s="12">
        <f>ACA41</f>
        <v/>
      </c>
      <c r="ADH41" s="9">
        <f>ACX41-ADB41-ADC41-ADD41-ADE41-ADF41-ADG41</f>
        <v/>
      </c>
      <c r="ADI41" s="9">
        <f>ADI40+ACU41-(ADB41+ADC41+ADD41+ADE41+ADF41+ADG41+ACZ41)</f>
        <v/>
      </c>
      <c r="ADJ41" s="12">
        <f>IF(ACO41&gt;0,ACP41/ACO41,0)</f>
        <v/>
      </c>
      <c r="ADK41" s="11">
        <f>IF(ACO40&gt;0,MAX(0,(ACO40+ACD41-ACO41)/ACO40),0)</f>
        <v/>
      </c>
      <c r="ADM41" s="12" t="n">
        <v>37</v>
      </c>
      <c r="ADN41" s="12">
        <f>MOD(ADM41-1+LaunchMonth-1,12)+1</f>
        <v/>
      </c>
      <c r="ADO41" s="12">
        <f>INT((ADM41-1+LaunchMonth-1)/12)+1</f>
        <v/>
      </c>
      <c r="ADP41" s="12">
        <f>VLOOKUP(ADN41,SeasonTable,2,FALSE)</f>
        <v/>
      </c>
      <c r="ADQ41" s="12">
        <f>(1+InflationRate)^INT((ADM41-1)/12)</f>
        <v/>
      </c>
      <c r="ADR41" s="11">
        <f>MonthlyChurn*VLOOKUP(ADN41,ChurnSeasonTable,4,FALSE)</f>
        <v/>
      </c>
      <c r="ADS41" s="12">
        <f>MIN(MAX(MktMin19plus,AEM40*MktPct19plus),MAX(0,AFA40-CashBuffer))</f>
        <v/>
      </c>
      <c r="ADT41" s="12">
        <f>IF(ADS41&gt;0,MAX(1,ROUND(ADS41/CAC*ADP41,0)),0)</f>
        <v/>
      </c>
      <c r="ADU41" s="12">
        <f>IF(ADT41&gt;0,ROUND(ADT41*ReferralMix/(1-ReferralMix),0),0)</f>
        <v/>
      </c>
      <c r="ADV41" s="12">
        <f>ADT41+ADU41</f>
        <v/>
      </c>
      <c r="ADW41" s="12">
        <f>ROUND(ADV41*(1-'Sens - Annual Mix'!$A$15),0)</f>
        <v/>
      </c>
      <c r="ADX41" s="12">
        <f>ADV41-ADW41</f>
        <v/>
      </c>
      <c r="ADY41" s="12">
        <f>ROUND(ADW41*EssentialMix,0)</f>
        <v/>
      </c>
      <c r="ADZ41" s="12">
        <f>ADW41-ADY41</f>
        <v/>
      </c>
      <c r="AEA41" s="12">
        <f>ROUND(ADX41*EssentialMix,0)</f>
        <v/>
      </c>
      <c r="AEB41" s="12">
        <f>ADX41-AEA41</f>
        <v/>
      </c>
      <c r="AEC41" s="12">
        <f>ADY41+ADY40+ADY39+MAX(0,AEC40-ADY40-ADY39)*(1-ADR41)</f>
        <v/>
      </c>
      <c r="AED41" s="12">
        <f>ADZ41+ADZ40+ADZ39+MAX(0,AED40-ADZ40-ADZ39)*(1-ADR41)</f>
        <v/>
      </c>
      <c r="AEE41" s="12">
        <f>AEE40+AEA41-AEA29*(AnnualChurn*VLOOKUP(ADN41,ChurnSeasonTable,4,FALSE))*POWER(1-(AnnualChurn*VLOOKUP(ADN41,ChurnSeasonTable,4,FALSE)),0)+AEA17*(AnnualChurn*VLOOKUP(ADN41,ChurnSeasonTable,4,FALSE))*POWER(1-(AnnualChurn*VLOOKUP(ADN41,ChurnSeasonTable,4,FALSE)),1)+AEA5*(AnnualChurn*VLOOKUP(ADN41,ChurnSeasonTable,4,FALSE))*POWER(1-(AnnualChurn*VLOOKUP(ADN41,ChurnSeasonTable,4,FALSE)),2)</f>
        <v/>
      </c>
      <c r="AEF41" s="12">
        <f>AEF40+AEB41-AEB29*(AnnualChurn*VLOOKUP(ADN41,ChurnSeasonTable,4,FALSE))*POWER(1-(AnnualChurn*VLOOKUP(ADN41,ChurnSeasonTable,4,FALSE)),0)+AEB17*(AnnualChurn*VLOOKUP(ADN41,ChurnSeasonTable,4,FALSE))*POWER(1-(AnnualChurn*VLOOKUP(ADN41,ChurnSeasonTable,4,FALSE)),1)+AEB5*(AnnualChurn*VLOOKUP(ADN41,ChurnSeasonTable,4,FALSE))*POWER(1-(AnnualChurn*VLOOKUP(ADN41,ChurnSeasonTable,4,FALSE)),2)</f>
        <v/>
      </c>
      <c r="AEG41" s="12">
        <f>AEC41+AED41+AEE41+AEF41</f>
        <v/>
      </c>
      <c r="AEH41" s="9">
        <f>AEC41*PriceEssMonthly*ADQ41+AED41*PricePremMonthly*ADQ41+AEE41*PriceEssAnnual*ADQ41/12+AEF41*PricePremAnnual*ADQ41/12</f>
        <v/>
      </c>
      <c r="AEI41" s="9">
        <f>AEH41*12</f>
        <v/>
      </c>
      <c r="AEJ41" s="12">
        <f>AEC41*PriceEssMonthly*ADQ41+AED41*PricePremMonthly*ADQ41</f>
        <v/>
      </c>
      <c r="AEK41" s="12">
        <f>AEA41*PriceEssAnnual*ADQ41+AEB41*PricePremAnnual*ADQ41</f>
        <v/>
      </c>
      <c r="AEL41" s="12">
        <f>AEA29*POWER(1-(AnnualChurn*VLOOKUP(ADN41,ChurnSeasonTable,4,FALSE)),1)*PriceEssAnnual*ADQ41+AEA17*POWER(1-(AnnualChurn*VLOOKUP(ADN41,ChurnSeasonTable,4,FALSE)),2)*PriceEssAnnual*ADQ41+AEA5*POWER(1-(AnnualChurn*VLOOKUP(ADN41,ChurnSeasonTable,4,FALSE)),3)*PriceEssAnnual*ADQ41+AEB29*POWER(1-(AnnualChurn*VLOOKUP(ADN41,ChurnSeasonTable,4,FALSE)),1)*PricePremAnnual*ADQ41+AEB17*POWER(1-(AnnualChurn*VLOOKUP(ADN41,ChurnSeasonTable,4,FALSE)),2)*PricePremAnnual*ADQ41+AEB5*POWER(1-(AnnualChurn*VLOOKUP(ADN41,ChurnSeasonTable,4,FALSE)),3)*PricePremAnnual*ADQ41</f>
        <v/>
      </c>
      <c r="AEM41" s="9">
        <f>AEJ41+AEK41+AEL41</f>
        <v/>
      </c>
      <c r="AEN41" s="12">
        <f>SUM(AEM30:AEM41)</f>
        <v/>
      </c>
      <c r="AEO41" s="12">
        <f>OR(AEO40,AEN41&gt;=VATThreshold)</f>
        <v/>
      </c>
      <c r="AEP41" s="9">
        <f>IF(AEO41,AEM41/(1+VATRate),AEM41)</f>
        <v/>
      </c>
      <c r="AEQ41" s="12">
        <f>AEM41-AEP41</f>
        <v/>
      </c>
      <c r="AER41" s="12">
        <f>IF(AEO41=0,0,IF(ADN41=1,SUMPRODUCT(--(($ADO$5:$ADO41=$ADO41-1)*($ADN$5:$ADN41&gt;=10)*($ADN$5:$ADN41&lt;=12)),$AEQ$5:$AEQ41),IF(ADN41=4,SUMPRODUCT(--(($ADO$5:$ADO41=$ADO41)*($ADN$5:$ADN41&gt;=1)*($ADN$5:$ADN41&lt;=3)),$AEQ$5:$AEQ41),IF(ADN41=7,SUMPRODUCT(--(($ADO$5:$ADO41=$ADO41)*($ADN$5:$ADN41&gt;=4)*($ADN$5:$ADN41&lt;=6)),$AEQ$5:$AEQ41),IF(ADN41=10,SUMPRODUCT(--(($ADO$5:$ADO41=$ADO41)*($ADN$5:$ADN41&gt;=7)*($ADN$5:$ADN41&lt;=9)),$AEQ$5:$AEQ41),0)))))</f>
        <v/>
      </c>
      <c r="AES41" s="12">
        <f>AES40+AEQ41-AER41</f>
        <v/>
      </c>
      <c r="AET41" s="12">
        <f>IF(ProviderDelay&gt;=1,AEP40*ProviderShare,AEP41*ProviderShare)</f>
        <v/>
      </c>
      <c r="AEU41" s="12">
        <f>AEM41*PaymentFee</f>
        <v/>
      </c>
      <c r="AEV41" s="12">
        <f>AEG41*OpsAI</f>
        <v/>
      </c>
      <c r="AEW41" s="12">
        <f>MonthlyFixed</f>
        <v/>
      </c>
      <c r="AEX41" s="12">
        <f>ADU41*ReferralReward</f>
        <v/>
      </c>
      <c r="AEY41" s="12">
        <f>ADS41</f>
        <v/>
      </c>
      <c r="AEZ41" s="9">
        <f>AEP41-AET41-AEU41-AEV41-AEW41-AEX41-AEY41</f>
        <v/>
      </c>
      <c r="AFA41" s="9">
        <f>AFA40+AEM41-(AET41+AEU41+AEV41+AEW41+AEX41+AEY41+AER41)</f>
        <v/>
      </c>
      <c r="AFB41" s="12">
        <f>IF(AEG41&gt;0,AEH41/AEG41,0)</f>
        <v/>
      </c>
      <c r="AFC41" s="11">
        <f>IF(AEG40&gt;0,MAX(0,(AEG40+ADV41-AEG41)/AEG40),0)</f>
        <v/>
      </c>
      <c r="AFE41" s="12" t="n">
        <v>37</v>
      </c>
      <c r="AFF41" s="12">
        <f>MOD(AFE41-1+LaunchMonth-1,12)+1</f>
        <v/>
      </c>
      <c r="AFG41" s="12">
        <f>INT((AFE41-1+LaunchMonth-1)/12)+1</f>
        <v/>
      </c>
      <c r="AFH41" s="12">
        <f>VLOOKUP(AFF41,SeasonTable,2,FALSE)</f>
        <v/>
      </c>
      <c r="AFI41" s="12">
        <f>(1+InflationRate)^INT((AFE41-1)/12)</f>
        <v/>
      </c>
      <c r="AFJ41" s="11">
        <f>MonthlyChurn*VLOOKUP(AFF41,ChurnSeasonTable,4,FALSE)</f>
        <v/>
      </c>
      <c r="AFK41" s="12">
        <f>MIN(MAX(MktMin19plus,AGE40*MktPct19plus),MAX(0,AGS40-CashBuffer))</f>
        <v/>
      </c>
      <c r="AFL41" s="12">
        <f>IF(AFK41&gt;0,MAX(1,ROUND(AFK41/'Sens - CAC &amp; Marketing'!$A$9*AFH41,0)),0)</f>
        <v/>
      </c>
      <c r="AFM41" s="12">
        <f>IF(AFL41&gt;0,ROUND(AFL41*ReferralMix/(1-ReferralMix),0),0)</f>
        <v/>
      </c>
      <c r="AFN41" s="12">
        <f>AFL41+AFM41</f>
        <v/>
      </c>
      <c r="AFO41" s="12">
        <f>ROUND(AFN41*(1-AnnualMix),0)</f>
        <v/>
      </c>
      <c r="AFP41" s="12">
        <f>AFN41-AFO41</f>
        <v/>
      </c>
      <c r="AFQ41" s="12">
        <f>ROUND(AFO41*EssentialMix,0)</f>
        <v/>
      </c>
      <c r="AFR41" s="12">
        <f>AFO41-AFQ41</f>
        <v/>
      </c>
      <c r="AFS41" s="12">
        <f>ROUND(AFP41*EssentialMix,0)</f>
        <v/>
      </c>
      <c r="AFT41" s="12">
        <f>AFP41-AFS41</f>
        <v/>
      </c>
      <c r="AFU41" s="12">
        <f>AFQ41+AFQ40+AFQ39+MAX(0,AFU40-AFQ40-AFQ39)*(1-AFJ41)</f>
        <v/>
      </c>
      <c r="AFV41" s="12">
        <f>AFR41+AFR40+AFR39+MAX(0,AFV40-AFR40-AFR39)*(1-AFJ41)</f>
        <v/>
      </c>
      <c r="AFW41" s="12">
        <f>AFW40+AFS41-AFS29*(AnnualChurn*VLOOKUP(AFF41,ChurnSeasonTable,4,FALSE))*POWER(1-(AnnualChurn*VLOOKUP(AFF41,ChurnSeasonTable,4,FALSE)),0)+AFS17*(AnnualChurn*VLOOKUP(AFF41,ChurnSeasonTable,4,FALSE))*POWER(1-(AnnualChurn*VLOOKUP(AFF41,ChurnSeasonTable,4,FALSE)),1)+AFS5*(AnnualChurn*VLOOKUP(AFF41,ChurnSeasonTable,4,FALSE))*POWER(1-(AnnualChurn*VLOOKUP(AFF41,ChurnSeasonTable,4,FALSE)),2)</f>
        <v/>
      </c>
      <c r="AFX41" s="12">
        <f>AFX40+AFT41-AFT29*(AnnualChurn*VLOOKUP(AFF41,ChurnSeasonTable,4,FALSE))*POWER(1-(AnnualChurn*VLOOKUP(AFF41,ChurnSeasonTable,4,FALSE)),0)+AFT17*(AnnualChurn*VLOOKUP(AFF41,ChurnSeasonTable,4,FALSE))*POWER(1-(AnnualChurn*VLOOKUP(AFF41,ChurnSeasonTable,4,FALSE)),1)+AFT5*(AnnualChurn*VLOOKUP(AFF41,ChurnSeasonTable,4,FALSE))*POWER(1-(AnnualChurn*VLOOKUP(AFF41,ChurnSeasonTable,4,FALSE)),2)</f>
        <v/>
      </c>
      <c r="AFY41" s="12">
        <f>AFU41+AFV41+AFW41+AFX41</f>
        <v/>
      </c>
      <c r="AFZ41" s="9">
        <f>AFU41*PriceEssMonthly*AFI41+AFV41*PricePremMonthly*AFI41+AFW41*PriceEssAnnual*AFI41/12+AFX41*PricePremAnnual*AFI41/12</f>
        <v/>
      </c>
      <c r="AGA41" s="9">
        <f>AFZ41*12</f>
        <v/>
      </c>
      <c r="AGB41" s="12">
        <f>AFU41*PriceEssMonthly*AFI41+AFV41*PricePremMonthly*AFI41</f>
        <v/>
      </c>
      <c r="AGC41" s="12">
        <f>AFS41*PriceEssAnnual*AFI41+AFT41*PricePremAnnual*AFI41</f>
        <v/>
      </c>
      <c r="AGD41" s="12">
        <f>AFS29*POWER(1-(AnnualChurn*VLOOKUP(AFF41,ChurnSeasonTable,4,FALSE)),1)*PriceEssAnnual*AFI41+AFS17*POWER(1-(AnnualChurn*VLOOKUP(AFF41,ChurnSeasonTable,4,FALSE)),2)*PriceEssAnnual*AFI41+AFS5*POWER(1-(AnnualChurn*VLOOKUP(AFF41,ChurnSeasonTable,4,FALSE)),3)*PriceEssAnnual*AFI41+AFT29*POWER(1-(AnnualChurn*VLOOKUP(AFF41,ChurnSeasonTable,4,FALSE)),1)*PricePremAnnual*AFI41+AFT17*POWER(1-(AnnualChurn*VLOOKUP(AFF41,ChurnSeasonTable,4,FALSE)),2)*PricePremAnnual*AFI41+AFT5*POWER(1-(AnnualChurn*VLOOKUP(AFF41,ChurnSeasonTable,4,FALSE)),3)*PricePremAnnual*AFI41</f>
        <v/>
      </c>
      <c r="AGE41" s="9">
        <f>AGB41+AGC41+AGD41</f>
        <v/>
      </c>
      <c r="AGF41" s="12">
        <f>SUM(AGE30:AGE41)</f>
        <v/>
      </c>
      <c r="AGG41" s="12">
        <f>OR(AGG40,AGF41&gt;=VATThreshold)</f>
        <v/>
      </c>
      <c r="AGH41" s="9">
        <f>IF(AGG41,AGE41/(1+VATRate),AGE41)</f>
        <v/>
      </c>
      <c r="AGI41" s="12">
        <f>AGE41-AGH41</f>
        <v/>
      </c>
      <c r="AGJ41" s="12">
        <f>IF(AGG41=0,0,IF(AFF41=1,SUMPRODUCT(--(($AFG$5:$AFG41=$AFG41-1)*($AFF$5:$AFF41&gt;=10)*($AFF$5:$AFF41&lt;=12)),$AGI$5:$AGI41),IF(AFF41=4,SUMPRODUCT(--(($AFG$5:$AFG41=$AFG41)*($AFF$5:$AFF41&gt;=1)*($AFF$5:$AFF41&lt;=3)),$AGI$5:$AGI41),IF(AFF41=7,SUMPRODUCT(--(($AFG$5:$AFG41=$AFG41)*($AFF$5:$AFF41&gt;=4)*($AFF$5:$AFF41&lt;=6)),$AGI$5:$AGI41),IF(AFF41=10,SUMPRODUCT(--(($AFG$5:$AFG41=$AFG41)*($AFF$5:$AFF41&gt;=7)*($AFF$5:$AFF41&lt;=9)),$AGI$5:$AGI41),0)))))</f>
        <v/>
      </c>
      <c r="AGK41" s="12">
        <f>AGK40+AGI41-AGJ41</f>
        <v/>
      </c>
      <c r="AGL41" s="12">
        <f>IF(ProviderDelay&gt;=1,AGH40*ProviderShare,AGH41*ProviderShare)</f>
        <v/>
      </c>
      <c r="AGM41" s="12">
        <f>AGE41*PaymentFee</f>
        <v/>
      </c>
      <c r="AGN41" s="12">
        <f>AFY41*OpsAI</f>
        <v/>
      </c>
      <c r="AGO41" s="12">
        <f>MonthlyFixed</f>
        <v/>
      </c>
      <c r="AGP41" s="12">
        <f>AFM41*ReferralReward</f>
        <v/>
      </c>
      <c r="AGQ41" s="12">
        <f>AFK41</f>
        <v/>
      </c>
      <c r="AGR41" s="9">
        <f>AGH41-AGL41-AGM41-AGN41-AGO41-AGP41-AGQ41</f>
        <v/>
      </c>
      <c r="AGS41" s="9">
        <f>AGS40+AGE41-(AGL41+AGM41+AGN41+AGO41+AGP41+AGQ41+AGJ41)</f>
        <v/>
      </c>
      <c r="AGT41" s="12">
        <f>IF(AFY41&gt;0,AFZ41/AFY41,0)</f>
        <v/>
      </c>
      <c r="AGU41" s="11">
        <f>IF(AFY40&gt;0,MAX(0,(AFY40+AFN41-AFY41)/AFY40),0)</f>
        <v/>
      </c>
      <c r="AGW41" s="12" t="n">
        <v>37</v>
      </c>
      <c r="AGX41" s="12">
        <f>MOD(AGW41-1+LaunchMonth-1,12)+1</f>
        <v/>
      </c>
      <c r="AGY41" s="12">
        <f>INT((AGW41-1+LaunchMonth-1)/12)+1</f>
        <v/>
      </c>
      <c r="AGZ41" s="12">
        <f>VLOOKUP(AGX41,SeasonTable,2,FALSE)</f>
        <v/>
      </c>
      <c r="AHA41" s="12">
        <f>(1+InflationRate)^INT((AGW41-1)/12)</f>
        <v/>
      </c>
      <c r="AHB41" s="11">
        <f>MonthlyChurn*VLOOKUP(AGX41,ChurnSeasonTable,4,FALSE)</f>
        <v/>
      </c>
      <c r="AHC41" s="12">
        <f>MIN(MAX(MktMin19plus,AHW40*MktPct19plus),MAX(0,AIK40-CashBuffer))</f>
        <v/>
      </c>
      <c r="AHD41" s="12">
        <f>IF(AHC41&gt;0,MAX(1,ROUND(AHC41/'Sens - CAC &amp; Marketing'!$A$10*AGZ41,0)),0)</f>
        <v/>
      </c>
      <c r="AHE41" s="12">
        <f>IF(AHD41&gt;0,ROUND(AHD41*ReferralMix/(1-ReferralMix),0),0)</f>
        <v/>
      </c>
      <c r="AHF41" s="12">
        <f>AHD41+AHE41</f>
        <v/>
      </c>
      <c r="AHG41" s="12">
        <f>ROUND(AHF41*(1-AnnualMix),0)</f>
        <v/>
      </c>
      <c r="AHH41" s="12">
        <f>AHF41-AHG41</f>
        <v/>
      </c>
      <c r="AHI41" s="12">
        <f>ROUND(AHG41*EssentialMix,0)</f>
        <v/>
      </c>
      <c r="AHJ41" s="12">
        <f>AHG41-AHI41</f>
        <v/>
      </c>
      <c r="AHK41" s="12">
        <f>ROUND(AHH41*EssentialMix,0)</f>
        <v/>
      </c>
      <c r="AHL41" s="12">
        <f>AHH41-AHK41</f>
        <v/>
      </c>
      <c r="AHM41" s="12">
        <f>AHI41+AHI40+AHI39+MAX(0,AHM40-AHI40-AHI39)*(1-AHB41)</f>
        <v/>
      </c>
      <c r="AHN41" s="12">
        <f>AHJ41+AHJ40+AHJ39+MAX(0,AHN40-AHJ40-AHJ39)*(1-AHB41)</f>
        <v/>
      </c>
      <c r="AHO41" s="12">
        <f>AHO40+AHK41-AHK29*(AnnualChurn*VLOOKUP(AGX41,ChurnSeasonTable,4,FALSE))*POWER(1-(AnnualChurn*VLOOKUP(AGX41,ChurnSeasonTable,4,FALSE)),0)+AHK17*(AnnualChurn*VLOOKUP(AGX41,ChurnSeasonTable,4,FALSE))*POWER(1-(AnnualChurn*VLOOKUP(AGX41,ChurnSeasonTable,4,FALSE)),1)+AHK5*(AnnualChurn*VLOOKUP(AGX41,ChurnSeasonTable,4,FALSE))*POWER(1-(AnnualChurn*VLOOKUP(AGX41,ChurnSeasonTable,4,FALSE)),2)</f>
        <v/>
      </c>
      <c r="AHP41" s="12">
        <f>AHP40+AHL41-AHL29*(AnnualChurn*VLOOKUP(AGX41,ChurnSeasonTable,4,FALSE))*POWER(1-(AnnualChurn*VLOOKUP(AGX41,ChurnSeasonTable,4,FALSE)),0)+AHL17*(AnnualChurn*VLOOKUP(AGX41,ChurnSeasonTable,4,FALSE))*POWER(1-(AnnualChurn*VLOOKUP(AGX41,ChurnSeasonTable,4,FALSE)),1)+AHL5*(AnnualChurn*VLOOKUP(AGX41,ChurnSeasonTable,4,FALSE))*POWER(1-(AnnualChurn*VLOOKUP(AGX41,ChurnSeasonTable,4,FALSE)),2)</f>
        <v/>
      </c>
      <c r="AHQ41" s="12">
        <f>AHM41+AHN41+AHO41+AHP41</f>
        <v/>
      </c>
      <c r="AHR41" s="9">
        <f>AHM41*PriceEssMonthly*AHA41+AHN41*PricePremMonthly*AHA41+AHO41*PriceEssAnnual*AHA41/12+AHP41*PricePremAnnual*AHA41/12</f>
        <v/>
      </c>
      <c r="AHS41" s="9">
        <f>AHR41*12</f>
        <v/>
      </c>
      <c r="AHT41" s="12">
        <f>AHM41*PriceEssMonthly*AHA41+AHN41*PricePremMonthly*AHA41</f>
        <v/>
      </c>
      <c r="AHU41" s="12">
        <f>AHK41*PriceEssAnnual*AHA41+AHL41*PricePremAnnual*AHA41</f>
        <v/>
      </c>
      <c r="AHV41" s="12">
        <f>AHK29*POWER(1-(AnnualChurn*VLOOKUP(AGX41,ChurnSeasonTable,4,FALSE)),1)*PriceEssAnnual*AHA41+AHK17*POWER(1-(AnnualChurn*VLOOKUP(AGX41,ChurnSeasonTable,4,FALSE)),2)*PriceEssAnnual*AHA41+AHK5*POWER(1-(AnnualChurn*VLOOKUP(AGX41,ChurnSeasonTable,4,FALSE)),3)*PriceEssAnnual*AHA41+AHL29*POWER(1-(AnnualChurn*VLOOKUP(AGX41,ChurnSeasonTable,4,FALSE)),1)*PricePremAnnual*AHA41+AHL17*POWER(1-(AnnualChurn*VLOOKUP(AGX41,ChurnSeasonTable,4,FALSE)),2)*PricePremAnnual*AHA41+AHL5*POWER(1-(AnnualChurn*VLOOKUP(AGX41,ChurnSeasonTable,4,FALSE)),3)*PricePremAnnual*AHA41</f>
        <v/>
      </c>
      <c r="AHW41" s="9">
        <f>AHT41+AHU41+AHV41</f>
        <v/>
      </c>
      <c r="AHX41" s="12">
        <f>SUM(AHW30:AHW41)</f>
        <v/>
      </c>
      <c r="AHY41" s="12">
        <f>OR(AHY40,AHX41&gt;=VATThreshold)</f>
        <v/>
      </c>
      <c r="AHZ41" s="9">
        <f>IF(AHY41,AHW41/(1+VATRate),AHW41)</f>
        <v/>
      </c>
      <c r="AIA41" s="12">
        <f>AHW41-AHZ41</f>
        <v/>
      </c>
      <c r="AIB41" s="12">
        <f>IF(AHY41=0,0,IF(AGX41=1,SUMPRODUCT(--(($AGY$5:$AGY41=$AGY41-1)*($AGX$5:$AGX41&gt;=10)*($AGX$5:$AGX41&lt;=12)),$AIA$5:$AIA41),IF(AGX41=4,SUMPRODUCT(--(($AGY$5:$AGY41=$AGY41)*($AGX$5:$AGX41&gt;=1)*($AGX$5:$AGX41&lt;=3)),$AIA$5:$AIA41),IF(AGX41=7,SUMPRODUCT(--(($AGY$5:$AGY41=$AGY41)*($AGX$5:$AGX41&gt;=4)*($AGX$5:$AGX41&lt;=6)),$AIA$5:$AIA41),IF(AGX41=10,SUMPRODUCT(--(($AGY$5:$AGY41=$AGY41)*($AGX$5:$AGX41&gt;=7)*($AGX$5:$AGX41&lt;=9)),$AIA$5:$AIA41),0)))))</f>
        <v/>
      </c>
      <c r="AIC41" s="12">
        <f>AIC40+AIA41-AIB41</f>
        <v/>
      </c>
      <c r="AID41" s="12">
        <f>IF(ProviderDelay&gt;=1,AHZ40*ProviderShare,AHZ41*ProviderShare)</f>
        <v/>
      </c>
      <c r="AIE41" s="12">
        <f>AHW41*PaymentFee</f>
        <v/>
      </c>
      <c r="AIF41" s="12">
        <f>AHQ41*OpsAI</f>
        <v/>
      </c>
      <c r="AIG41" s="12">
        <f>MonthlyFixed</f>
        <v/>
      </c>
      <c r="AIH41" s="12">
        <f>AHE41*ReferralReward</f>
        <v/>
      </c>
      <c r="AII41" s="12">
        <f>AHC41</f>
        <v/>
      </c>
      <c r="AIJ41" s="9">
        <f>AHZ41-AID41-AIE41-AIF41-AIG41-AIH41-AII41</f>
        <v/>
      </c>
      <c r="AIK41" s="9">
        <f>AIK40+AHW41-(AID41+AIE41+AIF41+AIG41+AIH41+AII41+AIB41)</f>
        <v/>
      </c>
      <c r="AIL41" s="12">
        <f>IF(AHQ41&gt;0,AHR41/AHQ41,0)</f>
        <v/>
      </c>
      <c r="AIM41" s="11">
        <f>IF(AHQ40&gt;0,MAX(0,(AHQ40+AHF41-AHQ41)/AHQ40),0)</f>
        <v/>
      </c>
      <c r="AIO41" s="12" t="n">
        <v>37</v>
      </c>
      <c r="AIP41" s="12">
        <f>MOD(AIO41-1+LaunchMonth-1,12)+1</f>
        <v/>
      </c>
      <c r="AIQ41" s="12">
        <f>INT((AIO41-1+LaunchMonth-1)/12)+1</f>
        <v/>
      </c>
      <c r="AIR41" s="12">
        <f>VLOOKUP(AIP41,SeasonTable,2,FALSE)</f>
        <v/>
      </c>
      <c r="AIS41" s="12">
        <f>(1+InflationRate)^INT((AIO41-1)/12)</f>
        <v/>
      </c>
      <c r="AIT41" s="11">
        <f>MonthlyChurn*VLOOKUP(AIP41,ChurnSeasonTable,4,FALSE)</f>
        <v/>
      </c>
      <c r="AIU41" s="12">
        <f>MIN(MAX(MktMin19plus,AJO40*MktPct19plus),MAX(0,AKC40-CashBuffer))</f>
        <v/>
      </c>
      <c r="AIV41" s="12">
        <f>IF(AIU41&gt;0,MAX(1,ROUND(AIU41/'Sens - CAC &amp; Marketing'!$A$11*AIR41,0)),0)</f>
        <v/>
      </c>
      <c r="AIW41" s="12">
        <f>IF(AIV41&gt;0,ROUND(AIV41*ReferralMix/(1-ReferralMix),0),0)</f>
        <v/>
      </c>
      <c r="AIX41" s="12">
        <f>AIV41+AIW41</f>
        <v/>
      </c>
      <c r="AIY41" s="12">
        <f>ROUND(AIX41*(1-AnnualMix),0)</f>
        <v/>
      </c>
      <c r="AIZ41" s="12">
        <f>AIX41-AIY41</f>
        <v/>
      </c>
      <c r="AJA41" s="12">
        <f>ROUND(AIY41*EssentialMix,0)</f>
        <v/>
      </c>
      <c r="AJB41" s="12">
        <f>AIY41-AJA41</f>
        <v/>
      </c>
      <c r="AJC41" s="12">
        <f>ROUND(AIZ41*EssentialMix,0)</f>
        <v/>
      </c>
      <c r="AJD41" s="12">
        <f>AIZ41-AJC41</f>
        <v/>
      </c>
      <c r="AJE41" s="12">
        <f>AJA41+AJA40+AJA39+MAX(0,AJE40-AJA40-AJA39)*(1-AIT41)</f>
        <v/>
      </c>
      <c r="AJF41" s="12">
        <f>AJB41+AJB40+AJB39+MAX(0,AJF40-AJB40-AJB39)*(1-AIT41)</f>
        <v/>
      </c>
      <c r="AJG41" s="12">
        <f>AJG40+AJC41-AJC29*(AnnualChurn*VLOOKUP(AIP41,ChurnSeasonTable,4,FALSE))*POWER(1-(AnnualChurn*VLOOKUP(AIP41,ChurnSeasonTable,4,FALSE)),0)+AJC17*(AnnualChurn*VLOOKUP(AIP41,ChurnSeasonTable,4,FALSE))*POWER(1-(AnnualChurn*VLOOKUP(AIP41,ChurnSeasonTable,4,FALSE)),1)+AJC5*(AnnualChurn*VLOOKUP(AIP41,ChurnSeasonTable,4,FALSE))*POWER(1-(AnnualChurn*VLOOKUP(AIP41,ChurnSeasonTable,4,FALSE)),2)</f>
        <v/>
      </c>
      <c r="AJH41" s="12">
        <f>AJH40+AJD41-AJD29*(AnnualChurn*VLOOKUP(AIP41,ChurnSeasonTable,4,FALSE))*POWER(1-(AnnualChurn*VLOOKUP(AIP41,ChurnSeasonTable,4,FALSE)),0)+AJD17*(AnnualChurn*VLOOKUP(AIP41,ChurnSeasonTable,4,FALSE))*POWER(1-(AnnualChurn*VLOOKUP(AIP41,ChurnSeasonTable,4,FALSE)),1)+AJD5*(AnnualChurn*VLOOKUP(AIP41,ChurnSeasonTable,4,FALSE))*POWER(1-(AnnualChurn*VLOOKUP(AIP41,ChurnSeasonTable,4,FALSE)),2)</f>
        <v/>
      </c>
      <c r="AJI41" s="12">
        <f>AJE41+AJF41+AJG41+AJH41</f>
        <v/>
      </c>
      <c r="AJJ41" s="9">
        <f>AJE41*PriceEssMonthly*AIS41+AJF41*PricePremMonthly*AIS41+AJG41*PriceEssAnnual*AIS41/12+AJH41*PricePremAnnual*AIS41/12</f>
        <v/>
      </c>
      <c r="AJK41" s="9">
        <f>AJJ41*12</f>
        <v/>
      </c>
      <c r="AJL41" s="12">
        <f>AJE41*PriceEssMonthly*AIS41+AJF41*PricePremMonthly*AIS41</f>
        <v/>
      </c>
      <c r="AJM41" s="12">
        <f>AJC41*PriceEssAnnual*AIS41+AJD41*PricePremAnnual*AIS41</f>
        <v/>
      </c>
      <c r="AJN41" s="12">
        <f>AJC29*POWER(1-(AnnualChurn*VLOOKUP(AIP41,ChurnSeasonTable,4,FALSE)),1)*PriceEssAnnual*AIS41+AJC17*POWER(1-(AnnualChurn*VLOOKUP(AIP41,ChurnSeasonTable,4,FALSE)),2)*PriceEssAnnual*AIS41+AJC5*POWER(1-(AnnualChurn*VLOOKUP(AIP41,ChurnSeasonTable,4,FALSE)),3)*PriceEssAnnual*AIS41+AJD29*POWER(1-(AnnualChurn*VLOOKUP(AIP41,ChurnSeasonTable,4,FALSE)),1)*PricePremAnnual*AIS41+AJD17*POWER(1-(AnnualChurn*VLOOKUP(AIP41,ChurnSeasonTable,4,FALSE)),2)*PricePremAnnual*AIS41+AJD5*POWER(1-(AnnualChurn*VLOOKUP(AIP41,ChurnSeasonTable,4,FALSE)),3)*PricePremAnnual*AIS41</f>
        <v/>
      </c>
      <c r="AJO41" s="9">
        <f>AJL41+AJM41+AJN41</f>
        <v/>
      </c>
      <c r="AJP41" s="12">
        <f>SUM(AJO30:AJO41)</f>
        <v/>
      </c>
      <c r="AJQ41" s="12">
        <f>OR(AJQ40,AJP41&gt;=VATThreshold)</f>
        <v/>
      </c>
      <c r="AJR41" s="9">
        <f>IF(AJQ41,AJO41/(1+VATRate),AJO41)</f>
        <v/>
      </c>
      <c r="AJS41" s="12">
        <f>AJO41-AJR41</f>
        <v/>
      </c>
      <c r="AJT41" s="12">
        <f>IF(AJQ41=0,0,IF(AIP41=1,SUMPRODUCT(--(($AIQ$5:$AIQ41=$AIQ41-1)*($AIP$5:$AIP41&gt;=10)*($AIP$5:$AIP41&lt;=12)),$AJS$5:$AJS41),IF(AIP41=4,SUMPRODUCT(--(($AIQ$5:$AIQ41=$AIQ41)*($AIP$5:$AIP41&gt;=1)*($AIP$5:$AIP41&lt;=3)),$AJS$5:$AJS41),IF(AIP41=7,SUMPRODUCT(--(($AIQ$5:$AIQ41=$AIQ41)*($AIP$5:$AIP41&gt;=4)*($AIP$5:$AIP41&lt;=6)),$AJS$5:$AJS41),IF(AIP41=10,SUMPRODUCT(--(($AIQ$5:$AIQ41=$AIQ41)*($AIP$5:$AIP41&gt;=7)*($AIP$5:$AIP41&lt;=9)),$AJS$5:$AJS41),0)))))</f>
        <v/>
      </c>
      <c r="AJU41" s="12">
        <f>AJU40+AJS41-AJT41</f>
        <v/>
      </c>
      <c r="AJV41" s="12">
        <f>IF(ProviderDelay&gt;=1,AJR40*ProviderShare,AJR41*ProviderShare)</f>
        <v/>
      </c>
      <c r="AJW41" s="12">
        <f>AJO41*PaymentFee</f>
        <v/>
      </c>
      <c r="AJX41" s="12">
        <f>AJI41*OpsAI</f>
        <v/>
      </c>
      <c r="AJY41" s="12">
        <f>MonthlyFixed</f>
        <v/>
      </c>
      <c r="AJZ41" s="12">
        <f>AIW41*ReferralReward</f>
        <v/>
      </c>
      <c r="AKA41" s="12">
        <f>AIU41</f>
        <v/>
      </c>
      <c r="AKB41" s="9">
        <f>AJR41-AJV41-AJW41-AJX41-AJY41-AJZ41-AKA41</f>
        <v/>
      </c>
      <c r="AKC41" s="9">
        <f>AKC40+AJO41-(AJV41+AJW41+AJX41+AJY41+AJZ41+AKA41+AJT41)</f>
        <v/>
      </c>
      <c r="AKD41" s="12">
        <f>IF(AJI41&gt;0,AJJ41/AJI41,0)</f>
        <v/>
      </c>
      <c r="AKE41" s="11">
        <f>IF(AJI40&gt;0,MAX(0,(AJI40+AIX41-AJI41)/AJI40),0)</f>
        <v/>
      </c>
      <c r="AKG41" s="12" t="n">
        <v>37</v>
      </c>
      <c r="AKH41" s="12">
        <f>MOD(AKG41-1+LaunchMonth-1,12)+1</f>
        <v/>
      </c>
      <c r="AKI41" s="12">
        <f>INT((AKG41-1+LaunchMonth-1)/12)+1</f>
        <v/>
      </c>
      <c r="AKJ41" s="12">
        <f>VLOOKUP(AKH41,SeasonTable,2,FALSE)</f>
        <v/>
      </c>
      <c r="AKK41" s="12">
        <f>(1+InflationRate)^INT((AKG41-1)/12)</f>
        <v/>
      </c>
      <c r="AKL41" s="11">
        <f>MonthlyChurn*VLOOKUP(AKH41,ChurnSeasonTable,4,FALSE)</f>
        <v/>
      </c>
      <c r="AKM41" s="12">
        <f>MIN(MAX(MktMin19plus,ALG40*MktPct19plus),MAX(0,ALU40-CashBuffer))</f>
        <v/>
      </c>
      <c r="AKN41" s="12">
        <f>IF(AKM41&gt;0,MAX(1,ROUND(AKM41/'Sens - CAC &amp; Marketing'!$A$12*AKJ41,0)),0)</f>
        <v/>
      </c>
      <c r="AKO41" s="12">
        <f>IF(AKN41&gt;0,ROUND(AKN41*ReferralMix/(1-ReferralMix),0),0)</f>
        <v/>
      </c>
      <c r="AKP41" s="12">
        <f>AKN41+AKO41</f>
        <v/>
      </c>
      <c r="AKQ41" s="12">
        <f>ROUND(AKP41*(1-AnnualMix),0)</f>
        <v/>
      </c>
      <c r="AKR41" s="12">
        <f>AKP41-AKQ41</f>
        <v/>
      </c>
      <c r="AKS41" s="12">
        <f>ROUND(AKQ41*EssentialMix,0)</f>
        <v/>
      </c>
      <c r="AKT41" s="12">
        <f>AKQ41-AKS41</f>
        <v/>
      </c>
      <c r="AKU41" s="12">
        <f>ROUND(AKR41*EssentialMix,0)</f>
        <v/>
      </c>
      <c r="AKV41" s="12">
        <f>AKR41-AKU41</f>
        <v/>
      </c>
      <c r="AKW41" s="12">
        <f>AKS41+AKS40+AKS39+MAX(0,AKW40-AKS40-AKS39)*(1-AKL41)</f>
        <v/>
      </c>
      <c r="AKX41" s="12">
        <f>AKT41+AKT40+AKT39+MAX(0,AKX40-AKT40-AKT39)*(1-AKL41)</f>
        <v/>
      </c>
      <c r="AKY41" s="12">
        <f>AKY40+AKU41-AKU29*(AnnualChurn*VLOOKUP(AKH41,ChurnSeasonTable,4,FALSE))*POWER(1-(AnnualChurn*VLOOKUP(AKH41,ChurnSeasonTable,4,FALSE)),0)+AKU17*(AnnualChurn*VLOOKUP(AKH41,ChurnSeasonTable,4,FALSE))*POWER(1-(AnnualChurn*VLOOKUP(AKH41,ChurnSeasonTable,4,FALSE)),1)+AKU5*(AnnualChurn*VLOOKUP(AKH41,ChurnSeasonTable,4,FALSE))*POWER(1-(AnnualChurn*VLOOKUP(AKH41,ChurnSeasonTable,4,FALSE)),2)</f>
        <v/>
      </c>
      <c r="AKZ41" s="12">
        <f>AKZ40+AKV41-AKV29*(AnnualChurn*VLOOKUP(AKH41,ChurnSeasonTable,4,FALSE))*POWER(1-(AnnualChurn*VLOOKUP(AKH41,ChurnSeasonTable,4,FALSE)),0)+AKV17*(AnnualChurn*VLOOKUP(AKH41,ChurnSeasonTable,4,FALSE))*POWER(1-(AnnualChurn*VLOOKUP(AKH41,ChurnSeasonTable,4,FALSE)),1)+AKV5*(AnnualChurn*VLOOKUP(AKH41,ChurnSeasonTable,4,FALSE))*POWER(1-(AnnualChurn*VLOOKUP(AKH41,ChurnSeasonTable,4,FALSE)),2)</f>
        <v/>
      </c>
      <c r="ALA41" s="12">
        <f>AKW41+AKX41+AKY41+AKZ41</f>
        <v/>
      </c>
      <c r="ALB41" s="9">
        <f>AKW41*PriceEssMonthly*AKK41+AKX41*PricePremMonthly*AKK41+AKY41*PriceEssAnnual*AKK41/12+AKZ41*PricePremAnnual*AKK41/12</f>
        <v/>
      </c>
      <c r="ALC41" s="9">
        <f>ALB41*12</f>
        <v/>
      </c>
      <c r="ALD41" s="12">
        <f>AKW41*PriceEssMonthly*AKK41+AKX41*PricePremMonthly*AKK41</f>
        <v/>
      </c>
      <c r="ALE41" s="12">
        <f>AKU41*PriceEssAnnual*AKK41+AKV41*PricePremAnnual*AKK41</f>
        <v/>
      </c>
      <c r="ALF41" s="12">
        <f>AKU29*POWER(1-(AnnualChurn*VLOOKUP(AKH41,ChurnSeasonTable,4,FALSE)),1)*PriceEssAnnual*AKK41+AKU17*POWER(1-(AnnualChurn*VLOOKUP(AKH41,ChurnSeasonTable,4,FALSE)),2)*PriceEssAnnual*AKK41+AKU5*POWER(1-(AnnualChurn*VLOOKUP(AKH41,ChurnSeasonTable,4,FALSE)),3)*PriceEssAnnual*AKK41+AKV29*POWER(1-(AnnualChurn*VLOOKUP(AKH41,ChurnSeasonTable,4,FALSE)),1)*PricePremAnnual*AKK41+AKV17*POWER(1-(AnnualChurn*VLOOKUP(AKH41,ChurnSeasonTable,4,FALSE)),2)*PricePremAnnual*AKK41+AKV5*POWER(1-(AnnualChurn*VLOOKUP(AKH41,ChurnSeasonTable,4,FALSE)),3)*PricePremAnnual*AKK41</f>
        <v/>
      </c>
      <c r="ALG41" s="9">
        <f>ALD41+ALE41+ALF41</f>
        <v/>
      </c>
      <c r="ALH41" s="12">
        <f>SUM(ALG30:ALG41)</f>
        <v/>
      </c>
      <c r="ALI41" s="12">
        <f>OR(ALI40,ALH41&gt;=VATThreshold)</f>
        <v/>
      </c>
      <c r="ALJ41" s="9">
        <f>IF(ALI41,ALG41/(1+VATRate),ALG41)</f>
        <v/>
      </c>
      <c r="ALK41" s="12">
        <f>ALG41-ALJ41</f>
        <v/>
      </c>
      <c r="ALL41" s="12">
        <f>IF(ALI41=0,0,IF(AKH41=1,SUMPRODUCT(--(($AKI$5:$AKI41=$AKI41-1)*($AKH$5:$AKH41&gt;=10)*($AKH$5:$AKH41&lt;=12)),$ALK$5:$ALK41),IF(AKH41=4,SUMPRODUCT(--(($AKI$5:$AKI41=$AKI41)*($AKH$5:$AKH41&gt;=1)*($AKH$5:$AKH41&lt;=3)),$ALK$5:$ALK41),IF(AKH41=7,SUMPRODUCT(--(($AKI$5:$AKI41=$AKI41)*($AKH$5:$AKH41&gt;=4)*($AKH$5:$AKH41&lt;=6)),$ALK$5:$ALK41),IF(AKH41=10,SUMPRODUCT(--(($AKI$5:$AKI41=$AKI41)*($AKH$5:$AKH41&gt;=7)*($AKH$5:$AKH41&lt;=9)),$ALK$5:$ALK41),0)))))</f>
        <v/>
      </c>
      <c r="ALM41" s="12">
        <f>ALM40+ALK41-ALL41</f>
        <v/>
      </c>
      <c r="ALN41" s="12">
        <f>IF(ProviderDelay&gt;=1,ALJ40*ProviderShare,ALJ41*ProviderShare)</f>
        <v/>
      </c>
      <c r="ALO41" s="12">
        <f>ALG41*PaymentFee</f>
        <v/>
      </c>
      <c r="ALP41" s="12">
        <f>ALA41*OpsAI</f>
        <v/>
      </c>
      <c r="ALQ41" s="12">
        <f>MonthlyFixed</f>
        <v/>
      </c>
      <c r="ALR41" s="12">
        <f>AKO41*ReferralReward</f>
        <v/>
      </c>
      <c r="ALS41" s="12">
        <f>AKM41</f>
        <v/>
      </c>
      <c r="ALT41" s="9">
        <f>ALJ41-ALN41-ALO41-ALP41-ALQ41-ALR41-ALS41</f>
        <v/>
      </c>
      <c r="ALU41" s="9">
        <f>ALU40+ALG41-(ALN41+ALO41+ALP41+ALQ41+ALR41+ALS41+ALL41)</f>
        <v/>
      </c>
      <c r="ALV41" s="12">
        <f>IF(ALA41&gt;0,ALB41/ALA41,0)</f>
        <v/>
      </c>
      <c r="ALW41" s="11">
        <f>IF(ALA40&gt;0,MAX(0,(ALA40+AKP41-ALA41)/ALA40),0)</f>
        <v/>
      </c>
      <c r="ALY41" s="12" t="n">
        <v>37</v>
      </c>
      <c r="ALZ41" s="12">
        <f>MOD(ALY41-1+LaunchMonth-1,12)+1</f>
        <v/>
      </c>
      <c r="AMA41" s="12">
        <f>INT((ALY41-1+LaunchMonth-1)/12)+1</f>
        <v/>
      </c>
      <c r="AMB41" s="12">
        <f>VLOOKUP(ALZ41,SeasonTable,2,FALSE)</f>
        <v/>
      </c>
      <c r="AMC41" s="12">
        <f>(1+InflationRate)^INT((ALY41-1)/12)</f>
        <v/>
      </c>
      <c r="AMD41" s="11">
        <f>MonthlyChurn*VLOOKUP(ALZ41,ChurnSeasonTable,4,FALSE)</f>
        <v/>
      </c>
      <c r="AME41" s="12">
        <f>MIN(MAX(MktMin19plus,AMY40*MktPct19plus),MAX(0,ANM40-CashBuffer))</f>
        <v/>
      </c>
      <c r="AMF41" s="12">
        <f>IF(AME41&gt;0,MAX(1,ROUND(AME41/'Sens - CAC &amp; Marketing'!$A$13*AMB41,0)),0)</f>
        <v/>
      </c>
      <c r="AMG41" s="12">
        <f>IF(AMF41&gt;0,ROUND(AMF41*ReferralMix/(1-ReferralMix),0),0)</f>
        <v/>
      </c>
      <c r="AMH41" s="12">
        <f>AMF41+AMG41</f>
        <v/>
      </c>
      <c r="AMI41" s="12">
        <f>ROUND(AMH41*(1-AnnualMix),0)</f>
        <v/>
      </c>
      <c r="AMJ41" s="12">
        <f>AMH41-AMI41</f>
        <v/>
      </c>
      <c r="AMK41" s="12">
        <f>ROUND(AMI41*EssentialMix,0)</f>
        <v/>
      </c>
      <c r="AML41" s="12">
        <f>AMI41-AMK41</f>
        <v/>
      </c>
      <c r="AMM41" s="12">
        <f>ROUND(AMJ41*EssentialMix,0)</f>
        <v/>
      </c>
      <c r="AMN41" s="12">
        <f>AMJ41-AMM41</f>
        <v/>
      </c>
      <c r="AMO41" s="12">
        <f>AMK41+AMK40+AMK39+MAX(0,AMO40-AMK40-AMK39)*(1-AMD41)</f>
        <v/>
      </c>
      <c r="AMP41" s="12">
        <f>AML41+AML40+AML39+MAX(0,AMP40-AML40-AML39)*(1-AMD41)</f>
        <v/>
      </c>
      <c r="AMQ41" s="12">
        <f>AMQ40+AMM41-AMM29*(AnnualChurn*VLOOKUP(ALZ41,ChurnSeasonTable,4,FALSE))*POWER(1-(AnnualChurn*VLOOKUP(ALZ41,ChurnSeasonTable,4,FALSE)),0)+AMM17*(AnnualChurn*VLOOKUP(ALZ41,ChurnSeasonTable,4,FALSE))*POWER(1-(AnnualChurn*VLOOKUP(ALZ41,ChurnSeasonTable,4,FALSE)),1)+AMM5*(AnnualChurn*VLOOKUP(ALZ41,ChurnSeasonTable,4,FALSE))*POWER(1-(AnnualChurn*VLOOKUP(ALZ41,ChurnSeasonTable,4,FALSE)),2)</f>
        <v/>
      </c>
      <c r="AMR41" s="12">
        <f>AMR40+AMN41-AMN29*(AnnualChurn*VLOOKUP(ALZ41,ChurnSeasonTable,4,FALSE))*POWER(1-(AnnualChurn*VLOOKUP(ALZ41,ChurnSeasonTable,4,FALSE)),0)+AMN17*(AnnualChurn*VLOOKUP(ALZ41,ChurnSeasonTable,4,FALSE))*POWER(1-(AnnualChurn*VLOOKUP(ALZ41,ChurnSeasonTable,4,FALSE)),1)+AMN5*(AnnualChurn*VLOOKUP(ALZ41,ChurnSeasonTable,4,FALSE))*POWER(1-(AnnualChurn*VLOOKUP(ALZ41,ChurnSeasonTable,4,FALSE)),2)</f>
        <v/>
      </c>
      <c r="AMS41" s="12">
        <f>AMO41+AMP41+AMQ41+AMR41</f>
        <v/>
      </c>
      <c r="AMT41" s="9">
        <f>AMO41*PriceEssMonthly*AMC41+AMP41*PricePremMonthly*AMC41+AMQ41*PriceEssAnnual*AMC41/12+AMR41*PricePremAnnual*AMC41/12</f>
        <v/>
      </c>
      <c r="AMU41" s="9">
        <f>AMT41*12</f>
        <v/>
      </c>
      <c r="AMV41" s="12">
        <f>AMO41*PriceEssMonthly*AMC41+AMP41*PricePremMonthly*AMC41</f>
        <v/>
      </c>
      <c r="AMW41" s="12">
        <f>AMM41*PriceEssAnnual*AMC41+AMN41*PricePremAnnual*AMC41</f>
        <v/>
      </c>
      <c r="AMX41" s="12">
        <f>AMM29*POWER(1-(AnnualChurn*VLOOKUP(ALZ41,ChurnSeasonTable,4,FALSE)),1)*PriceEssAnnual*AMC41+AMM17*POWER(1-(AnnualChurn*VLOOKUP(ALZ41,ChurnSeasonTable,4,FALSE)),2)*PriceEssAnnual*AMC41+AMM5*POWER(1-(AnnualChurn*VLOOKUP(ALZ41,ChurnSeasonTable,4,FALSE)),3)*PriceEssAnnual*AMC41+AMN29*POWER(1-(AnnualChurn*VLOOKUP(ALZ41,ChurnSeasonTable,4,FALSE)),1)*PricePremAnnual*AMC41+AMN17*POWER(1-(AnnualChurn*VLOOKUP(ALZ41,ChurnSeasonTable,4,FALSE)),2)*PricePremAnnual*AMC41+AMN5*POWER(1-(AnnualChurn*VLOOKUP(ALZ41,ChurnSeasonTable,4,FALSE)),3)*PricePremAnnual*AMC41</f>
        <v/>
      </c>
      <c r="AMY41" s="9">
        <f>AMV41+AMW41+AMX41</f>
        <v/>
      </c>
      <c r="AMZ41" s="12">
        <f>SUM(AMY30:AMY41)</f>
        <v/>
      </c>
      <c r="ANA41" s="12">
        <f>OR(ANA40,AMZ41&gt;=VATThreshold)</f>
        <v/>
      </c>
      <c r="ANB41" s="9">
        <f>IF(ANA41,AMY41/(1+VATRate),AMY41)</f>
        <v/>
      </c>
      <c r="ANC41" s="12">
        <f>AMY41-ANB41</f>
        <v/>
      </c>
      <c r="AND41" s="12">
        <f>IF(ANA41=0,0,IF(ALZ41=1,SUMPRODUCT(--(($AMA$5:$AMA41=$AMA41-1)*($ALZ$5:$ALZ41&gt;=10)*($ALZ$5:$ALZ41&lt;=12)),$ANC$5:$ANC41),IF(ALZ41=4,SUMPRODUCT(--(($AMA$5:$AMA41=$AMA41)*($ALZ$5:$ALZ41&gt;=1)*($ALZ$5:$ALZ41&lt;=3)),$ANC$5:$ANC41),IF(ALZ41=7,SUMPRODUCT(--(($AMA$5:$AMA41=$AMA41)*($ALZ$5:$ALZ41&gt;=4)*($ALZ$5:$ALZ41&lt;=6)),$ANC$5:$ANC41),IF(ALZ41=10,SUMPRODUCT(--(($AMA$5:$AMA41=$AMA41)*($ALZ$5:$ALZ41&gt;=7)*($ALZ$5:$ALZ41&lt;=9)),$ANC$5:$ANC41),0)))))</f>
        <v/>
      </c>
      <c r="ANE41" s="12">
        <f>ANE40+ANC41-AND41</f>
        <v/>
      </c>
      <c r="ANF41" s="12">
        <f>IF(ProviderDelay&gt;=1,ANB40*ProviderShare,ANB41*ProviderShare)</f>
        <v/>
      </c>
      <c r="ANG41" s="12">
        <f>AMY41*PaymentFee</f>
        <v/>
      </c>
      <c r="ANH41" s="12">
        <f>AMS41*OpsAI</f>
        <v/>
      </c>
      <c r="ANI41" s="12">
        <f>MonthlyFixed</f>
        <v/>
      </c>
      <c r="ANJ41" s="12">
        <f>AMG41*ReferralReward</f>
        <v/>
      </c>
      <c r="ANK41" s="12">
        <f>AME41</f>
        <v/>
      </c>
      <c r="ANL41" s="9">
        <f>ANB41-ANF41-ANG41-ANH41-ANI41-ANJ41-ANK41</f>
        <v/>
      </c>
      <c r="ANM41" s="9">
        <f>ANM40+AMY41-(ANF41+ANG41+ANH41+ANI41+ANJ41+ANK41+AND41)</f>
        <v/>
      </c>
      <c r="ANN41" s="12">
        <f>IF(AMS41&gt;0,AMT41/AMS41,0)</f>
        <v/>
      </c>
      <c r="ANO41" s="11">
        <f>IF(AMS40&gt;0,MAX(0,(AMS40+AMH41-AMS41)/AMS40),0)</f>
        <v/>
      </c>
      <c r="ANQ41" s="12" t="n">
        <v>37</v>
      </c>
      <c r="ANR41" s="12">
        <f>MOD(ANQ41-1+LaunchMonth-1,12)+1</f>
        <v/>
      </c>
      <c r="ANS41" s="12">
        <f>INT((ANQ41-1+LaunchMonth-1)/12)+1</f>
        <v/>
      </c>
      <c r="ANT41" s="12">
        <f>VLOOKUP(ANR41,SeasonTable,2,FALSE)</f>
        <v/>
      </c>
      <c r="ANU41" s="12">
        <f>(1+InflationRate)^INT((ANQ41-1)/12)</f>
        <v/>
      </c>
      <c r="ANV41" s="11">
        <f>MonthlyChurn*VLOOKUP(ANR41,ChurnSeasonTable,4,FALSE)</f>
        <v/>
      </c>
      <c r="ANW41" s="12">
        <f>MIN(MAX(MktMin19plus,AOQ40*MktPct19plus),MAX(0,APE40-CashBuffer))</f>
        <v/>
      </c>
      <c r="ANX41" s="12">
        <f>IF(ANW41&gt;0,MAX(1,ROUND(ANW41/'Sens - CAC &amp; Marketing'!$A$14*ANT41,0)),0)</f>
        <v/>
      </c>
      <c r="ANY41" s="12">
        <f>IF(ANX41&gt;0,ROUND(ANX41*ReferralMix/(1-ReferralMix),0),0)</f>
        <v/>
      </c>
      <c r="ANZ41" s="12">
        <f>ANX41+ANY41</f>
        <v/>
      </c>
      <c r="AOA41" s="12">
        <f>ROUND(ANZ41*(1-AnnualMix),0)</f>
        <v/>
      </c>
      <c r="AOB41" s="12">
        <f>ANZ41-AOA41</f>
        <v/>
      </c>
      <c r="AOC41" s="12">
        <f>ROUND(AOA41*EssentialMix,0)</f>
        <v/>
      </c>
      <c r="AOD41" s="12">
        <f>AOA41-AOC41</f>
        <v/>
      </c>
      <c r="AOE41" s="12">
        <f>ROUND(AOB41*EssentialMix,0)</f>
        <v/>
      </c>
      <c r="AOF41" s="12">
        <f>AOB41-AOE41</f>
        <v/>
      </c>
      <c r="AOG41" s="12">
        <f>AOC41+AOC40+AOC39+MAX(0,AOG40-AOC40-AOC39)*(1-ANV41)</f>
        <v/>
      </c>
      <c r="AOH41" s="12">
        <f>AOD41+AOD40+AOD39+MAX(0,AOH40-AOD40-AOD39)*(1-ANV41)</f>
        <v/>
      </c>
      <c r="AOI41" s="12">
        <f>AOI40+AOE41-AOE29*(AnnualChurn*VLOOKUP(ANR41,ChurnSeasonTable,4,FALSE))*POWER(1-(AnnualChurn*VLOOKUP(ANR41,ChurnSeasonTable,4,FALSE)),0)+AOE17*(AnnualChurn*VLOOKUP(ANR41,ChurnSeasonTable,4,FALSE))*POWER(1-(AnnualChurn*VLOOKUP(ANR41,ChurnSeasonTable,4,FALSE)),1)+AOE5*(AnnualChurn*VLOOKUP(ANR41,ChurnSeasonTable,4,FALSE))*POWER(1-(AnnualChurn*VLOOKUP(ANR41,ChurnSeasonTable,4,FALSE)),2)</f>
        <v/>
      </c>
      <c r="AOJ41" s="12">
        <f>AOJ40+AOF41-AOF29*(AnnualChurn*VLOOKUP(ANR41,ChurnSeasonTable,4,FALSE))*POWER(1-(AnnualChurn*VLOOKUP(ANR41,ChurnSeasonTable,4,FALSE)),0)+AOF17*(AnnualChurn*VLOOKUP(ANR41,ChurnSeasonTable,4,FALSE))*POWER(1-(AnnualChurn*VLOOKUP(ANR41,ChurnSeasonTable,4,FALSE)),1)+AOF5*(AnnualChurn*VLOOKUP(ANR41,ChurnSeasonTable,4,FALSE))*POWER(1-(AnnualChurn*VLOOKUP(ANR41,ChurnSeasonTable,4,FALSE)),2)</f>
        <v/>
      </c>
      <c r="AOK41" s="12">
        <f>AOG41+AOH41+AOI41+AOJ41</f>
        <v/>
      </c>
      <c r="AOL41" s="9">
        <f>AOG41*PriceEssMonthly*ANU41+AOH41*PricePremMonthly*ANU41+AOI41*PriceEssAnnual*ANU41/12+AOJ41*PricePremAnnual*ANU41/12</f>
        <v/>
      </c>
      <c r="AOM41" s="9">
        <f>AOL41*12</f>
        <v/>
      </c>
      <c r="AON41" s="12">
        <f>AOG41*PriceEssMonthly*ANU41+AOH41*PricePremMonthly*ANU41</f>
        <v/>
      </c>
      <c r="AOO41" s="12">
        <f>AOE41*PriceEssAnnual*ANU41+AOF41*PricePremAnnual*ANU41</f>
        <v/>
      </c>
      <c r="AOP41" s="12">
        <f>AOE29*POWER(1-(AnnualChurn*VLOOKUP(ANR41,ChurnSeasonTable,4,FALSE)),1)*PriceEssAnnual*ANU41+AOE17*POWER(1-(AnnualChurn*VLOOKUP(ANR41,ChurnSeasonTable,4,FALSE)),2)*PriceEssAnnual*ANU41+AOE5*POWER(1-(AnnualChurn*VLOOKUP(ANR41,ChurnSeasonTable,4,FALSE)),3)*PriceEssAnnual*ANU41+AOF29*POWER(1-(AnnualChurn*VLOOKUP(ANR41,ChurnSeasonTable,4,FALSE)),1)*PricePremAnnual*ANU41+AOF17*POWER(1-(AnnualChurn*VLOOKUP(ANR41,ChurnSeasonTable,4,FALSE)),2)*PricePremAnnual*ANU41+AOF5*POWER(1-(AnnualChurn*VLOOKUP(ANR41,ChurnSeasonTable,4,FALSE)),3)*PricePremAnnual*ANU41</f>
        <v/>
      </c>
      <c r="AOQ41" s="9">
        <f>AON41+AOO41+AOP41</f>
        <v/>
      </c>
      <c r="AOR41" s="12">
        <f>SUM(AOQ30:AOQ41)</f>
        <v/>
      </c>
      <c r="AOS41" s="12">
        <f>OR(AOS40,AOR41&gt;=VATThreshold)</f>
        <v/>
      </c>
      <c r="AOT41" s="9">
        <f>IF(AOS41,AOQ41/(1+VATRate),AOQ41)</f>
        <v/>
      </c>
      <c r="AOU41" s="12">
        <f>AOQ41-AOT41</f>
        <v/>
      </c>
      <c r="AOV41" s="12">
        <f>IF(AOS41=0,0,IF(ANR41=1,SUMPRODUCT(--(($ANS$5:$ANS41=$ANS41-1)*($ANR$5:$ANR41&gt;=10)*($ANR$5:$ANR41&lt;=12)),$AOU$5:$AOU41),IF(ANR41=4,SUMPRODUCT(--(($ANS$5:$ANS41=$ANS41)*($ANR$5:$ANR41&gt;=1)*($ANR$5:$ANR41&lt;=3)),$AOU$5:$AOU41),IF(ANR41=7,SUMPRODUCT(--(($ANS$5:$ANS41=$ANS41)*($ANR$5:$ANR41&gt;=4)*($ANR$5:$ANR41&lt;=6)),$AOU$5:$AOU41),IF(ANR41=10,SUMPRODUCT(--(($ANS$5:$ANS41=$ANS41)*($ANR$5:$ANR41&gt;=7)*($ANR$5:$ANR41&lt;=9)),$AOU$5:$AOU41),0)))))</f>
        <v/>
      </c>
      <c r="AOW41" s="12">
        <f>AOW40+AOU41-AOV41</f>
        <v/>
      </c>
      <c r="AOX41" s="12">
        <f>IF(ProviderDelay&gt;=1,AOT40*ProviderShare,AOT41*ProviderShare)</f>
        <v/>
      </c>
      <c r="AOY41" s="12">
        <f>AOQ41*PaymentFee</f>
        <v/>
      </c>
      <c r="AOZ41" s="12">
        <f>AOK41*OpsAI</f>
        <v/>
      </c>
      <c r="APA41" s="12">
        <f>MonthlyFixed</f>
        <v/>
      </c>
      <c r="APB41" s="12">
        <f>ANY41*ReferralReward</f>
        <v/>
      </c>
      <c r="APC41" s="12">
        <f>ANW41</f>
        <v/>
      </c>
      <c r="APD41" s="9">
        <f>AOT41-AOX41-AOY41-AOZ41-APA41-APB41-APC41</f>
        <v/>
      </c>
      <c r="APE41" s="9">
        <f>APE40+AOQ41-(AOX41+AOY41+AOZ41+APA41+APB41+APC41+AOV41)</f>
        <v/>
      </c>
      <c r="APF41" s="12">
        <f>IF(AOK41&gt;0,AOL41/AOK41,0)</f>
        <v/>
      </c>
      <c r="APG41" s="11">
        <f>IF(AOK40&gt;0,MAX(0,(AOK40+ANZ41-AOK41)/AOK40),0)</f>
        <v/>
      </c>
      <c r="API41" s="12" t="n">
        <v>37</v>
      </c>
      <c r="APJ41" s="12">
        <f>MOD(API41-1+LaunchMonth-1,12)+1</f>
        <v/>
      </c>
      <c r="APK41" s="12">
        <f>INT((API41-1+LaunchMonth-1)/12)+1</f>
        <v/>
      </c>
      <c r="APL41" s="12">
        <f>VLOOKUP(APJ41,SeasonTable,2,FALSE)</f>
        <v/>
      </c>
      <c r="APM41" s="12">
        <f>(1+InflationRate)^INT((API41-1)/12)</f>
        <v/>
      </c>
      <c r="APN41" s="11">
        <f>MonthlyChurn*VLOOKUP(APJ41,ChurnSeasonTable,4,FALSE)</f>
        <v/>
      </c>
      <c r="APO41" s="12">
        <f>MIN(MAX(MktMin19plus,AQI40*MktPct19plus),MAX(0,AQW40-CashBuffer))</f>
        <v/>
      </c>
      <c r="APP41" s="12">
        <f>IF(APO41&gt;0,MAX(1,ROUND(APO41/'Sens - CAC &amp; Marketing'!$A$15*APL41,0)),0)</f>
        <v/>
      </c>
      <c r="APQ41" s="12">
        <f>IF(APP41&gt;0,ROUND(APP41*ReferralMix/(1-ReferralMix),0),0)</f>
        <v/>
      </c>
      <c r="APR41" s="12">
        <f>APP41+APQ41</f>
        <v/>
      </c>
      <c r="APS41" s="12">
        <f>ROUND(APR41*(1-AnnualMix),0)</f>
        <v/>
      </c>
      <c r="APT41" s="12">
        <f>APR41-APS41</f>
        <v/>
      </c>
      <c r="APU41" s="12">
        <f>ROUND(APS41*EssentialMix,0)</f>
        <v/>
      </c>
      <c r="APV41" s="12">
        <f>APS41-APU41</f>
        <v/>
      </c>
      <c r="APW41" s="12">
        <f>ROUND(APT41*EssentialMix,0)</f>
        <v/>
      </c>
      <c r="APX41" s="12">
        <f>APT41-APW41</f>
        <v/>
      </c>
      <c r="APY41" s="12">
        <f>APU41+APU40+APU39+MAX(0,APY40-APU40-APU39)*(1-APN41)</f>
        <v/>
      </c>
      <c r="APZ41" s="12">
        <f>APV41+APV40+APV39+MAX(0,APZ40-APV40-APV39)*(1-APN41)</f>
        <v/>
      </c>
      <c r="AQA41" s="12">
        <f>AQA40+APW41-APW29*(AnnualChurn*VLOOKUP(APJ41,ChurnSeasonTable,4,FALSE))*POWER(1-(AnnualChurn*VLOOKUP(APJ41,ChurnSeasonTable,4,FALSE)),0)+APW17*(AnnualChurn*VLOOKUP(APJ41,ChurnSeasonTable,4,FALSE))*POWER(1-(AnnualChurn*VLOOKUP(APJ41,ChurnSeasonTable,4,FALSE)),1)+APW5*(AnnualChurn*VLOOKUP(APJ41,ChurnSeasonTable,4,FALSE))*POWER(1-(AnnualChurn*VLOOKUP(APJ41,ChurnSeasonTable,4,FALSE)),2)</f>
        <v/>
      </c>
      <c r="AQB41" s="12">
        <f>AQB40+APX41-APX29*(AnnualChurn*VLOOKUP(APJ41,ChurnSeasonTable,4,FALSE))*POWER(1-(AnnualChurn*VLOOKUP(APJ41,ChurnSeasonTable,4,FALSE)),0)+APX17*(AnnualChurn*VLOOKUP(APJ41,ChurnSeasonTable,4,FALSE))*POWER(1-(AnnualChurn*VLOOKUP(APJ41,ChurnSeasonTable,4,FALSE)),1)+APX5*(AnnualChurn*VLOOKUP(APJ41,ChurnSeasonTable,4,FALSE))*POWER(1-(AnnualChurn*VLOOKUP(APJ41,ChurnSeasonTable,4,FALSE)),2)</f>
        <v/>
      </c>
      <c r="AQC41" s="12">
        <f>APY41+APZ41+AQA41+AQB41</f>
        <v/>
      </c>
      <c r="AQD41" s="9">
        <f>APY41*PriceEssMonthly*APM41+APZ41*PricePremMonthly*APM41+AQA41*PriceEssAnnual*APM41/12+AQB41*PricePremAnnual*APM41/12</f>
        <v/>
      </c>
      <c r="AQE41" s="9">
        <f>AQD41*12</f>
        <v/>
      </c>
      <c r="AQF41" s="12">
        <f>APY41*PriceEssMonthly*APM41+APZ41*PricePremMonthly*APM41</f>
        <v/>
      </c>
      <c r="AQG41" s="12">
        <f>APW41*PriceEssAnnual*APM41+APX41*PricePremAnnual*APM41</f>
        <v/>
      </c>
      <c r="AQH41" s="12">
        <f>APW29*POWER(1-(AnnualChurn*VLOOKUP(APJ41,ChurnSeasonTable,4,FALSE)),1)*PriceEssAnnual*APM41+APW17*POWER(1-(AnnualChurn*VLOOKUP(APJ41,ChurnSeasonTable,4,FALSE)),2)*PriceEssAnnual*APM41+APW5*POWER(1-(AnnualChurn*VLOOKUP(APJ41,ChurnSeasonTable,4,FALSE)),3)*PriceEssAnnual*APM41+APX29*POWER(1-(AnnualChurn*VLOOKUP(APJ41,ChurnSeasonTable,4,FALSE)),1)*PricePremAnnual*APM41+APX17*POWER(1-(AnnualChurn*VLOOKUP(APJ41,ChurnSeasonTable,4,FALSE)),2)*PricePremAnnual*APM41+APX5*POWER(1-(AnnualChurn*VLOOKUP(APJ41,ChurnSeasonTable,4,FALSE)),3)*PricePremAnnual*APM41</f>
        <v/>
      </c>
      <c r="AQI41" s="9">
        <f>AQF41+AQG41+AQH41</f>
        <v/>
      </c>
      <c r="AQJ41" s="12">
        <f>SUM(AQI30:AQI41)</f>
        <v/>
      </c>
      <c r="AQK41" s="12">
        <f>OR(AQK40,AQJ41&gt;=VATThreshold)</f>
        <v/>
      </c>
      <c r="AQL41" s="9">
        <f>IF(AQK41,AQI41/(1+VATRate),AQI41)</f>
        <v/>
      </c>
      <c r="AQM41" s="12">
        <f>AQI41-AQL41</f>
        <v/>
      </c>
      <c r="AQN41" s="12">
        <f>IF(AQK41=0,0,IF(APJ41=1,SUMPRODUCT(--(($APK$5:$APK41=$APK41-1)*($APJ$5:$APJ41&gt;=10)*($APJ$5:$APJ41&lt;=12)),$AQM$5:$AQM41),IF(APJ41=4,SUMPRODUCT(--(($APK$5:$APK41=$APK41)*($APJ$5:$APJ41&gt;=1)*($APJ$5:$APJ41&lt;=3)),$AQM$5:$AQM41),IF(APJ41=7,SUMPRODUCT(--(($APK$5:$APK41=$APK41)*($APJ$5:$APJ41&gt;=4)*($APJ$5:$APJ41&lt;=6)),$AQM$5:$AQM41),IF(APJ41=10,SUMPRODUCT(--(($APK$5:$APK41=$APK41)*($APJ$5:$APJ41&gt;=7)*($APJ$5:$APJ41&lt;=9)),$AQM$5:$AQM41),0)))))</f>
        <v/>
      </c>
      <c r="AQO41" s="12">
        <f>AQO40+AQM41-AQN41</f>
        <v/>
      </c>
      <c r="AQP41" s="12">
        <f>IF(ProviderDelay&gt;=1,AQL40*ProviderShare,AQL41*ProviderShare)</f>
        <v/>
      </c>
      <c r="AQQ41" s="12">
        <f>AQI41*PaymentFee</f>
        <v/>
      </c>
      <c r="AQR41" s="12">
        <f>AQC41*OpsAI</f>
        <v/>
      </c>
      <c r="AQS41" s="12">
        <f>MonthlyFixed</f>
        <v/>
      </c>
      <c r="AQT41" s="12">
        <f>APQ41*ReferralReward</f>
        <v/>
      </c>
      <c r="AQU41" s="12">
        <f>APO41</f>
        <v/>
      </c>
      <c r="AQV41" s="9">
        <f>AQL41-AQP41-AQQ41-AQR41-AQS41-AQT41-AQU41</f>
        <v/>
      </c>
      <c r="AQW41" s="9">
        <f>AQW40+AQI41-(AQP41+AQQ41+AQR41+AQS41+AQT41+AQU41+AQN41)</f>
        <v/>
      </c>
      <c r="AQX41" s="12">
        <f>IF(AQC41&gt;0,AQD41/AQC41,0)</f>
        <v/>
      </c>
      <c r="AQY41" s="11">
        <f>IF(AQC40&gt;0,MAX(0,(AQC40+APR41-AQC41)/AQC40),0)</f>
        <v/>
      </c>
      <c r="ARA41" s="12" t="n">
        <v>37</v>
      </c>
      <c r="ARB41" s="12">
        <f>MOD(ARA41-1+LaunchMonth-1,12)+1</f>
        <v/>
      </c>
      <c r="ARC41" s="12">
        <f>INT((ARA41-1+LaunchMonth-1)/12)+1</f>
        <v/>
      </c>
      <c r="ARD41" s="12">
        <f>VLOOKUP(ARB41,WinterPivotSeasonTable,5,FALSE)</f>
        <v/>
      </c>
      <c r="ARE41" s="12">
        <f>(1+InflationRate)^INT((ARA41-1)/12)</f>
        <v/>
      </c>
      <c r="ARF41" s="11">
        <f>MonthlyChurn*VLOOKUP(ARB41,WinterPivotChurnTable,6,FALSE)</f>
        <v/>
      </c>
      <c r="ARG41" s="12">
        <f>MIN(MAX(MktMin19plus,ASA40*MktPct19plus),MAX(0,ASO40-CashBuffer))</f>
        <v/>
      </c>
      <c r="ARH41" s="12">
        <f>IF(ARG41&gt;0,MAX(1,ROUND(ARG41/CAC*ARD41,0)),0)</f>
        <v/>
      </c>
      <c r="ARI41" s="12">
        <f>IF(ARH41&gt;0,ROUND(ARH41*ReferralMix/(1-ReferralMix),0),0)</f>
        <v/>
      </c>
      <c r="ARJ41" s="12">
        <f>ARH41+ARI41</f>
        <v/>
      </c>
      <c r="ARK41" s="12">
        <f>ROUND(ARJ41*(1-AnnualMix),0)</f>
        <v/>
      </c>
      <c r="ARL41" s="12">
        <f>ARJ41-ARK41</f>
        <v/>
      </c>
      <c r="ARM41" s="12">
        <f>ROUND(ARK41*'Sens - Winter Pivot'!$B$6,0)</f>
        <v/>
      </c>
      <c r="ARN41" s="12">
        <f>ARK41-ARM41</f>
        <v/>
      </c>
      <c r="ARO41" s="12">
        <f>ROUND(ARL41*'Sens - Winter Pivot'!$B$6,0)</f>
        <v/>
      </c>
      <c r="ARP41" s="12">
        <f>ARL41-ARO41</f>
        <v/>
      </c>
      <c r="ARQ41" s="12">
        <f>ARM41+ARM40+ARM39+MAX(0,ARQ40-ARM40-ARM39)*(1-ARF41)</f>
        <v/>
      </c>
      <c r="ARR41" s="12">
        <f>ARN41+ARN40+ARN39+MAX(0,ARR40-ARN40-ARN39)*(1-ARF41)</f>
        <v/>
      </c>
      <c r="ARS41" s="12">
        <f>ARS40+ARO41-ARO29*(AnnualChurn*VLOOKUP(ARB41,WinterPivotChurnTable,6,FALSE))*POWER(1-(AnnualChurn*VLOOKUP(ARB41,WinterPivotChurnTable,6,FALSE)),0)+ARO17*(AnnualChurn*VLOOKUP(ARB41,WinterPivotChurnTable,6,FALSE))*POWER(1-(AnnualChurn*VLOOKUP(ARB41,WinterPivotChurnTable,6,FALSE)),1)+ARO5*(AnnualChurn*VLOOKUP(ARB41,WinterPivotChurnTable,6,FALSE))*POWER(1-(AnnualChurn*VLOOKUP(ARB41,WinterPivotChurnTable,6,FALSE)),2)</f>
        <v/>
      </c>
      <c r="ART41" s="12">
        <f>ART40+ARP41-ARP29*(AnnualChurn*VLOOKUP(ARB41,WinterPivotChurnTable,6,FALSE))*POWER(1-(AnnualChurn*VLOOKUP(ARB41,WinterPivotChurnTable,6,FALSE)),0)+ARP17*(AnnualChurn*VLOOKUP(ARB41,WinterPivotChurnTable,6,FALSE))*POWER(1-(AnnualChurn*VLOOKUP(ARB41,WinterPivotChurnTable,6,FALSE)),1)+ARP5*(AnnualChurn*VLOOKUP(ARB41,WinterPivotChurnTable,6,FALSE))*POWER(1-(AnnualChurn*VLOOKUP(ARB41,WinterPivotChurnTable,6,FALSE)),2)</f>
        <v/>
      </c>
      <c r="ARU41" s="12">
        <f>ARQ41+ARR41+ARS41+ART41</f>
        <v/>
      </c>
      <c r="ARV41" s="9">
        <f>ARQ41*PriceEssMonthly*ARE41+ARR41*(PricePremMonthly+'Sens - Winter Pivot'!$B$7)*ARE41+ARS41*PriceEssAnnual*ARE41/12+ART41*(PricePremAnnual+'Sens - Winter Pivot'!$B$7*12)*ARE41/12</f>
        <v/>
      </c>
      <c r="ARW41" s="9">
        <f>ARV41*12</f>
        <v/>
      </c>
      <c r="ARX41" s="12">
        <f>ARQ41*PriceEssMonthly*ARE41+ARR41*(PricePremMonthly+'Sens - Winter Pivot'!$B$7)*ARE41</f>
        <v/>
      </c>
      <c r="ARY41" s="12">
        <f>ARO41*PriceEssAnnual*ARE41+ARP41*(PricePremAnnual+'Sens - Winter Pivot'!$B$7*12)*ARE41</f>
        <v/>
      </c>
      <c r="ARZ41" s="12">
        <f>ARO29*POWER(1-(AnnualChurn*VLOOKUP(ARB41,WinterPivotChurnTable,6,FALSE)),1)*PriceEssAnnual*ARE41+ARO17*POWER(1-(AnnualChurn*VLOOKUP(ARB41,WinterPivotChurnTable,6,FALSE)),2)*PriceEssAnnual*ARE41+ARO5*POWER(1-(AnnualChurn*VLOOKUP(ARB41,WinterPivotChurnTable,6,FALSE)),3)*PriceEssAnnual*ARE41+ARP29*POWER(1-(AnnualChurn*VLOOKUP(ARB41,WinterPivotChurnTable,6,FALSE)),1)*PricePremAnnual*ARE41+ARP17*POWER(1-(AnnualChurn*VLOOKUP(ARB41,WinterPivotChurnTable,6,FALSE)),2)*PricePremAnnual*ARE41+ARP5*POWER(1-(AnnualChurn*VLOOKUP(ARB41,WinterPivotChurnTable,6,FALSE)),3)*PricePremAnnual*ARE41</f>
        <v/>
      </c>
      <c r="ASA41" s="9">
        <f>ARX41+ARY41+ARZ41</f>
        <v/>
      </c>
      <c r="ASB41" s="12">
        <f>SUM(ASA30:ASA41)</f>
        <v/>
      </c>
      <c r="ASC41" s="12">
        <f>OR(ASC40,ASB41&gt;=VATThreshold)</f>
        <v/>
      </c>
      <c r="ASD41" s="9">
        <f>IF(ASC41,ASA41/(1+VATRate),ASA41)</f>
        <v/>
      </c>
      <c r="ASE41" s="12">
        <f>ASA41-ASD41</f>
        <v/>
      </c>
      <c r="ASF41" s="12">
        <f>IF(ASC41=0,0,IF(ARB41=1,SUMPRODUCT(--(($ARC$5:$ARC41=$ARC41-1)*($ARB$5:$ARB41&gt;=10)*($ARB$5:$ARB41&lt;=12)),$ASE$5:$ASE41),IF(ARB41=4,SUMPRODUCT(--(($ARC$5:$ARC41=$ARC41)*($ARB$5:$ARB41&gt;=1)*($ARB$5:$ARB41&lt;=3)),$ASE$5:$ASE41),IF(ARB41=7,SUMPRODUCT(--(($ARC$5:$ARC41=$ARC41)*($ARB$5:$ARB41&gt;=4)*($ARB$5:$ARB41&lt;=6)),$ASE$5:$ASE41),IF(ARB41=10,SUMPRODUCT(--(($ARC$5:$ARC41=$ARC41)*($ARB$5:$ARB41&gt;=7)*($ARB$5:$ARB41&lt;=9)),$ASE$5:$ASE41),0)))))</f>
        <v/>
      </c>
      <c r="ASG41" s="12">
        <f>ASG40+ASE41-ASF41</f>
        <v/>
      </c>
      <c r="ASH41" s="12">
        <f>IF(ProviderDelay&gt;=1,ASD40*ProviderShare,ASD41*ProviderShare)</f>
        <v/>
      </c>
      <c r="ASI41" s="12">
        <f>ASA41*PaymentFee</f>
        <v/>
      </c>
      <c r="ASJ41" s="12">
        <f>ARU41*OpsAI</f>
        <v/>
      </c>
      <c r="ASK41" s="12">
        <f>MonthlyFixed</f>
        <v/>
      </c>
      <c r="ASL41" s="12">
        <f>ARI41*ReferralReward</f>
        <v/>
      </c>
      <c r="ASM41" s="12">
        <f>ARG41</f>
        <v/>
      </c>
      <c r="ASN41" s="9">
        <f>ASD41-ASH41-ASI41-ASJ41-ASK41-ASL41-ASM41</f>
        <v/>
      </c>
      <c r="ASO41" s="9">
        <f>ASO40+ASA41-(ASH41+ASI41+ASJ41+ASK41+ASL41+ASM41+ASF41)</f>
        <v/>
      </c>
      <c r="ASP41" s="12">
        <f>IF(ARU41&gt;0,ARV41/ARU41,0)</f>
        <v/>
      </c>
      <c r="ASQ41" s="11">
        <f>IF(ARU40&gt;0,MAX(0,(ARU40+ARJ41-ARU41)/ARU40),0)</f>
        <v/>
      </c>
    </row>
    <row r="42">
      <c r="A42" s="12" t="n">
        <v>38</v>
      </c>
      <c r="B42" s="12">
        <f>MOD(A42-1+LaunchMonth-1,12)+1</f>
        <v/>
      </c>
      <c r="C42" s="12">
        <f>INT((A42-1+LaunchMonth-1)/12)+1</f>
        <v/>
      </c>
      <c r="D42" s="12">
        <f>VLOOKUP(B42,SeasonTable,2,FALSE)</f>
        <v/>
      </c>
      <c r="E42" s="12">
        <f>(1+InflationRate)^INT((A42-1)/12)</f>
        <v/>
      </c>
      <c r="F42" s="11">
        <f>'Sens - Scenarios'!$B$5*VLOOKUP(B42,ChurnSeasonTable,4,FALSE)</f>
        <v/>
      </c>
      <c r="G42" s="12">
        <f>MIN(MAX(MktMin19plus,AA41*MktPct19plus),MAX(0,AO41-CashBuffer))</f>
        <v/>
      </c>
      <c r="H42" s="12">
        <f>IF(G42&gt;0,MAX(1,ROUND(G42/'Sens - Scenarios'!$B$8*D42,0)),0)</f>
        <v/>
      </c>
      <c r="I42" s="12">
        <f>IF(H42&gt;0,ROUND(H42*ReferralMix/(1-ReferralMix),0),0)</f>
        <v/>
      </c>
      <c r="J42" s="12">
        <f>H42+I42</f>
        <v/>
      </c>
      <c r="K42" s="12">
        <f>ROUND(J42*(1-'Sens - Scenarios'!$B$7),0)</f>
        <v/>
      </c>
      <c r="L42" s="12">
        <f>J42-K42</f>
        <v/>
      </c>
      <c r="M42" s="12">
        <f>ROUND(K42*EssentialMix,0)</f>
        <v/>
      </c>
      <c r="N42" s="12">
        <f>K42-M42</f>
        <v/>
      </c>
      <c r="O42" s="12">
        <f>ROUND(L42*EssentialMix,0)</f>
        <v/>
      </c>
      <c r="P42" s="12">
        <f>L42-O42</f>
        <v/>
      </c>
      <c r="Q42" s="12">
        <f>M42+M41+M40+MAX(0,Q41-M41-M40)*(1-F42)</f>
        <v/>
      </c>
      <c r="R42" s="12">
        <f>N42+N41+N40+MAX(0,R41-N41-N40)*(1-F42)</f>
        <v/>
      </c>
      <c r="S42" s="12">
        <f>S41+O42-O30*('Sens - Scenarios'!$B$6*VLOOKUP(B42,ChurnSeasonTable,4,FALSE))*POWER(1-('Sens - Scenarios'!$B$6*VLOOKUP(B42,ChurnSeasonTable,4,FALSE)),0)+O18*('Sens - Scenarios'!$B$6*VLOOKUP(B42,ChurnSeasonTable,4,FALSE))*POWER(1-('Sens - Scenarios'!$B$6*VLOOKUP(B42,ChurnSeasonTable,4,FALSE)),1)+O6*('Sens - Scenarios'!$B$6*VLOOKUP(B42,ChurnSeasonTable,4,FALSE))*POWER(1-('Sens - Scenarios'!$B$6*VLOOKUP(B42,ChurnSeasonTable,4,FALSE)),2)</f>
        <v/>
      </c>
      <c r="T42" s="12">
        <f>T41+P42-P30*('Sens - Scenarios'!$B$6*VLOOKUP(B42,ChurnSeasonTable,4,FALSE))*POWER(1-('Sens - Scenarios'!$B$6*VLOOKUP(B42,ChurnSeasonTable,4,FALSE)),0)+P18*('Sens - Scenarios'!$B$6*VLOOKUP(B42,ChurnSeasonTable,4,FALSE))*POWER(1-('Sens - Scenarios'!$B$6*VLOOKUP(B42,ChurnSeasonTable,4,FALSE)),1)+P6*('Sens - Scenarios'!$B$6*VLOOKUP(B42,ChurnSeasonTable,4,FALSE))*POWER(1-('Sens - Scenarios'!$B$6*VLOOKUP(B42,ChurnSeasonTable,4,FALSE)),2)</f>
        <v/>
      </c>
      <c r="U42" s="12">
        <f>Q42+R42+S42+T42</f>
        <v/>
      </c>
      <c r="V42" s="9">
        <f>Q42*PriceEssMonthly*E42+R42*PricePremMonthly*E42+S42*PriceEssAnnual*E42/12+T42*PricePremAnnual*E42/12</f>
        <v/>
      </c>
      <c r="W42" s="9">
        <f>V42*12</f>
        <v/>
      </c>
      <c r="X42" s="12">
        <f>Q42*PriceEssMonthly*E42+R42*PricePremMonthly*E42</f>
        <v/>
      </c>
      <c r="Y42" s="12">
        <f>O42*PriceEssAnnual*E42+P42*PricePremAnnual*E42</f>
        <v/>
      </c>
      <c r="Z42" s="12">
        <f>O30*POWER(1-('Sens - Scenarios'!$B$6*VLOOKUP(B42,ChurnSeasonTable,4,FALSE)),1)*PriceEssAnnual*E42+O18*POWER(1-('Sens - Scenarios'!$B$6*VLOOKUP(B42,ChurnSeasonTable,4,FALSE)),2)*PriceEssAnnual*E42+O6*POWER(1-('Sens - Scenarios'!$B$6*VLOOKUP(B42,ChurnSeasonTable,4,FALSE)),3)*PriceEssAnnual*E42+P30*POWER(1-('Sens - Scenarios'!$B$6*VLOOKUP(B42,ChurnSeasonTable,4,FALSE)),1)*PricePremAnnual*E42+P18*POWER(1-('Sens - Scenarios'!$B$6*VLOOKUP(B42,ChurnSeasonTable,4,FALSE)),2)*PricePremAnnual*E42+P6*POWER(1-('Sens - Scenarios'!$B$6*VLOOKUP(B42,ChurnSeasonTable,4,FALSE)),3)*PricePremAnnual*E42</f>
        <v/>
      </c>
      <c r="AA42" s="9">
        <f>X42+Y42+Z42</f>
        <v/>
      </c>
      <c r="AB42" s="12">
        <f>SUM(AA31:AA42)</f>
        <v/>
      </c>
      <c r="AC42" s="12">
        <f>OR(AC41,AB42&gt;=VATThreshold)</f>
        <v/>
      </c>
      <c r="AD42" s="9">
        <f>IF(AC42,AA42/(1+VATRate),AA42)</f>
        <v/>
      </c>
      <c r="AE42" s="12">
        <f>AA42-AD42</f>
        <v/>
      </c>
      <c r="AF42" s="12">
        <f>IF(AC42=0,0,IF(B42=1,SUMPRODUCT(--(($C$5:$C42=$C42-1)*($B$5:$B42&gt;=10)*($B$5:$B42&lt;=12)),$AE$5:$AE42),IF(B42=4,SUMPRODUCT(--(($C$5:$C42=$C42)*($B$5:$B42&gt;=1)*($B$5:$B42&lt;=3)),$AE$5:$AE42),IF(B42=7,SUMPRODUCT(--(($C$5:$C42=$C42)*($B$5:$B42&gt;=4)*($B$5:$B42&lt;=6)),$AE$5:$AE42),IF(B42=10,SUMPRODUCT(--(($C$5:$C42=$C42)*($B$5:$B42&gt;=7)*($B$5:$B42&lt;=9)),$AE$5:$AE42),0)))))</f>
        <v/>
      </c>
      <c r="AG42" s="12">
        <f>AG41+AE42-AF42</f>
        <v/>
      </c>
      <c r="AH42" s="12">
        <f>IF(ProviderDelay&gt;=1,AD41*ProviderShare,AD42*ProviderShare)</f>
        <v/>
      </c>
      <c r="AI42" s="12">
        <f>AA42*PaymentFee</f>
        <v/>
      </c>
      <c r="AJ42" s="12">
        <f>U42*OpsAI</f>
        <v/>
      </c>
      <c r="AK42" s="12">
        <f>MonthlyFixed</f>
        <v/>
      </c>
      <c r="AL42" s="12">
        <f>I42*ReferralReward</f>
        <v/>
      </c>
      <c r="AM42" s="12">
        <f>G42</f>
        <v/>
      </c>
      <c r="AN42" s="9">
        <f>AD42-AH42-AI42-AJ42-AK42-AL42-AM42</f>
        <v/>
      </c>
      <c r="AO42" s="9">
        <f>AO41+AA42-(AH42+AI42+AJ42+AK42+AL42+AM42+AF42)</f>
        <v/>
      </c>
      <c r="AP42" s="12">
        <f>IF(U42&gt;0,V42/U42,0)</f>
        <v/>
      </c>
      <c r="AQ42" s="11">
        <f>IF(U41&gt;0,MAX(0,(U41+J42-U42)/U41),0)</f>
        <v/>
      </c>
      <c r="AS42" s="12" t="n">
        <v>38</v>
      </c>
      <c r="AT42" s="12">
        <f>MOD(AS42-1+LaunchMonth-1,12)+1</f>
        <v/>
      </c>
      <c r="AU42" s="12">
        <f>INT((AS42-1+LaunchMonth-1)/12)+1</f>
        <v/>
      </c>
      <c r="AV42" s="12">
        <f>VLOOKUP(AT42,SeasonTable,2,FALSE)</f>
        <v/>
      </c>
      <c r="AW42" s="12">
        <f>(1+InflationRate)^INT((AS42-1)/12)</f>
        <v/>
      </c>
      <c r="AX42" s="11">
        <f>MonthlyChurn*VLOOKUP(AT42,ChurnSeasonTable,4,FALSE)</f>
        <v/>
      </c>
      <c r="AY42" s="12">
        <f>MIN(MAX(MktMin19plus,BS41*MktPct19plus),MAX(0,CG41-CashBuffer))</f>
        <v/>
      </c>
      <c r="AZ42" s="12">
        <f>IF(AY42&gt;0,MAX(1,ROUND(AY42/CAC*AV42,0)),0)</f>
        <v/>
      </c>
      <c r="BA42" s="12">
        <f>IF(AZ42&gt;0,ROUND(AZ42*ReferralMix/(1-ReferralMix),0),0)</f>
        <v/>
      </c>
      <c r="BB42" s="12">
        <f>AZ42+BA42</f>
        <v/>
      </c>
      <c r="BC42" s="12">
        <f>ROUND(BB42*(1-AnnualMix),0)</f>
        <v/>
      </c>
      <c r="BD42" s="12">
        <f>BB42-BC42</f>
        <v/>
      </c>
      <c r="BE42" s="12">
        <f>ROUND(BC42*EssentialMix,0)</f>
        <v/>
      </c>
      <c r="BF42" s="12">
        <f>BC42-BE42</f>
        <v/>
      </c>
      <c r="BG42" s="12">
        <f>ROUND(BD42*EssentialMix,0)</f>
        <v/>
      </c>
      <c r="BH42" s="12">
        <f>BD42-BG42</f>
        <v/>
      </c>
      <c r="BI42" s="12">
        <f>BE42+BE41+BE40+MAX(0,BI41-BE41-BE40)*(1-AX42)</f>
        <v/>
      </c>
      <c r="BJ42" s="12">
        <f>BF42+BF41+BF40+MAX(0,BJ41-BF41-BF40)*(1-AX42)</f>
        <v/>
      </c>
      <c r="BK42" s="12">
        <f>BK41+BG42-BG30*(AnnualChurn*VLOOKUP(AT42,ChurnSeasonTable,4,FALSE))*POWER(1-(AnnualChurn*VLOOKUP(AT42,ChurnSeasonTable,4,FALSE)),0)+BG18*(AnnualChurn*VLOOKUP(AT42,ChurnSeasonTable,4,FALSE))*POWER(1-(AnnualChurn*VLOOKUP(AT42,ChurnSeasonTable,4,FALSE)),1)+BG6*(AnnualChurn*VLOOKUP(AT42,ChurnSeasonTable,4,FALSE))*POWER(1-(AnnualChurn*VLOOKUP(AT42,ChurnSeasonTable,4,FALSE)),2)</f>
        <v/>
      </c>
      <c r="BL42" s="12">
        <f>BL41+BH42-BH30*(AnnualChurn*VLOOKUP(AT42,ChurnSeasonTable,4,FALSE))*POWER(1-(AnnualChurn*VLOOKUP(AT42,ChurnSeasonTable,4,FALSE)),0)+BH18*(AnnualChurn*VLOOKUP(AT42,ChurnSeasonTable,4,FALSE))*POWER(1-(AnnualChurn*VLOOKUP(AT42,ChurnSeasonTable,4,FALSE)),1)+BH6*(AnnualChurn*VLOOKUP(AT42,ChurnSeasonTable,4,FALSE))*POWER(1-(AnnualChurn*VLOOKUP(AT42,ChurnSeasonTable,4,FALSE)),2)</f>
        <v/>
      </c>
      <c r="BM42" s="12">
        <f>BI42+BJ42+BK42+BL42</f>
        <v/>
      </c>
      <c r="BN42" s="9">
        <f>BI42*PriceEssMonthly*AW42+BJ42*PricePremMonthly*AW42+BK42*PriceEssAnnual*AW42/12+BL42*PricePremAnnual*AW42/12</f>
        <v/>
      </c>
      <c r="BO42" s="9">
        <f>BN42*12</f>
        <v/>
      </c>
      <c r="BP42" s="12">
        <f>BI42*PriceEssMonthly*AW42+BJ42*PricePremMonthly*AW42</f>
        <v/>
      </c>
      <c r="BQ42" s="12">
        <f>BG42*PriceEssAnnual*AW42+BH42*PricePremAnnual*AW42</f>
        <v/>
      </c>
      <c r="BR42" s="12">
        <f>BG30*POWER(1-(AnnualChurn*VLOOKUP(AT42,ChurnSeasonTable,4,FALSE)),1)*PriceEssAnnual*AW42+BG18*POWER(1-(AnnualChurn*VLOOKUP(AT42,ChurnSeasonTable,4,FALSE)),2)*PriceEssAnnual*AW42+BG6*POWER(1-(AnnualChurn*VLOOKUP(AT42,ChurnSeasonTable,4,FALSE)),3)*PriceEssAnnual*AW42+BH30*POWER(1-(AnnualChurn*VLOOKUP(AT42,ChurnSeasonTable,4,FALSE)),1)*PricePremAnnual*AW42+BH18*POWER(1-(AnnualChurn*VLOOKUP(AT42,ChurnSeasonTable,4,FALSE)),2)*PricePremAnnual*AW42+BH6*POWER(1-(AnnualChurn*VLOOKUP(AT42,ChurnSeasonTable,4,FALSE)),3)*PricePremAnnual*AW42</f>
        <v/>
      </c>
      <c r="BS42" s="9">
        <f>BP42+BQ42+BR42</f>
        <v/>
      </c>
      <c r="BT42" s="12">
        <f>SUM(BS31:BS42)</f>
        <v/>
      </c>
      <c r="BU42" s="12">
        <f>OR(BU41,BT42&gt;=VATThreshold)</f>
        <v/>
      </c>
      <c r="BV42" s="9">
        <f>IF(BU42,BS42/(1+VATRate),BS42)</f>
        <v/>
      </c>
      <c r="BW42" s="12">
        <f>BS42-BV42</f>
        <v/>
      </c>
      <c r="BX42" s="12">
        <f>IF(BU42=0,0,IF(AT42=1,SUMPRODUCT(--(($AU$5:$AU42=$AU42-1)*($AT$5:$AT42&gt;=10)*($AT$5:$AT42&lt;=12)),$BW$5:$BW42),IF(AT42=4,SUMPRODUCT(--(($AU$5:$AU42=$AU42)*($AT$5:$AT42&gt;=1)*($AT$5:$AT42&lt;=3)),$BW$5:$BW42),IF(AT42=7,SUMPRODUCT(--(($AU$5:$AU42=$AU42)*($AT$5:$AT42&gt;=4)*($AT$5:$AT42&lt;=6)),$BW$5:$BW42),IF(AT42=10,SUMPRODUCT(--(($AU$5:$AU42=$AU42)*($AT$5:$AT42&gt;=7)*($AT$5:$AT42&lt;=9)),$BW$5:$BW42),0)))))</f>
        <v/>
      </c>
      <c r="BY42" s="12">
        <f>BY41+BW42-BX42</f>
        <v/>
      </c>
      <c r="BZ42" s="12">
        <f>IF(ProviderDelay&gt;=1,BV41*ProviderShare,BV42*ProviderShare)</f>
        <v/>
      </c>
      <c r="CA42" s="12">
        <f>BS42*PaymentFee</f>
        <v/>
      </c>
      <c r="CB42" s="12">
        <f>BM42*OpsAI</f>
        <v/>
      </c>
      <c r="CC42" s="12">
        <f>MonthlyFixed</f>
        <v/>
      </c>
      <c r="CD42" s="12">
        <f>BA42*ReferralReward</f>
        <v/>
      </c>
      <c r="CE42" s="12">
        <f>AY42</f>
        <v/>
      </c>
      <c r="CF42" s="9">
        <f>BV42-BZ42-CA42-CB42-CC42-CD42-CE42</f>
        <v/>
      </c>
      <c r="CG42" s="9">
        <f>CG41+BS42-(BZ42+CA42+CB42+CC42+CD42+CE42+BX42)</f>
        <v/>
      </c>
      <c r="CH42" s="12">
        <f>IF(BM42&gt;0,BN42/BM42,0)</f>
        <v/>
      </c>
      <c r="CI42" s="11">
        <f>IF(BM41&gt;0,MAX(0,(BM41+BB42-BM42)/BM41),0)</f>
        <v/>
      </c>
      <c r="CK42" s="12" t="n">
        <v>38</v>
      </c>
      <c r="CL42" s="12">
        <f>MOD(CK42-1+LaunchMonth-1,12)+1</f>
        <v/>
      </c>
      <c r="CM42" s="12">
        <f>INT((CK42-1+LaunchMonth-1)/12)+1</f>
        <v/>
      </c>
      <c r="CN42" s="12">
        <f>VLOOKUP(CL42,SeasonTable,2,FALSE)</f>
        <v/>
      </c>
      <c r="CO42" s="12">
        <f>(1+InflationRate)^INT((CK42-1)/12)</f>
        <v/>
      </c>
      <c r="CP42" s="11">
        <f>'Sens - Scenarios'!$D$5*VLOOKUP(CL42,ChurnSeasonTable,4,FALSE)</f>
        <v/>
      </c>
      <c r="CQ42" s="12">
        <f>MIN(MAX(MktMin19plus,DK41*MktPct19plus),MAX(0,DY41-CashBuffer))</f>
        <v/>
      </c>
      <c r="CR42" s="12">
        <f>IF(CQ42&gt;0,MAX(1,ROUND(CQ42/'Sens - Scenarios'!$D$8*CN42,0)),0)</f>
        <v/>
      </c>
      <c r="CS42" s="12">
        <f>IF(CR42&gt;0,ROUND(CR42*ReferralMix/(1-ReferralMix),0),0)</f>
        <v/>
      </c>
      <c r="CT42" s="12">
        <f>CR42+CS42</f>
        <v/>
      </c>
      <c r="CU42" s="12">
        <f>ROUND(CT42*(1-'Sens - Scenarios'!$D$7),0)</f>
        <v/>
      </c>
      <c r="CV42" s="12">
        <f>CT42-CU42</f>
        <v/>
      </c>
      <c r="CW42" s="12">
        <f>ROUND(CU42*EssentialMix,0)</f>
        <v/>
      </c>
      <c r="CX42" s="12">
        <f>CU42-CW42</f>
        <v/>
      </c>
      <c r="CY42" s="12">
        <f>ROUND(CV42*EssentialMix,0)</f>
        <v/>
      </c>
      <c r="CZ42" s="12">
        <f>CV42-CY42</f>
        <v/>
      </c>
      <c r="DA42" s="12">
        <f>CW42+CW41+CW40+MAX(0,DA41-CW41-CW40)*(1-CP42)</f>
        <v/>
      </c>
      <c r="DB42" s="12">
        <f>CX42+CX41+CX40+MAX(0,DB41-CX41-CX40)*(1-CP42)</f>
        <v/>
      </c>
      <c r="DC42" s="12">
        <f>DC41+CY42-CY30*('Sens - Scenarios'!$D$6*VLOOKUP(CL42,ChurnSeasonTable,4,FALSE))*POWER(1-('Sens - Scenarios'!$D$6*VLOOKUP(CL42,ChurnSeasonTable,4,FALSE)),0)+CY18*('Sens - Scenarios'!$D$6*VLOOKUP(CL42,ChurnSeasonTable,4,FALSE))*POWER(1-('Sens - Scenarios'!$D$6*VLOOKUP(CL42,ChurnSeasonTable,4,FALSE)),1)+CY6*('Sens - Scenarios'!$D$6*VLOOKUP(CL42,ChurnSeasonTable,4,FALSE))*POWER(1-('Sens - Scenarios'!$D$6*VLOOKUP(CL42,ChurnSeasonTable,4,FALSE)),2)</f>
        <v/>
      </c>
      <c r="DD42" s="12">
        <f>DD41+CZ42-CZ30*('Sens - Scenarios'!$D$6*VLOOKUP(CL42,ChurnSeasonTable,4,FALSE))*POWER(1-('Sens - Scenarios'!$D$6*VLOOKUP(CL42,ChurnSeasonTable,4,FALSE)),0)+CZ18*('Sens - Scenarios'!$D$6*VLOOKUP(CL42,ChurnSeasonTable,4,FALSE))*POWER(1-('Sens - Scenarios'!$D$6*VLOOKUP(CL42,ChurnSeasonTable,4,FALSE)),1)+CZ6*('Sens - Scenarios'!$D$6*VLOOKUP(CL42,ChurnSeasonTable,4,FALSE))*POWER(1-('Sens - Scenarios'!$D$6*VLOOKUP(CL42,ChurnSeasonTable,4,FALSE)),2)</f>
        <v/>
      </c>
      <c r="DE42" s="12">
        <f>DA42+DB42+DC42+DD42</f>
        <v/>
      </c>
      <c r="DF42" s="9">
        <f>DA42*PriceEssMonthly*CO42+DB42*PricePremMonthly*CO42+DC42*PriceEssAnnual*CO42/12+DD42*PricePremAnnual*CO42/12</f>
        <v/>
      </c>
      <c r="DG42" s="9">
        <f>DF42*12</f>
        <v/>
      </c>
      <c r="DH42" s="12">
        <f>DA42*PriceEssMonthly*CO42+DB42*PricePremMonthly*CO42</f>
        <v/>
      </c>
      <c r="DI42" s="12">
        <f>CY42*PriceEssAnnual*CO42+CZ42*PricePremAnnual*CO42</f>
        <v/>
      </c>
      <c r="DJ42" s="12">
        <f>CY30*POWER(1-('Sens - Scenarios'!$D$6*VLOOKUP(CL42,ChurnSeasonTable,4,FALSE)),1)*PriceEssAnnual*CO42+CY18*POWER(1-('Sens - Scenarios'!$D$6*VLOOKUP(CL42,ChurnSeasonTable,4,FALSE)),2)*PriceEssAnnual*CO42+CY6*POWER(1-('Sens - Scenarios'!$D$6*VLOOKUP(CL42,ChurnSeasonTable,4,FALSE)),3)*PriceEssAnnual*CO42+CZ30*POWER(1-('Sens - Scenarios'!$D$6*VLOOKUP(CL42,ChurnSeasonTable,4,FALSE)),1)*PricePremAnnual*CO42+CZ18*POWER(1-('Sens - Scenarios'!$D$6*VLOOKUP(CL42,ChurnSeasonTable,4,FALSE)),2)*PricePremAnnual*CO42+CZ6*POWER(1-('Sens - Scenarios'!$D$6*VLOOKUP(CL42,ChurnSeasonTable,4,FALSE)),3)*PricePremAnnual*CO42</f>
        <v/>
      </c>
      <c r="DK42" s="9">
        <f>DH42+DI42+DJ42</f>
        <v/>
      </c>
      <c r="DL42" s="12">
        <f>SUM(DK31:DK42)</f>
        <v/>
      </c>
      <c r="DM42" s="12">
        <f>OR(DM41,DL42&gt;=VATThreshold)</f>
        <v/>
      </c>
      <c r="DN42" s="9">
        <f>IF(DM42,DK42/(1+VATRate),DK42)</f>
        <v/>
      </c>
      <c r="DO42" s="12">
        <f>DK42-DN42</f>
        <v/>
      </c>
      <c r="DP42" s="12">
        <f>IF(DM42=0,0,IF(CL42=1,SUMPRODUCT(--(($CM$5:$CM42=$CM42-1)*($CL$5:$CL42&gt;=10)*($CL$5:$CL42&lt;=12)),$DO$5:$DO42),IF(CL42=4,SUMPRODUCT(--(($CM$5:$CM42=$CM42)*($CL$5:$CL42&gt;=1)*($CL$5:$CL42&lt;=3)),$DO$5:$DO42),IF(CL42=7,SUMPRODUCT(--(($CM$5:$CM42=$CM42)*($CL$5:$CL42&gt;=4)*($CL$5:$CL42&lt;=6)),$DO$5:$DO42),IF(CL42=10,SUMPRODUCT(--(($CM$5:$CM42=$CM42)*($CL$5:$CL42&gt;=7)*($CL$5:$CL42&lt;=9)),$DO$5:$DO42),0)))))</f>
        <v/>
      </c>
      <c r="DQ42" s="12">
        <f>DQ41+DO42-DP42</f>
        <v/>
      </c>
      <c r="DR42" s="12">
        <f>IF(ProviderDelay&gt;=1,DN41*ProviderShare,DN42*ProviderShare)</f>
        <v/>
      </c>
      <c r="DS42" s="12">
        <f>DK42*PaymentFee</f>
        <v/>
      </c>
      <c r="DT42" s="12">
        <f>DE42*OpsAI</f>
        <v/>
      </c>
      <c r="DU42" s="12">
        <f>MonthlyFixed</f>
        <v/>
      </c>
      <c r="DV42" s="12">
        <f>CS42*ReferralReward</f>
        <v/>
      </c>
      <c r="DW42" s="12">
        <f>CQ42</f>
        <v/>
      </c>
      <c r="DX42" s="9">
        <f>DN42-DR42-DS42-DT42-DU42-DV42-DW42</f>
        <v/>
      </c>
      <c r="DY42" s="9">
        <f>DY41+DK42-(DR42+DS42+DT42+DU42+DV42+DW42+DP42)</f>
        <v/>
      </c>
      <c r="DZ42" s="12">
        <f>IF(DE42&gt;0,DF42/DE42,0)</f>
        <v/>
      </c>
      <c r="EA42" s="11">
        <f>IF(DE41&gt;0,MAX(0,(DE41+CT42-DE42)/DE41),0)</f>
        <v/>
      </c>
      <c r="EC42" s="12" t="n">
        <v>38</v>
      </c>
      <c r="ED42" s="12">
        <f>MOD(EC42-1+LaunchMonth-1,12)+1</f>
        <v/>
      </c>
      <c r="EE42" s="12">
        <f>INT((EC42-1+LaunchMonth-1)/12)+1</f>
        <v/>
      </c>
      <c r="EF42" s="12">
        <f>VLOOKUP(ED42,SeasonTable,2,FALSE)</f>
        <v/>
      </c>
      <c r="EG42" s="12">
        <f>(1+InflationRate)^INT((EC42-1)/12)</f>
        <v/>
      </c>
      <c r="EH42" s="11">
        <f>'Sens - Churn'!$A$13*VLOOKUP(ED42,ChurnSeasonTable,4,FALSE)</f>
        <v/>
      </c>
      <c r="EI42" s="12">
        <f>MIN(MAX(MktMin19plus,FC41*MktPct19plus),MAX(0,FQ41-CashBuffer))</f>
        <v/>
      </c>
      <c r="EJ42" s="12">
        <f>IF(EI42&gt;0,MAX(1,ROUND(EI42/CAC*EF42,0)),0)</f>
        <v/>
      </c>
      <c r="EK42" s="12">
        <f>IF(EJ42&gt;0,ROUND(EJ42*ReferralMix/(1-ReferralMix),0),0)</f>
        <v/>
      </c>
      <c r="EL42" s="12">
        <f>EJ42+EK42</f>
        <v/>
      </c>
      <c r="EM42" s="12">
        <f>ROUND(EL42*(1-AnnualMix),0)</f>
        <v/>
      </c>
      <c r="EN42" s="12">
        <f>EL42-EM42</f>
        <v/>
      </c>
      <c r="EO42" s="12">
        <f>ROUND(EM42*EssentialMix,0)</f>
        <v/>
      </c>
      <c r="EP42" s="12">
        <f>EM42-EO42</f>
        <v/>
      </c>
      <c r="EQ42" s="12">
        <f>ROUND(EN42*EssentialMix,0)</f>
        <v/>
      </c>
      <c r="ER42" s="12">
        <f>EN42-EQ42</f>
        <v/>
      </c>
      <c r="ES42" s="12">
        <f>EO42+EO41+EO40+MAX(0,ES41-EO41-EO40)*(1-EH42)</f>
        <v/>
      </c>
      <c r="ET42" s="12">
        <f>EP42+EP41+EP40+MAX(0,ET41-EP41-EP40)*(1-EH42)</f>
        <v/>
      </c>
      <c r="EU42" s="12">
        <f>EU41+EQ42-EQ30*(AnnualChurn*VLOOKUP(ED42,ChurnSeasonTable,4,FALSE))*POWER(1-(AnnualChurn*VLOOKUP(ED42,ChurnSeasonTable,4,FALSE)),0)+EQ18*(AnnualChurn*VLOOKUP(ED42,ChurnSeasonTable,4,FALSE))*POWER(1-(AnnualChurn*VLOOKUP(ED42,ChurnSeasonTable,4,FALSE)),1)+EQ6*(AnnualChurn*VLOOKUP(ED42,ChurnSeasonTable,4,FALSE))*POWER(1-(AnnualChurn*VLOOKUP(ED42,ChurnSeasonTable,4,FALSE)),2)</f>
        <v/>
      </c>
      <c r="EV42" s="12">
        <f>EV41+ER42-ER30*(AnnualChurn*VLOOKUP(ED42,ChurnSeasonTable,4,FALSE))*POWER(1-(AnnualChurn*VLOOKUP(ED42,ChurnSeasonTable,4,FALSE)),0)+ER18*(AnnualChurn*VLOOKUP(ED42,ChurnSeasonTable,4,FALSE))*POWER(1-(AnnualChurn*VLOOKUP(ED42,ChurnSeasonTable,4,FALSE)),1)+ER6*(AnnualChurn*VLOOKUP(ED42,ChurnSeasonTable,4,FALSE))*POWER(1-(AnnualChurn*VLOOKUP(ED42,ChurnSeasonTable,4,FALSE)),2)</f>
        <v/>
      </c>
      <c r="EW42" s="12">
        <f>ES42+ET42+EU42+EV42</f>
        <v/>
      </c>
      <c r="EX42" s="9">
        <f>ES42*PriceEssMonthly*EG42+ET42*PricePremMonthly*EG42+EU42*PriceEssAnnual*EG42/12+EV42*PricePremAnnual*EG42/12</f>
        <v/>
      </c>
      <c r="EY42" s="9">
        <f>EX42*12</f>
        <v/>
      </c>
      <c r="EZ42" s="12">
        <f>ES42*PriceEssMonthly*EG42+ET42*PricePremMonthly*EG42</f>
        <v/>
      </c>
      <c r="FA42" s="12">
        <f>EQ42*PriceEssAnnual*EG42+ER42*PricePremAnnual*EG42</f>
        <v/>
      </c>
      <c r="FB42" s="12">
        <f>EQ30*POWER(1-(AnnualChurn*VLOOKUP(ED42,ChurnSeasonTable,4,FALSE)),1)*PriceEssAnnual*EG42+EQ18*POWER(1-(AnnualChurn*VLOOKUP(ED42,ChurnSeasonTable,4,FALSE)),2)*PriceEssAnnual*EG42+EQ6*POWER(1-(AnnualChurn*VLOOKUP(ED42,ChurnSeasonTable,4,FALSE)),3)*PriceEssAnnual*EG42+ER30*POWER(1-(AnnualChurn*VLOOKUP(ED42,ChurnSeasonTable,4,FALSE)),1)*PricePremAnnual*EG42+ER18*POWER(1-(AnnualChurn*VLOOKUP(ED42,ChurnSeasonTable,4,FALSE)),2)*PricePremAnnual*EG42+ER6*POWER(1-(AnnualChurn*VLOOKUP(ED42,ChurnSeasonTable,4,FALSE)),3)*PricePremAnnual*EG42</f>
        <v/>
      </c>
      <c r="FC42" s="9">
        <f>EZ42+FA42+FB42</f>
        <v/>
      </c>
      <c r="FD42" s="12">
        <f>SUM(FC31:FC42)</f>
        <v/>
      </c>
      <c r="FE42" s="12">
        <f>OR(FE41,FD42&gt;=VATThreshold)</f>
        <v/>
      </c>
      <c r="FF42" s="9">
        <f>IF(FE42,FC42/(1+VATRate),FC42)</f>
        <v/>
      </c>
      <c r="FG42" s="12">
        <f>FC42-FF42</f>
        <v/>
      </c>
      <c r="FH42" s="12">
        <f>IF(FE42=0,0,IF(ED42=1,SUMPRODUCT(--(($EE$5:$EE42=$EE42-1)*($ED$5:$ED42&gt;=10)*($ED$5:$ED42&lt;=12)),$FG$5:$FG42),IF(ED42=4,SUMPRODUCT(--(($EE$5:$EE42=$EE42)*($ED$5:$ED42&gt;=1)*($ED$5:$ED42&lt;=3)),$FG$5:$FG42),IF(ED42=7,SUMPRODUCT(--(($EE$5:$EE42=$EE42)*($ED$5:$ED42&gt;=4)*($ED$5:$ED42&lt;=6)),$FG$5:$FG42),IF(ED42=10,SUMPRODUCT(--(($EE$5:$EE42=$EE42)*($ED$5:$ED42&gt;=7)*($ED$5:$ED42&lt;=9)),$FG$5:$FG42),0)))))</f>
        <v/>
      </c>
      <c r="FI42" s="12">
        <f>FI41+FG42-FH42</f>
        <v/>
      </c>
      <c r="FJ42" s="12">
        <f>IF(ProviderDelay&gt;=1,FF41*ProviderShare,FF42*ProviderShare)</f>
        <v/>
      </c>
      <c r="FK42" s="12">
        <f>FC42*PaymentFee</f>
        <v/>
      </c>
      <c r="FL42" s="12">
        <f>EW42*OpsAI</f>
        <v/>
      </c>
      <c r="FM42" s="12">
        <f>MonthlyFixed</f>
        <v/>
      </c>
      <c r="FN42" s="12">
        <f>EK42*ReferralReward</f>
        <v/>
      </c>
      <c r="FO42" s="12">
        <f>EI42</f>
        <v/>
      </c>
      <c r="FP42" s="9">
        <f>FF42-FJ42-FK42-FL42-FM42-FN42-FO42</f>
        <v/>
      </c>
      <c r="FQ42" s="9">
        <f>FQ41+FC42-(FJ42+FK42+FL42+FM42+FN42+FO42+FH42)</f>
        <v/>
      </c>
      <c r="FR42" s="12">
        <f>IF(EW42&gt;0,EX42/EW42,0)</f>
        <v/>
      </c>
      <c r="FS42" s="11">
        <f>IF(EW41&gt;0,MAX(0,(EW41+EL42-EW42)/EW41),0)</f>
        <v/>
      </c>
      <c r="FU42" s="12" t="n">
        <v>38</v>
      </c>
      <c r="FV42" s="12">
        <f>MOD(FU42-1+LaunchMonth-1,12)+1</f>
        <v/>
      </c>
      <c r="FW42" s="12">
        <f>INT((FU42-1+LaunchMonth-1)/12)+1</f>
        <v/>
      </c>
      <c r="FX42" s="12">
        <f>VLOOKUP(FV42,SeasonTable,2,FALSE)</f>
        <v/>
      </c>
      <c r="FY42" s="12">
        <f>(1+InflationRate)^INT((FU42-1)/12)</f>
        <v/>
      </c>
      <c r="FZ42" s="11">
        <f>'Sens - Churn'!$A$14*VLOOKUP(FV42,ChurnSeasonTable,4,FALSE)</f>
        <v/>
      </c>
      <c r="GA42" s="12">
        <f>MIN(MAX(MktMin19plus,GU41*MktPct19plus),MAX(0,HI41-CashBuffer))</f>
        <v/>
      </c>
      <c r="GB42" s="12">
        <f>IF(GA42&gt;0,MAX(1,ROUND(GA42/CAC*FX42,0)),0)</f>
        <v/>
      </c>
      <c r="GC42" s="12">
        <f>IF(GB42&gt;0,ROUND(GB42*ReferralMix/(1-ReferralMix),0),0)</f>
        <v/>
      </c>
      <c r="GD42" s="12">
        <f>GB42+GC42</f>
        <v/>
      </c>
      <c r="GE42" s="12">
        <f>ROUND(GD42*(1-AnnualMix),0)</f>
        <v/>
      </c>
      <c r="GF42" s="12">
        <f>GD42-GE42</f>
        <v/>
      </c>
      <c r="GG42" s="12">
        <f>ROUND(GE42*EssentialMix,0)</f>
        <v/>
      </c>
      <c r="GH42" s="12">
        <f>GE42-GG42</f>
        <v/>
      </c>
      <c r="GI42" s="12">
        <f>ROUND(GF42*EssentialMix,0)</f>
        <v/>
      </c>
      <c r="GJ42" s="12">
        <f>GF42-GI42</f>
        <v/>
      </c>
      <c r="GK42" s="12">
        <f>GG42+GG41+GG40+MAX(0,GK41-GG41-GG40)*(1-FZ42)</f>
        <v/>
      </c>
      <c r="GL42" s="12">
        <f>GH42+GH41+GH40+MAX(0,GL41-GH41-GH40)*(1-FZ42)</f>
        <v/>
      </c>
      <c r="GM42" s="12">
        <f>GM41+GI42-GI30*(AnnualChurn*VLOOKUP(FV42,ChurnSeasonTable,4,FALSE))*POWER(1-(AnnualChurn*VLOOKUP(FV42,ChurnSeasonTable,4,FALSE)),0)+GI18*(AnnualChurn*VLOOKUP(FV42,ChurnSeasonTable,4,FALSE))*POWER(1-(AnnualChurn*VLOOKUP(FV42,ChurnSeasonTable,4,FALSE)),1)+GI6*(AnnualChurn*VLOOKUP(FV42,ChurnSeasonTable,4,FALSE))*POWER(1-(AnnualChurn*VLOOKUP(FV42,ChurnSeasonTable,4,FALSE)),2)</f>
        <v/>
      </c>
      <c r="GN42" s="12">
        <f>GN41+GJ42-GJ30*(AnnualChurn*VLOOKUP(FV42,ChurnSeasonTable,4,FALSE))*POWER(1-(AnnualChurn*VLOOKUP(FV42,ChurnSeasonTable,4,FALSE)),0)+GJ18*(AnnualChurn*VLOOKUP(FV42,ChurnSeasonTable,4,FALSE))*POWER(1-(AnnualChurn*VLOOKUP(FV42,ChurnSeasonTable,4,FALSE)),1)+GJ6*(AnnualChurn*VLOOKUP(FV42,ChurnSeasonTable,4,FALSE))*POWER(1-(AnnualChurn*VLOOKUP(FV42,ChurnSeasonTable,4,FALSE)),2)</f>
        <v/>
      </c>
      <c r="GO42" s="12">
        <f>GK42+GL42+GM42+GN42</f>
        <v/>
      </c>
      <c r="GP42" s="9">
        <f>GK42*PriceEssMonthly*FY42+GL42*PricePremMonthly*FY42+GM42*PriceEssAnnual*FY42/12+GN42*PricePremAnnual*FY42/12</f>
        <v/>
      </c>
      <c r="GQ42" s="9">
        <f>GP42*12</f>
        <v/>
      </c>
      <c r="GR42" s="12">
        <f>GK42*PriceEssMonthly*FY42+GL42*PricePremMonthly*FY42</f>
        <v/>
      </c>
      <c r="GS42" s="12">
        <f>GI42*PriceEssAnnual*FY42+GJ42*PricePremAnnual*FY42</f>
        <v/>
      </c>
      <c r="GT42" s="12">
        <f>GI30*POWER(1-(AnnualChurn*VLOOKUP(FV42,ChurnSeasonTable,4,FALSE)),1)*PriceEssAnnual*FY42+GI18*POWER(1-(AnnualChurn*VLOOKUP(FV42,ChurnSeasonTable,4,FALSE)),2)*PriceEssAnnual*FY42+GI6*POWER(1-(AnnualChurn*VLOOKUP(FV42,ChurnSeasonTable,4,FALSE)),3)*PriceEssAnnual*FY42+GJ30*POWER(1-(AnnualChurn*VLOOKUP(FV42,ChurnSeasonTable,4,FALSE)),1)*PricePremAnnual*FY42+GJ18*POWER(1-(AnnualChurn*VLOOKUP(FV42,ChurnSeasonTable,4,FALSE)),2)*PricePremAnnual*FY42+GJ6*POWER(1-(AnnualChurn*VLOOKUP(FV42,ChurnSeasonTable,4,FALSE)),3)*PricePremAnnual*FY42</f>
        <v/>
      </c>
      <c r="GU42" s="9">
        <f>GR42+GS42+GT42</f>
        <v/>
      </c>
      <c r="GV42" s="12">
        <f>SUM(GU31:GU42)</f>
        <v/>
      </c>
      <c r="GW42" s="12">
        <f>OR(GW41,GV42&gt;=VATThreshold)</f>
        <v/>
      </c>
      <c r="GX42" s="9">
        <f>IF(GW42,GU42/(1+VATRate),GU42)</f>
        <v/>
      </c>
      <c r="GY42" s="12">
        <f>GU42-GX42</f>
        <v/>
      </c>
      <c r="GZ42" s="12">
        <f>IF(GW42=0,0,IF(FV42=1,SUMPRODUCT(--(($FW$5:$FW42=$FW42-1)*($FV$5:$FV42&gt;=10)*($FV$5:$FV42&lt;=12)),$GY$5:$GY42),IF(FV42=4,SUMPRODUCT(--(($FW$5:$FW42=$FW42)*($FV$5:$FV42&gt;=1)*($FV$5:$FV42&lt;=3)),$GY$5:$GY42),IF(FV42=7,SUMPRODUCT(--(($FW$5:$FW42=$FW42)*($FV$5:$FV42&gt;=4)*($FV$5:$FV42&lt;=6)),$GY$5:$GY42),IF(FV42=10,SUMPRODUCT(--(($FW$5:$FW42=$FW42)*($FV$5:$FV42&gt;=7)*($FV$5:$FV42&lt;=9)),$GY$5:$GY42),0)))))</f>
        <v/>
      </c>
      <c r="HA42" s="12">
        <f>HA41+GY42-GZ42</f>
        <v/>
      </c>
      <c r="HB42" s="12">
        <f>IF(ProviderDelay&gt;=1,GX41*ProviderShare,GX42*ProviderShare)</f>
        <v/>
      </c>
      <c r="HC42" s="12">
        <f>GU42*PaymentFee</f>
        <v/>
      </c>
      <c r="HD42" s="12">
        <f>GO42*OpsAI</f>
        <v/>
      </c>
      <c r="HE42" s="12">
        <f>MonthlyFixed</f>
        <v/>
      </c>
      <c r="HF42" s="12">
        <f>GC42*ReferralReward</f>
        <v/>
      </c>
      <c r="HG42" s="12">
        <f>GA42</f>
        <v/>
      </c>
      <c r="HH42" s="9">
        <f>GX42-HB42-HC42-HD42-HE42-HF42-HG42</f>
        <v/>
      </c>
      <c r="HI42" s="9">
        <f>HI41+GU42-(HB42+HC42+HD42+HE42+HF42+HG42+GZ42)</f>
        <v/>
      </c>
      <c r="HJ42" s="12">
        <f>IF(GO42&gt;0,GP42/GO42,0)</f>
        <v/>
      </c>
      <c r="HK42" s="11">
        <f>IF(GO41&gt;0,MAX(0,(GO41+GD42-GO42)/GO41),0)</f>
        <v/>
      </c>
      <c r="HM42" s="12" t="n">
        <v>38</v>
      </c>
      <c r="HN42" s="12">
        <f>MOD(HM42-1+LaunchMonth-1,12)+1</f>
        <v/>
      </c>
      <c r="HO42" s="12">
        <f>INT((HM42-1+LaunchMonth-1)/12)+1</f>
        <v/>
      </c>
      <c r="HP42" s="12">
        <f>VLOOKUP(HN42,SeasonTable,2,FALSE)</f>
        <v/>
      </c>
      <c r="HQ42" s="12">
        <f>(1+InflationRate)^INT((HM42-1)/12)</f>
        <v/>
      </c>
      <c r="HR42" s="11">
        <f>'Sens - Churn'!$A$15*VLOOKUP(HN42,ChurnSeasonTable,4,FALSE)</f>
        <v/>
      </c>
      <c r="HS42" s="12">
        <f>MIN(MAX(MktMin19plus,IM41*MktPct19plus),MAX(0,JA41-CashBuffer))</f>
        <v/>
      </c>
      <c r="HT42" s="12">
        <f>IF(HS42&gt;0,MAX(1,ROUND(HS42/CAC*HP42,0)),0)</f>
        <v/>
      </c>
      <c r="HU42" s="12">
        <f>IF(HT42&gt;0,ROUND(HT42*ReferralMix/(1-ReferralMix),0),0)</f>
        <v/>
      </c>
      <c r="HV42" s="12">
        <f>HT42+HU42</f>
        <v/>
      </c>
      <c r="HW42" s="12">
        <f>ROUND(HV42*(1-AnnualMix),0)</f>
        <v/>
      </c>
      <c r="HX42" s="12">
        <f>HV42-HW42</f>
        <v/>
      </c>
      <c r="HY42" s="12">
        <f>ROUND(HW42*EssentialMix,0)</f>
        <v/>
      </c>
      <c r="HZ42" s="12">
        <f>HW42-HY42</f>
        <v/>
      </c>
      <c r="IA42" s="12">
        <f>ROUND(HX42*EssentialMix,0)</f>
        <v/>
      </c>
      <c r="IB42" s="12">
        <f>HX42-IA42</f>
        <v/>
      </c>
      <c r="IC42" s="12">
        <f>HY42+HY41+HY40+MAX(0,IC41-HY41-HY40)*(1-HR42)</f>
        <v/>
      </c>
      <c r="ID42" s="12">
        <f>HZ42+HZ41+HZ40+MAX(0,ID41-HZ41-HZ40)*(1-HR42)</f>
        <v/>
      </c>
      <c r="IE42" s="12">
        <f>IE41+IA42-IA30*(AnnualChurn*VLOOKUP(HN42,ChurnSeasonTable,4,FALSE))*POWER(1-(AnnualChurn*VLOOKUP(HN42,ChurnSeasonTable,4,FALSE)),0)+IA18*(AnnualChurn*VLOOKUP(HN42,ChurnSeasonTable,4,FALSE))*POWER(1-(AnnualChurn*VLOOKUP(HN42,ChurnSeasonTable,4,FALSE)),1)+IA6*(AnnualChurn*VLOOKUP(HN42,ChurnSeasonTable,4,FALSE))*POWER(1-(AnnualChurn*VLOOKUP(HN42,ChurnSeasonTable,4,FALSE)),2)</f>
        <v/>
      </c>
      <c r="IF42" s="12">
        <f>IF41+IB42-IB30*(AnnualChurn*VLOOKUP(HN42,ChurnSeasonTable,4,FALSE))*POWER(1-(AnnualChurn*VLOOKUP(HN42,ChurnSeasonTable,4,FALSE)),0)+IB18*(AnnualChurn*VLOOKUP(HN42,ChurnSeasonTable,4,FALSE))*POWER(1-(AnnualChurn*VLOOKUP(HN42,ChurnSeasonTable,4,FALSE)),1)+IB6*(AnnualChurn*VLOOKUP(HN42,ChurnSeasonTable,4,FALSE))*POWER(1-(AnnualChurn*VLOOKUP(HN42,ChurnSeasonTable,4,FALSE)),2)</f>
        <v/>
      </c>
      <c r="IG42" s="12">
        <f>IC42+ID42+IE42+IF42</f>
        <v/>
      </c>
      <c r="IH42" s="9">
        <f>IC42*PriceEssMonthly*HQ42+ID42*PricePremMonthly*HQ42+IE42*PriceEssAnnual*HQ42/12+IF42*PricePremAnnual*HQ42/12</f>
        <v/>
      </c>
      <c r="II42" s="9">
        <f>IH42*12</f>
        <v/>
      </c>
      <c r="IJ42" s="12">
        <f>IC42*PriceEssMonthly*HQ42+ID42*PricePremMonthly*HQ42</f>
        <v/>
      </c>
      <c r="IK42" s="12">
        <f>IA42*PriceEssAnnual*HQ42+IB42*PricePremAnnual*HQ42</f>
        <v/>
      </c>
      <c r="IL42" s="12">
        <f>IA30*POWER(1-(AnnualChurn*VLOOKUP(HN42,ChurnSeasonTable,4,FALSE)),1)*PriceEssAnnual*HQ42+IA18*POWER(1-(AnnualChurn*VLOOKUP(HN42,ChurnSeasonTable,4,FALSE)),2)*PriceEssAnnual*HQ42+IA6*POWER(1-(AnnualChurn*VLOOKUP(HN42,ChurnSeasonTable,4,FALSE)),3)*PriceEssAnnual*HQ42+IB30*POWER(1-(AnnualChurn*VLOOKUP(HN42,ChurnSeasonTable,4,FALSE)),1)*PricePremAnnual*HQ42+IB18*POWER(1-(AnnualChurn*VLOOKUP(HN42,ChurnSeasonTable,4,FALSE)),2)*PricePremAnnual*HQ42+IB6*POWER(1-(AnnualChurn*VLOOKUP(HN42,ChurnSeasonTable,4,FALSE)),3)*PricePremAnnual*HQ42</f>
        <v/>
      </c>
      <c r="IM42" s="9">
        <f>IJ42+IK42+IL42</f>
        <v/>
      </c>
      <c r="IN42" s="12">
        <f>SUM(IM31:IM42)</f>
        <v/>
      </c>
      <c r="IO42" s="12">
        <f>OR(IO41,IN42&gt;=VATThreshold)</f>
        <v/>
      </c>
      <c r="IP42" s="9">
        <f>IF(IO42,IM42/(1+VATRate),IM42)</f>
        <v/>
      </c>
      <c r="IQ42" s="12">
        <f>IM42-IP42</f>
        <v/>
      </c>
      <c r="IR42" s="12">
        <f>IF(IO42=0,0,IF(HN42=1,SUMPRODUCT(--(($HO$5:$HO42=$HO42-1)*($HN$5:$HN42&gt;=10)*($HN$5:$HN42&lt;=12)),$IQ$5:$IQ42),IF(HN42=4,SUMPRODUCT(--(($HO$5:$HO42=$HO42)*($HN$5:$HN42&gt;=1)*($HN$5:$HN42&lt;=3)),$IQ$5:$IQ42),IF(HN42=7,SUMPRODUCT(--(($HO$5:$HO42=$HO42)*($HN$5:$HN42&gt;=4)*($HN$5:$HN42&lt;=6)),$IQ$5:$IQ42),IF(HN42=10,SUMPRODUCT(--(($HO$5:$HO42=$HO42)*($HN$5:$HN42&gt;=7)*($HN$5:$HN42&lt;=9)),$IQ$5:$IQ42),0)))))</f>
        <v/>
      </c>
      <c r="IS42" s="12">
        <f>IS41+IQ42-IR42</f>
        <v/>
      </c>
      <c r="IT42" s="12">
        <f>IF(ProviderDelay&gt;=1,IP41*ProviderShare,IP42*ProviderShare)</f>
        <v/>
      </c>
      <c r="IU42" s="12">
        <f>IM42*PaymentFee</f>
        <v/>
      </c>
      <c r="IV42" s="12">
        <f>IG42*OpsAI</f>
        <v/>
      </c>
      <c r="IW42" s="12">
        <f>MonthlyFixed</f>
        <v/>
      </c>
      <c r="IX42" s="12">
        <f>HU42*ReferralReward</f>
        <v/>
      </c>
      <c r="IY42" s="12">
        <f>HS42</f>
        <v/>
      </c>
      <c r="IZ42" s="9">
        <f>IP42-IT42-IU42-IV42-IW42-IX42-IY42</f>
        <v/>
      </c>
      <c r="JA42" s="9">
        <f>JA41+IM42-(IT42+IU42+IV42+IW42+IX42+IY42+IR42)</f>
        <v/>
      </c>
      <c r="JB42" s="12">
        <f>IF(IG42&gt;0,IH42/IG42,0)</f>
        <v/>
      </c>
      <c r="JC42" s="11">
        <f>IF(IG41&gt;0,MAX(0,(IG41+HV42-IG42)/IG41),0)</f>
        <v/>
      </c>
      <c r="JE42" s="12" t="n">
        <v>38</v>
      </c>
      <c r="JF42" s="12">
        <f>MOD(JE42-1+LaunchMonth-1,12)+1</f>
        <v/>
      </c>
      <c r="JG42" s="12">
        <f>INT((JE42-1+LaunchMonth-1)/12)+1</f>
        <v/>
      </c>
      <c r="JH42" s="12">
        <f>VLOOKUP(JF42,SeasonTable,2,FALSE)</f>
        <v/>
      </c>
      <c r="JI42" s="12">
        <f>(1+InflationRate)^INT((JE42-1)/12)</f>
        <v/>
      </c>
      <c r="JJ42" s="11">
        <f>'Sens - Churn'!$A$16*VLOOKUP(JF42,ChurnSeasonTable,4,FALSE)</f>
        <v/>
      </c>
      <c r="JK42" s="12">
        <f>MIN(MAX(MktMin19plus,KE41*MktPct19plus),MAX(0,KS41-CashBuffer))</f>
        <v/>
      </c>
      <c r="JL42" s="12">
        <f>IF(JK42&gt;0,MAX(1,ROUND(JK42/CAC*JH42,0)),0)</f>
        <v/>
      </c>
      <c r="JM42" s="12">
        <f>IF(JL42&gt;0,ROUND(JL42*ReferralMix/(1-ReferralMix),0),0)</f>
        <v/>
      </c>
      <c r="JN42" s="12">
        <f>JL42+JM42</f>
        <v/>
      </c>
      <c r="JO42" s="12">
        <f>ROUND(JN42*(1-AnnualMix),0)</f>
        <v/>
      </c>
      <c r="JP42" s="12">
        <f>JN42-JO42</f>
        <v/>
      </c>
      <c r="JQ42" s="12">
        <f>ROUND(JO42*EssentialMix,0)</f>
        <v/>
      </c>
      <c r="JR42" s="12">
        <f>JO42-JQ42</f>
        <v/>
      </c>
      <c r="JS42" s="12">
        <f>ROUND(JP42*EssentialMix,0)</f>
        <v/>
      </c>
      <c r="JT42" s="12">
        <f>JP42-JS42</f>
        <v/>
      </c>
      <c r="JU42" s="12">
        <f>JQ42+JQ41+JQ40+MAX(0,JU41-JQ41-JQ40)*(1-JJ42)</f>
        <v/>
      </c>
      <c r="JV42" s="12">
        <f>JR42+JR41+JR40+MAX(0,JV41-JR41-JR40)*(1-JJ42)</f>
        <v/>
      </c>
      <c r="JW42" s="12">
        <f>JW41+JS42-JS30*(AnnualChurn*VLOOKUP(JF42,ChurnSeasonTable,4,FALSE))*POWER(1-(AnnualChurn*VLOOKUP(JF42,ChurnSeasonTable,4,FALSE)),0)+JS18*(AnnualChurn*VLOOKUP(JF42,ChurnSeasonTable,4,FALSE))*POWER(1-(AnnualChurn*VLOOKUP(JF42,ChurnSeasonTable,4,FALSE)),1)+JS6*(AnnualChurn*VLOOKUP(JF42,ChurnSeasonTable,4,FALSE))*POWER(1-(AnnualChurn*VLOOKUP(JF42,ChurnSeasonTable,4,FALSE)),2)</f>
        <v/>
      </c>
      <c r="JX42" s="12">
        <f>JX41+JT42-JT30*(AnnualChurn*VLOOKUP(JF42,ChurnSeasonTable,4,FALSE))*POWER(1-(AnnualChurn*VLOOKUP(JF42,ChurnSeasonTable,4,FALSE)),0)+JT18*(AnnualChurn*VLOOKUP(JF42,ChurnSeasonTable,4,FALSE))*POWER(1-(AnnualChurn*VLOOKUP(JF42,ChurnSeasonTable,4,FALSE)),1)+JT6*(AnnualChurn*VLOOKUP(JF42,ChurnSeasonTable,4,FALSE))*POWER(1-(AnnualChurn*VLOOKUP(JF42,ChurnSeasonTable,4,FALSE)),2)</f>
        <v/>
      </c>
      <c r="JY42" s="12">
        <f>JU42+JV42+JW42+JX42</f>
        <v/>
      </c>
      <c r="JZ42" s="9">
        <f>JU42*PriceEssMonthly*JI42+JV42*PricePremMonthly*JI42+JW42*PriceEssAnnual*JI42/12+JX42*PricePremAnnual*JI42/12</f>
        <v/>
      </c>
      <c r="KA42" s="9">
        <f>JZ42*12</f>
        <v/>
      </c>
      <c r="KB42" s="12">
        <f>JU42*PriceEssMonthly*JI42+JV42*PricePremMonthly*JI42</f>
        <v/>
      </c>
      <c r="KC42" s="12">
        <f>JS42*PriceEssAnnual*JI42+JT42*PricePremAnnual*JI42</f>
        <v/>
      </c>
      <c r="KD42" s="12">
        <f>JS30*POWER(1-(AnnualChurn*VLOOKUP(JF42,ChurnSeasonTable,4,FALSE)),1)*PriceEssAnnual*JI42+JS18*POWER(1-(AnnualChurn*VLOOKUP(JF42,ChurnSeasonTable,4,FALSE)),2)*PriceEssAnnual*JI42+JS6*POWER(1-(AnnualChurn*VLOOKUP(JF42,ChurnSeasonTable,4,FALSE)),3)*PriceEssAnnual*JI42+JT30*POWER(1-(AnnualChurn*VLOOKUP(JF42,ChurnSeasonTable,4,FALSE)),1)*PricePremAnnual*JI42+JT18*POWER(1-(AnnualChurn*VLOOKUP(JF42,ChurnSeasonTable,4,FALSE)),2)*PricePremAnnual*JI42+JT6*POWER(1-(AnnualChurn*VLOOKUP(JF42,ChurnSeasonTable,4,FALSE)),3)*PricePremAnnual*JI42</f>
        <v/>
      </c>
      <c r="KE42" s="9">
        <f>KB42+KC42+KD42</f>
        <v/>
      </c>
      <c r="KF42" s="12">
        <f>SUM(KE31:KE42)</f>
        <v/>
      </c>
      <c r="KG42" s="12">
        <f>OR(KG41,KF42&gt;=VATThreshold)</f>
        <v/>
      </c>
      <c r="KH42" s="9">
        <f>IF(KG42,KE42/(1+VATRate),KE42)</f>
        <v/>
      </c>
      <c r="KI42" s="12">
        <f>KE42-KH42</f>
        <v/>
      </c>
      <c r="KJ42" s="12">
        <f>IF(KG42=0,0,IF(JF42=1,SUMPRODUCT(--(($JG$5:$JG42=$JG42-1)*($JF$5:$JF42&gt;=10)*($JF$5:$JF42&lt;=12)),$KI$5:$KI42),IF(JF42=4,SUMPRODUCT(--(($JG$5:$JG42=$JG42)*($JF$5:$JF42&gt;=1)*($JF$5:$JF42&lt;=3)),$KI$5:$KI42),IF(JF42=7,SUMPRODUCT(--(($JG$5:$JG42=$JG42)*($JF$5:$JF42&gt;=4)*($JF$5:$JF42&lt;=6)),$KI$5:$KI42),IF(JF42=10,SUMPRODUCT(--(($JG$5:$JG42=$JG42)*($JF$5:$JF42&gt;=7)*($JF$5:$JF42&lt;=9)),$KI$5:$KI42),0)))))</f>
        <v/>
      </c>
      <c r="KK42" s="12">
        <f>KK41+KI42-KJ42</f>
        <v/>
      </c>
      <c r="KL42" s="12">
        <f>IF(ProviderDelay&gt;=1,KH41*ProviderShare,KH42*ProviderShare)</f>
        <v/>
      </c>
      <c r="KM42" s="12">
        <f>KE42*PaymentFee</f>
        <v/>
      </c>
      <c r="KN42" s="12">
        <f>JY42*OpsAI</f>
        <v/>
      </c>
      <c r="KO42" s="12">
        <f>MonthlyFixed</f>
        <v/>
      </c>
      <c r="KP42" s="12">
        <f>JM42*ReferralReward</f>
        <v/>
      </c>
      <c r="KQ42" s="12">
        <f>JK42</f>
        <v/>
      </c>
      <c r="KR42" s="9">
        <f>KH42-KL42-KM42-KN42-KO42-KP42-KQ42</f>
        <v/>
      </c>
      <c r="KS42" s="9">
        <f>KS41+KE42-(KL42+KM42+KN42+KO42+KP42+KQ42+KJ42)</f>
        <v/>
      </c>
      <c r="KT42" s="12">
        <f>IF(JY42&gt;0,JZ42/JY42,0)</f>
        <v/>
      </c>
      <c r="KU42" s="11">
        <f>IF(JY41&gt;0,MAX(0,(JY41+JN42-JY42)/JY41),0)</f>
        <v/>
      </c>
      <c r="KW42" s="12" t="n">
        <v>38</v>
      </c>
      <c r="KX42" s="12">
        <f>MOD(KW42-1+LaunchMonth-1,12)+1</f>
        <v/>
      </c>
      <c r="KY42" s="12">
        <f>INT((KW42-1+LaunchMonth-1)/12)+1</f>
        <v/>
      </c>
      <c r="KZ42" s="12">
        <f>VLOOKUP(KX42,SeasonTable,2,FALSE)</f>
        <v/>
      </c>
      <c r="LA42" s="12">
        <f>(1+InflationRate)^INT((KW42-1)/12)</f>
        <v/>
      </c>
      <c r="LB42" s="11">
        <f>'Sens - Churn'!$A$17*VLOOKUP(KX42,ChurnSeasonTable,4,FALSE)</f>
        <v/>
      </c>
      <c r="LC42" s="12">
        <f>MIN(MAX(MktMin19plus,LW41*MktPct19plus),MAX(0,MK41-CashBuffer))</f>
        <v/>
      </c>
      <c r="LD42" s="12">
        <f>IF(LC42&gt;0,MAX(1,ROUND(LC42/CAC*KZ42,0)),0)</f>
        <v/>
      </c>
      <c r="LE42" s="12">
        <f>IF(LD42&gt;0,ROUND(LD42*ReferralMix/(1-ReferralMix),0),0)</f>
        <v/>
      </c>
      <c r="LF42" s="12">
        <f>LD42+LE42</f>
        <v/>
      </c>
      <c r="LG42" s="12">
        <f>ROUND(LF42*(1-AnnualMix),0)</f>
        <v/>
      </c>
      <c r="LH42" s="12">
        <f>LF42-LG42</f>
        <v/>
      </c>
      <c r="LI42" s="12">
        <f>ROUND(LG42*EssentialMix,0)</f>
        <v/>
      </c>
      <c r="LJ42" s="12">
        <f>LG42-LI42</f>
        <v/>
      </c>
      <c r="LK42" s="12">
        <f>ROUND(LH42*EssentialMix,0)</f>
        <v/>
      </c>
      <c r="LL42" s="12">
        <f>LH42-LK42</f>
        <v/>
      </c>
      <c r="LM42" s="12">
        <f>LI42+LI41+LI40+MAX(0,LM41-LI41-LI40)*(1-LB42)</f>
        <v/>
      </c>
      <c r="LN42" s="12">
        <f>LJ42+LJ41+LJ40+MAX(0,LN41-LJ41-LJ40)*(1-LB42)</f>
        <v/>
      </c>
      <c r="LO42" s="12">
        <f>LO41+LK42-LK30*(AnnualChurn*VLOOKUP(KX42,ChurnSeasonTable,4,FALSE))*POWER(1-(AnnualChurn*VLOOKUP(KX42,ChurnSeasonTable,4,FALSE)),0)+LK18*(AnnualChurn*VLOOKUP(KX42,ChurnSeasonTable,4,FALSE))*POWER(1-(AnnualChurn*VLOOKUP(KX42,ChurnSeasonTable,4,FALSE)),1)+LK6*(AnnualChurn*VLOOKUP(KX42,ChurnSeasonTable,4,FALSE))*POWER(1-(AnnualChurn*VLOOKUP(KX42,ChurnSeasonTable,4,FALSE)),2)</f>
        <v/>
      </c>
      <c r="LP42" s="12">
        <f>LP41+LL42-LL30*(AnnualChurn*VLOOKUP(KX42,ChurnSeasonTable,4,FALSE))*POWER(1-(AnnualChurn*VLOOKUP(KX42,ChurnSeasonTable,4,FALSE)),0)+LL18*(AnnualChurn*VLOOKUP(KX42,ChurnSeasonTable,4,FALSE))*POWER(1-(AnnualChurn*VLOOKUP(KX42,ChurnSeasonTable,4,FALSE)),1)+LL6*(AnnualChurn*VLOOKUP(KX42,ChurnSeasonTable,4,FALSE))*POWER(1-(AnnualChurn*VLOOKUP(KX42,ChurnSeasonTable,4,FALSE)),2)</f>
        <v/>
      </c>
      <c r="LQ42" s="12">
        <f>LM42+LN42+LO42+LP42</f>
        <v/>
      </c>
      <c r="LR42" s="9">
        <f>LM42*PriceEssMonthly*LA42+LN42*PricePremMonthly*LA42+LO42*PriceEssAnnual*LA42/12+LP42*PricePremAnnual*LA42/12</f>
        <v/>
      </c>
      <c r="LS42" s="9">
        <f>LR42*12</f>
        <v/>
      </c>
      <c r="LT42" s="12">
        <f>LM42*PriceEssMonthly*LA42+LN42*PricePremMonthly*LA42</f>
        <v/>
      </c>
      <c r="LU42" s="12">
        <f>LK42*PriceEssAnnual*LA42+LL42*PricePremAnnual*LA42</f>
        <v/>
      </c>
      <c r="LV42" s="12">
        <f>LK30*POWER(1-(AnnualChurn*VLOOKUP(KX42,ChurnSeasonTable,4,FALSE)),1)*PriceEssAnnual*LA42+LK18*POWER(1-(AnnualChurn*VLOOKUP(KX42,ChurnSeasonTable,4,FALSE)),2)*PriceEssAnnual*LA42+LK6*POWER(1-(AnnualChurn*VLOOKUP(KX42,ChurnSeasonTable,4,FALSE)),3)*PriceEssAnnual*LA42+LL30*POWER(1-(AnnualChurn*VLOOKUP(KX42,ChurnSeasonTable,4,FALSE)),1)*PricePremAnnual*LA42+LL18*POWER(1-(AnnualChurn*VLOOKUP(KX42,ChurnSeasonTable,4,FALSE)),2)*PricePremAnnual*LA42+LL6*POWER(1-(AnnualChurn*VLOOKUP(KX42,ChurnSeasonTable,4,FALSE)),3)*PricePremAnnual*LA42</f>
        <v/>
      </c>
      <c r="LW42" s="9">
        <f>LT42+LU42+LV42</f>
        <v/>
      </c>
      <c r="LX42" s="12">
        <f>SUM(LW31:LW42)</f>
        <v/>
      </c>
      <c r="LY42" s="12">
        <f>OR(LY41,LX42&gt;=VATThreshold)</f>
        <v/>
      </c>
      <c r="LZ42" s="9">
        <f>IF(LY42,LW42/(1+VATRate),LW42)</f>
        <v/>
      </c>
      <c r="MA42" s="12">
        <f>LW42-LZ42</f>
        <v/>
      </c>
      <c r="MB42" s="12">
        <f>IF(LY42=0,0,IF(KX42=1,SUMPRODUCT(--(($KY$5:$KY42=$KY42-1)*($KX$5:$KX42&gt;=10)*($KX$5:$KX42&lt;=12)),$MA$5:$MA42),IF(KX42=4,SUMPRODUCT(--(($KY$5:$KY42=$KY42)*($KX$5:$KX42&gt;=1)*($KX$5:$KX42&lt;=3)),$MA$5:$MA42),IF(KX42=7,SUMPRODUCT(--(($KY$5:$KY42=$KY42)*($KX$5:$KX42&gt;=4)*($KX$5:$KX42&lt;=6)),$MA$5:$MA42),IF(KX42=10,SUMPRODUCT(--(($KY$5:$KY42=$KY42)*($KX$5:$KX42&gt;=7)*($KX$5:$KX42&lt;=9)),$MA$5:$MA42),0)))))</f>
        <v/>
      </c>
      <c r="MC42" s="12">
        <f>MC41+MA42-MB42</f>
        <v/>
      </c>
      <c r="MD42" s="12">
        <f>IF(ProviderDelay&gt;=1,LZ41*ProviderShare,LZ42*ProviderShare)</f>
        <v/>
      </c>
      <c r="ME42" s="12">
        <f>LW42*PaymentFee</f>
        <v/>
      </c>
      <c r="MF42" s="12">
        <f>LQ42*OpsAI</f>
        <v/>
      </c>
      <c r="MG42" s="12">
        <f>MonthlyFixed</f>
        <v/>
      </c>
      <c r="MH42" s="12">
        <f>LE42*ReferralReward</f>
        <v/>
      </c>
      <c r="MI42" s="12">
        <f>LC42</f>
        <v/>
      </c>
      <c r="MJ42" s="9">
        <f>LZ42-MD42-ME42-MF42-MG42-MH42-MI42</f>
        <v/>
      </c>
      <c r="MK42" s="9">
        <f>MK41+LW42-(MD42+ME42+MF42+MG42+MH42+MI42+MB42)</f>
        <v/>
      </c>
      <c r="ML42" s="12">
        <f>IF(LQ42&gt;0,LR42/LQ42,0)</f>
        <v/>
      </c>
      <c r="MM42" s="11">
        <f>IF(LQ41&gt;0,MAX(0,(LQ41+LF42-LQ42)/LQ41),0)</f>
        <v/>
      </c>
      <c r="MO42" s="12" t="n">
        <v>38</v>
      </c>
      <c r="MP42" s="12">
        <f>MOD(MO42-1+LaunchMonth-1,12)+1</f>
        <v/>
      </c>
      <c r="MQ42" s="12">
        <f>INT((MO42-1+LaunchMonth-1)/12)+1</f>
        <v/>
      </c>
      <c r="MR42" s="12">
        <f>VLOOKUP(MP42,SeasonTable,2,FALSE)</f>
        <v/>
      </c>
      <c r="MS42" s="12">
        <f>(1+InflationRate)^INT((MO42-1)/12)</f>
        <v/>
      </c>
      <c r="MT42" s="11">
        <f>'Sens - Churn'!$A$18*VLOOKUP(MP42,ChurnSeasonTable,4,FALSE)</f>
        <v/>
      </c>
      <c r="MU42" s="12">
        <f>MIN(MAX(MktMin19plus,NO41*MktPct19plus),MAX(0,OC41-CashBuffer))</f>
        <v/>
      </c>
      <c r="MV42" s="12">
        <f>IF(MU42&gt;0,MAX(1,ROUND(MU42/CAC*MR42,0)),0)</f>
        <v/>
      </c>
      <c r="MW42" s="12">
        <f>IF(MV42&gt;0,ROUND(MV42*ReferralMix/(1-ReferralMix),0),0)</f>
        <v/>
      </c>
      <c r="MX42" s="12">
        <f>MV42+MW42</f>
        <v/>
      </c>
      <c r="MY42" s="12">
        <f>ROUND(MX42*(1-AnnualMix),0)</f>
        <v/>
      </c>
      <c r="MZ42" s="12">
        <f>MX42-MY42</f>
        <v/>
      </c>
      <c r="NA42" s="12">
        <f>ROUND(MY42*EssentialMix,0)</f>
        <v/>
      </c>
      <c r="NB42" s="12">
        <f>MY42-NA42</f>
        <v/>
      </c>
      <c r="NC42" s="12">
        <f>ROUND(MZ42*EssentialMix,0)</f>
        <v/>
      </c>
      <c r="ND42" s="12">
        <f>MZ42-NC42</f>
        <v/>
      </c>
      <c r="NE42" s="12">
        <f>NA42+NA41+NA40+MAX(0,NE41-NA41-NA40)*(1-MT42)</f>
        <v/>
      </c>
      <c r="NF42" s="12">
        <f>NB42+NB41+NB40+MAX(0,NF41-NB41-NB40)*(1-MT42)</f>
        <v/>
      </c>
      <c r="NG42" s="12">
        <f>NG41+NC42-NC30*(AnnualChurn*VLOOKUP(MP42,ChurnSeasonTable,4,FALSE))*POWER(1-(AnnualChurn*VLOOKUP(MP42,ChurnSeasonTable,4,FALSE)),0)+NC18*(AnnualChurn*VLOOKUP(MP42,ChurnSeasonTable,4,FALSE))*POWER(1-(AnnualChurn*VLOOKUP(MP42,ChurnSeasonTable,4,FALSE)),1)+NC6*(AnnualChurn*VLOOKUP(MP42,ChurnSeasonTable,4,FALSE))*POWER(1-(AnnualChurn*VLOOKUP(MP42,ChurnSeasonTable,4,FALSE)),2)</f>
        <v/>
      </c>
      <c r="NH42" s="12">
        <f>NH41+ND42-ND30*(AnnualChurn*VLOOKUP(MP42,ChurnSeasonTable,4,FALSE))*POWER(1-(AnnualChurn*VLOOKUP(MP42,ChurnSeasonTable,4,FALSE)),0)+ND18*(AnnualChurn*VLOOKUP(MP42,ChurnSeasonTable,4,FALSE))*POWER(1-(AnnualChurn*VLOOKUP(MP42,ChurnSeasonTable,4,FALSE)),1)+ND6*(AnnualChurn*VLOOKUP(MP42,ChurnSeasonTable,4,FALSE))*POWER(1-(AnnualChurn*VLOOKUP(MP42,ChurnSeasonTable,4,FALSE)),2)</f>
        <v/>
      </c>
      <c r="NI42" s="12">
        <f>NE42+NF42+NG42+NH42</f>
        <v/>
      </c>
      <c r="NJ42" s="9">
        <f>NE42*PriceEssMonthly*MS42+NF42*PricePremMonthly*MS42+NG42*PriceEssAnnual*MS42/12+NH42*PricePremAnnual*MS42/12</f>
        <v/>
      </c>
      <c r="NK42" s="9">
        <f>NJ42*12</f>
        <v/>
      </c>
      <c r="NL42" s="12">
        <f>NE42*PriceEssMonthly*MS42+NF42*PricePremMonthly*MS42</f>
        <v/>
      </c>
      <c r="NM42" s="12">
        <f>NC42*PriceEssAnnual*MS42+ND42*PricePremAnnual*MS42</f>
        <v/>
      </c>
      <c r="NN42" s="12">
        <f>NC30*POWER(1-(AnnualChurn*VLOOKUP(MP42,ChurnSeasonTable,4,FALSE)),1)*PriceEssAnnual*MS42+NC18*POWER(1-(AnnualChurn*VLOOKUP(MP42,ChurnSeasonTable,4,FALSE)),2)*PriceEssAnnual*MS42+NC6*POWER(1-(AnnualChurn*VLOOKUP(MP42,ChurnSeasonTable,4,FALSE)),3)*PriceEssAnnual*MS42+ND30*POWER(1-(AnnualChurn*VLOOKUP(MP42,ChurnSeasonTable,4,FALSE)),1)*PricePremAnnual*MS42+ND18*POWER(1-(AnnualChurn*VLOOKUP(MP42,ChurnSeasonTable,4,FALSE)),2)*PricePremAnnual*MS42+ND6*POWER(1-(AnnualChurn*VLOOKUP(MP42,ChurnSeasonTable,4,FALSE)),3)*PricePremAnnual*MS42</f>
        <v/>
      </c>
      <c r="NO42" s="9">
        <f>NL42+NM42+NN42</f>
        <v/>
      </c>
      <c r="NP42" s="12">
        <f>SUM(NO31:NO42)</f>
        <v/>
      </c>
      <c r="NQ42" s="12">
        <f>OR(NQ41,NP42&gt;=VATThreshold)</f>
        <v/>
      </c>
      <c r="NR42" s="9">
        <f>IF(NQ42,NO42/(1+VATRate),NO42)</f>
        <v/>
      </c>
      <c r="NS42" s="12">
        <f>NO42-NR42</f>
        <v/>
      </c>
      <c r="NT42" s="12">
        <f>IF(NQ42=0,0,IF(MP42=1,SUMPRODUCT(--(($MQ$5:$MQ42=$MQ42-1)*($MP$5:$MP42&gt;=10)*($MP$5:$MP42&lt;=12)),$NS$5:$NS42),IF(MP42=4,SUMPRODUCT(--(($MQ$5:$MQ42=$MQ42)*($MP$5:$MP42&gt;=1)*($MP$5:$MP42&lt;=3)),$NS$5:$NS42),IF(MP42=7,SUMPRODUCT(--(($MQ$5:$MQ42=$MQ42)*($MP$5:$MP42&gt;=4)*($MP$5:$MP42&lt;=6)),$NS$5:$NS42),IF(MP42=10,SUMPRODUCT(--(($MQ$5:$MQ42=$MQ42)*($MP$5:$MP42&gt;=7)*($MP$5:$MP42&lt;=9)),$NS$5:$NS42),0)))))</f>
        <v/>
      </c>
      <c r="NU42" s="12">
        <f>NU41+NS42-NT42</f>
        <v/>
      </c>
      <c r="NV42" s="12">
        <f>IF(ProviderDelay&gt;=1,NR41*ProviderShare,NR42*ProviderShare)</f>
        <v/>
      </c>
      <c r="NW42" s="12">
        <f>NO42*PaymentFee</f>
        <v/>
      </c>
      <c r="NX42" s="12">
        <f>NI42*OpsAI</f>
        <v/>
      </c>
      <c r="NY42" s="12">
        <f>MonthlyFixed</f>
        <v/>
      </c>
      <c r="NZ42" s="12">
        <f>MW42*ReferralReward</f>
        <v/>
      </c>
      <c r="OA42" s="12">
        <f>MU42</f>
        <v/>
      </c>
      <c r="OB42" s="9">
        <f>NR42-NV42-NW42-NX42-NY42-NZ42-OA42</f>
        <v/>
      </c>
      <c r="OC42" s="9">
        <f>OC41+NO42-(NV42+NW42+NX42+NY42+NZ42+OA42+NT42)</f>
        <v/>
      </c>
      <c r="OD42" s="12">
        <f>IF(NI42&gt;0,NJ42/NI42,0)</f>
        <v/>
      </c>
      <c r="OE42" s="11">
        <f>IF(NI41&gt;0,MAX(0,(NI41+MX42-NI42)/NI41),0)</f>
        <v/>
      </c>
      <c r="OG42" s="12" t="n">
        <v>38</v>
      </c>
      <c r="OH42" s="12">
        <f>MOD(OG42-1+LaunchMonth-1,12)+1</f>
        <v/>
      </c>
      <c r="OI42" s="12">
        <f>INT((OG42-1+LaunchMonth-1)/12)+1</f>
        <v/>
      </c>
      <c r="OJ42" s="12">
        <f>VLOOKUP(OH42,SeasonTable,2,FALSE)</f>
        <v/>
      </c>
      <c r="OK42" s="12">
        <f>(1+InflationRate)^INT((OG42-1)/12)</f>
        <v/>
      </c>
      <c r="OL42" s="11">
        <f>'Sens - Churn'!$A$19*VLOOKUP(OH42,ChurnSeasonTable,4,FALSE)</f>
        <v/>
      </c>
      <c r="OM42" s="12">
        <f>MIN(MAX(MktMin19plus,PG41*MktPct19plus),MAX(0,PU41-CashBuffer))</f>
        <v/>
      </c>
      <c r="ON42" s="12">
        <f>IF(OM42&gt;0,MAX(1,ROUND(OM42/CAC*OJ42,0)),0)</f>
        <v/>
      </c>
      <c r="OO42" s="12">
        <f>IF(ON42&gt;0,ROUND(ON42*ReferralMix/(1-ReferralMix),0),0)</f>
        <v/>
      </c>
      <c r="OP42" s="12">
        <f>ON42+OO42</f>
        <v/>
      </c>
      <c r="OQ42" s="12">
        <f>ROUND(OP42*(1-AnnualMix),0)</f>
        <v/>
      </c>
      <c r="OR42" s="12">
        <f>OP42-OQ42</f>
        <v/>
      </c>
      <c r="OS42" s="12">
        <f>ROUND(OQ42*EssentialMix,0)</f>
        <v/>
      </c>
      <c r="OT42" s="12">
        <f>OQ42-OS42</f>
        <v/>
      </c>
      <c r="OU42" s="12">
        <f>ROUND(OR42*EssentialMix,0)</f>
        <v/>
      </c>
      <c r="OV42" s="12">
        <f>OR42-OU42</f>
        <v/>
      </c>
      <c r="OW42" s="12">
        <f>OS42+OS41+OS40+MAX(0,OW41-OS41-OS40)*(1-OL42)</f>
        <v/>
      </c>
      <c r="OX42" s="12">
        <f>OT42+OT41+OT40+MAX(0,OX41-OT41-OT40)*(1-OL42)</f>
        <v/>
      </c>
      <c r="OY42" s="12">
        <f>OY41+OU42-OU30*(AnnualChurn*VLOOKUP(OH42,ChurnSeasonTable,4,FALSE))*POWER(1-(AnnualChurn*VLOOKUP(OH42,ChurnSeasonTable,4,FALSE)),0)+OU18*(AnnualChurn*VLOOKUP(OH42,ChurnSeasonTable,4,FALSE))*POWER(1-(AnnualChurn*VLOOKUP(OH42,ChurnSeasonTable,4,FALSE)),1)+OU6*(AnnualChurn*VLOOKUP(OH42,ChurnSeasonTable,4,FALSE))*POWER(1-(AnnualChurn*VLOOKUP(OH42,ChurnSeasonTable,4,FALSE)),2)</f>
        <v/>
      </c>
      <c r="OZ42" s="12">
        <f>OZ41+OV42-OV30*(AnnualChurn*VLOOKUP(OH42,ChurnSeasonTable,4,FALSE))*POWER(1-(AnnualChurn*VLOOKUP(OH42,ChurnSeasonTable,4,FALSE)),0)+OV18*(AnnualChurn*VLOOKUP(OH42,ChurnSeasonTable,4,FALSE))*POWER(1-(AnnualChurn*VLOOKUP(OH42,ChurnSeasonTable,4,FALSE)),1)+OV6*(AnnualChurn*VLOOKUP(OH42,ChurnSeasonTable,4,FALSE))*POWER(1-(AnnualChurn*VLOOKUP(OH42,ChurnSeasonTable,4,FALSE)),2)</f>
        <v/>
      </c>
      <c r="PA42" s="12">
        <f>OW42+OX42+OY42+OZ42</f>
        <v/>
      </c>
      <c r="PB42" s="9">
        <f>OW42*PriceEssMonthly*OK42+OX42*PricePremMonthly*OK42+OY42*PriceEssAnnual*OK42/12+OZ42*PricePremAnnual*OK42/12</f>
        <v/>
      </c>
      <c r="PC42" s="9">
        <f>PB42*12</f>
        <v/>
      </c>
      <c r="PD42" s="12">
        <f>OW42*PriceEssMonthly*OK42+OX42*PricePremMonthly*OK42</f>
        <v/>
      </c>
      <c r="PE42" s="12">
        <f>OU42*PriceEssAnnual*OK42+OV42*PricePremAnnual*OK42</f>
        <v/>
      </c>
      <c r="PF42" s="12">
        <f>OU30*POWER(1-(AnnualChurn*VLOOKUP(OH42,ChurnSeasonTable,4,FALSE)),1)*PriceEssAnnual*OK42+OU18*POWER(1-(AnnualChurn*VLOOKUP(OH42,ChurnSeasonTable,4,FALSE)),2)*PriceEssAnnual*OK42+OU6*POWER(1-(AnnualChurn*VLOOKUP(OH42,ChurnSeasonTable,4,FALSE)),3)*PriceEssAnnual*OK42+OV30*POWER(1-(AnnualChurn*VLOOKUP(OH42,ChurnSeasonTable,4,FALSE)),1)*PricePremAnnual*OK42+OV18*POWER(1-(AnnualChurn*VLOOKUP(OH42,ChurnSeasonTable,4,FALSE)),2)*PricePremAnnual*OK42+OV6*POWER(1-(AnnualChurn*VLOOKUP(OH42,ChurnSeasonTable,4,FALSE)),3)*PricePremAnnual*OK42</f>
        <v/>
      </c>
      <c r="PG42" s="9">
        <f>PD42+PE42+PF42</f>
        <v/>
      </c>
      <c r="PH42" s="12">
        <f>SUM(PG31:PG42)</f>
        <v/>
      </c>
      <c r="PI42" s="12">
        <f>OR(PI41,PH42&gt;=VATThreshold)</f>
        <v/>
      </c>
      <c r="PJ42" s="9">
        <f>IF(PI42,PG42/(1+VATRate),PG42)</f>
        <v/>
      </c>
      <c r="PK42" s="12">
        <f>PG42-PJ42</f>
        <v/>
      </c>
      <c r="PL42" s="12">
        <f>IF(PI42=0,0,IF(OH42=1,SUMPRODUCT(--(($OI$5:$OI42=$OI42-1)*($OH$5:$OH42&gt;=10)*($OH$5:$OH42&lt;=12)),$PK$5:$PK42),IF(OH42=4,SUMPRODUCT(--(($OI$5:$OI42=$OI42)*($OH$5:$OH42&gt;=1)*($OH$5:$OH42&lt;=3)),$PK$5:$PK42),IF(OH42=7,SUMPRODUCT(--(($OI$5:$OI42=$OI42)*($OH$5:$OH42&gt;=4)*($OH$5:$OH42&lt;=6)),$PK$5:$PK42),IF(OH42=10,SUMPRODUCT(--(($OI$5:$OI42=$OI42)*($OH$5:$OH42&gt;=7)*($OH$5:$OH42&lt;=9)),$PK$5:$PK42),0)))))</f>
        <v/>
      </c>
      <c r="PM42" s="12">
        <f>PM41+PK42-PL42</f>
        <v/>
      </c>
      <c r="PN42" s="12">
        <f>IF(ProviderDelay&gt;=1,PJ41*ProviderShare,PJ42*ProviderShare)</f>
        <v/>
      </c>
      <c r="PO42" s="12">
        <f>PG42*PaymentFee</f>
        <v/>
      </c>
      <c r="PP42" s="12">
        <f>PA42*OpsAI</f>
        <v/>
      </c>
      <c r="PQ42" s="12">
        <f>MonthlyFixed</f>
        <v/>
      </c>
      <c r="PR42" s="12">
        <f>OO42*ReferralReward</f>
        <v/>
      </c>
      <c r="PS42" s="12">
        <f>OM42</f>
        <v/>
      </c>
      <c r="PT42" s="9">
        <f>PJ42-PN42-PO42-PP42-PQ42-PR42-PS42</f>
        <v/>
      </c>
      <c r="PU42" s="9">
        <f>PU41+PG42-(PN42+PO42+PP42+PQ42+PR42+PS42+PL42)</f>
        <v/>
      </c>
      <c r="PV42" s="12">
        <f>IF(PA42&gt;0,PB42/PA42,0)</f>
        <v/>
      </c>
      <c r="PW42" s="11">
        <f>IF(PA41&gt;0,MAX(0,(PA41+OP42-PA42)/PA41),0)</f>
        <v/>
      </c>
      <c r="PY42" s="12" t="n">
        <v>38</v>
      </c>
      <c r="PZ42" s="12">
        <f>MOD(PY42-1+LaunchMonth-1,12)+1</f>
        <v/>
      </c>
      <c r="QA42" s="12">
        <f>INT((PY42-1+LaunchMonth-1)/12)+1</f>
        <v/>
      </c>
      <c r="QB42" s="12">
        <f>VLOOKUP(PZ42,SeasonTable,2,FALSE)</f>
        <v/>
      </c>
      <c r="QC42" s="12">
        <f>(1+InflationRate)^INT((PY42-1)/12)</f>
        <v/>
      </c>
      <c r="QD42" s="11">
        <f>'Sens - Churn'!$A$20*VLOOKUP(PZ42,ChurnSeasonTable,4,FALSE)</f>
        <v/>
      </c>
      <c r="QE42" s="12">
        <f>MIN(MAX(MktMin19plus,QY41*MktPct19plus),MAX(0,RM41-CashBuffer))</f>
        <v/>
      </c>
      <c r="QF42" s="12">
        <f>IF(QE42&gt;0,MAX(1,ROUND(QE42/CAC*QB42,0)),0)</f>
        <v/>
      </c>
      <c r="QG42" s="12">
        <f>IF(QF42&gt;0,ROUND(QF42*ReferralMix/(1-ReferralMix),0),0)</f>
        <v/>
      </c>
      <c r="QH42" s="12">
        <f>QF42+QG42</f>
        <v/>
      </c>
      <c r="QI42" s="12">
        <f>ROUND(QH42*(1-AnnualMix),0)</f>
        <v/>
      </c>
      <c r="QJ42" s="12">
        <f>QH42-QI42</f>
        <v/>
      </c>
      <c r="QK42" s="12">
        <f>ROUND(QI42*EssentialMix,0)</f>
        <v/>
      </c>
      <c r="QL42" s="12">
        <f>QI42-QK42</f>
        <v/>
      </c>
      <c r="QM42" s="12">
        <f>ROUND(QJ42*EssentialMix,0)</f>
        <v/>
      </c>
      <c r="QN42" s="12">
        <f>QJ42-QM42</f>
        <v/>
      </c>
      <c r="QO42" s="12">
        <f>QK42+QK41+QK40+MAX(0,QO41-QK41-QK40)*(1-QD42)</f>
        <v/>
      </c>
      <c r="QP42" s="12">
        <f>QL42+QL41+QL40+MAX(0,QP41-QL41-QL40)*(1-QD42)</f>
        <v/>
      </c>
      <c r="QQ42" s="12">
        <f>QQ41+QM42-QM30*(AnnualChurn*VLOOKUP(PZ42,ChurnSeasonTable,4,FALSE))*POWER(1-(AnnualChurn*VLOOKUP(PZ42,ChurnSeasonTable,4,FALSE)),0)+QM18*(AnnualChurn*VLOOKUP(PZ42,ChurnSeasonTable,4,FALSE))*POWER(1-(AnnualChurn*VLOOKUP(PZ42,ChurnSeasonTable,4,FALSE)),1)+QM6*(AnnualChurn*VLOOKUP(PZ42,ChurnSeasonTable,4,FALSE))*POWER(1-(AnnualChurn*VLOOKUP(PZ42,ChurnSeasonTable,4,FALSE)),2)</f>
        <v/>
      </c>
      <c r="QR42" s="12">
        <f>QR41+QN42-QN30*(AnnualChurn*VLOOKUP(PZ42,ChurnSeasonTable,4,FALSE))*POWER(1-(AnnualChurn*VLOOKUP(PZ42,ChurnSeasonTable,4,FALSE)),0)+QN18*(AnnualChurn*VLOOKUP(PZ42,ChurnSeasonTable,4,FALSE))*POWER(1-(AnnualChurn*VLOOKUP(PZ42,ChurnSeasonTable,4,FALSE)),1)+QN6*(AnnualChurn*VLOOKUP(PZ42,ChurnSeasonTable,4,FALSE))*POWER(1-(AnnualChurn*VLOOKUP(PZ42,ChurnSeasonTable,4,FALSE)),2)</f>
        <v/>
      </c>
      <c r="QS42" s="12">
        <f>QO42+QP42+QQ42+QR42</f>
        <v/>
      </c>
      <c r="QT42" s="9">
        <f>QO42*PriceEssMonthly*QC42+QP42*PricePremMonthly*QC42+QQ42*PriceEssAnnual*QC42/12+QR42*PricePremAnnual*QC42/12</f>
        <v/>
      </c>
      <c r="QU42" s="9">
        <f>QT42*12</f>
        <v/>
      </c>
      <c r="QV42" s="12">
        <f>QO42*PriceEssMonthly*QC42+QP42*PricePremMonthly*QC42</f>
        <v/>
      </c>
      <c r="QW42" s="12">
        <f>QM42*PriceEssAnnual*QC42+QN42*PricePremAnnual*QC42</f>
        <v/>
      </c>
      <c r="QX42" s="12">
        <f>QM30*POWER(1-(AnnualChurn*VLOOKUP(PZ42,ChurnSeasonTable,4,FALSE)),1)*PriceEssAnnual*QC42+QM18*POWER(1-(AnnualChurn*VLOOKUP(PZ42,ChurnSeasonTable,4,FALSE)),2)*PriceEssAnnual*QC42+QM6*POWER(1-(AnnualChurn*VLOOKUP(PZ42,ChurnSeasonTable,4,FALSE)),3)*PriceEssAnnual*QC42+QN30*POWER(1-(AnnualChurn*VLOOKUP(PZ42,ChurnSeasonTable,4,FALSE)),1)*PricePremAnnual*QC42+QN18*POWER(1-(AnnualChurn*VLOOKUP(PZ42,ChurnSeasonTable,4,FALSE)),2)*PricePremAnnual*QC42+QN6*POWER(1-(AnnualChurn*VLOOKUP(PZ42,ChurnSeasonTable,4,FALSE)),3)*PricePremAnnual*QC42</f>
        <v/>
      </c>
      <c r="QY42" s="9">
        <f>QV42+QW42+QX42</f>
        <v/>
      </c>
      <c r="QZ42" s="12">
        <f>SUM(QY31:QY42)</f>
        <v/>
      </c>
      <c r="RA42" s="12">
        <f>OR(RA41,QZ42&gt;=VATThreshold)</f>
        <v/>
      </c>
      <c r="RB42" s="9">
        <f>IF(RA42,QY42/(1+VATRate),QY42)</f>
        <v/>
      </c>
      <c r="RC42" s="12">
        <f>QY42-RB42</f>
        <v/>
      </c>
      <c r="RD42" s="12">
        <f>IF(RA42=0,0,IF(PZ42=1,SUMPRODUCT(--(($QA$5:$QA42=$QA42-1)*($PZ$5:$PZ42&gt;=10)*($PZ$5:$PZ42&lt;=12)),$RC$5:$RC42),IF(PZ42=4,SUMPRODUCT(--(($QA$5:$QA42=$QA42)*($PZ$5:$PZ42&gt;=1)*($PZ$5:$PZ42&lt;=3)),$RC$5:$RC42),IF(PZ42=7,SUMPRODUCT(--(($QA$5:$QA42=$QA42)*($PZ$5:$PZ42&gt;=4)*($PZ$5:$PZ42&lt;=6)),$RC$5:$RC42),IF(PZ42=10,SUMPRODUCT(--(($QA$5:$QA42=$QA42)*($PZ$5:$PZ42&gt;=7)*($PZ$5:$PZ42&lt;=9)),$RC$5:$RC42),0)))))</f>
        <v/>
      </c>
      <c r="RE42" s="12">
        <f>RE41+RC42-RD42</f>
        <v/>
      </c>
      <c r="RF42" s="12">
        <f>IF(ProviderDelay&gt;=1,RB41*ProviderShare,RB42*ProviderShare)</f>
        <v/>
      </c>
      <c r="RG42" s="12">
        <f>QY42*PaymentFee</f>
        <v/>
      </c>
      <c r="RH42" s="12">
        <f>QS42*OpsAI</f>
        <v/>
      </c>
      <c r="RI42" s="12">
        <f>MonthlyFixed</f>
        <v/>
      </c>
      <c r="RJ42" s="12">
        <f>QG42*ReferralReward</f>
        <v/>
      </c>
      <c r="RK42" s="12">
        <f>QE42</f>
        <v/>
      </c>
      <c r="RL42" s="9">
        <f>RB42-RF42-RG42-RH42-RI42-RJ42-RK42</f>
        <v/>
      </c>
      <c r="RM42" s="9">
        <f>RM41+QY42-(RF42+RG42+RH42+RI42+RJ42+RK42+RD42)</f>
        <v/>
      </c>
      <c r="RN42" s="12">
        <f>IF(QS42&gt;0,QT42/QS42,0)</f>
        <v/>
      </c>
      <c r="RO42" s="11">
        <f>IF(QS41&gt;0,MAX(0,(QS41+QH42-QS42)/QS41),0)</f>
        <v/>
      </c>
      <c r="RQ42" s="12" t="n">
        <v>38</v>
      </c>
      <c r="RR42" s="12">
        <f>MOD(RQ42-1+LaunchMonth-1,12)+1</f>
        <v/>
      </c>
      <c r="RS42" s="12">
        <f>INT((RQ42-1+LaunchMonth-1)/12)+1</f>
        <v/>
      </c>
      <c r="RT42" s="12">
        <f>VLOOKUP(RR42,SeasonTable,2,FALSE)</f>
        <v/>
      </c>
      <c r="RU42" s="12">
        <f>(1+InflationRate)^INT((RQ42-1)/12)</f>
        <v/>
      </c>
      <c r="RV42" s="11">
        <f>'Sens - Churn'!$A$21*VLOOKUP(RR42,ChurnSeasonTable,4,FALSE)</f>
        <v/>
      </c>
      <c r="RW42" s="12">
        <f>MIN(MAX(MktMin19plus,SQ41*MktPct19plus),MAX(0,TE41-CashBuffer))</f>
        <v/>
      </c>
      <c r="RX42" s="12">
        <f>IF(RW42&gt;0,MAX(1,ROUND(RW42/CAC*RT42,0)),0)</f>
        <v/>
      </c>
      <c r="RY42" s="12">
        <f>IF(RX42&gt;0,ROUND(RX42*ReferralMix/(1-ReferralMix),0),0)</f>
        <v/>
      </c>
      <c r="RZ42" s="12">
        <f>RX42+RY42</f>
        <v/>
      </c>
      <c r="SA42" s="12">
        <f>ROUND(RZ42*(1-AnnualMix),0)</f>
        <v/>
      </c>
      <c r="SB42" s="12">
        <f>RZ42-SA42</f>
        <v/>
      </c>
      <c r="SC42" s="12">
        <f>ROUND(SA42*EssentialMix,0)</f>
        <v/>
      </c>
      <c r="SD42" s="12">
        <f>SA42-SC42</f>
        <v/>
      </c>
      <c r="SE42" s="12">
        <f>ROUND(SB42*EssentialMix,0)</f>
        <v/>
      </c>
      <c r="SF42" s="12">
        <f>SB42-SE42</f>
        <v/>
      </c>
      <c r="SG42" s="12">
        <f>SC42+SC41+SC40+MAX(0,SG41-SC41-SC40)*(1-RV42)</f>
        <v/>
      </c>
      <c r="SH42" s="12">
        <f>SD42+SD41+SD40+MAX(0,SH41-SD41-SD40)*(1-RV42)</f>
        <v/>
      </c>
      <c r="SI42" s="12">
        <f>SI41+SE42-SE30*(AnnualChurn*VLOOKUP(RR42,ChurnSeasonTable,4,FALSE))*POWER(1-(AnnualChurn*VLOOKUP(RR42,ChurnSeasonTable,4,FALSE)),0)+SE18*(AnnualChurn*VLOOKUP(RR42,ChurnSeasonTable,4,FALSE))*POWER(1-(AnnualChurn*VLOOKUP(RR42,ChurnSeasonTable,4,FALSE)),1)+SE6*(AnnualChurn*VLOOKUP(RR42,ChurnSeasonTable,4,FALSE))*POWER(1-(AnnualChurn*VLOOKUP(RR42,ChurnSeasonTable,4,FALSE)),2)</f>
        <v/>
      </c>
      <c r="SJ42" s="12">
        <f>SJ41+SF42-SF30*(AnnualChurn*VLOOKUP(RR42,ChurnSeasonTable,4,FALSE))*POWER(1-(AnnualChurn*VLOOKUP(RR42,ChurnSeasonTable,4,FALSE)),0)+SF18*(AnnualChurn*VLOOKUP(RR42,ChurnSeasonTable,4,FALSE))*POWER(1-(AnnualChurn*VLOOKUP(RR42,ChurnSeasonTable,4,FALSE)),1)+SF6*(AnnualChurn*VLOOKUP(RR42,ChurnSeasonTable,4,FALSE))*POWER(1-(AnnualChurn*VLOOKUP(RR42,ChurnSeasonTable,4,FALSE)),2)</f>
        <v/>
      </c>
      <c r="SK42" s="12">
        <f>SG42+SH42+SI42+SJ42</f>
        <v/>
      </c>
      <c r="SL42" s="9">
        <f>SG42*PriceEssMonthly*RU42+SH42*PricePremMonthly*RU42+SI42*PriceEssAnnual*RU42/12+SJ42*PricePremAnnual*RU42/12</f>
        <v/>
      </c>
      <c r="SM42" s="9">
        <f>SL42*12</f>
        <v/>
      </c>
      <c r="SN42" s="12">
        <f>SG42*PriceEssMonthly*RU42+SH42*PricePremMonthly*RU42</f>
        <v/>
      </c>
      <c r="SO42" s="12">
        <f>SE42*PriceEssAnnual*RU42+SF42*PricePremAnnual*RU42</f>
        <v/>
      </c>
      <c r="SP42" s="12">
        <f>SE30*POWER(1-(AnnualChurn*VLOOKUP(RR42,ChurnSeasonTable,4,FALSE)),1)*PriceEssAnnual*RU42+SE18*POWER(1-(AnnualChurn*VLOOKUP(RR42,ChurnSeasonTable,4,FALSE)),2)*PriceEssAnnual*RU42+SE6*POWER(1-(AnnualChurn*VLOOKUP(RR42,ChurnSeasonTable,4,FALSE)),3)*PriceEssAnnual*RU42+SF30*POWER(1-(AnnualChurn*VLOOKUP(RR42,ChurnSeasonTable,4,FALSE)),1)*PricePremAnnual*RU42+SF18*POWER(1-(AnnualChurn*VLOOKUP(RR42,ChurnSeasonTable,4,FALSE)),2)*PricePremAnnual*RU42+SF6*POWER(1-(AnnualChurn*VLOOKUP(RR42,ChurnSeasonTable,4,FALSE)),3)*PricePremAnnual*RU42</f>
        <v/>
      </c>
      <c r="SQ42" s="9">
        <f>SN42+SO42+SP42</f>
        <v/>
      </c>
      <c r="SR42" s="12">
        <f>SUM(SQ31:SQ42)</f>
        <v/>
      </c>
      <c r="SS42" s="12">
        <f>OR(SS41,SR42&gt;=VATThreshold)</f>
        <v/>
      </c>
      <c r="ST42" s="9">
        <f>IF(SS42,SQ42/(1+VATRate),SQ42)</f>
        <v/>
      </c>
      <c r="SU42" s="12">
        <f>SQ42-ST42</f>
        <v/>
      </c>
      <c r="SV42" s="12">
        <f>IF(SS42=0,0,IF(RR42=1,SUMPRODUCT(--(($RS$5:$RS42=$RS42-1)*($RR$5:$RR42&gt;=10)*($RR$5:$RR42&lt;=12)),$SU$5:$SU42),IF(RR42=4,SUMPRODUCT(--(($RS$5:$RS42=$RS42)*($RR$5:$RR42&gt;=1)*($RR$5:$RR42&lt;=3)),$SU$5:$SU42),IF(RR42=7,SUMPRODUCT(--(($RS$5:$RS42=$RS42)*($RR$5:$RR42&gt;=4)*($RR$5:$RR42&lt;=6)),$SU$5:$SU42),IF(RR42=10,SUMPRODUCT(--(($RS$5:$RS42=$RS42)*($RR$5:$RR42&gt;=7)*($RR$5:$RR42&lt;=9)),$SU$5:$SU42),0)))))</f>
        <v/>
      </c>
      <c r="SW42" s="12">
        <f>SW41+SU42-SV42</f>
        <v/>
      </c>
      <c r="SX42" s="12">
        <f>IF(ProviderDelay&gt;=1,ST41*ProviderShare,ST42*ProviderShare)</f>
        <v/>
      </c>
      <c r="SY42" s="12">
        <f>SQ42*PaymentFee</f>
        <v/>
      </c>
      <c r="SZ42" s="12">
        <f>SK42*OpsAI</f>
        <v/>
      </c>
      <c r="TA42" s="12">
        <f>MonthlyFixed</f>
        <v/>
      </c>
      <c r="TB42" s="12">
        <f>RY42*ReferralReward</f>
        <v/>
      </c>
      <c r="TC42" s="12">
        <f>RW42</f>
        <v/>
      </c>
      <c r="TD42" s="9">
        <f>ST42-SX42-SY42-SZ42-TA42-TB42-TC42</f>
        <v/>
      </c>
      <c r="TE42" s="9">
        <f>TE41+SQ42-(SX42+SY42+SZ42+TA42+TB42+TC42+SV42)</f>
        <v/>
      </c>
      <c r="TF42" s="12">
        <f>IF(SK42&gt;0,SL42/SK42,0)</f>
        <v/>
      </c>
      <c r="TG42" s="11">
        <f>IF(SK41&gt;0,MAX(0,(SK41+RZ42-SK42)/SK41),0)</f>
        <v/>
      </c>
      <c r="TI42" s="12" t="n">
        <v>38</v>
      </c>
      <c r="TJ42" s="12">
        <f>MOD(TI42-1+LaunchMonth-1,12)+1</f>
        <v/>
      </c>
      <c r="TK42" s="12">
        <f>INT((TI42-1+LaunchMonth-1)/12)+1</f>
        <v/>
      </c>
      <c r="TL42" s="12">
        <f>VLOOKUP(TJ42,SeasonTable,2,FALSE)</f>
        <v/>
      </c>
      <c r="TM42" s="12">
        <f>(1+InflationRate)^INT((TI42-1)/12)</f>
        <v/>
      </c>
      <c r="TN42" s="11">
        <f>MonthlyChurn*VLOOKUP(TJ42,ChurnSeasonTable,4,FALSE)</f>
        <v/>
      </c>
      <c r="TO42" s="12">
        <f>MIN(MAX(MktMin19plus,UI41*MktPct19plus),MAX(0,UW41-CashBuffer))</f>
        <v/>
      </c>
      <c r="TP42" s="12">
        <f>IF(TO42&gt;0,MAX(1,ROUND(TO42/CAC*TL42,0)),0)</f>
        <v/>
      </c>
      <c r="TQ42" s="12">
        <f>IF(TP42&gt;0,ROUND(TP42*ReferralMix/(1-ReferralMix),0),0)</f>
        <v/>
      </c>
      <c r="TR42" s="12">
        <f>TP42+TQ42</f>
        <v/>
      </c>
      <c r="TS42" s="12">
        <f>ROUND(TR42*(1-'Sens - Annual Mix'!$A$9),0)</f>
        <v/>
      </c>
      <c r="TT42" s="12">
        <f>TR42-TS42</f>
        <v/>
      </c>
      <c r="TU42" s="12">
        <f>ROUND(TS42*EssentialMix,0)</f>
        <v/>
      </c>
      <c r="TV42" s="12">
        <f>TS42-TU42</f>
        <v/>
      </c>
      <c r="TW42" s="12">
        <f>ROUND(TT42*EssentialMix,0)</f>
        <v/>
      </c>
      <c r="TX42" s="12">
        <f>TT42-TW42</f>
        <v/>
      </c>
      <c r="TY42" s="12">
        <f>TU42+TU41+TU40+MAX(0,TY41-TU41-TU40)*(1-TN42)</f>
        <v/>
      </c>
      <c r="TZ42" s="12">
        <f>TV42+TV41+TV40+MAX(0,TZ41-TV41-TV40)*(1-TN42)</f>
        <v/>
      </c>
      <c r="UA42" s="12">
        <f>UA41+TW42-TW30*(AnnualChurn*VLOOKUP(TJ42,ChurnSeasonTable,4,FALSE))*POWER(1-(AnnualChurn*VLOOKUP(TJ42,ChurnSeasonTable,4,FALSE)),0)+TW18*(AnnualChurn*VLOOKUP(TJ42,ChurnSeasonTable,4,FALSE))*POWER(1-(AnnualChurn*VLOOKUP(TJ42,ChurnSeasonTable,4,FALSE)),1)+TW6*(AnnualChurn*VLOOKUP(TJ42,ChurnSeasonTable,4,FALSE))*POWER(1-(AnnualChurn*VLOOKUP(TJ42,ChurnSeasonTable,4,FALSE)),2)</f>
        <v/>
      </c>
      <c r="UB42" s="12">
        <f>UB41+TX42-TX30*(AnnualChurn*VLOOKUP(TJ42,ChurnSeasonTable,4,FALSE))*POWER(1-(AnnualChurn*VLOOKUP(TJ42,ChurnSeasonTable,4,FALSE)),0)+TX18*(AnnualChurn*VLOOKUP(TJ42,ChurnSeasonTable,4,FALSE))*POWER(1-(AnnualChurn*VLOOKUP(TJ42,ChurnSeasonTable,4,FALSE)),1)+TX6*(AnnualChurn*VLOOKUP(TJ42,ChurnSeasonTable,4,FALSE))*POWER(1-(AnnualChurn*VLOOKUP(TJ42,ChurnSeasonTable,4,FALSE)),2)</f>
        <v/>
      </c>
      <c r="UC42" s="12">
        <f>TY42+TZ42+UA42+UB42</f>
        <v/>
      </c>
      <c r="UD42" s="9">
        <f>TY42*PriceEssMonthly*TM42+TZ42*PricePremMonthly*TM42+UA42*PriceEssAnnual*TM42/12+UB42*PricePremAnnual*TM42/12</f>
        <v/>
      </c>
      <c r="UE42" s="9">
        <f>UD42*12</f>
        <v/>
      </c>
      <c r="UF42" s="12">
        <f>TY42*PriceEssMonthly*TM42+TZ42*PricePremMonthly*TM42</f>
        <v/>
      </c>
      <c r="UG42" s="12">
        <f>TW42*PriceEssAnnual*TM42+TX42*PricePremAnnual*TM42</f>
        <v/>
      </c>
      <c r="UH42" s="12">
        <f>TW30*POWER(1-(AnnualChurn*VLOOKUP(TJ42,ChurnSeasonTable,4,FALSE)),1)*PriceEssAnnual*TM42+TW18*POWER(1-(AnnualChurn*VLOOKUP(TJ42,ChurnSeasonTable,4,FALSE)),2)*PriceEssAnnual*TM42+TW6*POWER(1-(AnnualChurn*VLOOKUP(TJ42,ChurnSeasonTable,4,FALSE)),3)*PriceEssAnnual*TM42+TX30*POWER(1-(AnnualChurn*VLOOKUP(TJ42,ChurnSeasonTable,4,FALSE)),1)*PricePremAnnual*TM42+TX18*POWER(1-(AnnualChurn*VLOOKUP(TJ42,ChurnSeasonTable,4,FALSE)),2)*PricePremAnnual*TM42+TX6*POWER(1-(AnnualChurn*VLOOKUP(TJ42,ChurnSeasonTable,4,FALSE)),3)*PricePremAnnual*TM42</f>
        <v/>
      </c>
      <c r="UI42" s="9">
        <f>UF42+UG42+UH42</f>
        <v/>
      </c>
      <c r="UJ42" s="12">
        <f>SUM(UI31:UI42)</f>
        <v/>
      </c>
      <c r="UK42" s="12">
        <f>OR(UK41,UJ42&gt;=VATThreshold)</f>
        <v/>
      </c>
      <c r="UL42" s="9">
        <f>IF(UK42,UI42/(1+VATRate),UI42)</f>
        <v/>
      </c>
      <c r="UM42" s="12">
        <f>UI42-UL42</f>
        <v/>
      </c>
      <c r="UN42" s="12">
        <f>IF(UK42=0,0,IF(TJ42=1,SUMPRODUCT(--(($TK$5:$TK42=$TK42-1)*($TJ$5:$TJ42&gt;=10)*($TJ$5:$TJ42&lt;=12)),$UM$5:$UM42),IF(TJ42=4,SUMPRODUCT(--(($TK$5:$TK42=$TK42)*($TJ$5:$TJ42&gt;=1)*($TJ$5:$TJ42&lt;=3)),$UM$5:$UM42),IF(TJ42=7,SUMPRODUCT(--(($TK$5:$TK42=$TK42)*($TJ$5:$TJ42&gt;=4)*($TJ$5:$TJ42&lt;=6)),$UM$5:$UM42),IF(TJ42=10,SUMPRODUCT(--(($TK$5:$TK42=$TK42)*($TJ$5:$TJ42&gt;=7)*($TJ$5:$TJ42&lt;=9)),$UM$5:$UM42),0)))))</f>
        <v/>
      </c>
      <c r="UO42" s="12">
        <f>UO41+UM42-UN42</f>
        <v/>
      </c>
      <c r="UP42" s="12">
        <f>IF(ProviderDelay&gt;=1,UL41*ProviderShare,UL42*ProviderShare)</f>
        <v/>
      </c>
      <c r="UQ42" s="12">
        <f>UI42*PaymentFee</f>
        <v/>
      </c>
      <c r="UR42" s="12">
        <f>UC42*OpsAI</f>
        <v/>
      </c>
      <c r="US42" s="12">
        <f>MonthlyFixed</f>
        <v/>
      </c>
      <c r="UT42" s="12">
        <f>TQ42*ReferralReward</f>
        <v/>
      </c>
      <c r="UU42" s="12">
        <f>TO42</f>
        <v/>
      </c>
      <c r="UV42" s="9">
        <f>UL42-UP42-UQ42-UR42-US42-UT42-UU42</f>
        <v/>
      </c>
      <c r="UW42" s="9">
        <f>UW41+UI42-(UP42+UQ42+UR42+US42+UT42+UU42+UN42)</f>
        <v/>
      </c>
      <c r="UX42" s="12">
        <f>IF(UC42&gt;0,UD42/UC42,0)</f>
        <v/>
      </c>
      <c r="UY42" s="11">
        <f>IF(UC41&gt;0,MAX(0,(UC41+TR42-UC42)/UC41),0)</f>
        <v/>
      </c>
      <c r="VA42" s="12" t="n">
        <v>38</v>
      </c>
      <c r="VB42" s="12">
        <f>MOD(VA42-1+LaunchMonth-1,12)+1</f>
        <v/>
      </c>
      <c r="VC42" s="12">
        <f>INT((VA42-1+LaunchMonth-1)/12)+1</f>
        <v/>
      </c>
      <c r="VD42" s="12">
        <f>VLOOKUP(VB42,SeasonTable,2,FALSE)</f>
        <v/>
      </c>
      <c r="VE42" s="12">
        <f>(1+InflationRate)^INT((VA42-1)/12)</f>
        <v/>
      </c>
      <c r="VF42" s="11">
        <f>MonthlyChurn*VLOOKUP(VB42,ChurnSeasonTable,4,FALSE)</f>
        <v/>
      </c>
      <c r="VG42" s="12">
        <f>MIN(MAX(MktMin19plus,WA41*MktPct19plus),MAX(0,WO41-CashBuffer))</f>
        <v/>
      </c>
      <c r="VH42" s="12">
        <f>IF(VG42&gt;0,MAX(1,ROUND(VG42/CAC*VD42,0)),0)</f>
        <v/>
      </c>
      <c r="VI42" s="12">
        <f>IF(VH42&gt;0,ROUND(VH42*ReferralMix/(1-ReferralMix),0),0)</f>
        <v/>
      </c>
      <c r="VJ42" s="12">
        <f>VH42+VI42</f>
        <v/>
      </c>
      <c r="VK42" s="12">
        <f>ROUND(VJ42*(1-'Sens - Annual Mix'!$A$10),0)</f>
        <v/>
      </c>
      <c r="VL42" s="12">
        <f>VJ42-VK42</f>
        <v/>
      </c>
      <c r="VM42" s="12">
        <f>ROUND(VK42*EssentialMix,0)</f>
        <v/>
      </c>
      <c r="VN42" s="12">
        <f>VK42-VM42</f>
        <v/>
      </c>
      <c r="VO42" s="12">
        <f>ROUND(VL42*EssentialMix,0)</f>
        <v/>
      </c>
      <c r="VP42" s="12">
        <f>VL42-VO42</f>
        <v/>
      </c>
      <c r="VQ42" s="12">
        <f>VM42+VM41+VM40+MAX(0,VQ41-VM41-VM40)*(1-VF42)</f>
        <v/>
      </c>
      <c r="VR42" s="12">
        <f>VN42+VN41+VN40+MAX(0,VR41-VN41-VN40)*(1-VF42)</f>
        <v/>
      </c>
      <c r="VS42" s="12">
        <f>VS41+VO42-VO30*(AnnualChurn*VLOOKUP(VB42,ChurnSeasonTable,4,FALSE))*POWER(1-(AnnualChurn*VLOOKUP(VB42,ChurnSeasonTable,4,FALSE)),0)+VO18*(AnnualChurn*VLOOKUP(VB42,ChurnSeasonTable,4,FALSE))*POWER(1-(AnnualChurn*VLOOKUP(VB42,ChurnSeasonTable,4,FALSE)),1)+VO6*(AnnualChurn*VLOOKUP(VB42,ChurnSeasonTable,4,FALSE))*POWER(1-(AnnualChurn*VLOOKUP(VB42,ChurnSeasonTable,4,FALSE)),2)</f>
        <v/>
      </c>
      <c r="VT42" s="12">
        <f>VT41+VP42-VP30*(AnnualChurn*VLOOKUP(VB42,ChurnSeasonTable,4,FALSE))*POWER(1-(AnnualChurn*VLOOKUP(VB42,ChurnSeasonTable,4,FALSE)),0)+VP18*(AnnualChurn*VLOOKUP(VB42,ChurnSeasonTable,4,FALSE))*POWER(1-(AnnualChurn*VLOOKUP(VB42,ChurnSeasonTable,4,FALSE)),1)+VP6*(AnnualChurn*VLOOKUP(VB42,ChurnSeasonTable,4,FALSE))*POWER(1-(AnnualChurn*VLOOKUP(VB42,ChurnSeasonTable,4,FALSE)),2)</f>
        <v/>
      </c>
      <c r="VU42" s="12">
        <f>VQ42+VR42+VS42+VT42</f>
        <v/>
      </c>
      <c r="VV42" s="9">
        <f>VQ42*PriceEssMonthly*VE42+VR42*PricePremMonthly*VE42+VS42*PriceEssAnnual*VE42/12+VT42*PricePremAnnual*VE42/12</f>
        <v/>
      </c>
      <c r="VW42" s="9">
        <f>VV42*12</f>
        <v/>
      </c>
      <c r="VX42" s="12">
        <f>VQ42*PriceEssMonthly*VE42+VR42*PricePremMonthly*VE42</f>
        <v/>
      </c>
      <c r="VY42" s="12">
        <f>VO42*PriceEssAnnual*VE42+VP42*PricePremAnnual*VE42</f>
        <v/>
      </c>
      <c r="VZ42" s="12">
        <f>VO30*POWER(1-(AnnualChurn*VLOOKUP(VB42,ChurnSeasonTable,4,FALSE)),1)*PriceEssAnnual*VE42+VO18*POWER(1-(AnnualChurn*VLOOKUP(VB42,ChurnSeasonTable,4,FALSE)),2)*PriceEssAnnual*VE42+VO6*POWER(1-(AnnualChurn*VLOOKUP(VB42,ChurnSeasonTable,4,FALSE)),3)*PriceEssAnnual*VE42+VP30*POWER(1-(AnnualChurn*VLOOKUP(VB42,ChurnSeasonTable,4,FALSE)),1)*PricePremAnnual*VE42+VP18*POWER(1-(AnnualChurn*VLOOKUP(VB42,ChurnSeasonTable,4,FALSE)),2)*PricePremAnnual*VE42+VP6*POWER(1-(AnnualChurn*VLOOKUP(VB42,ChurnSeasonTable,4,FALSE)),3)*PricePremAnnual*VE42</f>
        <v/>
      </c>
      <c r="WA42" s="9">
        <f>VX42+VY42+VZ42</f>
        <v/>
      </c>
      <c r="WB42" s="12">
        <f>SUM(WA31:WA42)</f>
        <v/>
      </c>
      <c r="WC42" s="12">
        <f>OR(WC41,WB42&gt;=VATThreshold)</f>
        <v/>
      </c>
      <c r="WD42" s="9">
        <f>IF(WC42,WA42/(1+VATRate),WA42)</f>
        <v/>
      </c>
      <c r="WE42" s="12">
        <f>WA42-WD42</f>
        <v/>
      </c>
      <c r="WF42" s="12">
        <f>IF(WC42=0,0,IF(VB42=1,SUMPRODUCT(--(($VC$5:$VC42=$VC42-1)*($VB$5:$VB42&gt;=10)*($VB$5:$VB42&lt;=12)),$WE$5:$WE42),IF(VB42=4,SUMPRODUCT(--(($VC$5:$VC42=$VC42)*($VB$5:$VB42&gt;=1)*($VB$5:$VB42&lt;=3)),$WE$5:$WE42),IF(VB42=7,SUMPRODUCT(--(($VC$5:$VC42=$VC42)*($VB$5:$VB42&gt;=4)*($VB$5:$VB42&lt;=6)),$WE$5:$WE42),IF(VB42=10,SUMPRODUCT(--(($VC$5:$VC42=$VC42)*($VB$5:$VB42&gt;=7)*($VB$5:$VB42&lt;=9)),$WE$5:$WE42),0)))))</f>
        <v/>
      </c>
      <c r="WG42" s="12">
        <f>WG41+WE42-WF42</f>
        <v/>
      </c>
      <c r="WH42" s="12">
        <f>IF(ProviderDelay&gt;=1,WD41*ProviderShare,WD42*ProviderShare)</f>
        <v/>
      </c>
      <c r="WI42" s="12">
        <f>WA42*PaymentFee</f>
        <v/>
      </c>
      <c r="WJ42" s="12">
        <f>VU42*OpsAI</f>
        <v/>
      </c>
      <c r="WK42" s="12">
        <f>MonthlyFixed</f>
        <v/>
      </c>
      <c r="WL42" s="12">
        <f>VI42*ReferralReward</f>
        <v/>
      </c>
      <c r="WM42" s="12">
        <f>VG42</f>
        <v/>
      </c>
      <c r="WN42" s="9">
        <f>WD42-WH42-WI42-WJ42-WK42-WL42-WM42</f>
        <v/>
      </c>
      <c r="WO42" s="9">
        <f>WO41+WA42-(WH42+WI42+WJ42+WK42+WL42+WM42+WF42)</f>
        <v/>
      </c>
      <c r="WP42" s="12">
        <f>IF(VU42&gt;0,VV42/VU42,0)</f>
        <v/>
      </c>
      <c r="WQ42" s="11">
        <f>IF(VU41&gt;0,MAX(0,(VU41+VJ42-VU42)/VU41),0)</f>
        <v/>
      </c>
      <c r="WS42" s="12" t="n">
        <v>38</v>
      </c>
      <c r="WT42" s="12">
        <f>MOD(WS42-1+LaunchMonth-1,12)+1</f>
        <v/>
      </c>
      <c r="WU42" s="12">
        <f>INT((WS42-1+LaunchMonth-1)/12)+1</f>
        <v/>
      </c>
      <c r="WV42" s="12">
        <f>VLOOKUP(WT42,SeasonTable,2,FALSE)</f>
        <v/>
      </c>
      <c r="WW42" s="12">
        <f>(1+InflationRate)^INT((WS42-1)/12)</f>
        <v/>
      </c>
      <c r="WX42" s="11">
        <f>MonthlyChurn*VLOOKUP(WT42,ChurnSeasonTable,4,FALSE)</f>
        <v/>
      </c>
      <c r="WY42" s="12">
        <f>MIN(MAX(MktMin19plus,XS41*MktPct19plus),MAX(0,YG41-CashBuffer))</f>
        <v/>
      </c>
      <c r="WZ42" s="12">
        <f>IF(WY42&gt;0,MAX(1,ROUND(WY42/CAC*WV42,0)),0)</f>
        <v/>
      </c>
      <c r="XA42" s="12">
        <f>IF(WZ42&gt;0,ROUND(WZ42*ReferralMix/(1-ReferralMix),0),0)</f>
        <v/>
      </c>
      <c r="XB42" s="12">
        <f>WZ42+XA42</f>
        <v/>
      </c>
      <c r="XC42" s="12">
        <f>ROUND(XB42*(1-'Sens - Annual Mix'!$A$11),0)</f>
        <v/>
      </c>
      <c r="XD42" s="12">
        <f>XB42-XC42</f>
        <v/>
      </c>
      <c r="XE42" s="12">
        <f>ROUND(XC42*EssentialMix,0)</f>
        <v/>
      </c>
      <c r="XF42" s="12">
        <f>XC42-XE42</f>
        <v/>
      </c>
      <c r="XG42" s="12">
        <f>ROUND(XD42*EssentialMix,0)</f>
        <v/>
      </c>
      <c r="XH42" s="12">
        <f>XD42-XG42</f>
        <v/>
      </c>
      <c r="XI42" s="12">
        <f>XE42+XE41+XE40+MAX(0,XI41-XE41-XE40)*(1-WX42)</f>
        <v/>
      </c>
      <c r="XJ42" s="12">
        <f>XF42+XF41+XF40+MAX(0,XJ41-XF41-XF40)*(1-WX42)</f>
        <v/>
      </c>
      <c r="XK42" s="12">
        <f>XK41+XG42-XG30*(AnnualChurn*VLOOKUP(WT42,ChurnSeasonTable,4,FALSE))*POWER(1-(AnnualChurn*VLOOKUP(WT42,ChurnSeasonTable,4,FALSE)),0)+XG18*(AnnualChurn*VLOOKUP(WT42,ChurnSeasonTable,4,FALSE))*POWER(1-(AnnualChurn*VLOOKUP(WT42,ChurnSeasonTable,4,FALSE)),1)+XG6*(AnnualChurn*VLOOKUP(WT42,ChurnSeasonTable,4,FALSE))*POWER(1-(AnnualChurn*VLOOKUP(WT42,ChurnSeasonTable,4,FALSE)),2)</f>
        <v/>
      </c>
      <c r="XL42" s="12">
        <f>XL41+XH42-XH30*(AnnualChurn*VLOOKUP(WT42,ChurnSeasonTable,4,FALSE))*POWER(1-(AnnualChurn*VLOOKUP(WT42,ChurnSeasonTable,4,FALSE)),0)+XH18*(AnnualChurn*VLOOKUP(WT42,ChurnSeasonTable,4,FALSE))*POWER(1-(AnnualChurn*VLOOKUP(WT42,ChurnSeasonTable,4,FALSE)),1)+XH6*(AnnualChurn*VLOOKUP(WT42,ChurnSeasonTable,4,FALSE))*POWER(1-(AnnualChurn*VLOOKUP(WT42,ChurnSeasonTable,4,FALSE)),2)</f>
        <v/>
      </c>
      <c r="XM42" s="12">
        <f>XI42+XJ42+XK42+XL42</f>
        <v/>
      </c>
      <c r="XN42" s="9">
        <f>XI42*PriceEssMonthly*WW42+XJ42*PricePremMonthly*WW42+XK42*PriceEssAnnual*WW42/12+XL42*PricePremAnnual*WW42/12</f>
        <v/>
      </c>
      <c r="XO42" s="9">
        <f>XN42*12</f>
        <v/>
      </c>
      <c r="XP42" s="12">
        <f>XI42*PriceEssMonthly*WW42+XJ42*PricePremMonthly*WW42</f>
        <v/>
      </c>
      <c r="XQ42" s="12">
        <f>XG42*PriceEssAnnual*WW42+XH42*PricePremAnnual*WW42</f>
        <v/>
      </c>
      <c r="XR42" s="12">
        <f>XG30*POWER(1-(AnnualChurn*VLOOKUP(WT42,ChurnSeasonTable,4,FALSE)),1)*PriceEssAnnual*WW42+XG18*POWER(1-(AnnualChurn*VLOOKUP(WT42,ChurnSeasonTable,4,FALSE)),2)*PriceEssAnnual*WW42+XG6*POWER(1-(AnnualChurn*VLOOKUP(WT42,ChurnSeasonTable,4,FALSE)),3)*PriceEssAnnual*WW42+XH30*POWER(1-(AnnualChurn*VLOOKUP(WT42,ChurnSeasonTable,4,FALSE)),1)*PricePremAnnual*WW42+XH18*POWER(1-(AnnualChurn*VLOOKUP(WT42,ChurnSeasonTable,4,FALSE)),2)*PricePremAnnual*WW42+XH6*POWER(1-(AnnualChurn*VLOOKUP(WT42,ChurnSeasonTable,4,FALSE)),3)*PricePremAnnual*WW42</f>
        <v/>
      </c>
      <c r="XS42" s="9">
        <f>XP42+XQ42+XR42</f>
        <v/>
      </c>
      <c r="XT42" s="12">
        <f>SUM(XS31:XS42)</f>
        <v/>
      </c>
      <c r="XU42" s="12">
        <f>OR(XU41,XT42&gt;=VATThreshold)</f>
        <v/>
      </c>
      <c r="XV42" s="9">
        <f>IF(XU42,XS42/(1+VATRate),XS42)</f>
        <v/>
      </c>
      <c r="XW42" s="12">
        <f>XS42-XV42</f>
        <v/>
      </c>
      <c r="XX42" s="12">
        <f>IF(XU42=0,0,IF(WT42=1,SUMPRODUCT(--(($WU$5:$WU42=$WU42-1)*($WT$5:$WT42&gt;=10)*($WT$5:$WT42&lt;=12)),$XW$5:$XW42),IF(WT42=4,SUMPRODUCT(--(($WU$5:$WU42=$WU42)*($WT$5:$WT42&gt;=1)*($WT$5:$WT42&lt;=3)),$XW$5:$XW42),IF(WT42=7,SUMPRODUCT(--(($WU$5:$WU42=$WU42)*($WT$5:$WT42&gt;=4)*($WT$5:$WT42&lt;=6)),$XW$5:$XW42),IF(WT42=10,SUMPRODUCT(--(($WU$5:$WU42=$WU42)*($WT$5:$WT42&gt;=7)*($WT$5:$WT42&lt;=9)),$XW$5:$XW42),0)))))</f>
        <v/>
      </c>
      <c r="XY42" s="12">
        <f>XY41+XW42-XX42</f>
        <v/>
      </c>
      <c r="XZ42" s="12">
        <f>IF(ProviderDelay&gt;=1,XV41*ProviderShare,XV42*ProviderShare)</f>
        <v/>
      </c>
      <c r="YA42" s="12">
        <f>XS42*PaymentFee</f>
        <v/>
      </c>
      <c r="YB42" s="12">
        <f>XM42*OpsAI</f>
        <v/>
      </c>
      <c r="YC42" s="12">
        <f>MonthlyFixed</f>
        <v/>
      </c>
      <c r="YD42" s="12">
        <f>XA42*ReferralReward</f>
        <v/>
      </c>
      <c r="YE42" s="12">
        <f>WY42</f>
        <v/>
      </c>
      <c r="YF42" s="9">
        <f>XV42-XZ42-YA42-YB42-YC42-YD42-YE42</f>
        <v/>
      </c>
      <c r="YG42" s="9">
        <f>YG41+XS42-(XZ42+YA42+YB42+YC42+YD42+YE42+XX42)</f>
        <v/>
      </c>
      <c r="YH42" s="12">
        <f>IF(XM42&gt;0,XN42/XM42,0)</f>
        <v/>
      </c>
      <c r="YI42" s="11">
        <f>IF(XM41&gt;0,MAX(0,(XM41+XB42-XM42)/XM41),0)</f>
        <v/>
      </c>
      <c r="YK42" s="12" t="n">
        <v>38</v>
      </c>
      <c r="YL42" s="12">
        <f>MOD(YK42-1+LaunchMonth-1,12)+1</f>
        <v/>
      </c>
      <c r="YM42" s="12">
        <f>INT((YK42-1+LaunchMonth-1)/12)+1</f>
        <v/>
      </c>
      <c r="YN42" s="12">
        <f>VLOOKUP(YL42,SeasonTable,2,FALSE)</f>
        <v/>
      </c>
      <c r="YO42" s="12">
        <f>(1+InflationRate)^INT((YK42-1)/12)</f>
        <v/>
      </c>
      <c r="YP42" s="11">
        <f>MonthlyChurn*VLOOKUP(YL42,ChurnSeasonTable,4,FALSE)</f>
        <v/>
      </c>
      <c r="YQ42" s="12">
        <f>MIN(MAX(MktMin19plus,ZK41*MktPct19plus),MAX(0,ZY41-CashBuffer))</f>
        <v/>
      </c>
      <c r="YR42" s="12">
        <f>IF(YQ42&gt;0,MAX(1,ROUND(YQ42/CAC*YN42,0)),0)</f>
        <v/>
      </c>
      <c r="YS42" s="12">
        <f>IF(YR42&gt;0,ROUND(YR42*ReferralMix/(1-ReferralMix),0),0)</f>
        <v/>
      </c>
      <c r="YT42" s="12">
        <f>YR42+YS42</f>
        <v/>
      </c>
      <c r="YU42" s="12">
        <f>ROUND(YT42*(1-'Sens - Annual Mix'!$A$12),0)</f>
        <v/>
      </c>
      <c r="YV42" s="12">
        <f>YT42-YU42</f>
        <v/>
      </c>
      <c r="YW42" s="12">
        <f>ROUND(YU42*EssentialMix,0)</f>
        <v/>
      </c>
      <c r="YX42" s="12">
        <f>YU42-YW42</f>
        <v/>
      </c>
      <c r="YY42" s="12">
        <f>ROUND(YV42*EssentialMix,0)</f>
        <v/>
      </c>
      <c r="YZ42" s="12">
        <f>YV42-YY42</f>
        <v/>
      </c>
      <c r="ZA42" s="12">
        <f>YW42+YW41+YW40+MAX(0,ZA41-YW41-YW40)*(1-YP42)</f>
        <v/>
      </c>
      <c r="ZB42" s="12">
        <f>YX42+YX41+YX40+MAX(0,ZB41-YX41-YX40)*(1-YP42)</f>
        <v/>
      </c>
      <c r="ZC42" s="12">
        <f>ZC41+YY42-YY30*(AnnualChurn*VLOOKUP(YL42,ChurnSeasonTable,4,FALSE))*POWER(1-(AnnualChurn*VLOOKUP(YL42,ChurnSeasonTable,4,FALSE)),0)+YY18*(AnnualChurn*VLOOKUP(YL42,ChurnSeasonTable,4,FALSE))*POWER(1-(AnnualChurn*VLOOKUP(YL42,ChurnSeasonTable,4,FALSE)),1)+YY6*(AnnualChurn*VLOOKUP(YL42,ChurnSeasonTable,4,FALSE))*POWER(1-(AnnualChurn*VLOOKUP(YL42,ChurnSeasonTable,4,FALSE)),2)</f>
        <v/>
      </c>
      <c r="ZD42" s="12">
        <f>ZD41+YZ42-YZ30*(AnnualChurn*VLOOKUP(YL42,ChurnSeasonTable,4,FALSE))*POWER(1-(AnnualChurn*VLOOKUP(YL42,ChurnSeasonTable,4,FALSE)),0)+YZ18*(AnnualChurn*VLOOKUP(YL42,ChurnSeasonTable,4,FALSE))*POWER(1-(AnnualChurn*VLOOKUP(YL42,ChurnSeasonTable,4,FALSE)),1)+YZ6*(AnnualChurn*VLOOKUP(YL42,ChurnSeasonTable,4,FALSE))*POWER(1-(AnnualChurn*VLOOKUP(YL42,ChurnSeasonTable,4,FALSE)),2)</f>
        <v/>
      </c>
      <c r="ZE42" s="12">
        <f>ZA42+ZB42+ZC42+ZD42</f>
        <v/>
      </c>
      <c r="ZF42" s="9">
        <f>ZA42*PriceEssMonthly*YO42+ZB42*PricePremMonthly*YO42+ZC42*PriceEssAnnual*YO42/12+ZD42*PricePremAnnual*YO42/12</f>
        <v/>
      </c>
      <c r="ZG42" s="9">
        <f>ZF42*12</f>
        <v/>
      </c>
      <c r="ZH42" s="12">
        <f>ZA42*PriceEssMonthly*YO42+ZB42*PricePremMonthly*YO42</f>
        <v/>
      </c>
      <c r="ZI42" s="12">
        <f>YY42*PriceEssAnnual*YO42+YZ42*PricePremAnnual*YO42</f>
        <v/>
      </c>
      <c r="ZJ42" s="12">
        <f>YY30*POWER(1-(AnnualChurn*VLOOKUP(YL42,ChurnSeasonTable,4,FALSE)),1)*PriceEssAnnual*YO42+YY18*POWER(1-(AnnualChurn*VLOOKUP(YL42,ChurnSeasonTable,4,FALSE)),2)*PriceEssAnnual*YO42+YY6*POWER(1-(AnnualChurn*VLOOKUP(YL42,ChurnSeasonTable,4,FALSE)),3)*PriceEssAnnual*YO42+YZ30*POWER(1-(AnnualChurn*VLOOKUP(YL42,ChurnSeasonTable,4,FALSE)),1)*PricePremAnnual*YO42+YZ18*POWER(1-(AnnualChurn*VLOOKUP(YL42,ChurnSeasonTable,4,FALSE)),2)*PricePremAnnual*YO42+YZ6*POWER(1-(AnnualChurn*VLOOKUP(YL42,ChurnSeasonTable,4,FALSE)),3)*PricePremAnnual*YO42</f>
        <v/>
      </c>
      <c r="ZK42" s="9">
        <f>ZH42+ZI42+ZJ42</f>
        <v/>
      </c>
      <c r="ZL42" s="12">
        <f>SUM(ZK31:ZK42)</f>
        <v/>
      </c>
      <c r="ZM42" s="12">
        <f>OR(ZM41,ZL42&gt;=VATThreshold)</f>
        <v/>
      </c>
      <c r="ZN42" s="9">
        <f>IF(ZM42,ZK42/(1+VATRate),ZK42)</f>
        <v/>
      </c>
      <c r="ZO42" s="12">
        <f>ZK42-ZN42</f>
        <v/>
      </c>
      <c r="ZP42" s="12">
        <f>IF(ZM42=0,0,IF(YL42=1,SUMPRODUCT(--(($YM$5:$YM42=$YM42-1)*($YL$5:$YL42&gt;=10)*($YL$5:$YL42&lt;=12)),$ZO$5:$ZO42),IF(YL42=4,SUMPRODUCT(--(($YM$5:$YM42=$YM42)*($YL$5:$YL42&gt;=1)*($YL$5:$YL42&lt;=3)),$ZO$5:$ZO42),IF(YL42=7,SUMPRODUCT(--(($YM$5:$YM42=$YM42)*($YL$5:$YL42&gt;=4)*($YL$5:$YL42&lt;=6)),$ZO$5:$ZO42),IF(YL42=10,SUMPRODUCT(--(($YM$5:$YM42=$YM42)*($YL$5:$YL42&gt;=7)*($YL$5:$YL42&lt;=9)),$ZO$5:$ZO42),0)))))</f>
        <v/>
      </c>
      <c r="ZQ42" s="12">
        <f>ZQ41+ZO42-ZP42</f>
        <v/>
      </c>
      <c r="ZR42" s="12">
        <f>IF(ProviderDelay&gt;=1,ZN41*ProviderShare,ZN42*ProviderShare)</f>
        <v/>
      </c>
      <c r="ZS42" s="12">
        <f>ZK42*PaymentFee</f>
        <v/>
      </c>
      <c r="ZT42" s="12">
        <f>ZE42*OpsAI</f>
        <v/>
      </c>
      <c r="ZU42" s="12">
        <f>MonthlyFixed</f>
        <v/>
      </c>
      <c r="ZV42" s="12">
        <f>YS42*ReferralReward</f>
        <v/>
      </c>
      <c r="ZW42" s="12">
        <f>YQ42</f>
        <v/>
      </c>
      <c r="ZX42" s="9">
        <f>ZN42-ZR42-ZS42-ZT42-ZU42-ZV42-ZW42</f>
        <v/>
      </c>
      <c r="ZY42" s="9">
        <f>ZY41+ZK42-(ZR42+ZS42+ZT42+ZU42+ZV42+ZW42+ZP42)</f>
        <v/>
      </c>
      <c r="ZZ42" s="12">
        <f>IF(ZE42&gt;0,ZF42/ZE42,0)</f>
        <v/>
      </c>
      <c r="AAA42" s="11">
        <f>IF(ZE41&gt;0,MAX(0,(ZE41+YT42-ZE42)/ZE41),0)</f>
        <v/>
      </c>
      <c r="AAC42" s="12" t="n">
        <v>38</v>
      </c>
      <c r="AAD42" s="12">
        <f>MOD(AAC42-1+LaunchMonth-1,12)+1</f>
        <v/>
      </c>
      <c r="AAE42" s="12">
        <f>INT((AAC42-1+LaunchMonth-1)/12)+1</f>
        <v/>
      </c>
      <c r="AAF42" s="12">
        <f>VLOOKUP(AAD42,SeasonTable,2,FALSE)</f>
        <v/>
      </c>
      <c r="AAG42" s="12">
        <f>(1+InflationRate)^INT((AAC42-1)/12)</f>
        <v/>
      </c>
      <c r="AAH42" s="11">
        <f>MonthlyChurn*VLOOKUP(AAD42,ChurnSeasonTable,4,FALSE)</f>
        <v/>
      </c>
      <c r="AAI42" s="12">
        <f>MIN(MAX(MktMin19plus,ABC41*MktPct19plus),MAX(0,ABQ41-CashBuffer))</f>
        <v/>
      </c>
      <c r="AAJ42" s="12">
        <f>IF(AAI42&gt;0,MAX(1,ROUND(AAI42/CAC*AAF42,0)),0)</f>
        <v/>
      </c>
      <c r="AAK42" s="12">
        <f>IF(AAJ42&gt;0,ROUND(AAJ42*ReferralMix/(1-ReferralMix),0),0)</f>
        <v/>
      </c>
      <c r="AAL42" s="12">
        <f>AAJ42+AAK42</f>
        <v/>
      </c>
      <c r="AAM42" s="12">
        <f>ROUND(AAL42*(1-'Sens - Annual Mix'!$A$13),0)</f>
        <v/>
      </c>
      <c r="AAN42" s="12">
        <f>AAL42-AAM42</f>
        <v/>
      </c>
      <c r="AAO42" s="12">
        <f>ROUND(AAM42*EssentialMix,0)</f>
        <v/>
      </c>
      <c r="AAP42" s="12">
        <f>AAM42-AAO42</f>
        <v/>
      </c>
      <c r="AAQ42" s="12">
        <f>ROUND(AAN42*EssentialMix,0)</f>
        <v/>
      </c>
      <c r="AAR42" s="12">
        <f>AAN42-AAQ42</f>
        <v/>
      </c>
      <c r="AAS42" s="12">
        <f>AAO42+AAO41+AAO40+MAX(0,AAS41-AAO41-AAO40)*(1-AAH42)</f>
        <v/>
      </c>
      <c r="AAT42" s="12">
        <f>AAP42+AAP41+AAP40+MAX(0,AAT41-AAP41-AAP40)*(1-AAH42)</f>
        <v/>
      </c>
      <c r="AAU42" s="12">
        <f>AAU41+AAQ42-AAQ30*(AnnualChurn*VLOOKUP(AAD42,ChurnSeasonTable,4,FALSE))*POWER(1-(AnnualChurn*VLOOKUP(AAD42,ChurnSeasonTable,4,FALSE)),0)+AAQ18*(AnnualChurn*VLOOKUP(AAD42,ChurnSeasonTable,4,FALSE))*POWER(1-(AnnualChurn*VLOOKUP(AAD42,ChurnSeasonTable,4,FALSE)),1)+AAQ6*(AnnualChurn*VLOOKUP(AAD42,ChurnSeasonTable,4,FALSE))*POWER(1-(AnnualChurn*VLOOKUP(AAD42,ChurnSeasonTable,4,FALSE)),2)</f>
        <v/>
      </c>
      <c r="AAV42" s="12">
        <f>AAV41+AAR42-AAR30*(AnnualChurn*VLOOKUP(AAD42,ChurnSeasonTable,4,FALSE))*POWER(1-(AnnualChurn*VLOOKUP(AAD42,ChurnSeasonTable,4,FALSE)),0)+AAR18*(AnnualChurn*VLOOKUP(AAD42,ChurnSeasonTable,4,FALSE))*POWER(1-(AnnualChurn*VLOOKUP(AAD42,ChurnSeasonTable,4,FALSE)),1)+AAR6*(AnnualChurn*VLOOKUP(AAD42,ChurnSeasonTable,4,FALSE))*POWER(1-(AnnualChurn*VLOOKUP(AAD42,ChurnSeasonTable,4,FALSE)),2)</f>
        <v/>
      </c>
      <c r="AAW42" s="12">
        <f>AAS42+AAT42+AAU42+AAV42</f>
        <v/>
      </c>
      <c r="AAX42" s="9">
        <f>AAS42*PriceEssMonthly*AAG42+AAT42*PricePremMonthly*AAG42+AAU42*PriceEssAnnual*AAG42/12+AAV42*PricePremAnnual*AAG42/12</f>
        <v/>
      </c>
      <c r="AAY42" s="9">
        <f>AAX42*12</f>
        <v/>
      </c>
      <c r="AAZ42" s="12">
        <f>AAS42*PriceEssMonthly*AAG42+AAT42*PricePremMonthly*AAG42</f>
        <v/>
      </c>
      <c r="ABA42" s="12">
        <f>AAQ42*PriceEssAnnual*AAG42+AAR42*PricePremAnnual*AAG42</f>
        <v/>
      </c>
      <c r="ABB42" s="12">
        <f>AAQ30*POWER(1-(AnnualChurn*VLOOKUP(AAD42,ChurnSeasonTable,4,FALSE)),1)*PriceEssAnnual*AAG42+AAQ18*POWER(1-(AnnualChurn*VLOOKUP(AAD42,ChurnSeasonTable,4,FALSE)),2)*PriceEssAnnual*AAG42+AAQ6*POWER(1-(AnnualChurn*VLOOKUP(AAD42,ChurnSeasonTable,4,FALSE)),3)*PriceEssAnnual*AAG42+AAR30*POWER(1-(AnnualChurn*VLOOKUP(AAD42,ChurnSeasonTable,4,FALSE)),1)*PricePremAnnual*AAG42+AAR18*POWER(1-(AnnualChurn*VLOOKUP(AAD42,ChurnSeasonTable,4,FALSE)),2)*PricePremAnnual*AAG42+AAR6*POWER(1-(AnnualChurn*VLOOKUP(AAD42,ChurnSeasonTable,4,FALSE)),3)*PricePremAnnual*AAG42</f>
        <v/>
      </c>
      <c r="ABC42" s="9">
        <f>AAZ42+ABA42+ABB42</f>
        <v/>
      </c>
      <c r="ABD42" s="12">
        <f>SUM(ABC31:ABC42)</f>
        <v/>
      </c>
      <c r="ABE42" s="12">
        <f>OR(ABE41,ABD42&gt;=VATThreshold)</f>
        <v/>
      </c>
      <c r="ABF42" s="9">
        <f>IF(ABE42,ABC42/(1+VATRate),ABC42)</f>
        <v/>
      </c>
      <c r="ABG42" s="12">
        <f>ABC42-ABF42</f>
        <v/>
      </c>
      <c r="ABH42" s="12">
        <f>IF(ABE42=0,0,IF(AAD42=1,SUMPRODUCT(--(($AAE$5:$AAE42=$AAE42-1)*($AAD$5:$AAD42&gt;=10)*($AAD$5:$AAD42&lt;=12)),$ABG$5:$ABG42),IF(AAD42=4,SUMPRODUCT(--(($AAE$5:$AAE42=$AAE42)*($AAD$5:$AAD42&gt;=1)*($AAD$5:$AAD42&lt;=3)),$ABG$5:$ABG42),IF(AAD42=7,SUMPRODUCT(--(($AAE$5:$AAE42=$AAE42)*($AAD$5:$AAD42&gt;=4)*($AAD$5:$AAD42&lt;=6)),$ABG$5:$ABG42),IF(AAD42=10,SUMPRODUCT(--(($AAE$5:$AAE42=$AAE42)*($AAD$5:$AAD42&gt;=7)*($AAD$5:$AAD42&lt;=9)),$ABG$5:$ABG42),0)))))</f>
        <v/>
      </c>
      <c r="ABI42" s="12">
        <f>ABI41+ABG42-ABH42</f>
        <v/>
      </c>
      <c r="ABJ42" s="12">
        <f>IF(ProviderDelay&gt;=1,ABF41*ProviderShare,ABF42*ProviderShare)</f>
        <v/>
      </c>
      <c r="ABK42" s="12">
        <f>ABC42*PaymentFee</f>
        <v/>
      </c>
      <c r="ABL42" s="12">
        <f>AAW42*OpsAI</f>
        <v/>
      </c>
      <c r="ABM42" s="12">
        <f>MonthlyFixed</f>
        <v/>
      </c>
      <c r="ABN42" s="12">
        <f>AAK42*ReferralReward</f>
        <v/>
      </c>
      <c r="ABO42" s="12">
        <f>AAI42</f>
        <v/>
      </c>
      <c r="ABP42" s="9">
        <f>ABF42-ABJ42-ABK42-ABL42-ABM42-ABN42-ABO42</f>
        <v/>
      </c>
      <c r="ABQ42" s="9">
        <f>ABQ41+ABC42-(ABJ42+ABK42+ABL42+ABM42+ABN42+ABO42+ABH42)</f>
        <v/>
      </c>
      <c r="ABR42" s="12">
        <f>IF(AAW42&gt;0,AAX42/AAW42,0)</f>
        <v/>
      </c>
      <c r="ABS42" s="11">
        <f>IF(AAW41&gt;0,MAX(0,(AAW41+AAL42-AAW42)/AAW41),0)</f>
        <v/>
      </c>
      <c r="ABU42" s="12" t="n">
        <v>38</v>
      </c>
      <c r="ABV42" s="12">
        <f>MOD(ABU42-1+LaunchMonth-1,12)+1</f>
        <v/>
      </c>
      <c r="ABW42" s="12">
        <f>INT((ABU42-1+LaunchMonth-1)/12)+1</f>
        <v/>
      </c>
      <c r="ABX42" s="12">
        <f>VLOOKUP(ABV42,SeasonTable,2,FALSE)</f>
        <v/>
      </c>
      <c r="ABY42" s="12">
        <f>(1+InflationRate)^INT((ABU42-1)/12)</f>
        <v/>
      </c>
      <c r="ABZ42" s="11">
        <f>MonthlyChurn*VLOOKUP(ABV42,ChurnSeasonTable,4,FALSE)</f>
        <v/>
      </c>
      <c r="ACA42" s="12">
        <f>MIN(MAX(MktMin19plus,ACU41*MktPct19plus),MAX(0,ADI41-CashBuffer))</f>
        <v/>
      </c>
      <c r="ACB42" s="12">
        <f>IF(ACA42&gt;0,MAX(1,ROUND(ACA42/CAC*ABX42,0)),0)</f>
        <v/>
      </c>
      <c r="ACC42" s="12">
        <f>IF(ACB42&gt;0,ROUND(ACB42*ReferralMix/(1-ReferralMix),0),0)</f>
        <v/>
      </c>
      <c r="ACD42" s="12">
        <f>ACB42+ACC42</f>
        <v/>
      </c>
      <c r="ACE42" s="12">
        <f>ROUND(ACD42*(1-'Sens - Annual Mix'!$A$14),0)</f>
        <v/>
      </c>
      <c r="ACF42" s="12">
        <f>ACD42-ACE42</f>
        <v/>
      </c>
      <c r="ACG42" s="12">
        <f>ROUND(ACE42*EssentialMix,0)</f>
        <v/>
      </c>
      <c r="ACH42" s="12">
        <f>ACE42-ACG42</f>
        <v/>
      </c>
      <c r="ACI42" s="12">
        <f>ROUND(ACF42*EssentialMix,0)</f>
        <v/>
      </c>
      <c r="ACJ42" s="12">
        <f>ACF42-ACI42</f>
        <v/>
      </c>
      <c r="ACK42" s="12">
        <f>ACG42+ACG41+ACG40+MAX(0,ACK41-ACG41-ACG40)*(1-ABZ42)</f>
        <v/>
      </c>
      <c r="ACL42" s="12">
        <f>ACH42+ACH41+ACH40+MAX(0,ACL41-ACH41-ACH40)*(1-ABZ42)</f>
        <v/>
      </c>
      <c r="ACM42" s="12">
        <f>ACM41+ACI42-ACI30*(AnnualChurn*VLOOKUP(ABV42,ChurnSeasonTable,4,FALSE))*POWER(1-(AnnualChurn*VLOOKUP(ABV42,ChurnSeasonTable,4,FALSE)),0)+ACI18*(AnnualChurn*VLOOKUP(ABV42,ChurnSeasonTable,4,FALSE))*POWER(1-(AnnualChurn*VLOOKUP(ABV42,ChurnSeasonTable,4,FALSE)),1)+ACI6*(AnnualChurn*VLOOKUP(ABV42,ChurnSeasonTable,4,FALSE))*POWER(1-(AnnualChurn*VLOOKUP(ABV42,ChurnSeasonTable,4,FALSE)),2)</f>
        <v/>
      </c>
      <c r="ACN42" s="12">
        <f>ACN41+ACJ42-ACJ30*(AnnualChurn*VLOOKUP(ABV42,ChurnSeasonTable,4,FALSE))*POWER(1-(AnnualChurn*VLOOKUP(ABV42,ChurnSeasonTable,4,FALSE)),0)+ACJ18*(AnnualChurn*VLOOKUP(ABV42,ChurnSeasonTable,4,FALSE))*POWER(1-(AnnualChurn*VLOOKUP(ABV42,ChurnSeasonTable,4,FALSE)),1)+ACJ6*(AnnualChurn*VLOOKUP(ABV42,ChurnSeasonTable,4,FALSE))*POWER(1-(AnnualChurn*VLOOKUP(ABV42,ChurnSeasonTable,4,FALSE)),2)</f>
        <v/>
      </c>
      <c r="ACO42" s="12">
        <f>ACK42+ACL42+ACM42+ACN42</f>
        <v/>
      </c>
      <c r="ACP42" s="9">
        <f>ACK42*PriceEssMonthly*ABY42+ACL42*PricePremMonthly*ABY42+ACM42*PriceEssAnnual*ABY42/12+ACN42*PricePremAnnual*ABY42/12</f>
        <v/>
      </c>
      <c r="ACQ42" s="9">
        <f>ACP42*12</f>
        <v/>
      </c>
      <c r="ACR42" s="12">
        <f>ACK42*PriceEssMonthly*ABY42+ACL42*PricePremMonthly*ABY42</f>
        <v/>
      </c>
      <c r="ACS42" s="12">
        <f>ACI42*PriceEssAnnual*ABY42+ACJ42*PricePremAnnual*ABY42</f>
        <v/>
      </c>
      <c r="ACT42" s="12">
        <f>ACI30*POWER(1-(AnnualChurn*VLOOKUP(ABV42,ChurnSeasonTable,4,FALSE)),1)*PriceEssAnnual*ABY42+ACI18*POWER(1-(AnnualChurn*VLOOKUP(ABV42,ChurnSeasonTable,4,FALSE)),2)*PriceEssAnnual*ABY42+ACI6*POWER(1-(AnnualChurn*VLOOKUP(ABV42,ChurnSeasonTable,4,FALSE)),3)*PriceEssAnnual*ABY42+ACJ30*POWER(1-(AnnualChurn*VLOOKUP(ABV42,ChurnSeasonTable,4,FALSE)),1)*PricePremAnnual*ABY42+ACJ18*POWER(1-(AnnualChurn*VLOOKUP(ABV42,ChurnSeasonTable,4,FALSE)),2)*PricePremAnnual*ABY42+ACJ6*POWER(1-(AnnualChurn*VLOOKUP(ABV42,ChurnSeasonTable,4,FALSE)),3)*PricePremAnnual*ABY42</f>
        <v/>
      </c>
      <c r="ACU42" s="9">
        <f>ACR42+ACS42+ACT42</f>
        <v/>
      </c>
      <c r="ACV42" s="12">
        <f>SUM(ACU31:ACU42)</f>
        <v/>
      </c>
      <c r="ACW42" s="12">
        <f>OR(ACW41,ACV42&gt;=VATThreshold)</f>
        <v/>
      </c>
      <c r="ACX42" s="9">
        <f>IF(ACW42,ACU42/(1+VATRate),ACU42)</f>
        <v/>
      </c>
      <c r="ACY42" s="12">
        <f>ACU42-ACX42</f>
        <v/>
      </c>
      <c r="ACZ42" s="12">
        <f>IF(ACW42=0,0,IF(ABV42=1,SUMPRODUCT(--(($ABW$5:$ABW42=$ABW42-1)*($ABV$5:$ABV42&gt;=10)*($ABV$5:$ABV42&lt;=12)),$ACY$5:$ACY42),IF(ABV42=4,SUMPRODUCT(--(($ABW$5:$ABW42=$ABW42)*($ABV$5:$ABV42&gt;=1)*($ABV$5:$ABV42&lt;=3)),$ACY$5:$ACY42),IF(ABV42=7,SUMPRODUCT(--(($ABW$5:$ABW42=$ABW42)*($ABV$5:$ABV42&gt;=4)*($ABV$5:$ABV42&lt;=6)),$ACY$5:$ACY42),IF(ABV42=10,SUMPRODUCT(--(($ABW$5:$ABW42=$ABW42)*($ABV$5:$ABV42&gt;=7)*($ABV$5:$ABV42&lt;=9)),$ACY$5:$ACY42),0)))))</f>
        <v/>
      </c>
      <c r="ADA42" s="12">
        <f>ADA41+ACY42-ACZ42</f>
        <v/>
      </c>
      <c r="ADB42" s="12">
        <f>IF(ProviderDelay&gt;=1,ACX41*ProviderShare,ACX42*ProviderShare)</f>
        <v/>
      </c>
      <c r="ADC42" s="12">
        <f>ACU42*PaymentFee</f>
        <v/>
      </c>
      <c r="ADD42" s="12">
        <f>ACO42*OpsAI</f>
        <v/>
      </c>
      <c r="ADE42" s="12">
        <f>MonthlyFixed</f>
        <v/>
      </c>
      <c r="ADF42" s="12">
        <f>ACC42*ReferralReward</f>
        <v/>
      </c>
      <c r="ADG42" s="12">
        <f>ACA42</f>
        <v/>
      </c>
      <c r="ADH42" s="9">
        <f>ACX42-ADB42-ADC42-ADD42-ADE42-ADF42-ADG42</f>
        <v/>
      </c>
      <c r="ADI42" s="9">
        <f>ADI41+ACU42-(ADB42+ADC42+ADD42+ADE42+ADF42+ADG42+ACZ42)</f>
        <v/>
      </c>
      <c r="ADJ42" s="12">
        <f>IF(ACO42&gt;0,ACP42/ACO42,0)</f>
        <v/>
      </c>
      <c r="ADK42" s="11">
        <f>IF(ACO41&gt;0,MAX(0,(ACO41+ACD42-ACO42)/ACO41),0)</f>
        <v/>
      </c>
      <c r="ADM42" s="12" t="n">
        <v>38</v>
      </c>
      <c r="ADN42" s="12">
        <f>MOD(ADM42-1+LaunchMonth-1,12)+1</f>
        <v/>
      </c>
      <c r="ADO42" s="12">
        <f>INT((ADM42-1+LaunchMonth-1)/12)+1</f>
        <v/>
      </c>
      <c r="ADP42" s="12">
        <f>VLOOKUP(ADN42,SeasonTable,2,FALSE)</f>
        <v/>
      </c>
      <c r="ADQ42" s="12">
        <f>(1+InflationRate)^INT((ADM42-1)/12)</f>
        <v/>
      </c>
      <c r="ADR42" s="11">
        <f>MonthlyChurn*VLOOKUP(ADN42,ChurnSeasonTable,4,FALSE)</f>
        <v/>
      </c>
      <c r="ADS42" s="12">
        <f>MIN(MAX(MktMin19plus,AEM41*MktPct19plus),MAX(0,AFA41-CashBuffer))</f>
        <v/>
      </c>
      <c r="ADT42" s="12">
        <f>IF(ADS42&gt;0,MAX(1,ROUND(ADS42/CAC*ADP42,0)),0)</f>
        <v/>
      </c>
      <c r="ADU42" s="12">
        <f>IF(ADT42&gt;0,ROUND(ADT42*ReferralMix/(1-ReferralMix),0),0)</f>
        <v/>
      </c>
      <c r="ADV42" s="12">
        <f>ADT42+ADU42</f>
        <v/>
      </c>
      <c r="ADW42" s="12">
        <f>ROUND(ADV42*(1-'Sens - Annual Mix'!$A$15),0)</f>
        <v/>
      </c>
      <c r="ADX42" s="12">
        <f>ADV42-ADW42</f>
        <v/>
      </c>
      <c r="ADY42" s="12">
        <f>ROUND(ADW42*EssentialMix,0)</f>
        <v/>
      </c>
      <c r="ADZ42" s="12">
        <f>ADW42-ADY42</f>
        <v/>
      </c>
      <c r="AEA42" s="12">
        <f>ROUND(ADX42*EssentialMix,0)</f>
        <v/>
      </c>
      <c r="AEB42" s="12">
        <f>ADX42-AEA42</f>
        <v/>
      </c>
      <c r="AEC42" s="12">
        <f>ADY42+ADY41+ADY40+MAX(0,AEC41-ADY41-ADY40)*(1-ADR42)</f>
        <v/>
      </c>
      <c r="AED42" s="12">
        <f>ADZ42+ADZ41+ADZ40+MAX(0,AED41-ADZ41-ADZ40)*(1-ADR42)</f>
        <v/>
      </c>
      <c r="AEE42" s="12">
        <f>AEE41+AEA42-AEA30*(AnnualChurn*VLOOKUP(ADN42,ChurnSeasonTable,4,FALSE))*POWER(1-(AnnualChurn*VLOOKUP(ADN42,ChurnSeasonTable,4,FALSE)),0)+AEA18*(AnnualChurn*VLOOKUP(ADN42,ChurnSeasonTable,4,FALSE))*POWER(1-(AnnualChurn*VLOOKUP(ADN42,ChurnSeasonTable,4,FALSE)),1)+AEA6*(AnnualChurn*VLOOKUP(ADN42,ChurnSeasonTable,4,FALSE))*POWER(1-(AnnualChurn*VLOOKUP(ADN42,ChurnSeasonTable,4,FALSE)),2)</f>
        <v/>
      </c>
      <c r="AEF42" s="12">
        <f>AEF41+AEB42-AEB30*(AnnualChurn*VLOOKUP(ADN42,ChurnSeasonTable,4,FALSE))*POWER(1-(AnnualChurn*VLOOKUP(ADN42,ChurnSeasonTable,4,FALSE)),0)+AEB18*(AnnualChurn*VLOOKUP(ADN42,ChurnSeasonTable,4,FALSE))*POWER(1-(AnnualChurn*VLOOKUP(ADN42,ChurnSeasonTable,4,FALSE)),1)+AEB6*(AnnualChurn*VLOOKUP(ADN42,ChurnSeasonTable,4,FALSE))*POWER(1-(AnnualChurn*VLOOKUP(ADN42,ChurnSeasonTable,4,FALSE)),2)</f>
        <v/>
      </c>
      <c r="AEG42" s="12">
        <f>AEC42+AED42+AEE42+AEF42</f>
        <v/>
      </c>
      <c r="AEH42" s="9">
        <f>AEC42*PriceEssMonthly*ADQ42+AED42*PricePremMonthly*ADQ42+AEE42*PriceEssAnnual*ADQ42/12+AEF42*PricePremAnnual*ADQ42/12</f>
        <v/>
      </c>
      <c r="AEI42" s="9">
        <f>AEH42*12</f>
        <v/>
      </c>
      <c r="AEJ42" s="12">
        <f>AEC42*PriceEssMonthly*ADQ42+AED42*PricePremMonthly*ADQ42</f>
        <v/>
      </c>
      <c r="AEK42" s="12">
        <f>AEA42*PriceEssAnnual*ADQ42+AEB42*PricePremAnnual*ADQ42</f>
        <v/>
      </c>
      <c r="AEL42" s="12">
        <f>AEA30*POWER(1-(AnnualChurn*VLOOKUP(ADN42,ChurnSeasonTable,4,FALSE)),1)*PriceEssAnnual*ADQ42+AEA18*POWER(1-(AnnualChurn*VLOOKUP(ADN42,ChurnSeasonTable,4,FALSE)),2)*PriceEssAnnual*ADQ42+AEA6*POWER(1-(AnnualChurn*VLOOKUP(ADN42,ChurnSeasonTable,4,FALSE)),3)*PriceEssAnnual*ADQ42+AEB30*POWER(1-(AnnualChurn*VLOOKUP(ADN42,ChurnSeasonTable,4,FALSE)),1)*PricePremAnnual*ADQ42+AEB18*POWER(1-(AnnualChurn*VLOOKUP(ADN42,ChurnSeasonTable,4,FALSE)),2)*PricePremAnnual*ADQ42+AEB6*POWER(1-(AnnualChurn*VLOOKUP(ADN42,ChurnSeasonTable,4,FALSE)),3)*PricePremAnnual*ADQ42</f>
        <v/>
      </c>
      <c r="AEM42" s="9">
        <f>AEJ42+AEK42+AEL42</f>
        <v/>
      </c>
      <c r="AEN42" s="12">
        <f>SUM(AEM31:AEM42)</f>
        <v/>
      </c>
      <c r="AEO42" s="12">
        <f>OR(AEO41,AEN42&gt;=VATThreshold)</f>
        <v/>
      </c>
      <c r="AEP42" s="9">
        <f>IF(AEO42,AEM42/(1+VATRate),AEM42)</f>
        <v/>
      </c>
      <c r="AEQ42" s="12">
        <f>AEM42-AEP42</f>
        <v/>
      </c>
      <c r="AER42" s="12">
        <f>IF(AEO42=0,0,IF(ADN42=1,SUMPRODUCT(--(($ADO$5:$ADO42=$ADO42-1)*($ADN$5:$ADN42&gt;=10)*($ADN$5:$ADN42&lt;=12)),$AEQ$5:$AEQ42),IF(ADN42=4,SUMPRODUCT(--(($ADO$5:$ADO42=$ADO42)*($ADN$5:$ADN42&gt;=1)*($ADN$5:$ADN42&lt;=3)),$AEQ$5:$AEQ42),IF(ADN42=7,SUMPRODUCT(--(($ADO$5:$ADO42=$ADO42)*($ADN$5:$ADN42&gt;=4)*($ADN$5:$ADN42&lt;=6)),$AEQ$5:$AEQ42),IF(ADN42=10,SUMPRODUCT(--(($ADO$5:$ADO42=$ADO42)*($ADN$5:$ADN42&gt;=7)*($ADN$5:$ADN42&lt;=9)),$AEQ$5:$AEQ42),0)))))</f>
        <v/>
      </c>
      <c r="AES42" s="12">
        <f>AES41+AEQ42-AER42</f>
        <v/>
      </c>
      <c r="AET42" s="12">
        <f>IF(ProviderDelay&gt;=1,AEP41*ProviderShare,AEP42*ProviderShare)</f>
        <v/>
      </c>
      <c r="AEU42" s="12">
        <f>AEM42*PaymentFee</f>
        <v/>
      </c>
      <c r="AEV42" s="12">
        <f>AEG42*OpsAI</f>
        <v/>
      </c>
      <c r="AEW42" s="12">
        <f>MonthlyFixed</f>
        <v/>
      </c>
      <c r="AEX42" s="12">
        <f>ADU42*ReferralReward</f>
        <v/>
      </c>
      <c r="AEY42" s="12">
        <f>ADS42</f>
        <v/>
      </c>
      <c r="AEZ42" s="9">
        <f>AEP42-AET42-AEU42-AEV42-AEW42-AEX42-AEY42</f>
        <v/>
      </c>
      <c r="AFA42" s="9">
        <f>AFA41+AEM42-(AET42+AEU42+AEV42+AEW42+AEX42+AEY42+AER42)</f>
        <v/>
      </c>
      <c r="AFB42" s="12">
        <f>IF(AEG42&gt;0,AEH42/AEG42,0)</f>
        <v/>
      </c>
      <c r="AFC42" s="11">
        <f>IF(AEG41&gt;0,MAX(0,(AEG41+ADV42-AEG42)/AEG41),0)</f>
        <v/>
      </c>
      <c r="AFE42" s="12" t="n">
        <v>38</v>
      </c>
      <c r="AFF42" s="12">
        <f>MOD(AFE42-1+LaunchMonth-1,12)+1</f>
        <v/>
      </c>
      <c r="AFG42" s="12">
        <f>INT((AFE42-1+LaunchMonth-1)/12)+1</f>
        <v/>
      </c>
      <c r="AFH42" s="12">
        <f>VLOOKUP(AFF42,SeasonTable,2,FALSE)</f>
        <v/>
      </c>
      <c r="AFI42" s="12">
        <f>(1+InflationRate)^INT((AFE42-1)/12)</f>
        <v/>
      </c>
      <c r="AFJ42" s="11">
        <f>MonthlyChurn*VLOOKUP(AFF42,ChurnSeasonTable,4,FALSE)</f>
        <v/>
      </c>
      <c r="AFK42" s="12">
        <f>MIN(MAX(MktMin19plus,AGE41*MktPct19plus),MAX(0,AGS41-CashBuffer))</f>
        <v/>
      </c>
      <c r="AFL42" s="12">
        <f>IF(AFK42&gt;0,MAX(1,ROUND(AFK42/'Sens - CAC &amp; Marketing'!$A$9*AFH42,0)),0)</f>
        <v/>
      </c>
      <c r="AFM42" s="12">
        <f>IF(AFL42&gt;0,ROUND(AFL42*ReferralMix/(1-ReferralMix),0),0)</f>
        <v/>
      </c>
      <c r="AFN42" s="12">
        <f>AFL42+AFM42</f>
        <v/>
      </c>
      <c r="AFO42" s="12">
        <f>ROUND(AFN42*(1-AnnualMix),0)</f>
        <v/>
      </c>
      <c r="AFP42" s="12">
        <f>AFN42-AFO42</f>
        <v/>
      </c>
      <c r="AFQ42" s="12">
        <f>ROUND(AFO42*EssentialMix,0)</f>
        <v/>
      </c>
      <c r="AFR42" s="12">
        <f>AFO42-AFQ42</f>
        <v/>
      </c>
      <c r="AFS42" s="12">
        <f>ROUND(AFP42*EssentialMix,0)</f>
        <v/>
      </c>
      <c r="AFT42" s="12">
        <f>AFP42-AFS42</f>
        <v/>
      </c>
      <c r="AFU42" s="12">
        <f>AFQ42+AFQ41+AFQ40+MAX(0,AFU41-AFQ41-AFQ40)*(1-AFJ42)</f>
        <v/>
      </c>
      <c r="AFV42" s="12">
        <f>AFR42+AFR41+AFR40+MAX(0,AFV41-AFR41-AFR40)*(1-AFJ42)</f>
        <v/>
      </c>
      <c r="AFW42" s="12">
        <f>AFW41+AFS42-AFS30*(AnnualChurn*VLOOKUP(AFF42,ChurnSeasonTable,4,FALSE))*POWER(1-(AnnualChurn*VLOOKUP(AFF42,ChurnSeasonTable,4,FALSE)),0)+AFS18*(AnnualChurn*VLOOKUP(AFF42,ChurnSeasonTable,4,FALSE))*POWER(1-(AnnualChurn*VLOOKUP(AFF42,ChurnSeasonTable,4,FALSE)),1)+AFS6*(AnnualChurn*VLOOKUP(AFF42,ChurnSeasonTable,4,FALSE))*POWER(1-(AnnualChurn*VLOOKUP(AFF42,ChurnSeasonTable,4,FALSE)),2)</f>
        <v/>
      </c>
      <c r="AFX42" s="12">
        <f>AFX41+AFT42-AFT30*(AnnualChurn*VLOOKUP(AFF42,ChurnSeasonTable,4,FALSE))*POWER(1-(AnnualChurn*VLOOKUP(AFF42,ChurnSeasonTable,4,FALSE)),0)+AFT18*(AnnualChurn*VLOOKUP(AFF42,ChurnSeasonTable,4,FALSE))*POWER(1-(AnnualChurn*VLOOKUP(AFF42,ChurnSeasonTable,4,FALSE)),1)+AFT6*(AnnualChurn*VLOOKUP(AFF42,ChurnSeasonTable,4,FALSE))*POWER(1-(AnnualChurn*VLOOKUP(AFF42,ChurnSeasonTable,4,FALSE)),2)</f>
        <v/>
      </c>
      <c r="AFY42" s="12">
        <f>AFU42+AFV42+AFW42+AFX42</f>
        <v/>
      </c>
      <c r="AFZ42" s="9">
        <f>AFU42*PriceEssMonthly*AFI42+AFV42*PricePremMonthly*AFI42+AFW42*PriceEssAnnual*AFI42/12+AFX42*PricePremAnnual*AFI42/12</f>
        <v/>
      </c>
      <c r="AGA42" s="9">
        <f>AFZ42*12</f>
        <v/>
      </c>
      <c r="AGB42" s="12">
        <f>AFU42*PriceEssMonthly*AFI42+AFV42*PricePremMonthly*AFI42</f>
        <v/>
      </c>
      <c r="AGC42" s="12">
        <f>AFS42*PriceEssAnnual*AFI42+AFT42*PricePremAnnual*AFI42</f>
        <v/>
      </c>
      <c r="AGD42" s="12">
        <f>AFS30*POWER(1-(AnnualChurn*VLOOKUP(AFF42,ChurnSeasonTable,4,FALSE)),1)*PriceEssAnnual*AFI42+AFS18*POWER(1-(AnnualChurn*VLOOKUP(AFF42,ChurnSeasonTable,4,FALSE)),2)*PriceEssAnnual*AFI42+AFS6*POWER(1-(AnnualChurn*VLOOKUP(AFF42,ChurnSeasonTable,4,FALSE)),3)*PriceEssAnnual*AFI42+AFT30*POWER(1-(AnnualChurn*VLOOKUP(AFF42,ChurnSeasonTable,4,FALSE)),1)*PricePremAnnual*AFI42+AFT18*POWER(1-(AnnualChurn*VLOOKUP(AFF42,ChurnSeasonTable,4,FALSE)),2)*PricePremAnnual*AFI42+AFT6*POWER(1-(AnnualChurn*VLOOKUP(AFF42,ChurnSeasonTable,4,FALSE)),3)*PricePremAnnual*AFI42</f>
        <v/>
      </c>
      <c r="AGE42" s="9">
        <f>AGB42+AGC42+AGD42</f>
        <v/>
      </c>
      <c r="AGF42" s="12">
        <f>SUM(AGE31:AGE42)</f>
        <v/>
      </c>
      <c r="AGG42" s="12">
        <f>OR(AGG41,AGF42&gt;=VATThreshold)</f>
        <v/>
      </c>
      <c r="AGH42" s="9">
        <f>IF(AGG42,AGE42/(1+VATRate),AGE42)</f>
        <v/>
      </c>
      <c r="AGI42" s="12">
        <f>AGE42-AGH42</f>
        <v/>
      </c>
      <c r="AGJ42" s="12">
        <f>IF(AGG42=0,0,IF(AFF42=1,SUMPRODUCT(--(($AFG$5:$AFG42=$AFG42-1)*($AFF$5:$AFF42&gt;=10)*($AFF$5:$AFF42&lt;=12)),$AGI$5:$AGI42),IF(AFF42=4,SUMPRODUCT(--(($AFG$5:$AFG42=$AFG42)*($AFF$5:$AFF42&gt;=1)*($AFF$5:$AFF42&lt;=3)),$AGI$5:$AGI42),IF(AFF42=7,SUMPRODUCT(--(($AFG$5:$AFG42=$AFG42)*($AFF$5:$AFF42&gt;=4)*($AFF$5:$AFF42&lt;=6)),$AGI$5:$AGI42),IF(AFF42=10,SUMPRODUCT(--(($AFG$5:$AFG42=$AFG42)*($AFF$5:$AFF42&gt;=7)*($AFF$5:$AFF42&lt;=9)),$AGI$5:$AGI42),0)))))</f>
        <v/>
      </c>
      <c r="AGK42" s="12">
        <f>AGK41+AGI42-AGJ42</f>
        <v/>
      </c>
      <c r="AGL42" s="12">
        <f>IF(ProviderDelay&gt;=1,AGH41*ProviderShare,AGH42*ProviderShare)</f>
        <v/>
      </c>
      <c r="AGM42" s="12">
        <f>AGE42*PaymentFee</f>
        <v/>
      </c>
      <c r="AGN42" s="12">
        <f>AFY42*OpsAI</f>
        <v/>
      </c>
      <c r="AGO42" s="12">
        <f>MonthlyFixed</f>
        <v/>
      </c>
      <c r="AGP42" s="12">
        <f>AFM42*ReferralReward</f>
        <v/>
      </c>
      <c r="AGQ42" s="12">
        <f>AFK42</f>
        <v/>
      </c>
      <c r="AGR42" s="9">
        <f>AGH42-AGL42-AGM42-AGN42-AGO42-AGP42-AGQ42</f>
        <v/>
      </c>
      <c r="AGS42" s="9">
        <f>AGS41+AGE42-(AGL42+AGM42+AGN42+AGO42+AGP42+AGQ42+AGJ42)</f>
        <v/>
      </c>
      <c r="AGT42" s="12">
        <f>IF(AFY42&gt;0,AFZ42/AFY42,0)</f>
        <v/>
      </c>
      <c r="AGU42" s="11">
        <f>IF(AFY41&gt;0,MAX(0,(AFY41+AFN42-AFY42)/AFY41),0)</f>
        <v/>
      </c>
      <c r="AGW42" s="12" t="n">
        <v>38</v>
      </c>
      <c r="AGX42" s="12">
        <f>MOD(AGW42-1+LaunchMonth-1,12)+1</f>
        <v/>
      </c>
      <c r="AGY42" s="12">
        <f>INT((AGW42-1+LaunchMonth-1)/12)+1</f>
        <v/>
      </c>
      <c r="AGZ42" s="12">
        <f>VLOOKUP(AGX42,SeasonTable,2,FALSE)</f>
        <v/>
      </c>
      <c r="AHA42" s="12">
        <f>(1+InflationRate)^INT((AGW42-1)/12)</f>
        <v/>
      </c>
      <c r="AHB42" s="11">
        <f>MonthlyChurn*VLOOKUP(AGX42,ChurnSeasonTable,4,FALSE)</f>
        <v/>
      </c>
      <c r="AHC42" s="12">
        <f>MIN(MAX(MktMin19plus,AHW41*MktPct19plus),MAX(0,AIK41-CashBuffer))</f>
        <v/>
      </c>
      <c r="AHD42" s="12">
        <f>IF(AHC42&gt;0,MAX(1,ROUND(AHC42/'Sens - CAC &amp; Marketing'!$A$10*AGZ42,0)),0)</f>
        <v/>
      </c>
      <c r="AHE42" s="12">
        <f>IF(AHD42&gt;0,ROUND(AHD42*ReferralMix/(1-ReferralMix),0),0)</f>
        <v/>
      </c>
      <c r="AHF42" s="12">
        <f>AHD42+AHE42</f>
        <v/>
      </c>
      <c r="AHG42" s="12">
        <f>ROUND(AHF42*(1-AnnualMix),0)</f>
        <v/>
      </c>
      <c r="AHH42" s="12">
        <f>AHF42-AHG42</f>
        <v/>
      </c>
      <c r="AHI42" s="12">
        <f>ROUND(AHG42*EssentialMix,0)</f>
        <v/>
      </c>
      <c r="AHJ42" s="12">
        <f>AHG42-AHI42</f>
        <v/>
      </c>
      <c r="AHK42" s="12">
        <f>ROUND(AHH42*EssentialMix,0)</f>
        <v/>
      </c>
      <c r="AHL42" s="12">
        <f>AHH42-AHK42</f>
        <v/>
      </c>
      <c r="AHM42" s="12">
        <f>AHI42+AHI41+AHI40+MAX(0,AHM41-AHI41-AHI40)*(1-AHB42)</f>
        <v/>
      </c>
      <c r="AHN42" s="12">
        <f>AHJ42+AHJ41+AHJ40+MAX(0,AHN41-AHJ41-AHJ40)*(1-AHB42)</f>
        <v/>
      </c>
      <c r="AHO42" s="12">
        <f>AHO41+AHK42-AHK30*(AnnualChurn*VLOOKUP(AGX42,ChurnSeasonTable,4,FALSE))*POWER(1-(AnnualChurn*VLOOKUP(AGX42,ChurnSeasonTable,4,FALSE)),0)+AHK18*(AnnualChurn*VLOOKUP(AGX42,ChurnSeasonTable,4,FALSE))*POWER(1-(AnnualChurn*VLOOKUP(AGX42,ChurnSeasonTable,4,FALSE)),1)+AHK6*(AnnualChurn*VLOOKUP(AGX42,ChurnSeasonTable,4,FALSE))*POWER(1-(AnnualChurn*VLOOKUP(AGX42,ChurnSeasonTable,4,FALSE)),2)</f>
        <v/>
      </c>
      <c r="AHP42" s="12">
        <f>AHP41+AHL42-AHL30*(AnnualChurn*VLOOKUP(AGX42,ChurnSeasonTable,4,FALSE))*POWER(1-(AnnualChurn*VLOOKUP(AGX42,ChurnSeasonTable,4,FALSE)),0)+AHL18*(AnnualChurn*VLOOKUP(AGX42,ChurnSeasonTable,4,FALSE))*POWER(1-(AnnualChurn*VLOOKUP(AGX42,ChurnSeasonTable,4,FALSE)),1)+AHL6*(AnnualChurn*VLOOKUP(AGX42,ChurnSeasonTable,4,FALSE))*POWER(1-(AnnualChurn*VLOOKUP(AGX42,ChurnSeasonTable,4,FALSE)),2)</f>
        <v/>
      </c>
      <c r="AHQ42" s="12">
        <f>AHM42+AHN42+AHO42+AHP42</f>
        <v/>
      </c>
      <c r="AHR42" s="9">
        <f>AHM42*PriceEssMonthly*AHA42+AHN42*PricePremMonthly*AHA42+AHO42*PriceEssAnnual*AHA42/12+AHP42*PricePremAnnual*AHA42/12</f>
        <v/>
      </c>
      <c r="AHS42" s="9">
        <f>AHR42*12</f>
        <v/>
      </c>
      <c r="AHT42" s="12">
        <f>AHM42*PriceEssMonthly*AHA42+AHN42*PricePremMonthly*AHA42</f>
        <v/>
      </c>
      <c r="AHU42" s="12">
        <f>AHK42*PriceEssAnnual*AHA42+AHL42*PricePremAnnual*AHA42</f>
        <v/>
      </c>
      <c r="AHV42" s="12">
        <f>AHK30*POWER(1-(AnnualChurn*VLOOKUP(AGX42,ChurnSeasonTable,4,FALSE)),1)*PriceEssAnnual*AHA42+AHK18*POWER(1-(AnnualChurn*VLOOKUP(AGX42,ChurnSeasonTable,4,FALSE)),2)*PriceEssAnnual*AHA42+AHK6*POWER(1-(AnnualChurn*VLOOKUP(AGX42,ChurnSeasonTable,4,FALSE)),3)*PriceEssAnnual*AHA42+AHL30*POWER(1-(AnnualChurn*VLOOKUP(AGX42,ChurnSeasonTable,4,FALSE)),1)*PricePremAnnual*AHA42+AHL18*POWER(1-(AnnualChurn*VLOOKUP(AGX42,ChurnSeasonTable,4,FALSE)),2)*PricePremAnnual*AHA42+AHL6*POWER(1-(AnnualChurn*VLOOKUP(AGX42,ChurnSeasonTable,4,FALSE)),3)*PricePremAnnual*AHA42</f>
        <v/>
      </c>
      <c r="AHW42" s="9">
        <f>AHT42+AHU42+AHV42</f>
        <v/>
      </c>
      <c r="AHX42" s="12">
        <f>SUM(AHW31:AHW42)</f>
        <v/>
      </c>
      <c r="AHY42" s="12">
        <f>OR(AHY41,AHX42&gt;=VATThreshold)</f>
        <v/>
      </c>
      <c r="AHZ42" s="9">
        <f>IF(AHY42,AHW42/(1+VATRate),AHW42)</f>
        <v/>
      </c>
      <c r="AIA42" s="12">
        <f>AHW42-AHZ42</f>
        <v/>
      </c>
      <c r="AIB42" s="12">
        <f>IF(AHY42=0,0,IF(AGX42=1,SUMPRODUCT(--(($AGY$5:$AGY42=$AGY42-1)*($AGX$5:$AGX42&gt;=10)*($AGX$5:$AGX42&lt;=12)),$AIA$5:$AIA42),IF(AGX42=4,SUMPRODUCT(--(($AGY$5:$AGY42=$AGY42)*($AGX$5:$AGX42&gt;=1)*($AGX$5:$AGX42&lt;=3)),$AIA$5:$AIA42),IF(AGX42=7,SUMPRODUCT(--(($AGY$5:$AGY42=$AGY42)*($AGX$5:$AGX42&gt;=4)*($AGX$5:$AGX42&lt;=6)),$AIA$5:$AIA42),IF(AGX42=10,SUMPRODUCT(--(($AGY$5:$AGY42=$AGY42)*($AGX$5:$AGX42&gt;=7)*($AGX$5:$AGX42&lt;=9)),$AIA$5:$AIA42),0)))))</f>
        <v/>
      </c>
      <c r="AIC42" s="12">
        <f>AIC41+AIA42-AIB42</f>
        <v/>
      </c>
      <c r="AID42" s="12">
        <f>IF(ProviderDelay&gt;=1,AHZ41*ProviderShare,AHZ42*ProviderShare)</f>
        <v/>
      </c>
      <c r="AIE42" s="12">
        <f>AHW42*PaymentFee</f>
        <v/>
      </c>
      <c r="AIF42" s="12">
        <f>AHQ42*OpsAI</f>
        <v/>
      </c>
      <c r="AIG42" s="12">
        <f>MonthlyFixed</f>
        <v/>
      </c>
      <c r="AIH42" s="12">
        <f>AHE42*ReferralReward</f>
        <v/>
      </c>
      <c r="AII42" s="12">
        <f>AHC42</f>
        <v/>
      </c>
      <c r="AIJ42" s="9">
        <f>AHZ42-AID42-AIE42-AIF42-AIG42-AIH42-AII42</f>
        <v/>
      </c>
      <c r="AIK42" s="9">
        <f>AIK41+AHW42-(AID42+AIE42+AIF42+AIG42+AIH42+AII42+AIB42)</f>
        <v/>
      </c>
      <c r="AIL42" s="12">
        <f>IF(AHQ42&gt;0,AHR42/AHQ42,0)</f>
        <v/>
      </c>
      <c r="AIM42" s="11">
        <f>IF(AHQ41&gt;0,MAX(0,(AHQ41+AHF42-AHQ42)/AHQ41),0)</f>
        <v/>
      </c>
      <c r="AIO42" s="12" t="n">
        <v>38</v>
      </c>
      <c r="AIP42" s="12">
        <f>MOD(AIO42-1+LaunchMonth-1,12)+1</f>
        <v/>
      </c>
      <c r="AIQ42" s="12">
        <f>INT((AIO42-1+LaunchMonth-1)/12)+1</f>
        <v/>
      </c>
      <c r="AIR42" s="12">
        <f>VLOOKUP(AIP42,SeasonTable,2,FALSE)</f>
        <v/>
      </c>
      <c r="AIS42" s="12">
        <f>(1+InflationRate)^INT((AIO42-1)/12)</f>
        <v/>
      </c>
      <c r="AIT42" s="11">
        <f>MonthlyChurn*VLOOKUP(AIP42,ChurnSeasonTable,4,FALSE)</f>
        <v/>
      </c>
      <c r="AIU42" s="12">
        <f>MIN(MAX(MktMin19plus,AJO41*MktPct19plus),MAX(0,AKC41-CashBuffer))</f>
        <v/>
      </c>
      <c r="AIV42" s="12">
        <f>IF(AIU42&gt;0,MAX(1,ROUND(AIU42/'Sens - CAC &amp; Marketing'!$A$11*AIR42,0)),0)</f>
        <v/>
      </c>
      <c r="AIW42" s="12">
        <f>IF(AIV42&gt;0,ROUND(AIV42*ReferralMix/(1-ReferralMix),0),0)</f>
        <v/>
      </c>
      <c r="AIX42" s="12">
        <f>AIV42+AIW42</f>
        <v/>
      </c>
      <c r="AIY42" s="12">
        <f>ROUND(AIX42*(1-AnnualMix),0)</f>
        <v/>
      </c>
      <c r="AIZ42" s="12">
        <f>AIX42-AIY42</f>
        <v/>
      </c>
      <c r="AJA42" s="12">
        <f>ROUND(AIY42*EssentialMix,0)</f>
        <v/>
      </c>
      <c r="AJB42" s="12">
        <f>AIY42-AJA42</f>
        <v/>
      </c>
      <c r="AJC42" s="12">
        <f>ROUND(AIZ42*EssentialMix,0)</f>
        <v/>
      </c>
      <c r="AJD42" s="12">
        <f>AIZ42-AJC42</f>
        <v/>
      </c>
      <c r="AJE42" s="12">
        <f>AJA42+AJA41+AJA40+MAX(0,AJE41-AJA41-AJA40)*(1-AIT42)</f>
        <v/>
      </c>
      <c r="AJF42" s="12">
        <f>AJB42+AJB41+AJB40+MAX(0,AJF41-AJB41-AJB40)*(1-AIT42)</f>
        <v/>
      </c>
      <c r="AJG42" s="12">
        <f>AJG41+AJC42-AJC30*(AnnualChurn*VLOOKUP(AIP42,ChurnSeasonTable,4,FALSE))*POWER(1-(AnnualChurn*VLOOKUP(AIP42,ChurnSeasonTable,4,FALSE)),0)+AJC18*(AnnualChurn*VLOOKUP(AIP42,ChurnSeasonTable,4,FALSE))*POWER(1-(AnnualChurn*VLOOKUP(AIP42,ChurnSeasonTable,4,FALSE)),1)+AJC6*(AnnualChurn*VLOOKUP(AIP42,ChurnSeasonTable,4,FALSE))*POWER(1-(AnnualChurn*VLOOKUP(AIP42,ChurnSeasonTable,4,FALSE)),2)</f>
        <v/>
      </c>
      <c r="AJH42" s="12">
        <f>AJH41+AJD42-AJD30*(AnnualChurn*VLOOKUP(AIP42,ChurnSeasonTable,4,FALSE))*POWER(1-(AnnualChurn*VLOOKUP(AIP42,ChurnSeasonTable,4,FALSE)),0)+AJD18*(AnnualChurn*VLOOKUP(AIP42,ChurnSeasonTable,4,FALSE))*POWER(1-(AnnualChurn*VLOOKUP(AIP42,ChurnSeasonTable,4,FALSE)),1)+AJD6*(AnnualChurn*VLOOKUP(AIP42,ChurnSeasonTable,4,FALSE))*POWER(1-(AnnualChurn*VLOOKUP(AIP42,ChurnSeasonTable,4,FALSE)),2)</f>
        <v/>
      </c>
      <c r="AJI42" s="12">
        <f>AJE42+AJF42+AJG42+AJH42</f>
        <v/>
      </c>
      <c r="AJJ42" s="9">
        <f>AJE42*PriceEssMonthly*AIS42+AJF42*PricePremMonthly*AIS42+AJG42*PriceEssAnnual*AIS42/12+AJH42*PricePremAnnual*AIS42/12</f>
        <v/>
      </c>
      <c r="AJK42" s="9">
        <f>AJJ42*12</f>
        <v/>
      </c>
      <c r="AJL42" s="12">
        <f>AJE42*PriceEssMonthly*AIS42+AJF42*PricePremMonthly*AIS42</f>
        <v/>
      </c>
      <c r="AJM42" s="12">
        <f>AJC42*PriceEssAnnual*AIS42+AJD42*PricePremAnnual*AIS42</f>
        <v/>
      </c>
      <c r="AJN42" s="12">
        <f>AJC30*POWER(1-(AnnualChurn*VLOOKUP(AIP42,ChurnSeasonTable,4,FALSE)),1)*PriceEssAnnual*AIS42+AJC18*POWER(1-(AnnualChurn*VLOOKUP(AIP42,ChurnSeasonTable,4,FALSE)),2)*PriceEssAnnual*AIS42+AJC6*POWER(1-(AnnualChurn*VLOOKUP(AIP42,ChurnSeasonTable,4,FALSE)),3)*PriceEssAnnual*AIS42+AJD30*POWER(1-(AnnualChurn*VLOOKUP(AIP42,ChurnSeasonTable,4,FALSE)),1)*PricePremAnnual*AIS42+AJD18*POWER(1-(AnnualChurn*VLOOKUP(AIP42,ChurnSeasonTable,4,FALSE)),2)*PricePremAnnual*AIS42+AJD6*POWER(1-(AnnualChurn*VLOOKUP(AIP42,ChurnSeasonTable,4,FALSE)),3)*PricePremAnnual*AIS42</f>
        <v/>
      </c>
      <c r="AJO42" s="9">
        <f>AJL42+AJM42+AJN42</f>
        <v/>
      </c>
      <c r="AJP42" s="12">
        <f>SUM(AJO31:AJO42)</f>
        <v/>
      </c>
      <c r="AJQ42" s="12">
        <f>OR(AJQ41,AJP42&gt;=VATThreshold)</f>
        <v/>
      </c>
      <c r="AJR42" s="9">
        <f>IF(AJQ42,AJO42/(1+VATRate),AJO42)</f>
        <v/>
      </c>
      <c r="AJS42" s="12">
        <f>AJO42-AJR42</f>
        <v/>
      </c>
      <c r="AJT42" s="12">
        <f>IF(AJQ42=0,0,IF(AIP42=1,SUMPRODUCT(--(($AIQ$5:$AIQ42=$AIQ42-1)*($AIP$5:$AIP42&gt;=10)*($AIP$5:$AIP42&lt;=12)),$AJS$5:$AJS42),IF(AIP42=4,SUMPRODUCT(--(($AIQ$5:$AIQ42=$AIQ42)*($AIP$5:$AIP42&gt;=1)*($AIP$5:$AIP42&lt;=3)),$AJS$5:$AJS42),IF(AIP42=7,SUMPRODUCT(--(($AIQ$5:$AIQ42=$AIQ42)*($AIP$5:$AIP42&gt;=4)*($AIP$5:$AIP42&lt;=6)),$AJS$5:$AJS42),IF(AIP42=10,SUMPRODUCT(--(($AIQ$5:$AIQ42=$AIQ42)*($AIP$5:$AIP42&gt;=7)*($AIP$5:$AIP42&lt;=9)),$AJS$5:$AJS42),0)))))</f>
        <v/>
      </c>
      <c r="AJU42" s="12">
        <f>AJU41+AJS42-AJT42</f>
        <v/>
      </c>
      <c r="AJV42" s="12">
        <f>IF(ProviderDelay&gt;=1,AJR41*ProviderShare,AJR42*ProviderShare)</f>
        <v/>
      </c>
      <c r="AJW42" s="12">
        <f>AJO42*PaymentFee</f>
        <v/>
      </c>
      <c r="AJX42" s="12">
        <f>AJI42*OpsAI</f>
        <v/>
      </c>
      <c r="AJY42" s="12">
        <f>MonthlyFixed</f>
        <v/>
      </c>
      <c r="AJZ42" s="12">
        <f>AIW42*ReferralReward</f>
        <v/>
      </c>
      <c r="AKA42" s="12">
        <f>AIU42</f>
        <v/>
      </c>
      <c r="AKB42" s="9">
        <f>AJR42-AJV42-AJW42-AJX42-AJY42-AJZ42-AKA42</f>
        <v/>
      </c>
      <c r="AKC42" s="9">
        <f>AKC41+AJO42-(AJV42+AJW42+AJX42+AJY42+AJZ42+AKA42+AJT42)</f>
        <v/>
      </c>
      <c r="AKD42" s="12">
        <f>IF(AJI42&gt;0,AJJ42/AJI42,0)</f>
        <v/>
      </c>
      <c r="AKE42" s="11">
        <f>IF(AJI41&gt;0,MAX(0,(AJI41+AIX42-AJI42)/AJI41),0)</f>
        <v/>
      </c>
      <c r="AKG42" s="12" t="n">
        <v>38</v>
      </c>
      <c r="AKH42" s="12">
        <f>MOD(AKG42-1+LaunchMonth-1,12)+1</f>
        <v/>
      </c>
      <c r="AKI42" s="12">
        <f>INT((AKG42-1+LaunchMonth-1)/12)+1</f>
        <v/>
      </c>
      <c r="AKJ42" s="12">
        <f>VLOOKUP(AKH42,SeasonTable,2,FALSE)</f>
        <v/>
      </c>
      <c r="AKK42" s="12">
        <f>(1+InflationRate)^INT((AKG42-1)/12)</f>
        <v/>
      </c>
      <c r="AKL42" s="11">
        <f>MonthlyChurn*VLOOKUP(AKH42,ChurnSeasonTable,4,FALSE)</f>
        <v/>
      </c>
      <c r="AKM42" s="12">
        <f>MIN(MAX(MktMin19plus,ALG41*MktPct19plus),MAX(0,ALU41-CashBuffer))</f>
        <v/>
      </c>
      <c r="AKN42" s="12">
        <f>IF(AKM42&gt;0,MAX(1,ROUND(AKM42/'Sens - CAC &amp; Marketing'!$A$12*AKJ42,0)),0)</f>
        <v/>
      </c>
      <c r="AKO42" s="12">
        <f>IF(AKN42&gt;0,ROUND(AKN42*ReferralMix/(1-ReferralMix),0),0)</f>
        <v/>
      </c>
      <c r="AKP42" s="12">
        <f>AKN42+AKO42</f>
        <v/>
      </c>
      <c r="AKQ42" s="12">
        <f>ROUND(AKP42*(1-AnnualMix),0)</f>
        <v/>
      </c>
      <c r="AKR42" s="12">
        <f>AKP42-AKQ42</f>
        <v/>
      </c>
      <c r="AKS42" s="12">
        <f>ROUND(AKQ42*EssentialMix,0)</f>
        <v/>
      </c>
      <c r="AKT42" s="12">
        <f>AKQ42-AKS42</f>
        <v/>
      </c>
      <c r="AKU42" s="12">
        <f>ROUND(AKR42*EssentialMix,0)</f>
        <v/>
      </c>
      <c r="AKV42" s="12">
        <f>AKR42-AKU42</f>
        <v/>
      </c>
      <c r="AKW42" s="12">
        <f>AKS42+AKS41+AKS40+MAX(0,AKW41-AKS41-AKS40)*(1-AKL42)</f>
        <v/>
      </c>
      <c r="AKX42" s="12">
        <f>AKT42+AKT41+AKT40+MAX(0,AKX41-AKT41-AKT40)*(1-AKL42)</f>
        <v/>
      </c>
      <c r="AKY42" s="12">
        <f>AKY41+AKU42-AKU30*(AnnualChurn*VLOOKUP(AKH42,ChurnSeasonTable,4,FALSE))*POWER(1-(AnnualChurn*VLOOKUP(AKH42,ChurnSeasonTable,4,FALSE)),0)+AKU18*(AnnualChurn*VLOOKUP(AKH42,ChurnSeasonTable,4,FALSE))*POWER(1-(AnnualChurn*VLOOKUP(AKH42,ChurnSeasonTable,4,FALSE)),1)+AKU6*(AnnualChurn*VLOOKUP(AKH42,ChurnSeasonTable,4,FALSE))*POWER(1-(AnnualChurn*VLOOKUP(AKH42,ChurnSeasonTable,4,FALSE)),2)</f>
        <v/>
      </c>
      <c r="AKZ42" s="12">
        <f>AKZ41+AKV42-AKV30*(AnnualChurn*VLOOKUP(AKH42,ChurnSeasonTable,4,FALSE))*POWER(1-(AnnualChurn*VLOOKUP(AKH42,ChurnSeasonTable,4,FALSE)),0)+AKV18*(AnnualChurn*VLOOKUP(AKH42,ChurnSeasonTable,4,FALSE))*POWER(1-(AnnualChurn*VLOOKUP(AKH42,ChurnSeasonTable,4,FALSE)),1)+AKV6*(AnnualChurn*VLOOKUP(AKH42,ChurnSeasonTable,4,FALSE))*POWER(1-(AnnualChurn*VLOOKUP(AKH42,ChurnSeasonTable,4,FALSE)),2)</f>
        <v/>
      </c>
      <c r="ALA42" s="12">
        <f>AKW42+AKX42+AKY42+AKZ42</f>
        <v/>
      </c>
      <c r="ALB42" s="9">
        <f>AKW42*PriceEssMonthly*AKK42+AKX42*PricePremMonthly*AKK42+AKY42*PriceEssAnnual*AKK42/12+AKZ42*PricePremAnnual*AKK42/12</f>
        <v/>
      </c>
      <c r="ALC42" s="9">
        <f>ALB42*12</f>
        <v/>
      </c>
      <c r="ALD42" s="12">
        <f>AKW42*PriceEssMonthly*AKK42+AKX42*PricePremMonthly*AKK42</f>
        <v/>
      </c>
      <c r="ALE42" s="12">
        <f>AKU42*PriceEssAnnual*AKK42+AKV42*PricePremAnnual*AKK42</f>
        <v/>
      </c>
      <c r="ALF42" s="12">
        <f>AKU30*POWER(1-(AnnualChurn*VLOOKUP(AKH42,ChurnSeasonTable,4,FALSE)),1)*PriceEssAnnual*AKK42+AKU18*POWER(1-(AnnualChurn*VLOOKUP(AKH42,ChurnSeasonTable,4,FALSE)),2)*PriceEssAnnual*AKK42+AKU6*POWER(1-(AnnualChurn*VLOOKUP(AKH42,ChurnSeasonTable,4,FALSE)),3)*PriceEssAnnual*AKK42+AKV30*POWER(1-(AnnualChurn*VLOOKUP(AKH42,ChurnSeasonTable,4,FALSE)),1)*PricePremAnnual*AKK42+AKV18*POWER(1-(AnnualChurn*VLOOKUP(AKH42,ChurnSeasonTable,4,FALSE)),2)*PricePremAnnual*AKK42+AKV6*POWER(1-(AnnualChurn*VLOOKUP(AKH42,ChurnSeasonTable,4,FALSE)),3)*PricePremAnnual*AKK42</f>
        <v/>
      </c>
      <c r="ALG42" s="9">
        <f>ALD42+ALE42+ALF42</f>
        <v/>
      </c>
      <c r="ALH42" s="12">
        <f>SUM(ALG31:ALG42)</f>
        <v/>
      </c>
      <c r="ALI42" s="12">
        <f>OR(ALI41,ALH42&gt;=VATThreshold)</f>
        <v/>
      </c>
      <c r="ALJ42" s="9">
        <f>IF(ALI42,ALG42/(1+VATRate),ALG42)</f>
        <v/>
      </c>
      <c r="ALK42" s="12">
        <f>ALG42-ALJ42</f>
        <v/>
      </c>
      <c r="ALL42" s="12">
        <f>IF(ALI42=0,0,IF(AKH42=1,SUMPRODUCT(--(($AKI$5:$AKI42=$AKI42-1)*($AKH$5:$AKH42&gt;=10)*($AKH$5:$AKH42&lt;=12)),$ALK$5:$ALK42),IF(AKH42=4,SUMPRODUCT(--(($AKI$5:$AKI42=$AKI42)*($AKH$5:$AKH42&gt;=1)*($AKH$5:$AKH42&lt;=3)),$ALK$5:$ALK42),IF(AKH42=7,SUMPRODUCT(--(($AKI$5:$AKI42=$AKI42)*($AKH$5:$AKH42&gt;=4)*($AKH$5:$AKH42&lt;=6)),$ALK$5:$ALK42),IF(AKH42=10,SUMPRODUCT(--(($AKI$5:$AKI42=$AKI42)*($AKH$5:$AKH42&gt;=7)*($AKH$5:$AKH42&lt;=9)),$ALK$5:$ALK42),0)))))</f>
        <v/>
      </c>
      <c r="ALM42" s="12">
        <f>ALM41+ALK42-ALL42</f>
        <v/>
      </c>
      <c r="ALN42" s="12">
        <f>IF(ProviderDelay&gt;=1,ALJ41*ProviderShare,ALJ42*ProviderShare)</f>
        <v/>
      </c>
      <c r="ALO42" s="12">
        <f>ALG42*PaymentFee</f>
        <v/>
      </c>
      <c r="ALP42" s="12">
        <f>ALA42*OpsAI</f>
        <v/>
      </c>
      <c r="ALQ42" s="12">
        <f>MonthlyFixed</f>
        <v/>
      </c>
      <c r="ALR42" s="12">
        <f>AKO42*ReferralReward</f>
        <v/>
      </c>
      <c r="ALS42" s="12">
        <f>AKM42</f>
        <v/>
      </c>
      <c r="ALT42" s="9">
        <f>ALJ42-ALN42-ALO42-ALP42-ALQ42-ALR42-ALS42</f>
        <v/>
      </c>
      <c r="ALU42" s="9">
        <f>ALU41+ALG42-(ALN42+ALO42+ALP42+ALQ42+ALR42+ALS42+ALL42)</f>
        <v/>
      </c>
      <c r="ALV42" s="12">
        <f>IF(ALA42&gt;0,ALB42/ALA42,0)</f>
        <v/>
      </c>
      <c r="ALW42" s="11">
        <f>IF(ALA41&gt;0,MAX(0,(ALA41+AKP42-ALA42)/ALA41),0)</f>
        <v/>
      </c>
      <c r="ALY42" s="12" t="n">
        <v>38</v>
      </c>
      <c r="ALZ42" s="12">
        <f>MOD(ALY42-1+LaunchMonth-1,12)+1</f>
        <v/>
      </c>
      <c r="AMA42" s="12">
        <f>INT((ALY42-1+LaunchMonth-1)/12)+1</f>
        <v/>
      </c>
      <c r="AMB42" s="12">
        <f>VLOOKUP(ALZ42,SeasonTable,2,FALSE)</f>
        <v/>
      </c>
      <c r="AMC42" s="12">
        <f>(1+InflationRate)^INT((ALY42-1)/12)</f>
        <v/>
      </c>
      <c r="AMD42" s="11">
        <f>MonthlyChurn*VLOOKUP(ALZ42,ChurnSeasonTable,4,FALSE)</f>
        <v/>
      </c>
      <c r="AME42" s="12">
        <f>MIN(MAX(MktMin19plus,AMY41*MktPct19plus),MAX(0,ANM41-CashBuffer))</f>
        <v/>
      </c>
      <c r="AMF42" s="12">
        <f>IF(AME42&gt;0,MAX(1,ROUND(AME42/'Sens - CAC &amp; Marketing'!$A$13*AMB42,0)),0)</f>
        <v/>
      </c>
      <c r="AMG42" s="12">
        <f>IF(AMF42&gt;0,ROUND(AMF42*ReferralMix/(1-ReferralMix),0),0)</f>
        <v/>
      </c>
      <c r="AMH42" s="12">
        <f>AMF42+AMG42</f>
        <v/>
      </c>
      <c r="AMI42" s="12">
        <f>ROUND(AMH42*(1-AnnualMix),0)</f>
        <v/>
      </c>
      <c r="AMJ42" s="12">
        <f>AMH42-AMI42</f>
        <v/>
      </c>
      <c r="AMK42" s="12">
        <f>ROUND(AMI42*EssentialMix,0)</f>
        <v/>
      </c>
      <c r="AML42" s="12">
        <f>AMI42-AMK42</f>
        <v/>
      </c>
      <c r="AMM42" s="12">
        <f>ROUND(AMJ42*EssentialMix,0)</f>
        <v/>
      </c>
      <c r="AMN42" s="12">
        <f>AMJ42-AMM42</f>
        <v/>
      </c>
      <c r="AMO42" s="12">
        <f>AMK42+AMK41+AMK40+MAX(0,AMO41-AMK41-AMK40)*(1-AMD42)</f>
        <v/>
      </c>
      <c r="AMP42" s="12">
        <f>AML42+AML41+AML40+MAX(0,AMP41-AML41-AML40)*(1-AMD42)</f>
        <v/>
      </c>
      <c r="AMQ42" s="12">
        <f>AMQ41+AMM42-AMM30*(AnnualChurn*VLOOKUP(ALZ42,ChurnSeasonTable,4,FALSE))*POWER(1-(AnnualChurn*VLOOKUP(ALZ42,ChurnSeasonTable,4,FALSE)),0)+AMM18*(AnnualChurn*VLOOKUP(ALZ42,ChurnSeasonTable,4,FALSE))*POWER(1-(AnnualChurn*VLOOKUP(ALZ42,ChurnSeasonTable,4,FALSE)),1)+AMM6*(AnnualChurn*VLOOKUP(ALZ42,ChurnSeasonTable,4,FALSE))*POWER(1-(AnnualChurn*VLOOKUP(ALZ42,ChurnSeasonTable,4,FALSE)),2)</f>
        <v/>
      </c>
      <c r="AMR42" s="12">
        <f>AMR41+AMN42-AMN30*(AnnualChurn*VLOOKUP(ALZ42,ChurnSeasonTable,4,FALSE))*POWER(1-(AnnualChurn*VLOOKUP(ALZ42,ChurnSeasonTable,4,FALSE)),0)+AMN18*(AnnualChurn*VLOOKUP(ALZ42,ChurnSeasonTable,4,FALSE))*POWER(1-(AnnualChurn*VLOOKUP(ALZ42,ChurnSeasonTable,4,FALSE)),1)+AMN6*(AnnualChurn*VLOOKUP(ALZ42,ChurnSeasonTable,4,FALSE))*POWER(1-(AnnualChurn*VLOOKUP(ALZ42,ChurnSeasonTable,4,FALSE)),2)</f>
        <v/>
      </c>
      <c r="AMS42" s="12">
        <f>AMO42+AMP42+AMQ42+AMR42</f>
        <v/>
      </c>
      <c r="AMT42" s="9">
        <f>AMO42*PriceEssMonthly*AMC42+AMP42*PricePremMonthly*AMC42+AMQ42*PriceEssAnnual*AMC42/12+AMR42*PricePremAnnual*AMC42/12</f>
        <v/>
      </c>
      <c r="AMU42" s="9">
        <f>AMT42*12</f>
        <v/>
      </c>
      <c r="AMV42" s="12">
        <f>AMO42*PriceEssMonthly*AMC42+AMP42*PricePremMonthly*AMC42</f>
        <v/>
      </c>
      <c r="AMW42" s="12">
        <f>AMM42*PriceEssAnnual*AMC42+AMN42*PricePremAnnual*AMC42</f>
        <v/>
      </c>
      <c r="AMX42" s="12">
        <f>AMM30*POWER(1-(AnnualChurn*VLOOKUP(ALZ42,ChurnSeasonTable,4,FALSE)),1)*PriceEssAnnual*AMC42+AMM18*POWER(1-(AnnualChurn*VLOOKUP(ALZ42,ChurnSeasonTable,4,FALSE)),2)*PriceEssAnnual*AMC42+AMM6*POWER(1-(AnnualChurn*VLOOKUP(ALZ42,ChurnSeasonTable,4,FALSE)),3)*PriceEssAnnual*AMC42+AMN30*POWER(1-(AnnualChurn*VLOOKUP(ALZ42,ChurnSeasonTable,4,FALSE)),1)*PricePremAnnual*AMC42+AMN18*POWER(1-(AnnualChurn*VLOOKUP(ALZ42,ChurnSeasonTable,4,FALSE)),2)*PricePremAnnual*AMC42+AMN6*POWER(1-(AnnualChurn*VLOOKUP(ALZ42,ChurnSeasonTable,4,FALSE)),3)*PricePremAnnual*AMC42</f>
        <v/>
      </c>
      <c r="AMY42" s="9">
        <f>AMV42+AMW42+AMX42</f>
        <v/>
      </c>
      <c r="AMZ42" s="12">
        <f>SUM(AMY31:AMY42)</f>
        <v/>
      </c>
      <c r="ANA42" s="12">
        <f>OR(ANA41,AMZ42&gt;=VATThreshold)</f>
        <v/>
      </c>
      <c r="ANB42" s="9">
        <f>IF(ANA42,AMY42/(1+VATRate),AMY42)</f>
        <v/>
      </c>
      <c r="ANC42" s="12">
        <f>AMY42-ANB42</f>
        <v/>
      </c>
      <c r="AND42" s="12">
        <f>IF(ANA42=0,0,IF(ALZ42=1,SUMPRODUCT(--(($AMA$5:$AMA42=$AMA42-1)*($ALZ$5:$ALZ42&gt;=10)*($ALZ$5:$ALZ42&lt;=12)),$ANC$5:$ANC42),IF(ALZ42=4,SUMPRODUCT(--(($AMA$5:$AMA42=$AMA42)*($ALZ$5:$ALZ42&gt;=1)*($ALZ$5:$ALZ42&lt;=3)),$ANC$5:$ANC42),IF(ALZ42=7,SUMPRODUCT(--(($AMA$5:$AMA42=$AMA42)*($ALZ$5:$ALZ42&gt;=4)*($ALZ$5:$ALZ42&lt;=6)),$ANC$5:$ANC42),IF(ALZ42=10,SUMPRODUCT(--(($AMA$5:$AMA42=$AMA42)*($ALZ$5:$ALZ42&gt;=7)*($ALZ$5:$ALZ42&lt;=9)),$ANC$5:$ANC42),0)))))</f>
        <v/>
      </c>
      <c r="ANE42" s="12">
        <f>ANE41+ANC42-AND42</f>
        <v/>
      </c>
      <c r="ANF42" s="12">
        <f>IF(ProviderDelay&gt;=1,ANB41*ProviderShare,ANB42*ProviderShare)</f>
        <v/>
      </c>
      <c r="ANG42" s="12">
        <f>AMY42*PaymentFee</f>
        <v/>
      </c>
      <c r="ANH42" s="12">
        <f>AMS42*OpsAI</f>
        <v/>
      </c>
      <c r="ANI42" s="12">
        <f>MonthlyFixed</f>
        <v/>
      </c>
      <c r="ANJ42" s="12">
        <f>AMG42*ReferralReward</f>
        <v/>
      </c>
      <c r="ANK42" s="12">
        <f>AME42</f>
        <v/>
      </c>
      <c r="ANL42" s="9">
        <f>ANB42-ANF42-ANG42-ANH42-ANI42-ANJ42-ANK42</f>
        <v/>
      </c>
      <c r="ANM42" s="9">
        <f>ANM41+AMY42-(ANF42+ANG42+ANH42+ANI42+ANJ42+ANK42+AND42)</f>
        <v/>
      </c>
      <c r="ANN42" s="12">
        <f>IF(AMS42&gt;0,AMT42/AMS42,0)</f>
        <v/>
      </c>
      <c r="ANO42" s="11">
        <f>IF(AMS41&gt;0,MAX(0,(AMS41+AMH42-AMS42)/AMS41),0)</f>
        <v/>
      </c>
      <c r="ANQ42" s="12" t="n">
        <v>38</v>
      </c>
      <c r="ANR42" s="12">
        <f>MOD(ANQ42-1+LaunchMonth-1,12)+1</f>
        <v/>
      </c>
      <c r="ANS42" s="12">
        <f>INT((ANQ42-1+LaunchMonth-1)/12)+1</f>
        <v/>
      </c>
      <c r="ANT42" s="12">
        <f>VLOOKUP(ANR42,SeasonTable,2,FALSE)</f>
        <v/>
      </c>
      <c r="ANU42" s="12">
        <f>(1+InflationRate)^INT((ANQ42-1)/12)</f>
        <v/>
      </c>
      <c r="ANV42" s="11">
        <f>MonthlyChurn*VLOOKUP(ANR42,ChurnSeasonTable,4,FALSE)</f>
        <v/>
      </c>
      <c r="ANW42" s="12">
        <f>MIN(MAX(MktMin19plus,AOQ41*MktPct19plus),MAX(0,APE41-CashBuffer))</f>
        <v/>
      </c>
      <c r="ANX42" s="12">
        <f>IF(ANW42&gt;0,MAX(1,ROUND(ANW42/'Sens - CAC &amp; Marketing'!$A$14*ANT42,0)),0)</f>
        <v/>
      </c>
      <c r="ANY42" s="12">
        <f>IF(ANX42&gt;0,ROUND(ANX42*ReferralMix/(1-ReferralMix),0),0)</f>
        <v/>
      </c>
      <c r="ANZ42" s="12">
        <f>ANX42+ANY42</f>
        <v/>
      </c>
      <c r="AOA42" s="12">
        <f>ROUND(ANZ42*(1-AnnualMix),0)</f>
        <v/>
      </c>
      <c r="AOB42" s="12">
        <f>ANZ42-AOA42</f>
        <v/>
      </c>
      <c r="AOC42" s="12">
        <f>ROUND(AOA42*EssentialMix,0)</f>
        <v/>
      </c>
      <c r="AOD42" s="12">
        <f>AOA42-AOC42</f>
        <v/>
      </c>
      <c r="AOE42" s="12">
        <f>ROUND(AOB42*EssentialMix,0)</f>
        <v/>
      </c>
      <c r="AOF42" s="12">
        <f>AOB42-AOE42</f>
        <v/>
      </c>
      <c r="AOG42" s="12">
        <f>AOC42+AOC41+AOC40+MAX(0,AOG41-AOC41-AOC40)*(1-ANV42)</f>
        <v/>
      </c>
      <c r="AOH42" s="12">
        <f>AOD42+AOD41+AOD40+MAX(0,AOH41-AOD41-AOD40)*(1-ANV42)</f>
        <v/>
      </c>
      <c r="AOI42" s="12">
        <f>AOI41+AOE42-AOE30*(AnnualChurn*VLOOKUP(ANR42,ChurnSeasonTable,4,FALSE))*POWER(1-(AnnualChurn*VLOOKUP(ANR42,ChurnSeasonTable,4,FALSE)),0)+AOE18*(AnnualChurn*VLOOKUP(ANR42,ChurnSeasonTable,4,FALSE))*POWER(1-(AnnualChurn*VLOOKUP(ANR42,ChurnSeasonTable,4,FALSE)),1)+AOE6*(AnnualChurn*VLOOKUP(ANR42,ChurnSeasonTable,4,FALSE))*POWER(1-(AnnualChurn*VLOOKUP(ANR42,ChurnSeasonTable,4,FALSE)),2)</f>
        <v/>
      </c>
      <c r="AOJ42" s="12">
        <f>AOJ41+AOF42-AOF30*(AnnualChurn*VLOOKUP(ANR42,ChurnSeasonTable,4,FALSE))*POWER(1-(AnnualChurn*VLOOKUP(ANR42,ChurnSeasonTable,4,FALSE)),0)+AOF18*(AnnualChurn*VLOOKUP(ANR42,ChurnSeasonTable,4,FALSE))*POWER(1-(AnnualChurn*VLOOKUP(ANR42,ChurnSeasonTable,4,FALSE)),1)+AOF6*(AnnualChurn*VLOOKUP(ANR42,ChurnSeasonTable,4,FALSE))*POWER(1-(AnnualChurn*VLOOKUP(ANR42,ChurnSeasonTable,4,FALSE)),2)</f>
        <v/>
      </c>
      <c r="AOK42" s="12">
        <f>AOG42+AOH42+AOI42+AOJ42</f>
        <v/>
      </c>
      <c r="AOL42" s="9">
        <f>AOG42*PriceEssMonthly*ANU42+AOH42*PricePremMonthly*ANU42+AOI42*PriceEssAnnual*ANU42/12+AOJ42*PricePremAnnual*ANU42/12</f>
        <v/>
      </c>
      <c r="AOM42" s="9">
        <f>AOL42*12</f>
        <v/>
      </c>
      <c r="AON42" s="12">
        <f>AOG42*PriceEssMonthly*ANU42+AOH42*PricePremMonthly*ANU42</f>
        <v/>
      </c>
      <c r="AOO42" s="12">
        <f>AOE42*PriceEssAnnual*ANU42+AOF42*PricePremAnnual*ANU42</f>
        <v/>
      </c>
      <c r="AOP42" s="12">
        <f>AOE30*POWER(1-(AnnualChurn*VLOOKUP(ANR42,ChurnSeasonTable,4,FALSE)),1)*PriceEssAnnual*ANU42+AOE18*POWER(1-(AnnualChurn*VLOOKUP(ANR42,ChurnSeasonTable,4,FALSE)),2)*PriceEssAnnual*ANU42+AOE6*POWER(1-(AnnualChurn*VLOOKUP(ANR42,ChurnSeasonTable,4,FALSE)),3)*PriceEssAnnual*ANU42+AOF30*POWER(1-(AnnualChurn*VLOOKUP(ANR42,ChurnSeasonTable,4,FALSE)),1)*PricePremAnnual*ANU42+AOF18*POWER(1-(AnnualChurn*VLOOKUP(ANR42,ChurnSeasonTable,4,FALSE)),2)*PricePremAnnual*ANU42+AOF6*POWER(1-(AnnualChurn*VLOOKUP(ANR42,ChurnSeasonTable,4,FALSE)),3)*PricePremAnnual*ANU42</f>
        <v/>
      </c>
      <c r="AOQ42" s="9">
        <f>AON42+AOO42+AOP42</f>
        <v/>
      </c>
      <c r="AOR42" s="12">
        <f>SUM(AOQ31:AOQ42)</f>
        <v/>
      </c>
      <c r="AOS42" s="12">
        <f>OR(AOS41,AOR42&gt;=VATThreshold)</f>
        <v/>
      </c>
      <c r="AOT42" s="9">
        <f>IF(AOS42,AOQ42/(1+VATRate),AOQ42)</f>
        <v/>
      </c>
      <c r="AOU42" s="12">
        <f>AOQ42-AOT42</f>
        <v/>
      </c>
      <c r="AOV42" s="12">
        <f>IF(AOS42=0,0,IF(ANR42=1,SUMPRODUCT(--(($ANS$5:$ANS42=$ANS42-1)*($ANR$5:$ANR42&gt;=10)*($ANR$5:$ANR42&lt;=12)),$AOU$5:$AOU42),IF(ANR42=4,SUMPRODUCT(--(($ANS$5:$ANS42=$ANS42)*($ANR$5:$ANR42&gt;=1)*($ANR$5:$ANR42&lt;=3)),$AOU$5:$AOU42),IF(ANR42=7,SUMPRODUCT(--(($ANS$5:$ANS42=$ANS42)*($ANR$5:$ANR42&gt;=4)*($ANR$5:$ANR42&lt;=6)),$AOU$5:$AOU42),IF(ANR42=10,SUMPRODUCT(--(($ANS$5:$ANS42=$ANS42)*($ANR$5:$ANR42&gt;=7)*($ANR$5:$ANR42&lt;=9)),$AOU$5:$AOU42),0)))))</f>
        <v/>
      </c>
      <c r="AOW42" s="12">
        <f>AOW41+AOU42-AOV42</f>
        <v/>
      </c>
      <c r="AOX42" s="12">
        <f>IF(ProviderDelay&gt;=1,AOT41*ProviderShare,AOT42*ProviderShare)</f>
        <v/>
      </c>
      <c r="AOY42" s="12">
        <f>AOQ42*PaymentFee</f>
        <v/>
      </c>
      <c r="AOZ42" s="12">
        <f>AOK42*OpsAI</f>
        <v/>
      </c>
      <c r="APA42" s="12">
        <f>MonthlyFixed</f>
        <v/>
      </c>
      <c r="APB42" s="12">
        <f>ANY42*ReferralReward</f>
        <v/>
      </c>
      <c r="APC42" s="12">
        <f>ANW42</f>
        <v/>
      </c>
      <c r="APD42" s="9">
        <f>AOT42-AOX42-AOY42-AOZ42-APA42-APB42-APC42</f>
        <v/>
      </c>
      <c r="APE42" s="9">
        <f>APE41+AOQ42-(AOX42+AOY42+AOZ42+APA42+APB42+APC42+AOV42)</f>
        <v/>
      </c>
      <c r="APF42" s="12">
        <f>IF(AOK42&gt;0,AOL42/AOK42,0)</f>
        <v/>
      </c>
      <c r="APG42" s="11">
        <f>IF(AOK41&gt;0,MAX(0,(AOK41+ANZ42-AOK42)/AOK41),0)</f>
        <v/>
      </c>
      <c r="API42" s="12" t="n">
        <v>38</v>
      </c>
      <c r="APJ42" s="12">
        <f>MOD(API42-1+LaunchMonth-1,12)+1</f>
        <v/>
      </c>
      <c r="APK42" s="12">
        <f>INT((API42-1+LaunchMonth-1)/12)+1</f>
        <v/>
      </c>
      <c r="APL42" s="12">
        <f>VLOOKUP(APJ42,SeasonTable,2,FALSE)</f>
        <v/>
      </c>
      <c r="APM42" s="12">
        <f>(1+InflationRate)^INT((API42-1)/12)</f>
        <v/>
      </c>
      <c r="APN42" s="11">
        <f>MonthlyChurn*VLOOKUP(APJ42,ChurnSeasonTable,4,FALSE)</f>
        <v/>
      </c>
      <c r="APO42" s="12">
        <f>MIN(MAX(MktMin19plus,AQI41*MktPct19plus),MAX(0,AQW41-CashBuffer))</f>
        <v/>
      </c>
      <c r="APP42" s="12">
        <f>IF(APO42&gt;0,MAX(1,ROUND(APO42/'Sens - CAC &amp; Marketing'!$A$15*APL42,0)),0)</f>
        <v/>
      </c>
      <c r="APQ42" s="12">
        <f>IF(APP42&gt;0,ROUND(APP42*ReferralMix/(1-ReferralMix),0),0)</f>
        <v/>
      </c>
      <c r="APR42" s="12">
        <f>APP42+APQ42</f>
        <v/>
      </c>
      <c r="APS42" s="12">
        <f>ROUND(APR42*(1-AnnualMix),0)</f>
        <v/>
      </c>
      <c r="APT42" s="12">
        <f>APR42-APS42</f>
        <v/>
      </c>
      <c r="APU42" s="12">
        <f>ROUND(APS42*EssentialMix,0)</f>
        <v/>
      </c>
      <c r="APV42" s="12">
        <f>APS42-APU42</f>
        <v/>
      </c>
      <c r="APW42" s="12">
        <f>ROUND(APT42*EssentialMix,0)</f>
        <v/>
      </c>
      <c r="APX42" s="12">
        <f>APT42-APW42</f>
        <v/>
      </c>
      <c r="APY42" s="12">
        <f>APU42+APU41+APU40+MAX(0,APY41-APU41-APU40)*(1-APN42)</f>
        <v/>
      </c>
      <c r="APZ42" s="12">
        <f>APV42+APV41+APV40+MAX(0,APZ41-APV41-APV40)*(1-APN42)</f>
        <v/>
      </c>
      <c r="AQA42" s="12">
        <f>AQA41+APW42-APW30*(AnnualChurn*VLOOKUP(APJ42,ChurnSeasonTable,4,FALSE))*POWER(1-(AnnualChurn*VLOOKUP(APJ42,ChurnSeasonTable,4,FALSE)),0)+APW18*(AnnualChurn*VLOOKUP(APJ42,ChurnSeasonTable,4,FALSE))*POWER(1-(AnnualChurn*VLOOKUP(APJ42,ChurnSeasonTable,4,FALSE)),1)+APW6*(AnnualChurn*VLOOKUP(APJ42,ChurnSeasonTable,4,FALSE))*POWER(1-(AnnualChurn*VLOOKUP(APJ42,ChurnSeasonTable,4,FALSE)),2)</f>
        <v/>
      </c>
      <c r="AQB42" s="12">
        <f>AQB41+APX42-APX30*(AnnualChurn*VLOOKUP(APJ42,ChurnSeasonTable,4,FALSE))*POWER(1-(AnnualChurn*VLOOKUP(APJ42,ChurnSeasonTable,4,FALSE)),0)+APX18*(AnnualChurn*VLOOKUP(APJ42,ChurnSeasonTable,4,FALSE))*POWER(1-(AnnualChurn*VLOOKUP(APJ42,ChurnSeasonTable,4,FALSE)),1)+APX6*(AnnualChurn*VLOOKUP(APJ42,ChurnSeasonTable,4,FALSE))*POWER(1-(AnnualChurn*VLOOKUP(APJ42,ChurnSeasonTable,4,FALSE)),2)</f>
        <v/>
      </c>
      <c r="AQC42" s="12">
        <f>APY42+APZ42+AQA42+AQB42</f>
        <v/>
      </c>
      <c r="AQD42" s="9">
        <f>APY42*PriceEssMonthly*APM42+APZ42*PricePremMonthly*APM42+AQA42*PriceEssAnnual*APM42/12+AQB42*PricePremAnnual*APM42/12</f>
        <v/>
      </c>
      <c r="AQE42" s="9">
        <f>AQD42*12</f>
        <v/>
      </c>
      <c r="AQF42" s="12">
        <f>APY42*PriceEssMonthly*APM42+APZ42*PricePremMonthly*APM42</f>
        <v/>
      </c>
      <c r="AQG42" s="12">
        <f>APW42*PriceEssAnnual*APM42+APX42*PricePremAnnual*APM42</f>
        <v/>
      </c>
      <c r="AQH42" s="12">
        <f>APW30*POWER(1-(AnnualChurn*VLOOKUP(APJ42,ChurnSeasonTable,4,FALSE)),1)*PriceEssAnnual*APM42+APW18*POWER(1-(AnnualChurn*VLOOKUP(APJ42,ChurnSeasonTable,4,FALSE)),2)*PriceEssAnnual*APM42+APW6*POWER(1-(AnnualChurn*VLOOKUP(APJ42,ChurnSeasonTable,4,FALSE)),3)*PriceEssAnnual*APM42+APX30*POWER(1-(AnnualChurn*VLOOKUP(APJ42,ChurnSeasonTable,4,FALSE)),1)*PricePremAnnual*APM42+APX18*POWER(1-(AnnualChurn*VLOOKUP(APJ42,ChurnSeasonTable,4,FALSE)),2)*PricePremAnnual*APM42+APX6*POWER(1-(AnnualChurn*VLOOKUP(APJ42,ChurnSeasonTable,4,FALSE)),3)*PricePremAnnual*APM42</f>
        <v/>
      </c>
      <c r="AQI42" s="9">
        <f>AQF42+AQG42+AQH42</f>
        <v/>
      </c>
      <c r="AQJ42" s="12">
        <f>SUM(AQI31:AQI42)</f>
        <v/>
      </c>
      <c r="AQK42" s="12">
        <f>OR(AQK41,AQJ42&gt;=VATThreshold)</f>
        <v/>
      </c>
      <c r="AQL42" s="9">
        <f>IF(AQK42,AQI42/(1+VATRate),AQI42)</f>
        <v/>
      </c>
      <c r="AQM42" s="12">
        <f>AQI42-AQL42</f>
        <v/>
      </c>
      <c r="AQN42" s="12">
        <f>IF(AQK42=0,0,IF(APJ42=1,SUMPRODUCT(--(($APK$5:$APK42=$APK42-1)*($APJ$5:$APJ42&gt;=10)*($APJ$5:$APJ42&lt;=12)),$AQM$5:$AQM42),IF(APJ42=4,SUMPRODUCT(--(($APK$5:$APK42=$APK42)*($APJ$5:$APJ42&gt;=1)*($APJ$5:$APJ42&lt;=3)),$AQM$5:$AQM42),IF(APJ42=7,SUMPRODUCT(--(($APK$5:$APK42=$APK42)*($APJ$5:$APJ42&gt;=4)*($APJ$5:$APJ42&lt;=6)),$AQM$5:$AQM42),IF(APJ42=10,SUMPRODUCT(--(($APK$5:$APK42=$APK42)*($APJ$5:$APJ42&gt;=7)*($APJ$5:$APJ42&lt;=9)),$AQM$5:$AQM42),0)))))</f>
        <v/>
      </c>
      <c r="AQO42" s="12">
        <f>AQO41+AQM42-AQN42</f>
        <v/>
      </c>
      <c r="AQP42" s="12">
        <f>IF(ProviderDelay&gt;=1,AQL41*ProviderShare,AQL42*ProviderShare)</f>
        <v/>
      </c>
      <c r="AQQ42" s="12">
        <f>AQI42*PaymentFee</f>
        <v/>
      </c>
      <c r="AQR42" s="12">
        <f>AQC42*OpsAI</f>
        <v/>
      </c>
      <c r="AQS42" s="12">
        <f>MonthlyFixed</f>
        <v/>
      </c>
      <c r="AQT42" s="12">
        <f>APQ42*ReferralReward</f>
        <v/>
      </c>
      <c r="AQU42" s="12">
        <f>APO42</f>
        <v/>
      </c>
      <c r="AQV42" s="9">
        <f>AQL42-AQP42-AQQ42-AQR42-AQS42-AQT42-AQU42</f>
        <v/>
      </c>
      <c r="AQW42" s="9">
        <f>AQW41+AQI42-(AQP42+AQQ42+AQR42+AQS42+AQT42+AQU42+AQN42)</f>
        <v/>
      </c>
      <c r="AQX42" s="12">
        <f>IF(AQC42&gt;0,AQD42/AQC42,0)</f>
        <v/>
      </c>
      <c r="AQY42" s="11">
        <f>IF(AQC41&gt;0,MAX(0,(AQC41+APR42-AQC42)/AQC41),0)</f>
        <v/>
      </c>
      <c r="ARA42" s="12" t="n">
        <v>38</v>
      </c>
      <c r="ARB42" s="12">
        <f>MOD(ARA42-1+LaunchMonth-1,12)+1</f>
        <v/>
      </c>
      <c r="ARC42" s="12">
        <f>INT((ARA42-1+LaunchMonth-1)/12)+1</f>
        <v/>
      </c>
      <c r="ARD42" s="12">
        <f>VLOOKUP(ARB42,WinterPivotSeasonTable,5,FALSE)</f>
        <v/>
      </c>
      <c r="ARE42" s="12">
        <f>(1+InflationRate)^INT((ARA42-1)/12)</f>
        <v/>
      </c>
      <c r="ARF42" s="11">
        <f>MonthlyChurn*VLOOKUP(ARB42,WinterPivotChurnTable,6,FALSE)</f>
        <v/>
      </c>
      <c r="ARG42" s="12">
        <f>MIN(MAX(MktMin19plus,ASA41*MktPct19plus),MAX(0,ASO41-CashBuffer))</f>
        <v/>
      </c>
      <c r="ARH42" s="12">
        <f>IF(ARG42&gt;0,MAX(1,ROUND(ARG42/CAC*ARD42,0)),0)</f>
        <v/>
      </c>
      <c r="ARI42" s="12">
        <f>IF(ARH42&gt;0,ROUND(ARH42*ReferralMix/(1-ReferralMix),0),0)</f>
        <v/>
      </c>
      <c r="ARJ42" s="12">
        <f>ARH42+ARI42</f>
        <v/>
      </c>
      <c r="ARK42" s="12">
        <f>ROUND(ARJ42*(1-AnnualMix),0)</f>
        <v/>
      </c>
      <c r="ARL42" s="12">
        <f>ARJ42-ARK42</f>
        <v/>
      </c>
      <c r="ARM42" s="12">
        <f>ROUND(ARK42*'Sens - Winter Pivot'!$B$6,0)</f>
        <v/>
      </c>
      <c r="ARN42" s="12">
        <f>ARK42-ARM42</f>
        <v/>
      </c>
      <c r="ARO42" s="12">
        <f>ROUND(ARL42*'Sens - Winter Pivot'!$B$6,0)</f>
        <v/>
      </c>
      <c r="ARP42" s="12">
        <f>ARL42-ARO42</f>
        <v/>
      </c>
      <c r="ARQ42" s="12">
        <f>ARM42+ARM41+ARM40+MAX(0,ARQ41-ARM41-ARM40)*(1-ARF42)</f>
        <v/>
      </c>
      <c r="ARR42" s="12">
        <f>ARN42+ARN41+ARN40+MAX(0,ARR41-ARN41-ARN40)*(1-ARF42)</f>
        <v/>
      </c>
      <c r="ARS42" s="12">
        <f>ARS41+ARO42-ARO30*(AnnualChurn*VLOOKUP(ARB42,WinterPivotChurnTable,6,FALSE))*POWER(1-(AnnualChurn*VLOOKUP(ARB42,WinterPivotChurnTable,6,FALSE)),0)+ARO18*(AnnualChurn*VLOOKUP(ARB42,WinterPivotChurnTable,6,FALSE))*POWER(1-(AnnualChurn*VLOOKUP(ARB42,WinterPivotChurnTable,6,FALSE)),1)+ARO6*(AnnualChurn*VLOOKUP(ARB42,WinterPivotChurnTable,6,FALSE))*POWER(1-(AnnualChurn*VLOOKUP(ARB42,WinterPivotChurnTable,6,FALSE)),2)</f>
        <v/>
      </c>
      <c r="ART42" s="12">
        <f>ART41+ARP42-ARP30*(AnnualChurn*VLOOKUP(ARB42,WinterPivotChurnTable,6,FALSE))*POWER(1-(AnnualChurn*VLOOKUP(ARB42,WinterPivotChurnTable,6,FALSE)),0)+ARP18*(AnnualChurn*VLOOKUP(ARB42,WinterPivotChurnTable,6,FALSE))*POWER(1-(AnnualChurn*VLOOKUP(ARB42,WinterPivotChurnTable,6,FALSE)),1)+ARP6*(AnnualChurn*VLOOKUP(ARB42,WinterPivotChurnTable,6,FALSE))*POWER(1-(AnnualChurn*VLOOKUP(ARB42,WinterPivotChurnTable,6,FALSE)),2)</f>
        <v/>
      </c>
      <c r="ARU42" s="12">
        <f>ARQ42+ARR42+ARS42+ART42</f>
        <v/>
      </c>
      <c r="ARV42" s="9">
        <f>ARQ42*PriceEssMonthly*ARE42+ARR42*(PricePremMonthly+'Sens - Winter Pivot'!$B$7)*ARE42+ARS42*PriceEssAnnual*ARE42/12+ART42*(PricePremAnnual+'Sens - Winter Pivot'!$B$7*12)*ARE42/12</f>
        <v/>
      </c>
      <c r="ARW42" s="9">
        <f>ARV42*12</f>
        <v/>
      </c>
      <c r="ARX42" s="12">
        <f>ARQ42*PriceEssMonthly*ARE42+ARR42*(PricePremMonthly+'Sens - Winter Pivot'!$B$7)*ARE42</f>
        <v/>
      </c>
      <c r="ARY42" s="12">
        <f>ARO42*PriceEssAnnual*ARE42+ARP42*(PricePremAnnual+'Sens - Winter Pivot'!$B$7*12)*ARE42</f>
        <v/>
      </c>
      <c r="ARZ42" s="12">
        <f>ARO30*POWER(1-(AnnualChurn*VLOOKUP(ARB42,WinterPivotChurnTable,6,FALSE)),1)*PriceEssAnnual*ARE42+ARO18*POWER(1-(AnnualChurn*VLOOKUP(ARB42,WinterPivotChurnTable,6,FALSE)),2)*PriceEssAnnual*ARE42+ARO6*POWER(1-(AnnualChurn*VLOOKUP(ARB42,WinterPivotChurnTable,6,FALSE)),3)*PriceEssAnnual*ARE42+ARP30*POWER(1-(AnnualChurn*VLOOKUP(ARB42,WinterPivotChurnTable,6,FALSE)),1)*PricePremAnnual*ARE42+ARP18*POWER(1-(AnnualChurn*VLOOKUP(ARB42,WinterPivotChurnTable,6,FALSE)),2)*PricePremAnnual*ARE42+ARP6*POWER(1-(AnnualChurn*VLOOKUP(ARB42,WinterPivotChurnTable,6,FALSE)),3)*PricePremAnnual*ARE42</f>
        <v/>
      </c>
      <c r="ASA42" s="9">
        <f>ARX42+ARY42+ARZ42</f>
        <v/>
      </c>
      <c r="ASB42" s="12">
        <f>SUM(ASA31:ASA42)</f>
        <v/>
      </c>
      <c r="ASC42" s="12">
        <f>OR(ASC41,ASB42&gt;=VATThreshold)</f>
        <v/>
      </c>
      <c r="ASD42" s="9">
        <f>IF(ASC42,ASA42/(1+VATRate),ASA42)</f>
        <v/>
      </c>
      <c r="ASE42" s="12">
        <f>ASA42-ASD42</f>
        <v/>
      </c>
      <c r="ASF42" s="12">
        <f>IF(ASC42=0,0,IF(ARB42=1,SUMPRODUCT(--(($ARC$5:$ARC42=$ARC42-1)*($ARB$5:$ARB42&gt;=10)*($ARB$5:$ARB42&lt;=12)),$ASE$5:$ASE42),IF(ARB42=4,SUMPRODUCT(--(($ARC$5:$ARC42=$ARC42)*($ARB$5:$ARB42&gt;=1)*($ARB$5:$ARB42&lt;=3)),$ASE$5:$ASE42),IF(ARB42=7,SUMPRODUCT(--(($ARC$5:$ARC42=$ARC42)*($ARB$5:$ARB42&gt;=4)*($ARB$5:$ARB42&lt;=6)),$ASE$5:$ASE42),IF(ARB42=10,SUMPRODUCT(--(($ARC$5:$ARC42=$ARC42)*($ARB$5:$ARB42&gt;=7)*($ARB$5:$ARB42&lt;=9)),$ASE$5:$ASE42),0)))))</f>
        <v/>
      </c>
      <c r="ASG42" s="12">
        <f>ASG41+ASE42-ASF42</f>
        <v/>
      </c>
      <c r="ASH42" s="12">
        <f>IF(ProviderDelay&gt;=1,ASD41*ProviderShare,ASD42*ProviderShare)</f>
        <v/>
      </c>
      <c r="ASI42" s="12">
        <f>ASA42*PaymentFee</f>
        <v/>
      </c>
      <c r="ASJ42" s="12">
        <f>ARU42*OpsAI</f>
        <v/>
      </c>
      <c r="ASK42" s="12">
        <f>MonthlyFixed</f>
        <v/>
      </c>
      <c r="ASL42" s="12">
        <f>ARI42*ReferralReward</f>
        <v/>
      </c>
      <c r="ASM42" s="12">
        <f>ARG42</f>
        <v/>
      </c>
      <c r="ASN42" s="9">
        <f>ASD42-ASH42-ASI42-ASJ42-ASK42-ASL42-ASM42</f>
        <v/>
      </c>
      <c r="ASO42" s="9">
        <f>ASO41+ASA42-(ASH42+ASI42+ASJ42+ASK42+ASL42+ASM42+ASF42)</f>
        <v/>
      </c>
      <c r="ASP42" s="12">
        <f>IF(ARU42&gt;0,ARV42/ARU42,0)</f>
        <v/>
      </c>
      <c r="ASQ42" s="11">
        <f>IF(ARU41&gt;0,MAX(0,(ARU41+ARJ42-ARU42)/ARU41),0)</f>
        <v/>
      </c>
    </row>
    <row r="43">
      <c r="A43" s="12" t="n">
        <v>39</v>
      </c>
      <c r="B43" s="12">
        <f>MOD(A43-1+LaunchMonth-1,12)+1</f>
        <v/>
      </c>
      <c r="C43" s="12">
        <f>INT((A43-1+LaunchMonth-1)/12)+1</f>
        <v/>
      </c>
      <c r="D43" s="12">
        <f>VLOOKUP(B43,SeasonTable,2,FALSE)</f>
        <v/>
      </c>
      <c r="E43" s="12">
        <f>(1+InflationRate)^INT((A43-1)/12)</f>
        <v/>
      </c>
      <c r="F43" s="11">
        <f>'Sens - Scenarios'!$B$5*VLOOKUP(B43,ChurnSeasonTable,4,FALSE)</f>
        <v/>
      </c>
      <c r="G43" s="12">
        <f>MIN(MAX(MktMin19plus,AA42*MktPct19plus),MAX(0,AO42-CashBuffer))</f>
        <v/>
      </c>
      <c r="H43" s="12">
        <f>IF(G43&gt;0,MAX(1,ROUND(G43/'Sens - Scenarios'!$B$8*D43,0)),0)</f>
        <v/>
      </c>
      <c r="I43" s="12">
        <f>IF(H43&gt;0,ROUND(H43*ReferralMix/(1-ReferralMix),0),0)</f>
        <v/>
      </c>
      <c r="J43" s="12">
        <f>H43+I43</f>
        <v/>
      </c>
      <c r="K43" s="12">
        <f>ROUND(J43*(1-'Sens - Scenarios'!$B$7),0)</f>
        <v/>
      </c>
      <c r="L43" s="12">
        <f>J43-K43</f>
        <v/>
      </c>
      <c r="M43" s="12">
        <f>ROUND(K43*EssentialMix,0)</f>
        <v/>
      </c>
      <c r="N43" s="12">
        <f>K43-M43</f>
        <v/>
      </c>
      <c r="O43" s="12">
        <f>ROUND(L43*EssentialMix,0)</f>
        <v/>
      </c>
      <c r="P43" s="12">
        <f>L43-O43</f>
        <v/>
      </c>
      <c r="Q43" s="12">
        <f>M43+M42+M41+MAX(0,Q42-M42-M41)*(1-F43)</f>
        <v/>
      </c>
      <c r="R43" s="12">
        <f>N43+N42+N41+MAX(0,R42-N42-N41)*(1-F43)</f>
        <v/>
      </c>
      <c r="S43" s="12">
        <f>S42+O43-O31*('Sens - Scenarios'!$B$6*VLOOKUP(B43,ChurnSeasonTable,4,FALSE))*POWER(1-('Sens - Scenarios'!$B$6*VLOOKUP(B43,ChurnSeasonTable,4,FALSE)),0)+O19*('Sens - Scenarios'!$B$6*VLOOKUP(B43,ChurnSeasonTable,4,FALSE))*POWER(1-('Sens - Scenarios'!$B$6*VLOOKUP(B43,ChurnSeasonTable,4,FALSE)),1)+O7*('Sens - Scenarios'!$B$6*VLOOKUP(B43,ChurnSeasonTable,4,FALSE))*POWER(1-('Sens - Scenarios'!$B$6*VLOOKUP(B43,ChurnSeasonTable,4,FALSE)),2)</f>
        <v/>
      </c>
      <c r="T43" s="12">
        <f>T42+P43-P31*('Sens - Scenarios'!$B$6*VLOOKUP(B43,ChurnSeasonTable,4,FALSE))*POWER(1-('Sens - Scenarios'!$B$6*VLOOKUP(B43,ChurnSeasonTable,4,FALSE)),0)+P19*('Sens - Scenarios'!$B$6*VLOOKUP(B43,ChurnSeasonTable,4,FALSE))*POWER(1-('Sens - Scenarios'!$B$6*VLOOKUP(B43,ChurnSeasonTable,4,FALSE)),1)+P7*('Sens - Scenarios'!$B$6*VLOOKUP(B43,ChurnSeasonTable,4,FALSE))*POWER(1-('Sens - Scenarios'!$B$6*VLOOKUP(B43,ChurnSeasonTable,4,FALSE)),2)</f>
        <v/>
      </c>
      <c r="U43" s="12">
        <f>Q43+R43+S43+T43</f>
        <v/>
      </c>
      <c r="V43" s="9">
        <f>Q43*PriceEssMonthly*E43+R43*PricePremMonthly*E43+S43*PriceEssAnnual*E43/12+T43*PricePremAnnual*E43/12</f>
        <v/>
      </c>
      <c r="W43" s="9">
        <f>V43*12</f>
        <v/>
      </c>
      <c r="X43" s="12">
        <f>Q43*PriceEssMonthly*E43+R43*PricePremMonthly*E43</f>
        <v/>
      </c>
      <c r="Y43" s="12">
        <f>O43*PriceEssAnnual*E43+P43*PricePremAnnual*E43</f>
        <v/>
      </c>
      <c r="Z43" s="12">
        <f>O31*POWER(1-('Sens - Scenarios'!$B$6*VLOOKUP(B43,ChurnSeasonTable,4,FALSE)),1)*PriceEssAnnual*E43+O19*POWER(1-('Sens - Scenarios'!$B$6*VLOOKUP(B43,ChurnSeasonTable,4,FALSE)),2)*PriceEssAnnual*E43+O7*POWER(1-('Sens - Scenarios'!$B$6*VLOOKUP(B43,ChurnSeasonTable,4,FALSE)),3)*PriceEssAnnual*E43+P31*POWER(1-('Sens - Scenarios'!$B$6*VLOOKUP(B43,ChurnSeasonTable,4,FALSE)),1)*PricePremAnnual*E43+P19*POWER(1-('Sens - Scenarios'!$B$6*VLOOKUP(B43,ChurnSeasonTable,4,FALSE)),2)*PricePremAnnual*E43+P7*POWER(1-('Sens - Scenarios'!$B$6*VLOOKUP(B43,ChurnSeasonTable,4,FALSE)),3)*PricePremAnnual*E43</f>
        <v/>
      </c>
      <c r="AA43" s="9">
        <f>X43+Y43+Z43</f>
        <v/>
      </c>
      <c r="AB43" s="12">
        <f>SUM(AA32:AA43)</f>
        <v/>
      </c>
      <c r="AC43" s="12">
        <f>OR(AC42,AB43&gt;=VATThreshold)</f>
        <v/>
      </c>
      <c r="AD43" s="9">
        <f>IF(AC43,AA43/(1+VATRate),AA43)</f>
        <v/>
      </c>
      <c r="AE43" s="12">
        <f>AA43-AD43</f>
        <v/>
      </c>
      <c r="AF43" s="12">
        <f>IF(AC43=0,0,IF(B43=1,SUMPRODUCT(--(($C$5:$C43=$C43-1)*($B$5:$B43&gt;=10)*($B$5:$B43&lt;=12)),$AE$5:$AE43),IF(B43=4,SUMPRODUCT(--(($C$5:$C43=$C43)*($B$5:$B43&gt;=1)*($B$5:$B43&lt;=3)),$AE$5:$AE43),IF(B43=7,SUMPRODUCT(--(($C$5:$C43=$C43)*($B$5:$B43&gt;=4)*($B$5:$B43&lt;=6)),$AE$5:$AE43),IF(B43=10,SUMPRODUCT(--(($C$5:$C43=$C43)*($B$5:$B43&gt;=7)*($B$5:$B43&lt;=9)),$AE$5:$AE43),0)))))</f>
        <v/>
      </c>
      <c r="AG43" s="12">
        <f>AG42+AE43-AF43</f>
        <v/>
      </c>
      <c r="AH43" s="12">
        <f>IF(ProviderDelay&gt;=1,AD42*ProviderShare,AD43*ProviderShare)</f>
        <v/>
      </c>
      <c r="AI43" s="12">
        <f>AA43*PaymentFee</f>
        <v/>
      </c>
      <c r="AJ43" s="12">
        <f>U43*OpsAI</f>
        <v/>
      </c>
      <c r="AK43" s="12">
        <f>MonthlyFixed</f>
        <v/>
      </c>
      <c r="AL43" s="12">
        <f>I43*ReferralReward</f>
        <v/>
      </c>
      <c r="AM43" s="12">
        <f>G43</f>
        <v/>
      </c>
      <c r="AN43" s="9">
        <f>AD43-AH43-AI43-AJ43-AK43-AL43-AM43</f>
        <v/>
      </c>
      <c r="AO43" s="9">
        <f>AO42+AA43-(AH43+AI43+AJ43+AK43+AL43+AM43+AF43)</f>
        <v/>
      </c>
      <c r="AP43" s="12">
        <f>IF(U43&gt;0,V43/U43,0)</f>
        <v/>
      </c>
      <c r="AQ43" s="11">
        <f>IF(U42&gt;0,MAX(0,(U42+J43-U43)/U42),0)</f>
        <v/>
      </c>
      <c r="AS43" s="12" t="n">
        <v>39</v>
      </c>
      <c r="AT43" s="12">
        <f>MOD(AS43-1+LaunchMonth-1,12)+1</f>
        <v/>
      </c>
      <c r="AU43" s="12">
        <f>INT((AS43-1+LaunchMonth-1)/12)+1</f>
        <v/>
      </c>
      <c r="AV43" s="12">
        <f>VLOOKUP(AT43,SeasonTable,2,FALSE)</f>
        <v/>
      </c>
      <c r="AW43" s="12">
        <f>(1+InflationRate)^INT((AS43-1)/12)</f>
        <v/>
      </c>
      <c r="AX43" s="11">
        <f>MonthlyChurn*VLOOKUP(AT43,ChurnSeasonTable,4,FALSE)</f>
        <v/>
      </c>
      <c r="AY43" s="12">
        <f>MIN(MAX(MktMin19plus,BS42*MktPct19plus),MAX(0,CG42-CashBuffer))</f>
        <v/>
      </c>
      <c r="AZ43" s="12">
        <f>IF(AY43&gt;0,MAX(1,ROUND(AY43/CAC*AV43,0)),0)</f>
        <v/>
      </c>
      <c r="BA43" s="12">
        <f>IF(AZ43&gt;0,ROUND(AZ43*ReferralMix/(1-ReferralMix),0),0)</f>
        <v/>
      </c>
      <c r="BB43" s="12">
        <f>AZ43+BA43</f>
        <v/>
      </c>
      <c r="BC43" s="12">
        <f>ROUND(BB43*(1-AnnualMix),0)</f>
        <v/>
      </c>
      <c r="BD43" s="12">
        <f>BB43-BC43</f>
        <v/>
      </c>
      <c r="BE43" s="12">
        <f>ROUND(BC43*EssentialMix,0)</f>
        <v/>
      </c>
      <c r="BF43" s="12">
        <f>BC43-BE43</f>
        <v/>
      </c>
      <c r="BG43" s="12">
        <f>ROUND(BD43*EssentialMix,0)</f>
        <v/>
      </c>
      <c r="BH43" s="12">
        <f>BD43-BG43</f>
        <v/>
      </c>
      <c r="BI43" s="12">
        <f>BE43+BE42+BE41+MAX(0,BI42-BE42-BE41)*(1-AX43)</f>
        <v/>
      </c>
      <c r="BJ43" s="12">
        <f>BF43+BF42+BF41+MAX(0,BJ42-BF42-BF41)*(1-AX43)</f>
        <v/>
      </c>
      <c r="BK43" s="12">
        <f>BK42+BG43-BG31*(AnnualChurn*VLOOKUP(AT43,ChurnSeasonTable,4,FALSE))*POWER(1-(AnnualChurn*VLOOKUP(AT43,ChurnSeasonTable,4,FALSE)),0)+BG19*(AnnualChurn*VLOOKUP(AT43,ChurnSeasonTable,4,FALSE))*POWER(1-(AnnualChurn*VLOOKUP(AT43,ChurnSeasonTable,4,FALSE)),1)+BG7*(AnnualChurn*VLOOKUP(AT43,ChurnSeasonTable,4,FALSE))*POWER(1-(AnnualChurn*VLOOKUP(AT43,ChurnSeasonTable,4,FALSE)),2)</f>
        <v/>
      </c>
      <c r="BL43" s="12">
        <f>BL42+BH43-BH31*(AnnualChurn*VLOOKUP(AT43,ChurnSeasonTable,4,FALSE))*POWER(1-(AnnualChurn*VLOOKUP(AT43,ChurnSeasonTable,4,FALSE)),0)+BH19*(AnnualChurn*VLOOKUP(AT43,ChurnSeasonTable,4,FALSE))*POWER(1-(AnnualChurn*VLOOKUP(AT43,ChurnSeasonTable,4,FALSE)),1)+BH7*(AnnualChurn*VLOOKUP(AT43,ChurnSeasonTable,4,FALSE))*POWER(1-(AnnualChurn*VLOOKUP(AT43,ChurnSeasonTable,4,FALSE)),2)</f>
        <v/>
      </c>
      <c r="BM43" s="12">
        <f>BI43+BJ43+BK43+BL43</f>
        <v/>
      </c>
      <c r="BN43" s="9">
        <f>BI43*PriceEssMonthly*AW43+BJ43*PricePremMonthly*AW43+BK43*PriceEssAnnual*AW43/12+BL43*PricePremAnnual*AW43/12</f>
        <v/>
      </c>
      <c r="BO43" s="9">
        <f>BN43*12</f>
        <v/>
      </c>
      <c r="BP43" s="12">
        <f>BI43*PriceEssMonthly*AW43+BJ43*PricePremMonthly*AW43</f>
        <v/>
      </c>
      <c r="BQ43" s="12">
        <f>BG43*PriceEssAnnual*AW43+BH43*PricePremAnnual*AW43</f>
        <v/>
      </c>
      <c r="BR43" s="12">
        <f>BG31*POWER(1-(AnnualChurn*VLOOKUP(AT43,ChurnSeasonTable,4,FALSE)),1)*PriceEssAnnual*AW43+BG19*POWER(1-(AnnualChurn*VLOOKUP(AT43,ChurnSeasonTable,4,FALSE)),2)*PriceEssAnnual*AW43+BG7*POWER(1-(AnnualChurn*VLOOKUP(AT43,ChurnSeasonTable,4,FALSE)),3)*PriceEssAnnual*AW43+BH31*POWER(1-(AnnualChurn*VLOOKUP(AT43,ChurnSeasonTable,4,FALSE)),1)*PricePremAnnual*AW43+BH19*POWER(1-(AnnualChurn*VLOOKUP(AT43,ChurnSeasonTable,4,FALSE)),2)*PricePremAnnual*AW43+BH7*POWER(1-(AnnualChurn*VLOOKUP(AT43,ChurnSeasonTable,4,FALSE)),3)*PricePremAnnual*AW43</f>
        <v/>
      </c>
      <c r="BS43" s="9">
        <f>BP43+BQ43+BR43</f>
        <v/>
      </c>
      <c r="BT43" s="12">
        <f>SUM(BS32:BS43)</f>
        <v/>
      </c>
      <c r="BU43" s="12">
        <f>OR(BU42,BT43&gt;=VATThreshold)</f>
        <v/>
      </c>
      <c r="BV43" s="9">
        <f>IF(BU43,BS43/(1+VATRate),BS43)</f>
        <v/>
      </c>
      <c r="BW43" s="12">
        <f>BS43-BV43</f>
        <v/>
      </c>
      <c r="BX43" s="12">
        <f>IF(BU43=0,0,IF(AT43=1,SUMPRODUCT(--(($AU$5:$AU43=$AU43-1)*($AT$5:$AT43&gt;=10)*($AT$5:$AT43&lt;=12)),$BW$5:$BW43),IF(AT43=4,SUMPRODUCT(--(($AU$5:$AU43=$AU43)*($AT$5:$AT43&gt;=1)*($AT$5:$AT43&lt;=3)),$BW$5:$BW43),IF(AT43=7,SUMPRODUCT(--(($AU$5:$AU43=$AU43)*($AT$5:$AT43&gt;=4)*($AT$5:$AT43&lt;=6)),$BW$5:$BW43),IF(AT43=10,SUMPRODUCT(--(($AU$5:$AU43=$AU43)*($AT$5:$AT43&gt;=7)*($AT$5:$AT43&lt;=9)),$BW$5:$BW43),0)))))</f>
        <v/>
      </c>
      <c r="BY43" s="12">
        <f>BY42+BW43-BX43</f>
        <v/>
      </c>
      <c r="BZ43" s="12">
        <f>IF(ProviderDelay&gt;=1,BV42*ProviderShare,BV43*ProviderShare)</f>
        <v/>
      </c>
      <c r="CA43" s="12">
        <f>BS43*PaymentFee</f>
        <v/>
      </c>
      <c r="CB43" s="12">
        <f>BM43*OpsAI</f>
        <v/>
      </c>
      <c r="CC43" s="12">
        <f>MonthlyFixed</f>
        <v/>
      </c>
      <c r="CD43" s="12">
        <f>BA43*ReferralReward</f>
        <v/>
      </c>
      <c r="CE43" s="12">
        <f>AY43</f>
        <v/>
      </c>
      <c r="CF43" s="9">
        <f>BV43-BZ43-CA43-CB43-CC43-CD43-CE43</f>
        <v/>
      </c>
      <c r="CG43" s="9">
        <f>CG42+BS43-(BZ43+CA43+CB43+CC43+CD43+CE43+BX43)</f>
        <v/>
      </c>
      <c r="CH43" s="12">
        <f>IF(BM43&gt;0,BN43/BM43,0)</f>
        <v/>
      </c>
      <c r="CI43" s="11">
        <f>IF(BM42&gt;0,MAX(0,(BM42+BB43-BM43)/BM42),0)</f>
        <v/>
      </c>
      <c r="CK43" s="12" t="n">
        <v>39</v>
      </c>
      <c r="CL43" s="12">
        <f>MOD(CK43-1+LaunchMonth-1,12)+1</f>
        <v/>
      </c>
      <c r="CM43" s="12">
        <f>INT((CK43-1+LaunchMonth-1)/12)+1</f>
        <v/>
      </c>
      <c r="CN43" s="12">
        <f>VLOOKUP(CL43,SeasonTable,2,FALSE)</f>
        <v/>
      </c>
      <c r="CO43" s="12">
        <f>(1+InflationRate)^INT((CK43-1)/12)</f>
        <v/>
      </c>
      <c r="CP43" s="11">
        <f>'Sens - Scenarios'!$D$5*VLOOKUP(CL43,ChurnSeasonTable,4,FALSE)</f>
        <v/>
      </c>
      <c r="CQ43" s="12">
        <f>MIN(MAX(MktMin19plus,DK42*MktPct19plus),MAX(0,DY42-CashBuffer))</f>
        <v/>
      </c>
      <c r="CR43" s="12">
        <f>IF(CQ43&gt;0,MAX(1,ROUND(CQ43/'Sens - Scenarios'!$D$8*CN43,0)),0)</f>
        <v/>
      </c>
      <c r="CS43" s="12">
        <f>IF(CR43&gt;0,ROUND(CR43*ReferralMix/(1-ReferralMix),0),0)</f>
        <v/>
      </c>
      <c r="CT43" s="12">
        <f>CR43+CS43</f>
        <v/>
      </c>
      <c r="CU43" s="12">
        <f>ROUND(CT43*(1-'Sens - Scenarios'!$D$7),0)</f>
        <v/>
      </c>
      <c r="CV43" s="12">
        <f>CT43-CU43</f>
        <v/>
      </c>
      <c r="CW43" s="12">
        <f>ROUND(CU43*EssentialMix,0)</f>
        <v/>
      </c>
      <c r="CX43" s="12">
        <f>CU43-CW43</f>
        <v/>
      </c>
      <c r="CY43" s="12">
        <f>ROUND(CV43*EssentialMix,0)</f>
        <v/>
      </c>
      <c r="CZ43" s="12">
        <f>CV43-CY43</f>
        <v/>
      </c>
      <c r="DA43" s="12">
        <f>CW43+CW42+CW41+MAX(0,DA42-CW42-CW41)*(1-CP43)</f>
        <v/>
      </c>
      <c r="DB43" s="12">
        <f>CX43+CX42+CX41+MAX(0,DB42-CX42-CX41)*(1-CP43)</f>
        <v/>
      </c>
      <c r="DC43" s="12">
        <f>DC42+CY43-CY31*('Sens - Scenarios'!$D$6*VLOOKUP(CL43,ChurnSeasonTable,4,FALSE))*POWER(1-('Sens - Scenarios'!$D$6*VLOOKUP(CL43,ChurnSeasonTable,4,FALSE)),0)+CY19*('Sens - Scenarios'!$D$6*VLOOKUP(CL43,ChurnSeasonTable,4,FALSE))*POWER(1-('Sens - Scenarios'!$D$6*VLOOKUP(CL43,ChurnSeasonTable,4,FALSE)),1)+CY7*('Sens - Scenarios'!$D$6*VLOOKUP(CL43,ChurnSeasonTable,4,FALSE))*POWER(1-('Sens - Scenarios'!$D$6*VLOOKUP(CL43,ChurnSeasonTable,4,FALSE)),2)</f>
        <v/>
      </c>
      <c r="DD43" s="12">
        <f>DD42+CZ43-CZ31*('Sens - Scenarios'!$D$6*VLOOKUP(CL43,ChurnSeasonTable,4,FALSE))*POWER(1-('Sens - Scenarios'!$D$6*VLOOKUP(CL43,ChurnSeasonTable,4,FALSE)),0)+CZ19*('Sens - Scenarios'!$D$6*VLOOKUP(CL43,ChurnSeasonTable,4,FALSE))*POWER(1-('Sens - Scenarios'!$D$6*VLOOKUP(CL43,ChurnSeasonTable,4,FALSE)),1)+CZ7*('Sens - Scenarios'!$D$6*VLOOKUP(CL43,ChurnSeasonTable,4,FALSE))*POWER(1-('Sens - Scenarios'!$D$6*VLOOKUP(CL43,ChurnSeasonTable,4,FALSE)),2)</f>
        <v/>
      </c>
      <c r="DE43" s="12">
        <f>DA43+DB43+DC43+DD43</f>
        <v/>
      </c>
      <c r="DF43" s="9">
        <f>DA43*PriceEssMonthly*CO43+DB43*PricePremMonthly*CO43+DC43*PriceEssAnnual*CO43/12+DD43*PricePremAnnual*CO43/12</f>
        <v/>
      </c>
      <c r="DG43" s="9">
        <f>DF43*12</f>
        <v/>
      </c>
      <c r="DH43" s="12">
        <f>DA43*PriceEssMonthly*CO43+DB43*PricePremMonthly*CO43</f>
        <v/>
      </c>
      <c r="DI43" s="12">
        <f>CY43*PriceEssAnnual*CO43+CZ43*PricePremAnnual*CO43</f>
        <v/>
      </c>
      <c r="DJ43" s="12">
        <f>CY31*POWER(1-('Sens - Scenarios'!$D$6*VLOOKUP(CL43,ChurnSeasonTable,4,FALSE)),1)*PriceEssAnnual*CO43+CY19*POWER(1-('Sens - Scenarios'!$D$6*VLOOKUP(CL43,ChurnSeasonTable,4,FALSE)),2)*PriceEssAnnual*CO43+CY7*POWER(1-('Sens - Scenarios'!$D$6*VLOOKUP(CL43,ChurnSeasonTable,4,FALSE)),3)*PriceEssAnnual*CO43+CZ31*POWER(1-('Sens - Scenarios'!$D$6*VLOOKUP(CL43,ChurnSeasonTable,4,FALSE)),1)*PricePremAnnual*CO43+CZ19*POWER(1-('Sens - Scenarios'!$D$6*VLOOKUP(CL43,ChurnSeasonTable,4,FALSE)),2)*PricePremAnnual*CO43+CZ7*POWER(1-('Sens - Scenarios'!$D$6*VLOOKUP(CL43,ChurnSeasonTable,4,FALSE)),3)*PricePremAnnual*CO43</f>
        <v/>
      </c>
      <c r="DK43" s="9">
        <f>DH43+DI43+DJ43</f>
        <v/>
      </c>
      <c r="DL43" s="12">
        <f>SUM(DK32:DK43)</f>
        <v/>
      </c>
      <c r="DM43" s="12">
        <f>OR(DM42,DL43&gt;=VATThreshold)</f>
        <v/>
      </c>
      <c r="DN43" s="9">
        <f>IF(DM43,DK43/(1+VATRate),DK43)</f>
        <v/>
      </c>
      <c r="DO43" s="12">
        <f>DK43-DN43</f>
        <v/>
      </c>
      <c r="DP43" s="12">
        <f>IF(DM43=0,0,IF(CL43=1,SUMPRODUCT(--(($CM$5:$CM43=$CM43-1)*($CL$5:$CL43&gt;=10)*($CL$5:$CL43&lt;=12)),$DO$5:$DO43),IF(CL43=4,SUMPRODUCT(--(($CM$5:$CM43=$CM43)*($CL$5:$CL43&gt;=1)*($CL$5:$CL43&lt;=3)),$DO$5:$DO43),IF(CL43=7,SUMPRODUCT(--(($CM$5:$CM43=$CM43)*($CL$5:$CL43&gt;=4)*($CL$5:$CL43&lt;=6)),$DO$5:$DO43),IF(CL43=10,SUMPRODUCT(--(($CM$5:$CM43=$CM43)*($CL$5:$CL43&gt;=7)*($CL$5:$CL43&lt;=9)),$DO$5:$DO43),0)))))</f>
        <v/>
      </c>
      <c r="DQ43" s="12">
        <f>DQ42+DO43-DP43</f>
        <v/>
      </c>
      <c r="DR43" s="12">
        <f>IF(ProviderDelay&gt;=1,DN42*ProviderShare,DN43*ProviderShare)</f>
        <v/>
      </c>
      <c r="DS43" s="12">
        <f>DK43*PaymentFee</f>
        <v/>
      </c>
      <c r="DT43" s="12">
        <f>DE43*OpsAI</f>
        <v/>
      </c>
      <c r="DU43" s="12">
        <f>MonthlyFixed</f>
        <v/>
      </c>
      <c r="DV43" s="12">
        <f>CS43*ReferralReward</f>
        <v/>
      </c>
      <c r="DW43" s="12">
        <f>CQ43</f>
        <v/>
      </c>
      <c r="DX43" s="9">
        <f>DN43-DR43-DS43-DT43-DU43-DV43-DW43</f>
        <v/>
      </c>
      <c r="DY43" s="9">
        <f>DY42+DK43-(DR43+DS43+DT43+DU43+DV43+DW43+DP43)</f>
        <v/>
      </c>
      <c r="DZ43" s="12">
        <f>IF(DE43&gt;0,DF43/DE43,0)</f>
        <v/>
      </c>
      <c r="EA43" s="11">
        <f>IF(DE42&gt;0,MAX(0,(DE42+CT43-DE43)/DE42),0)</f>
        <v/>
      </c>
      <c r="EC43" s="12" t="n">
        <v>39</v>
      </c>
      <c r="ED43" s="12">
        <f>MOD(EC43-1+LaunchMonth-1,12)+1</f>
        <v/>
      </c>
      <c r="EE43" s="12">
        <f>INT((EC43-1+LaunchMonth-1)/12)+1</f>
        <v/>
      </c>
      <c r="EF43" s="12">
        <f>VLOOKUP(ED43,SeasonTable,2,FALSE)</f>
        <v/>
      </c>
      <c r="EG43" s="12">
        <f>(1+InflationRate)^INT((EC43-1)/12)</f>
        <v/>
      </c>
      <c r="EH43" s="11">
        <f>'Sens - Churn'!$A$13*VLOOKUP(ED43,ChurnSeasonTable,4,FALSE)</f>
        <v/>
      </c>
      <c r="EI43" s="12">
        <f>MIN(MAX(MktMin19plus,FC42*MktPct19plus),MAX(0,FQ42-CashBuffer))</f>
        <v/>
      </c>
      <c r="EJ43" s="12">
        <f>IF(EI43&gt;0,MAX(1,ROUND(EI43/CAC*EF43,0)),0)</f>
        <v/>
      </c>
      <c r="EK43" s="12">
        <f>IF(EJ43&gt;0,ROUND(EJ43*ReferralMix/(1-ReferralMix),0),0)</f>
        <v/>
      </c>
      <c r="EL43" s="12">
        <f>EJ43+EK43</f>
        <v/>
      </c>
      <c r="EM43" s="12">
        <f>ROUND(EL43*(1-AnnualMix),0)</f>
        <v/>
      </c>
      <c r="EN43" s="12">
        <f>EL43-EM43</f>
        <v/>
      </c>
      <c r="EO43" s="12">
        <f>ROUND(EM43*EssentialMix,0)</f>
        <v/>
      </c>
      <c r="EP43" s="12">
        <f>EM43-EO43</f>
        <v/>
      </c>
      <c r="EQ43" s="12">
        <f>ROUND(EN43*EssentialMix,0)</f>
        <v/>
      </c>
      <c r="ER43" s="12">
        <f>EN43-EQ43</f>
        <v/>
      </c>
      <c r="ES43" s="12">
        <f>EO43+EO42+EO41+MAX(0,ES42-EO42-EO41)*(1-EH43)</f>
        <v/>
      </c>
      <c r="ET43" s="12">
        <f>EP43+EP42+EP41+MAX(0,ET42-EP42-EP41)*(1-EH43)</f>
        <v/>
      </c>
      <c r="EU43" s="12">
        <f>EU42+EQ43-EQ31*(AnnualChurn*VLOOKUP(ED43,ChurnSeasonTable,4,FALSE))*POWER(1-(AnnualChurn*VLOOKUP(ED43,ChurnSeasonTable,4,FALSE)),0)+EQ19*(AnnualChurn*VLOOKUP(ED43,ChurnSeasonTable,4,FALSE))*POWER(1-(AnnualChurn*VLOOKUP(ED43,ChurnSeasonTable,4,FALSE)),1)+EQ7*(AnnualChurn*VLOOKUP(ED43,ChurnSeasonTable,4,FALSE))*POWER(1-(AnnualChurn*VLOOKUP(ED43,ChurnSeasonTable,4,FALSE)),2)</f>
        <v/>
      </c>
      <c r="EV43" s="12">
        <f>EV42+ER43-ER31*(AnnualChurn*VLOOKUP(ED43,ChurnSeasonTable,4,FALSE))*POWER(1-(AnnualChurn*VLOOKUP(ED43,ChurnSeasonTable,4,FALSE)),0)+ER19*(AnnualChurn*VLOOKUP(ED43,ChurnSeasonTable,4,FALSE))*POWER(1-(AnnualChurn*VLOOKUP(ED43,ChurnSeasonTable,4,FALSE)),1)+ER7*(AnnualChurn*VLOOKUP(ED43,ChurnSeasonTable,4,FALSE))*POWER(1-(AnnualChurn*VLOOKUP(ED43,ChurnSeasonTable,4,FALSE)),2)</f>
        <v/>
      </c>
      <c r="EW43" s="12">
        <f>ES43+ET43+EU43+EV43</f>
        <v/>
      </c>
      <c r="EX43" s="9">
        <f>ES43*PriceEssMonthly*EG43+ET43*PricePremMonthly*EG43+EU43*PriceEssAnnual*EG43/12+EV43*PricePremAnnual*EG43/12</f>
        <v/>
      </c>
      <c r="EY43" s="9">
        <f>EX43*12</f>
        <v/>
      </c>
      <c r="EZ43" s="12">
        <f>ES43*PriceEssMonthly*EG43+ET43*PricePremMonthly*EG43</f>
        <v/>
      </c>
      <c r="FA43" s="12">
        <f>EQ43*PriceEssAnnual*EG43+ER43*PricePremAnnual*EG43</f>
        <v/>
      </c>
      <c r="FB43" s="12">
        <f>EQ31*POWER(1-(AnnualChurn*VLOOKUP(ED43,ChurnSeasonTable,4,FALSE)),1)*PriceEssAnnual*EG43+EQ19*POWER(1-(AnnualChurn*VLOOKUP(ED43,ChurnSeasonTable,4,FALSE)),2)*PriceEssAnnual*EG43+EQ7*POWER(1-(AnnualChurn*VLOOKUP(ED43,ChurnSeasonTable,4,FALSE)),3)*PriceEssAnnual*EG43+ER31*POWER(1-(AnnualChurn*VLOOKUP(ED43,ChurnSeasonTable,4,FALSE)),1)*PricePremAnnual*EG43+ER19*POWER(1-(AnnualChurn*VLOOKUP(ED43,ChurnSeasonTable,4,FALSE)),2)*PricePremAnnual*EG43+ER7*POWER(1-(AnnualChurn*VLOOKUP(ED43,ChurnSeasonTable,4,FALSE)),3)*PricePremAnnual*EG43</f>
        <v/>
      </c>
      <c r="FC43" s="9">
        <f>EZ43+FA43+FB43</f>
        <v/>
      </c>
      <c r="FD43" s="12">
        <f>SUM(FC32:FC43)</f>
        <v/>
      </c>
      <c r="FE43" s="12">
        <f>OR(FE42,FD43&gt;=VATThreshold)</f>
        <v/>
      </c>
      <c r="FF43" s="9">
        <f>IF(FE43,FC43/(1+VATRate),FC43)</f>
        <v/>
      </c>
      <c r="FG43" s="12">
        <f>FC43-FF43</f>
        <v/>
      </c>
      <c r="FH43" s="12">
        <f>IF(FE43=0,0,IF(ED43=1,SUMPRODUCT(--(($EE$5:$EE43=$EE43-1)*($ED$5:$ED43&gt;=10)*($ED$5:$ED43&lt;=12)),$FG$5:$FG43),IF(ED43=4,SUMPRODUCT(--(($EE$5:$EE43=$EE43)*($ED$5:$ED43&gt;=1)*($ED$5:$ED43&lt;=3)),$FG$5:$FG43),IF(ED43=7,SUMPRODUCT(--(($EE$5:$EE43=$EE43)*($ED$5:$ED43&gt;=4)*($ED$5:$ED43&lt;=6)),$FG$5:$FG43),IF(ED43=10,SUMPRODUCT(--(($EE$5:$EE43=$EE43)*($ED$5:$ED43&gt;=7)*($ED$5:$ED43&lt;=9)),$FG$5:$FG43),0)))))</f>
        <v/>
      </c>
      <c r="FI43" s="12">
        <f>FI42+FG43-FH43</f>
        <v/>
      </c>
      <c r="FJ43" s="12">
        <f>IF(ProviderDelay&gt;=1,FF42*ProviderShare,FF43*ProviderShare)</f>
        <v/>
      </c>
      <c r="FK43" s="12">
        <f>FC43*PaymentFee</f>
        <v/>
      </c>
      <c r="FL43" s="12">
        <f>EW43*OpsAI</f>
        <v/>
      </c>
      <c r="FM43" s="12">
        <f>MonthlyFixed</f>
        <v/>
      </c>
      <c r="FN43" s="12">
        <f>EK43*ReferralReward</f>
        <v/>
      </c>
      <c r="FO43" s="12">
        <f>EI43</f>
        <v/>
      </c>
      <c r="FP43" s="9">
        <f>FF43-FJ43-FK43-FL43-FM43-FN43-FO43</f>
        <v/>
      </c>
      <c r="FQ43" s="9">
        <f>FQ42+FC43-(FJ43+FK43+FL43+FM43+FN43+FO43+FH43)</f>
        <v/>
      </c>
      <c r="FR43" s="12">
        <f>IF(EW43&gt;0,EX43/EW43,0)</f>
        <v/>
      </c>
      <c r="FS43" s="11">
        <f>IF(EW42&gt;0,MAX(0,(EW42+EL43-EW43)/EW42),0)</f>
        <v/>
      </c>
      <c r="FU43" s="12" t="n">
        <v>39</v>
      </c>
      <c r="FV43" s="12">
        <f>MOD(FU43-1+LaunchMonth-1,12)+1</f>
        <v/>
      </c>
      <c r="FW43" s="12">
        <f>INT((FU43-1+LaunchMonth-1)/12)+1</f>
        <v/>
      </c>
      <c r="FX43" s="12">
        <f>VLOOKUP(FV43,SeasonTable,2,FALSE)</f>
        <v/>
      </c>
      <c r="FY43" s="12">
        <f>(1+InflationRate)^INT((FU43-1)/12)</f>
        <v/>
      </c>
      <c r="FZ43" s="11">
        <f>'Sens - Churn'!$A$14*VLOOKUP(FV43,ChurnSeasonTable,4,FALSE)</f>
        <v/>
      </c>
      <c r="GA43" s="12">
        <f>MIN(MAX(MktMin19plus,GU42*MktPct19plus),MAX(0,HI42-CashBuffer))</f>
        <v/>
      </c>
      <c r="GB43" s="12">
        <f>IF(GA43&gt;0,MAX(1,ROUND(GA43/CAC*FX43,0)),0)</f>
        <v/>
      </c>
      <c r="GC43" s="12">
        <f>IF(GB43&gt;0,ROUND(GB43*ReferralMix/(1-ReferralMix),0),0)</f>
        <v/>
      </c>
      <c r="GD43" s="12">
        <f>GB43+GC43</f>
        <v/>
      </c>
      <c r="GE43" s="12">
        <f>ROUND(GD43*(1-AnnualMix),0)</f>
        <v/>
      </c>
      <c r="GF43" s="12">
        <f>GD43-GE43</f>
        <v/>
      </c>
      <c r="GG43" s="12">
        <f>ROUND(GE43*EssentialMix,0)</f>
        <v/>
      </c>
      <c r="GH43" s="12">
        <f>GE43-GG43</f>
        <v/>
      </c>
      <c r="GI43" s="12">
        <f>ROUND(GF43*EssentialMix,0)</f>
        <v/>
      </c>
      <c r="GJ43" s="12">
        <f>GF43-GI43</f>
        <v/>
      </c>
      <c r="GK43" s="12">
        <f>GG43+GG42+GG41+MAX(0,GK42-GG42-GG41)*(1-FZ43)</f>
        <v/>
      </c>
      <c r="GL43" s="12">
        <f>GH43+GH42+GH41+MAX(0,GL42-GH42-GH41)*(1-FZ43)</f>
        <v/>
      </c>
      <c r="GM43" s="12">
        <f>GM42+GI43-GI31*(AnnualChurn*VLOOKUP(FV43,ChurnSeasonTable,4,FALSE))*POWER(1-(AnnualChurn*VLOOKUP(FV43,ChurnSeasonTable,4,FALSE)),0)+GI19*(AnnualChurn*VLOOKUP(FV43,ChurnSeasonTable,4,FALSE))*POWER(1-(AnnualChurn*VLOOKUP(FV43,ChurnSeasonTable,4,FALSE)),1)+GI7*(AnnualChurn*VLOOKUP(FV43,ChurnSeasonTable,4,FALSE))*POWER(1-(AnnualChurn*VLOOKUP(FV43,ChurnSeasonTable,4,FALSE)),2)</f>
        <v/>
      </c>
      <c r="GN43" s="12">
        <f>GN42+GJ43-GJ31*(AnnualChurn*VLOOKUP(FV43,ChurnSeasonTable,4,FALSE))*POWER(1-(AnnualChurn*VLOOKUP(FV43,ChurnSeasonTable,4,FALSE)),0)+GJ19*(AnnualChurn*VLOOKUP(FV43,ChurnSeasonTable,4,FALSE))*POWER(1-(AnnualChurn*VLOOKUP(FV43,ChurnSeasonTable,4,FALSE)),1)+GJ7*(AnnualChurn*VLOOKUP(FV43,ChurnSeasonTable,4,FALSE))*POWER(1-(AnnualChurn*VLOOKUP(FV43,ChurnSeasonTable,4,FALSE)),2)</f>
        <v/>
      </c>
      <c r="GO43" s="12">
        <f>GK43+GL43+GM43+GN43</f>
        <v/>
      </c>
      <c r="GP43" s="9">
        <f>GK43*PriceEssMonthly*FY43+GL43*PricePremMonthly*FY43+GM43*PriceEssAnnual*FY43/12+GN43*PricePremAnnual*FY43/12</f>
        <v/>
      </c>
      <c r="GQ43" s="9">
        <f>GP43*12</f>
        <v/>
      </c>
      <c r="GR43" s="12">
        <f>GK43*PriceEssMonthly*FY43+GL43*PricePremMonthly*FY43</f>
        <v/>
      </c>
      <c r="GS43" s="12">
        <f>GI43*PriceEssAnnual*FY43+GJ43*PricePremAnnual*FY43</f>
        <v/>
      </c>
      <c r="GT43" s="12">
        <f>GI31*POWER(1-(AnnualChurn*VLOOKUP(FV43,ChurnSeasonTable,4,FALSE)),1)*PriceEssAnnual*FY43+GI19*POWER(1-(AnnualChurn*VLOOKUP(FV43,ChurnSeasonTable,4,FALSE)),2)*PriceEssAnnual*FY43+GI7*POWER(1-(AnnualChurn*VLOOKUP(FV43,ChurnSeasonTable,4,FALSE)),3)*PriceEssAnnual*FY43+GJ31*POWER(1-(AnnualChurn*VLOOKUP(FV43,ChurnSeasonTable,4,FALSE)),1)*PricePremAnnual*FY43+GJ19*POWER(1-(AnnualChurn*VLOOKUP(FV43,ChurnSeasonTable,4,FALSE)),2)*PricePremAnnual*FY43+GJ7*POWER(1-(AnnualChurn*VLOOKUP(FV43,ChurnSeasonTable,4,FALSE)),3)*PricePremAnnual*FY43</f>
        <v/>
      </c>
      <c r="GU43" s="9">
        <f>GR43+GS43+GT43</f>
        <v/>
      </c>
      <c r="GV43" s="12">
        <f>SUM(GU32:GU43)</f>
        <v/>
      </c>
      <c r="GW43" s="12">
        <f>OR(GW42,GV43&gt;=VATThreshold)</f>
        <v/>
      </c>
      <c r="GX43" s="9">
        <f>IF(GW43,GU43/(1+VATRate),GU43)</f>
        <v/>
      </c>
      <c r="GY43" s="12">
        <f>GU43-GX43</f>
        <v/>
      </c>
      <c r="GZ43" s="12">
        <f>IF(GW43=0,0,IF(FV43=1,SUMPRODUCT(--(($FW$5:$FW43=$FW43-1)*($FV$5:$FV43&gt;=10)*($FV$5:$FV43&lt;=12)),$GY$5:$GY43),IF(FV43=4,SUMPRODUCT(--(($FW$5:$FW43=$FW43)*($FV$5:$FV43&gt;=1)*($FV$5:$FV43&lt;=3)),$GY$5:$GY43),IF(FV43=7,SUMPRODUCT(--(($FW$5:$FW43=$FW43)*($FV$5:$FV43&gt;=4)*($FV$5:$FV43&lt;=6)),$GY$5:$GY43),IF(FV43=10,SUMPRODUCT(--(($FW$5:$FW43=$FW43)*($FV$5:$FV43&gt;=7)*($FV$5:$FV43&lt;=9)),$GY$5:$GY43),0)))))</f>
        <v/>
      </c>
      <c r="HA43" s="12">
        <f>HA42+GY43-GZ43</f>
        <v/>
      </c>
      <c r="HB43" s="12">
        <f>IF(ProviderDelay&gt;=1,GX42*ProviderShare,GX43*ProviderShare)</f>
        <v/>
      </c>
      <c r="HC43" s="12">
        <f>GU43*PaymentFee</f>
        <v/>
      </c>
      <c r="HD43" s="12">
        <f>GO43*OpsAI</f>
        <v/>
      </c>
      <c r="HE43" s="12">
        <f>MonthlyFixed</f>
        <v/>
      </c>
      <c r="HF43" s="12">
        <f>GC43*ReferralReward</f>
        <v/>
      </c>
      <c r="HG43" s="12">
        <f>GA43</f>
        <v/>
      </c>
      <c r="HH43" s="9">
        <f>GX43-HB43-HC43-HD43-HE43-HF43-HG43</f>
        <v/>
      </c>
      <c r="HI43" s="9">
        <f>HI42+GU43-(HB43+HC43+HD43+HE43+HF43+HG43+GZ43)</f>
        <v/>
      </c>
      <c r="HJ43" s="12">
        <f>IF(GO43&gt;0,GP43/GO43,0)</f>
        <v/>
      </c>
      <c r="HK43" s="11">
        <f>IF(GO42&gt;0,MAX(0,(GO42+GD43-GO43)/GO42),0)</f>
        <v/>
      </c>
      <c r="HM43" s="12" t="n">
        <v>39</v>
      </c>
      <c r="HN43" s="12">
        <f>MOD(HM43-1+LaunchMonth-1,12)+1</f>
        <v/>
      </c>
      <c r="HO43" s="12">
        <f>INT((HM43-1+LaunchMonth-1)/12)+1</f>
        <v/>
      </c>
      <c r="HP43" s="12">
        <f>VLOOKUP(HN43,SeasonTable,2,FALSE)</f>
        <v/>
      </c>
      <c r="HQ43" s="12">
        <f>(1+InflationRate)^INT((HM43-1)/12)</f>
        <v/>
      </c>
      <c r="HR43" s="11">
        <f>'Sens - Churn'!$A$15*VLOOKUP(HN43,ChurnSeasonTable,4,FALSE)</f>
        <v/>
      </c>
      <c r="HS43" s="12">
        <f>MIN(MAX(MktMin19plus,IM42*MktPct19plus),MAX(0,JA42-CashBuffer))</f>
        <v/>
      </c>
      <c r="HT43" s="12">
        <f>IF(HS43&gt;0,MAX(1,ROUND(HS43/CAC*HP43,0)),0)</f>
        <v/>
      </c>
      <c r="HU43" s="12">
        <f>IF(HT43&gt;0,ROUND(HT43*ReferralMix/(1-ReferralMix),0),0)</f>
        <v/>
      </c>
      <c r="HV43" s="12">
        <f>HT43+HU43</f>
        <v/>
      </c>
      <c r="HW43" s="12">
        <f>ROUND(HV43*(1-AnnualMix),0)</f>
        <v/>
      </c>
      <c r="HX43" s="12">
        <f>HV43-HW43</f>
        <v/>
      </c>
      <c r="HY43" s="12">
        <f>ROUND(HW43*EssentialMix,0)</f>
        <v/>
      </c>
      <c r="HZ43" s="12">
        <f>HW43-HY43</f>
        <v/>
      </c>
      <c r="IA43" s="12">
        <f>ROUND(HX43*EssentialMix,0)</f>
        <v/>
      </c>
      <c r="IB43" s="12">
        <f>HX43-IA43</f>
        <v/>
      </c>
      <c r="IC43" s="12">
        <f>HY43+HY42+HY41+MAX(0,IC42-HY42-HY41)*(1-HR43)</f>
        <v/>
      </c>
      <c r="ID43" s="12">
        <f>HZ43+HZ42+HZ41+MAX(0,ID42-HZ42-HZ41)*(1-HR43)</f>
        <v/>
      </c>
      <c r="IE43" s="12">
        <f>IE42+IA43-IA31*(AnnualChurn*VLOOKUP(HN43,ChurnSeasonTable,4,FALSE))*POWER(1-(AnnualChurn*VLOOKUP(HN43,ChurnSeasonTable,4,FALSE)),0)+IA19*(AnnualChurn*VLOOKUP(HN43,ChurnSeasonTable,4,FALSE))*POWER(1-(AnnualChurn*VLOOKUP(HN43,ChurnSeasonTable,4,FALSE)),1)+IA7*(AnnualChurn*VLOOKUP(HN43,ChurnSeasonTable,4,FALSE))*POWER(1-(AnnualChurn*VLOOKUP(HN43,ChurnSeasonTable,4,FALSE)),2)</f>
        <v/>
      </c>
      <c r="IF43" s="12">
        <f>IF42+IB43-IB31*(AnnualChurn*VLOOKUP(HN43,ChurnSeasonTable,4,FALSE))*POWER(1-(AnnualChurn*VLOOKUP(HN43,ChurnSeasonTable,4,FALSE)),0)+IB19*(AnnualChurn*VLOOKUP(HN43,ChurnSeasonTable,4,FALSE))*POWER(1-(AnnualChurn*VLOOKUP(HN43,ChurnSeasonTable,4,FALSE)),1)+IB7*(AnnualChurn*VLOOKUP(HN43,ChurnSeasonTable,4,FALSE))*POWER(1-(AnnualChurn*VLOOKUP(HN43,ChurnSeasonTable,4,FALSE)),2)</f>
        <v/>
      </c>
      <c r="IG43" s="12">
        <f>IC43+ID43+IE43+IF43</f>
        <v/>
      </c>
      <c r="IH43" s="9">
        <f>IC43*PriceEssMonthly*HQ43+ID43*PricePremMonthly*HQ43+IE43*PriceEssAnnual*HQ43/12+IF43*PricePremAnnual*HQ43/12</f>
        <v/>
      </c>
      <c r="II43" s="9">
        <f>IH43*12</f>
        <v/>
      </c>
      <c r="IJ43" s="12">
        <f>IC43*PriceEssMonthly*HQ43+ID43*PricePremMonthly*HQ43</f>
        <v/>
      </c>
      <c r="IK43" s="12">
        <f>IA43*PriceEssAnnual*HQ43+IB43*PricePremAnnual*HQ43</f>
        <v/>
      </c>
      <c r="IL43" s="12">
        <f>IA31*POWER(1-(AnnualChurn*VLOOKUP(HN43,ChurnSeasonTable,4,FALSE)),1)*PriceEssAnnual*HQ43+IA19*POWER(1-(AnnualChurn*VLOOKUP(HN43,ChurnSeasonTable,4,FALSE)),2)*PriceEssAnnual*HQ43+IA7*POWER(1-(AnnualChurn*VLOOKUP(HN43,ChurnSeasonTable,4,FALSE)),3)*PriceEssAnnual*HQ43+IB31*POWER(1-(AnnualChurn*VLOOKUP(HN43,ChurnSeasonTable,4,FALSE)),1)*PricePremAnnual*HQ43+IB19*POWER(1-(AnnualChurn*VLOOKUP(HN43,ChurnSeasonTable,4,FALSE)),2)*PricePremAnnual*HQ43+IB7*POWER(1-(AnnualChurn*VLOOKUP(HN43,ChurnSeasonTable,4,FALSE)),3)*PricePremAnnual*HQ43</f>
        <v/>
      </c>
      <c r="IM43" s="9">
        <f>IJ43+IK43+IL43</f>
        <v/>
      </c>
      <c r="IN43" s="12">
        <f>SUM(IM32:IM43)</f>
        <v/>
      </c>
      <c r="IO43" s="12">
        <f>OR(IO42,IN43&gt;=VATThreshold)</f>
        <v/>
      </c>
      <c r="IP43" s="9">
        <f>IF(IO43,IM43/(1+VATRate),IM43)</f>
        <v/>
      </c>
      <c r="IQ43" s="12">
        <f>IM43-IP43</f>
        <v/>
      </c>
      <c r="IR43" s="12">
        <f>IF(IO43=0,0,IF(HN43=1,SUMPRODUCT(--(($HO$5:$HO43=$HO43-1)*($HN$5:$HN43&gt;=10)*($HN$5:$HN43&lt;=12)),$IQ$5:$IQ43),IF(HN43=4,SUMPRODUCT(--(($HO$5:$HO43=$HO43)*($HN$5:$HN43&gt;=1)*($HN$5:$HN43&lt;=3)),$IQ$5:$IQ43),IF(HN43=7,SUMPRODUCT(--(($HO$5:$HO43=$HO43)*($HN$5:$HN43&gt;=4)*($HN$5:$HN43&lt;=6)),$IQ$5:$IQ43),IF(HN43=10,SUMPRODUCT(--(($HO$5:$HO43=$HO43)*($HN$5:$HN43&gt;=7)*($HN$5:$HN43&lt;=9)),$IQ$5:$IQ43),0)))))</f>
        <v/>
      </c>
      <c r="IS43" s="12">
        <f>IS42+IQ43-IR43</f>
        <v/>
      </c>
      <c r="IT43" s="12">
        <f>IF(ProviderDelay&gt;=1,IP42*ProviderShare,IP43*ProviderShare)</f>
        <v/>
      </c>
      <c r="IU43" s="12">
        <f>IM43*PaymentFee</f>
        <v/>
      </c>
      <c r="IV43" s="12">
        <f>IG43*OpsAI</f>
        <v/>
      </c>
      <c r="IW43" s="12">
        <f>MonthlyFixed</f>
        <v/>
      </c>
      <c r="IX43" s="12">
        <f>HU43*ReferralReward</f>
        <v/>
      </c>
      <c r="IY43" s="12">
        <f>HS43</f>
        <v/>
      </c>
      <c r="IZ43" s="9">
        <f>IP43-IT43-IU43-IV43-IW43-IX43-IY43</f>
        <v/>
      </c>
      <c r="JA43" s="9">
        <f>JA42+IM43-(IT43+IU43+IV43+IW43+IX43+IY43+IR43)</f>
        <v/>
      </c>
      <c r="JB43" s="12">
        <f>IF(IG43&gt;0,IH43/IG43,0)</f>
        <v/>
      </c>
      <c r="JC43" s="11">
        <f>IF(IG42&gt;0,MAX(0,(IG42+HV43-IG43)/IG42),0)</f>
        <v/>
      </c>
      <c r="JE43" s="12" t="n">
        <v>39</v>
      </c>
      <c r="JF43" s="12">
        <f>MOD(JE43-1+LaunchMonth-1,12)+1</f>
        <v/>
      </c>
      <c r="JG43" s="12">
        <f>INT((JE43-1+LaunchMonth-1)/12)+1</f>
        <v/>
      </c>
      <c r="JH43" s="12">
        <f>VLOOKUP(JF43,SeasonTable,2,FALSE)</f>
        <v/>
      </c>
      <c r="JI43" s="12">
        <f>(1+InflationRate)^INT((JE43-1)/12)</f>
        <v/>
      </c>
      <c r="JJ43" s="11">
        <f>'Sens - Churn'!$A$16*VLOOKUP(JF43,ChurnSeasonTable,4,FALSE)</f>
        <v/>
      </c>
      <c r="JK43" s="12">
        <f>MIN(MAX(MktMin19plus,KE42*MktPct19plus),MAX(0,KS42-CashBuffer))</f>
        <v/>
      </c>
      <c r="JL43" s="12">
        <f>IF(JK43&gt;0,MAX(1,ROUND(JK43/CAC*JH43,0)),0)</f>
        <v/>
      </c>
      <c r="JM43" s="12">
        <f>IF(JL43&gt;0,ROUND(JL43*ReferralMix/(1-ReferralMix),0),0)</f>
        <v/>
      </c>
      <c r="JN43" s="12">
        <f>JL43+JM43</f>
        <v/>
      </c>
      <c r="JO43" s="12">
        <f>ROUND(JN43*(1-AnnualMix),0)</f>
        <v/>
      </c>
      <c r="JP43" s="12">
        <f>JN43-JO43</f>
        <v/>
      </c>
      <c r="JQ43" s="12">
        <f>ROUND(JO43*EssentialMix,0)</f>
        <v/>
      </c>
      <c r="JR43" s="12">
        <f>JO43-JQ43</f>
        <v/>
      </c>
      <c r="JS43" s="12">
        <f>ROUND(JP43*EssentialMix,0)</f>
        <v/>
      </c>
      <c r="JT43" s="12">
        <f>JP43-JS43</f>
        <v/>
      </c>
      <c r="JU43" s="12">
        <f>JQ43+JQ42+JQ41+MAX(0,JU42-JQ42-JQ41)*(1-JJ43)</f>
        <v/>
      </c>
      <c r="JV43" s="12">
        <f>JR43+JR42+JR41+MAX(0,JV42-JR42-JR41)*(1-JJ43)</f>
        <v/>
      </c>
      <c r="JW43" s="12">
        <f>JW42+JS43-JS31*(AnnualChurn*VLOOKUP(JF43,ChurnSeasonTable,4,FALSE))*POWER(1-(AnnualChurn*VLOOKUP(JF43,ChurnSeasonTable,4,FALSE)),0)+JS19*(AnnualChurn*VLOOKUP(JF43,ChurnSeasonTable,4,FALSE))*POWER(1-(AnnualChurn*VLOOKUP(JF43,ChurnSeasonTable,4,FALSE)),1)+JS7*(AnnualChurn*VLOOKUP(JF43,ChurnSeasonTable,4,FALSE))*POWER(1-(AnnualChurn*VLOOKUP(JF43,ChurnSeasonTable,4,FALSE)),2)</f>
        <v/>
      </c>
      <c r="JX43" s="12">
        <f>JX42+JT43-JT31*(AnnualChurn*VLOOKUP(JF43,ChurnSeasonTable,4,FALSE))*POWER(1-(AnnualChurn*VLOOKUP(JF43,ChurnSeasonTable,4,FALSE)),0)+JT19*(AnnualChurn*VLOOKUP(JF43,ChurnSeasonTable,4,FALSE))*POWER(1-(AnnualChurn*VLOOKUP(JF43,ChurnSeasonTable,4,FALSE)),1)+JT7*(AnnualChurn*VLOOKUP(JF43,ChurnSeasonTable,4,FALSE))*POWER(1-(AnnualChurn*VLOOKUP(JF43,ChurnSeasonTable,4,FALSE)),2)</f>
        <v/>
      </c>
      <c r="JY43" s="12">
        <f>JU43+JV43+JW43+JX43</f>
        <v/>
      </c>
      <c r="JZ43" s="9">
        <f>JU43*PriceEssMonthly*JI43+JV43*PricePremMonthly*JI43+JW43*PriceEssAnnual*JI43/12+JX43*PricePremAnnual*JI43/12</f>
        <v/>
      </c>
      <c r="KA43" s="9">
        <f>JZ43*12</f>
        <v/>
      </c>
      <c r="KB43" s="12">
        <f>JU43*PriceEssMonthly*JI43+JV43*PricePremMonthly*JI43</f>
        <v/>
      </c>
      <c r="KC43" s="12">
        <f>JS43*PriceEssAnnual*JI43+JT43*PricePremAnnual*JI43</f>
        <v/>
      </c>
      <c r="KD43" s="12">
        <f>JS31*POWER(1-(AnnualChurn*VLOOKUP(JF43,ChurnSeasonTable,4,FALSE)),1)*PriceEssAnnual*JI43+JS19*POWER(1-(AnnualChurn*VLOOKUP(JF43,ChurnSeasonTable,4,FALSE)),2)*PriceEssAnnual*JI43+JS7*POWER(1-(AnnualChurn*VLOOKUP(JF43,ChurnSeasonTable,4,FALSE)),3)*PriceEssAnnual*JI43+JT31*POWER(1-(AnnualChurn*VLOOKUP(JF43,ChurnSeasonTable,4,FALSE)),1)*PricePremAnnual*JI43+JT19*POWER(1-(AnnualChurn*VLOOKUP(JF43,ChurnSeasonTable,4,FALSE)),2)*PricePremAnnual*JI43+JT7*POWER(1-(AnnualChurn*VLOOKUP(JF43,ChurnSeasonTable,4,FALSE)),3)*PricePremAnnual*JI43</f>
        <v/>
      </c>
      <c r="KE43" s="9">
        <f>KB43+KC43+KD43</f>
        <v/>
      </c>
      <c r="KF43" s="12">
        <f>SUM(KE32:KE43)</f>
        <v/>
      </c>
      <c r="KG43" s="12">
        <f>OR(KG42,KF43&gt;=VATThreshold)</f>
        <v/>
      </c>
      <c r="KH43" s="9">
        <f>IF(KG43,KE43/(1+VATRate),KE43)</f>
        <v/>
      </c>
      <c r="KI43" s="12">
        <f>KE43-KH43</f>
        <v/>
      </c>
      <c r="KJ43" s="12">
        <f>IF(KG43=0,0,IF(JF43=1,SUMPRODUCT(--(($JG$5:$JG43=$JG43-1)*($JF$5:$JF43&gt;=10)*($JF$5:$JF43&lt;=12)),$KI$5:$KI43),IF(JF43=4,SUMPRODUCT(--(($JG$5:$JG43=$JG43)*($JF$5:$JF43&gt;=1)*($JF$5:$JF43&lt;=3)),$KI$5:$KI43),IF(JF43=7,SUMPRODUCT(--(($JG$5:$JG43=$JG43)*($JF$5:$JF43&gt;=4)*($JF$5:$JF43&lt;=6)),$KI$5:$KI43),IF(JF43=10,SUMPRODUCT(--(($JG$5:$JG43=$JG43)*($JF$5:$JF43&gt;=7)*($JF$5:$JF43&lt;=9)),$KI$5:$KI43),0)))))</f>
        <v/>
      </c>
      <c r="KK43" s="12">
        <f>KK42+KI43-KJ43</f>
        <v/>
      </c>
      <c r="KL43" s="12">
        <f>IF(ProviderDelay&gt;=1,KH42*ProviderShare,KH43*ProviderShare)</f>
        <v/>
      </c>
      <c r="KM43" s="12">
        <f>KE43*PaymentFee</f>
        <v/>
      </c>
      <c r="KN43" s="12">
        <f>JY43*OpsAI</f>
        <v/>
      </c>
      <c r="KO43" s="12">
        <f>MonthlyFixed</f>
        <v/>
      </c>
      <c r="KP43" s="12">
        <f>JM43*ReferralReward</f>
        <v/>
      </c>
      <c r="KQ43" s="12">
        <f>JK43</f>
        <v/>
      </c>
      <c r="KR43" s="9">
        <f>KH43-KL43-KM43-KN43-KO43-KP43-KQ43</f>
        <v/>
      </c>
      <c r="KS43" s="9">
        <f>KS42+KE43-(KL43+KM43+KN43+KO43+KP43+KQ43+KJ43)</f>
        <v/>
      </c>
      <c r="KT43" s="12">
        <f>IF(JY43&gt;0,JZ43/JY43,0)</f>
        <v/>
      </c>
      <c r="KU43" s="11">
        <f>IF(JY42&gt;0,MAX(0,(JY42+JN43-JY43)/JY42),0)</f>
        <v/>
      </c>
      <c r="KW43" s="12" t="n">
        <v>39</v>
      </c>
      <c r="KX43" s="12">
        <f>MOD(KW43-1+LaunchMonth-1,12)+1</f>
        <v/>
      </c>
      <c r="KY43" s="12">
        <f>INT((KW43-1+LaunchMonth-1)/12)+1</f>
        <v/>
      </c>
      <c r="KZ43" s="12">
        <f>VLOOKUP(KX43,SeasonTable,2,FALSE)</f>
        <v/>
      </c>
      <c r="LA43" s="12">
        <f>(1+InflationRate)^INT((KW43-1)/12)</f>
        <v/>
      </c>
      <c r="LB43" s="11">
        <f>'Sens - Churn'!$A$17*VLOOKUP(KX43,ChurnSeasonTable,4,FALSE)</f>
        <v/>
      </c>
      <c r="LC43" s="12">
        <f>MIN(MAX(MktMin19plus,LW42*MktPct19plus),MAX(0,MK42-CashBuffer))</f>
        <v/>
      </c>
      <c r="LD43" s="12">
        <f>IF(LC43&gt;0,MAX(1,ROUND(LC43/CAC*KZ43,0)),0)</f>
        <v/>
      </c>
      <c r="LE43" s="12">
        <f>IF(LD43&gt;0,ROUND(LD43*ReferralMix/(1-ReferralMix),0),0)</f>
        <v/>
      </c>
      <c r="LF43" s="12">
        <f>LD43+LE43</f>
        <v/>
      </c>
      <c r="LG43" s="12">
        <f>ROUND(LF43*(1-AnnualMix),0)</f>
        <v/>
      </c>
      <c r="LH43" s="12">
        <f>LF43-LG43</f>
        <v/>
      </c>
      <c r="LI43" s="12">
        <f>ROUND(LG43*EssentialMix,0)</f>
        <v/>
      </c>
      <c r="LJ43" s="12">
        <f>LG43-LI43</f>
        <v/>
      </c>
      <c r="LK43" s="12">
        <f>ROUND(LH43*EssentialMix,0)</f>
        <v/>
      </c>
      <c r="LL43" s="12">
        <f>LH43-LK43</f>
        <v/>
      </c>
      <c r="LM43" s="12">
        <f>LI43+LI42+LI41+MAX(0,LM42-LI42-LI41)*(1-LB43)</f>
        <v/>
      </c>
      <c r="LN43" s="12">
        <f>LJ43+LJ42+LJ41+MAX(0,LN42-LJ42-LJ41)*(1-LB43)</f>
        <v/>
      </c>
      <c r="LO43" s="12">
        <f>LO42+LK43-LK31*(AnnualChurn*VLOOKUP(KX43,ChurnSeasonTable,4,FALSE))*POWER(1-(AnnualChurn*VLOOKUP(KX43,ChurnSeasonTable,4,FALSE)),0)+LK19*(AnnualChurn*VLOOKUP(KX43,ChurnSeasonTable,4,FALSE))*POWER(1-(AnnualChurn*VLOOKUP(KX43,ChurnSeasonTable,4,FALSE)),1)+LK7*(AnnualChurn*VLOOKUP(KX43,ChurnSeasonTable,4,FALSE))*POWER(1-(AnnualChurn*VLOOKUP(KX43,ChurnSeasonTable,4,FALSE)),2)</f>
        <v/>
      </c>
      <c r="LP43" s="12">
        <f>LP42+LL43-LL31*(AnnualChurn*VLOOKUP(KX43,ChurnSeasonTable,4,FALSE))*POWER(1-(AnnualChurn*VLOOKUP(KX43,ChurnSeasonTable,4,FALSE)),0)+LL19*(AnnualChurn*VLOOKUP(KX43,ChurnSeasonTable,4,FALSE))*POWER(1-(AnnualChurn*VLOOKUP(KX43,ChurnSeasonTable,4,FALSE)),1)+LL7*(AnnualChurn*VLOOKUP(KX43,ChurnSeasonTable,4,FALSE))*POWER(1-(AnnualChurn*VLOOKUP(KX43,ChurnSeasonTable,4,FALSE)),2)</f>
        <v/>
      </c>
      <c r="LQ43" s="12">
        <f>LM43+LN43+LO43+LP43</f>
        <v/>
      </c>
      <c r="LR43" s="9">
        <f>LM43*PriceEssMonthly*LA43+LN43*PricePremMonthly*LA43+LO43*PriceEssAnnual*LA43/12+LP43*PricePremAnnual*LA43/12</f>
        <v/>
      </c>
      <c r="LS43" s="9">
        <f>LR43*12</f>
        <v/>
      </c>
      <c r="LT43" s="12">
        <f>LM43*PriceEssMonthly*LA43+LN43*PricePremMonthly*LA43</f>
        <v/>
      </c>
      <c r="LU43" s="12">
        <f>LK43*PriceEssAnnual*LA43+LL43*PricePremAnnual*LA43</f>
        <v/>
      </c>
      <c r="LV43" s="12">
        <f>LK31*POWER(1-(AnnualChurn*VLOOKUP(KX43,ChurnSeasonTable,4,FALSE)),1)*PriceEssAnnual*LA43+LK19*POWER(1-(AnnualChurn*VLOOKUP(KX43,ChurnSeasonTable,4,FALSE)),2)*PriceEssAnnual*LA43+LK7*POWER(1-(AnnualChurn*VLOOKUP(KX43,ChurnSeasonTable,4,FALSE)),3)*PriceEssAnnual*LA43+LL31*POWER(1-(AnnualChurn*VLOOKUP(KX43,ChurnSeasonTable,4,FALSE)),1)*PricePremAnnual*LA43+LL19*POWER(1-(AnnualChurn*VLOOKUP(KX43,ChurnSeasonTable,4,FALSE)),2)*PricePremAnnual*LA43+LL7*POWER(1-(AnnualChurn*VLOOKUP(KX43,ChurnSeasonTable,4,FALSE)),3)*PricePremAnnual*LA43</f>
        <v/>
      </c>
      <c r="LW43" s="9">
        <f>LT43+LU43+LV43</f>
        <v/>
      </c>
      <c r="LX43" s="12">
        <f>SUM(LW32:LW43)</f>
        <v/>
      </c>
      <c r="LY43" s="12">
        <f>OR(LY42,LX43&gt;=VATThreshold)</f>
        <v/>
      </c>
      <c r="LZ43" s="9">
        <f>IF(LY43,LW43/(1+VATRate),LW43)</f>
        <v/>
      </c>
      <c r="MA43" s="12">
        <f>LW43-LZ43</f>
        <v/>
      </c>
      <c r="MB43" s="12">
        <f>IF(LY43=0,0,IF(KX43=1,SUMPRODUCT(--(($KY$5:$KY43=$KY43-1)*($KX$5:$KX43&gt;=10)*($KX$5:$KX43&lt;=12)),$MA$5:$MA43),IF(KX43=4,SUMPRODUCT(--(($KY$5:$KY43=$KY43)*($KX$5:$KX43&gt;=1)*($KX$5:$KX43&lt;=3)),$MA$5:$MA43),IF(KX43=7,SUMPRODUCT(--(($KY$5:$KY43=$KY43)*($KX$5:$KX43&gt;=4)*($KX$5:$KX43&lt;=6)),$MA$5:$MA43),IF(KX43=10,SUMPRODUCT(--(($KY$5:$KY43=$KY43)*($KX$5:$KX43&gt;=7)*($KX$5:$KX43&lt;=9)),$MA$5:$MA43),0)))))</f>
        <v/>
      </c>
      <c r="MC43" s="12">
        <f>MC42+MA43-MB43</f>
        <v/>
      </c>
      <c r="MD43" s="12">
        <f>IF(ProviderDelay&gt;=1,LZ42*ProviderShare,LZ43*ProviderShare)</f>
        <v/>
      </c>
      <c r="ME43" s="12">
        <f>LW43*PaymentFee</f>
        <v/>
      </c>
      <c r="MF43" s="12">
        <f>LQ43*OpsAI</f>
        <v/>
      </c>
      <c r="MG43" s="12">
        <f>MonthlyFixed</f>
        <v/>
      </c>
      <c r="MH43" s="12">
        <f>LE43*ReferralReward</f>
        <v/>
      </c>
      <c r="MI43" s="12">
        <f>LC43</f>
        <v/>
      </c>
      <c r="MJ43" s="9">
        <f>LZ43-MD43-ME43-MF43-MG43-MH43-MI43</f>
        <v/>
      </c>
      <c r="MK43" s="9">
        <f>MK42+LW43-(MD43+ME43+MF43+MG43+MH43+MI43+MB43)</f>
        <v/>
      </c>
      <c r="ML43" s="12">
        <f>IF(LQ43&gt;0,LR43/LQ43,0)</f>
        <v/>
      </c>
      <c r="MM43" s="11">
        <f>IF(LQ42&gt;0,MAX(0,(LQ42+LF43-LQ43)/LQ42),0)</f>
        <v/>
      </c>
      <c r="MO43" s="12" t="n">
        <v>39</v>
      </c>
      <c r="MP43" s="12">
        <f>MOD(MO43-1+LaunchMonth-1,12)+1</f>
        <v/>
      </c>
      <c r="MQ43" s="12">
        <f>INT((MO43-1+LaunchMonth-1)/12)+1</f>
        <v/>
      </c>
      <c r="MR43" s="12">
        <f>VLOOKUP(MP43,SeasonTable,2,FALSE)</f>
        <v/>
      </c>
      <c r="MS43" s="12">
        <f>(1+InflationRate)^INT((MO43-1)/12)</f>
        <v/>
      </c>
      <c r="MT43" s="11">
        <f>'Sens - Churn'!$A$18*VLOOKUP(MP43,ChurnSeasonTable,4,FALSE)</f>
        <v/>
      </c>
      <c r="MU43" s="12">
        <f>MIN(MAX(MktMin19plus,NO42*MktPct19plus),MAX(0,OC42-CashBuffer))</f>
        <v/>
      </c>
      <c r="MV43" s="12">
        <f>IF(MU43&gt;0,MAX(1,ROUND(MU43/CAC*MR43,0)),0)</f>
        <v/>
      </c>
      <c r="MW43" s="12">
        <f>IF(MV43&gt;0,ROUND(MV43*ReferralMix/(1-ReferralMix),0),0)</f>
        <v/>
      </c>
      <c r="MX43" s="12">
        <f>MV43+MW43</f>
        <v/>
      </c>
      <c r="MY43" s="12">
        <f>ROUND(MX43*(1-AnnualMix),0)</f>
        <v/>
      </c>
      <c r="MZ43" s="12">
        <f>MX43-MY43</f>
        <v/>
      </c>
      <c r="NA43" s="12">
        <f>ROUND(MY43*EssentialMix,0)</f>
        <v/>
      </c>
      <c r="NB43" s="12">
        <f>MY43-NA43</f>
        <v/>
      </c>
      <c r="NC43" s="12">
        <f>ROUND(MZ43*EssentialMix,0)</f>
        <v/>
      </c>
      <c r="ND43" s="12">
        <f>MZ43-NC43</f>
        <v/>
      </c>
      <c r="NE43" s="12">
        <f>NA43+NA42+NA41+MAX(0,NE42-NA42-NA41)*(1-MT43)</f>
        <v/>
      </c>
      <c r="NF43" s="12">
        <f>NB43+NB42+NB41+MAX(0,NF42-NB42-NB41)*(1-MT43)</f>
        <v/>
      </c>
      <c r="NG43" s="12">
        <f>NG42+NC43-NC31*(AnnualChurn*VLOOKUP(MP43,ChurnSeasonTable,4,FALSE))*POWER(1-(AnnualChurn*VLOOKUP(MP43,ChurnSeasonTable,4,FALSE)),0)+NC19*(AnnualChurn*VLOOKUP(MP43,ChurnSeasonTable,4,FALSE))*POWER(1-(AnnualChurn*VLOOKUP(MP43,ChurnSeasonTable,4,FALSE)),1)+NC7*(AnnualChurn*VLOOKUP(MP43,ChurnSeasonTable,4,FALSE))*POWER(1-(AnnualChurn*VLOOKUP(MP43,ChurnSeasonTable,4,FALSE)),2)</f>
        <v/>
      </c>
      <c r="NH43" s="12">
        <f>NH42+ND43-ND31*(AnnualChurn*VLOOKUP(MP43,ChurnSeasonTable,4,FALSE))*POWER(1-(AnnualChurn*VLOOKUP(MP43,ChurnSeasonTable,4,FALSE)),0)+ND19*(AnnualChurn*VLOOKUP(MP43,ChurnSeasonTable,4,FALSE))*POWER(1-(AnnualChurn*VLOOKUP(MP43,ChurnSeasonTable,4,FALSE)),1)+ND7*(AnnualChurn*VLOOKUP(MP43,ChurnSeasonTable,4,FALSE))*POWER(1-(AnnualChurn*VLOOKUP(MP43,ChurnSeasonTable,4,FALSE)),2)</f>
        <v/>
      </c>
      <c r="NI43" s="12">
        <f>NE43+NF43+NG43+NH43</f>
        <v/>
      </c>
      <c r="NJ43" s="9">
        <f>NE43*PriceEssMonthly*MS43+NF43*PricePremMonthly*MS43+NG43*PriceEssAnnual*MS43/12+NH43*PricePremAnnual*MS43/12</f>
        <v/>
      </c>
      <c r="NK43" s="9">
        <f>NJ43*12</f>
        <v/>
      </c>
      <c r="NL43" s="12">
        <f>NE43*PriceEssMonthly*MS43+NF43*PricePremMonthly*MS43</f>
        <v/>
      </c>
      <c r="NM43" s="12">
        <f>NC43*PriceEssAnnual*MS43+ND43*PricePremAnnual*MS43</f>
        <v/>
      </c>
      <c r="NN43" s="12">
        <f>NC31*POWER(1-(AnnualChurn*VLOOKUP(MP43,ChurnSeasonTable,4,FALSE)),1)*PriceEssAnnual*MS43+NC19*POWER(1-(AnnualChurn*VLOOKUP(MP43,ChurnSeasonTable,4,FALSE)),2)*PriceEssAnnual*MS43+NC7*POWER(1-(AnnualChurn*VLOOKUP(MP43,ChurnSeasonTable,4,FALSE)),3)*PriceEssAnnual*MS43+ND31*POWER(1-(AnnualChurn*VLOOKUP(MP43,ChurnSeasonTable,4,FALSE)),1)*PricePremAnnual*MS43+ND19*POWER(1-(AnnualChurn*VLOOKUP(MP43,ChurnSeasonTable,4,FALSE)),2)*PricePremAnnual*MS43+ND7*POWER(1-(AnnualChurn*VLOOKUP(MP43,ChurnSeasonTable,4,FALSE)),3)*PricePremAnnual*MS43</f>
        <v/>
      </c>
      <c r="NO43" s="9">
        <f>NL43+NM43+NN43</f>
        <v/>
      </c>
      <c r="NP43" s="12">
        <f>SUM(NO32:NO43)</f>
        <v/>
      </c>
      <c r="NQ43" s="12">
        <f>OR(NQ42,NP43&gt;=VATThreshold)</f>
        <v/>
      </c>
      <c r="NR43" s="9">
        <f>IF(NQ43,NO43/(1+VATRate),NO43)</f>
        <v/>
      </c>
      <c r="NS43" s="12">
        <f>NO43-NR43</f>
        <v/>
      </c>
      <c r="NT43" s="12">
        <f>IF(NQ43=0,0,IF(MP43=1,SUMPRODUCT(--(($MQ$5:$MQ43=$MQ43-1)*($MP$5:$MP43&gt;=10)*($MP$5:$MP43&lt;=12)),$NS$5:$NS43),IF(MP43=4,SUMPRODUCT(--(($MQ$5:$MQ43=$MQ43)*($MP$5:$MP43&gt;=1)*($MP$5:$MP43&lt;=3)),$NS$5:$NS43),IF(MP43=7,SUMPRODUCT(--(($MQ$5:$MQ43=$MQ43)*($MP$5:$MP43&gt;=4)*($MP$5:$MP43&lt;=6)),$NS$5:$NS43),IF(MP43=10,SUMPRODUCT(--(($MQ$5:$MQ43=$MQ43)*($MP$5:$MP43&gt;=7)*($MP$5:$MP43&lt;=9)),$NS$5:$NS43),0)))))</f>
        <v/>
      </c>
      <c r="NU43" s="12">
        <f>NU42+NS43-NT43</f>
        <v/>
      </c>
      <c r="NV43" s="12">
        <f>IF(ProviderDelay&gt;=1,NR42*ProviderShare,NR43*ProviderShare)</f>
        <v/>
      </c>
      <c r="NW43" s="12">
        <f>NO43*PaymentFee</f>
        <v/>
      </c>
      <c r="NX43" s="12">
        <f>NI43*OpsAI</f>
        <v/>
      </c>
      <c r="NY43" s="12">
        <f>MonthlyFixed</f>
        <v/>
      </c>
      <c r="NZ43" s="12">
        <f>MW43*ReferralReward</f>
        <v/>
      </c>
      <c r="OA43" s="12">
        <f>MU43</f>
        <v/>
      </c>
      <c r="OB43" s="9">
        <f>NR43-NV43-NW43-NX43-NY43-NZ43-OA43</f>
        <v/>
      </c>
      <c r="OC43" s="9">
        <f>OC42+NO43-(NV43+NW43+NX43+NY43+NZ43+OA43+NT43)</f>
        <v/>
      </c>
      <c r="OD43" s="12">
        <f>IF(NI43&gt;0,NJ43/NI43,0)</f>
        <v/>
      </c>
      <c r="OE43" s="11">
        <f>IF(NI42&gt;0,MAX(0,(NI42+MX43-NI43)/NI42),0)</f>
        <v/>
      </c>
      <c r="OG43" s="12" t="n">
        <v>39</v>
      </c>
      <c r="OH43" s="12">
        <f>MOD(OG43-1+LaunchMonth-1,12)+1</f>
        <v/>
      </c>
      <c r="OI43" s="12">
        <f>INT((OG43-1+LaunchMonth-1)/12)+1</f>
        <v/>
      </c>
      <c r="OJ43" s="12">
        <f>VLOOKUP(OH43,SeasonTable,2,FALSE)</f>
        <v/>
      </c>
      <c r="OK43" s="12">
        <f>(1+InflationRate)^INT((OG43-1)/12)</f>
        <v/>
      </c>
      <c r="OL43" s="11">
        <f>'Sens - Churn'!$A$19*VLOOKUP(OH43,ChurnSeasonTable,4,FALSE)</f>
        <v/>
      </c>
      <c r="OM43" s="12">
        <f>MIN(MAX(MktMin19plus,PG42*MktPct19plus),MAX(0,PU42-CashBuffer))</f>
        <v/>
      </c>
      <c r="ON43" s="12">
        <f>IF(OM43&gt;0,MAX(1,ROUND(OM43/CAC*OJ43,0)),0)</f>
        <v/>
      </c>
      <c r="OO43" s="12">
        <f>IF(ON43&gt;0,ROUND(ON43*ReferralMix/(1-ReferralMix),0),0)</f>
        <v/>
      </c>
      <c r="OP43" s="12">
        <f>ON43+OO43</f>
        <v/>
      </c>
      <c r="OQ43" s="12">
        <f>ROUND(OP43*(1-AnnualMix),0)</f>
        <v/>
      </c>
      <c r="OR43" s="12">
        <f>OP43-OQ43</f>
        <v/>
      </c>
      <c r="OS43" s="12">
        <f>ROUND(OQ43*EssentialMix,0)</f>
        <v/>
      </c>
      <c r="OT43" s="12">
        <f>OQ43-OS43</f>
        <v/>
      </c>
      <c r="OU43" s="12">
        <f>ROUND(OR43*EssentialMix,0)</f>
        <v/>
      </c>
      <c r="OV43" s="12">
        <f>OR43-OU43</f>
        <v/>
      </c>
      <c r="OW43" s="12">
        <f>OS43+OS42+OS41+MAX(0,OW42-OS42-OS41)*(1-OL43)</f>
        <v/>
      </c>
      <c r="OX43" s="12">
        <f>OT43+OT42+OT41+MAX(0,OX42-OT42-OT41)*(1-OL43)</f>
        <v/>
      </c>
      <c r="OY43" s="12">
        <f>OY42+OU43-OU31*(AnnualChurn*VLOOKUP(OH43,ChurnSeasonTable,4,FALSE))*POWER(1-(AnnualChurn*VLOOKUP(OH43,ChurnSeasonTable,4,FALSE)),0)+OU19*(AnnualChurn*VLOOKUP(OH43,ChurnSeasonTable,4,FALSE))*POWER(1-(AnnualChurn*VLOOKUP(OH43,ChurnSeasonTable,4,FALSE)),1)+OU7*(AnnualChurn*VLOOKUP(OH43,ChurnSeasonTable,4,FALSE))*POWER(1-(AnnualChurn*VLOOKUP(OH43,ChurnSeasonTable,4,FALSE)),2)</f>
        <v/>
      </c>
      <c r="OZ43" s="12">
        <f>OZ42+OV43-OV31*(AnnualChurn*VLOOKUP(OH43,ChurnSeasonTable,4,FALSE))*POWER(1-(AnnualChurn*VLOOKUP(OH43,ChurnSeasonTable,4,FALSE)),0)+OV19*(AnnualChurn*VLOOKUP(OH43,ChurnSeasonTable,4,FALSE))*POWER(1-(AnnualChurn*VLOOKUP(OH43,ChurnSeasonTable,4,FALSE)),1)+OV7*(AnnualChurn*VLOOKUP(OH43,ChurnSeasonTable,4,FALSE))*POWER(1-(AnnualChurn*VLOOKUP(OH43,ChurnSeasonTable,4,FALSE)),2)</f>
        <v/>
      </c>
      <c r="PA43" s="12">
        <f>OW43+OX43+OY43+OZ43</f>
        <v/>
      </c>
      <c r="PB43" s="9">
        <f>OW43*PriceEssMonthly*OK43+OX43*PricePremMonthly*OK43+OY43*PriceEssAnnual*OK43/12+OZ43*PricePremAnnual*OK43/12</f>
        <v/>
      </c>
      <c r="PC43" s="9">
        <f>PB43*12</f>
        <v/>
      </c>
      <c r="PD43" s="12">
        <f>OW43*PriceEssMonthly*OK43+OX43*PricePremMonthly*OK43</f>
        <v/>
      </c>
      <c r="PE43" s="12">
        <f>OU43*PriceEssAnnual*OK43+OV43*PricePremAnnual*OK43</f>
        <v/>
      </c>
      <c r="PF43" s="12">
        <f>OU31*POWER(1-(AnnualChurn*VLOOKUP(OH43,ChurnSeasonTable,4,FALSE)),1)*PriceEssAnnual*OK43+OU19*POWER(1-(AnnualChurn*VLOOKUP(OH43,ChurnSeasonTable,4,FALSE)),2)*PriceEssAnnual*OK43+OU7*POWER(1-(AnnualChurn*VLOOKUP(OH43,ChurnSeasonTable,4,FALSE)),3)*PriceEssAnnual*OK43+OV31*POWER(1-(AnnualChurn*VLOOKUP(OH43,ChurnSeasonTable,4,FALSE)),1)*PricePremAnnual*OK43+OV19*POWER(1-(AnnualChurn*VLOOKUP(OH43,ChurnSeasonTable,4,FALSE)),2)*PricePremAnnual*OK43+OV7*POWER(1-(AnnualChurn*VLOOKUP(OH43,ChurnSeasonTable,4,FALSE)),3)*PricePremAnnual*OK43</f>
        <v/>
      </c>
      <c r="PG43" s="9">
        <f>PD43+PE43+PF43</f>
        <v/>
      </c>
      <c r="PH43" s="12">
        <f>SUM(PG32:PG43)</f>
        <v/>
      </c>
      <c r="PI43" s="12">
        <f>OR(PI42,PH43&gt;=VATThreshold)</f>
        <v/>
      </c>
      <c r="PJ43" s="9">
        <f>IF(PI43,PG43/(1+VATRate),PG43)</f>
        <v/>
      </c>
      <c r="PK43" s="12">
        <f>PG43-PJ43</f>
        <v/>
      </c>
      <c r="PL43" s="12">
        <f>IF(PI43=0,0,IF(OH43=1,SUMPRODUCT(--(($OI$5:$OI43=$OI43-1)*($OH$5:$OH43&gt;=10)*($OH$5:$OH43&lt;=12)),$PK$5:$PK43),IF(OH43=4,SUMPRODUCT(--(($OI$5:$OI43=$OI43)*($OH$5:$OH43&gt;=1)*($OH$5:$OH43&lt;=3)),$PK$5:$PK43),IF(OH43=7,SUMPRODUCT(--(($OI$5:$OI43=$OI43)*($OH$5:$OH43&gt;=4)*($OH$5:$OH43&lt;=6)),$PK$5:$PK43),IF(OH43=10,SUMPRODUCT(--(($OI$5:$OI43=$OI43)*($OH$5:$OH43&gt;=7)*($OH$5:$OH43&lt;=9)),$PK$5:$PK43),0)))))</f>
        <v/>
      </c>
      <c r="PM43" s="12">
        <f>PM42+PK43-PL43</f>
        <v/>
      </c>
      <c r="PN43" s="12">
        <f>IF(ProviderDelay&gt;=1,PJ42*ProviderShare,PJ43*ProviderShare)</f>
        <v/>
      </c>
      <c r="PO43" s="12">
        <f>PG43*PaymentFee</f>
        <v/>
      </c>
      <c r="PP43" s="12">
        <f>PA43*OpsAI</f>
        <v/>
      </c>
      <c r="PQ43" s="12">
        <f>MonthlyFixed</f>
        <v/>
      </c>
      <c r="PR43" s="12">
        <f>OO43*ReferralReward</f>
        <v/>
      </c>
      <c r="PS43" s="12">
        <f>OM43</f>
        <v/>
      </c>
      <c r="PT43" s="9">
        <f>PJ43-PN43-PO43-PP43-PQ43-PR43-PS43</f>
        <v/>
      </c>
      <c r="PU43" s="9">
        <f>PU42+PG43-(PN43+PO43+PP43+PQ43+PR43+PS43+PL43)</f>
        <v/>
      </c>
      <c r="PV43" s="12">
        <f>IF(PA43&gt;0,PB43/PA43,0)</f>
        <v/>
      </c>
      <c r="PW43" s="11">
        <f>IF(PA42&gt;0,MAX(0,(PA42+OP43-PA43)/PA42),0)</f>
        <v/>
      </c>
      <c r="PY43" s="12" t="n">
        <v>39</v>
      </c>
      <c r="PZ43" s="12">
        <f>MOD(PY43-1+LaunchMonth-1,12)+1</f>
        <v/>
      </c>
      <c r="QA43" s="12">
        <f>INT((PY43-1+LaunchMonth-1)/12)+1</f>
        <v/>
      </c>
      <c r="QB43" s="12">
        <f>VLOOKUP(PZ43,SeasonTable,2,FALSE)</f>
        <v/>
      </c>
      <c r="QC43" s="12">
        <f>(1+InflationRate)^INT((PY43-1)/12)</f>
        <v/>
      </c>
      <c r="QD43" s="11">
        <f>'Sens - Churn'!$A$20*VLOOKUP(PZ43,ChurnSeasonTable,4,FALSE)</f>
        <v/>
      </c>
      <c r="QE43" s="12">
        <f>MIN(MAX(MktMin19plus,QY42*MktPct19plus),MAX(0,RM42-CashBuffer))</f>
        <v/>
      </c>
      <c r="QF43" s="12">
        <f>IF(QE43&gt;0,MAX(1,ROUND(QE43/CAC*QB43,0)),0)</f>
        <v/>
      </c>
      <c r="QG43" s="12">
        <f>IF(QF43&gt;0,ROUND(QF43*ReferralMix/(1-ReferralMix),0),0)</f>
        <v/>
      </c>
      <c r="QH43" s="12">
        <f>QF43+QG43</f>
        <v/>
      </c>
      <c r="QI43" s="12">
        <f>ROUND(QH43*(1-AnnualMix),0)</f>
        <v/>
      </c>
      <c r="QJ43" s="12">
        <f>QH43-QI43</f>
        <v/>
      </c>
      <c r="QK43" s="12">
        <f>ROUND(QI43*EssentialMix,0)</f>
        <v/>
      </c>
      <c r="QL43" s="12">
        <f>QI43-QK43</f>
        <v/>
      </c>
      <c r="QM43" s="12">
        <f>ROUND(QJ43*EssentialMix,0)</f>
        <v/>
      </c>
      <c r="QN43" s="12">
        <f>QJ43-QM43</f>
        <v/>
      </c>
      <c r="QO43" s="12">
        <f>QK43+QK42+QK41+MAX(0,QO42-QK42-QK41)*(1-QD43)</f>
        <v/>
      </c>
      <c r="QP43" s="12">
        <f>QL43+QL42+QL41+MAX(0,QP42-QL42-QL41)*(1-QD43)</f>
        <v/>
      </c>
      <c r="QQ43" s="12">
        <f>QQ42+QM43-QM31*(AnnualChurn*VLOOKUP(PZ43,ChurnSeasonTable,4,FALSE))*POWER(1-(AnnualChurn*VLOOKUP(PZ43,ChurnSeasonTable,4,FALSE)),0)+QM19*(AnnualChurn*VLOOKUP(PZ43,ChurnSeasonTable,4,FALSE))*POWER(1-(AnnualChurn*VLOOKUP(PZ43,ChurnSeasonTable,4,FALSE)),1)+QM7*(AnnualChurn*VLOOKUP(PZ43,ChurnSeasonTable,4,FALSE))*POWER(1-(AnnualChurn*VLOOKUP(PZ43,ChurnSeasonTable,4,FALSE)),2)</f>
        <v/>
      </c>
      <c r="QR43" s="12">
        <f>QR42+QN43-QN31*(AnnualChurn*VLOOKUP(PZ43,ChurnSeasonTable,4,FALSE))*POWER(1-(AnnualChurn*VLOOKUP(PZ43,ChurnSeasonTable,4,FALSE)),0)+QN19*(AnnualChurn*VLOOKUP(PZ43,ChurnSeasonTable,4,FALSE))*POWER(1-(AnnualChurn*VLOOKUP(PZ43,ChurnSeasonTable,4,FALSE)),1)+QN7*(AnnualChurn*VLOOKUP(PZ43,ChurnSeasonTable,4,FALSE))*POWER(1-(AnnualChurn*VLOOKUP(PZ43,ChurnSeasonTable,4,FALSE)),2)</f>
        <v/>
      </c>
      <c r="QS43" s="12">
        <f>QO43+QP43+QQ43+QR43</f>
        <v/>
      </c>
      <c r="QT43" s="9">
        <f>QO43*PriceEssMonthly*QC43+QP43*PricePremMonthly*QC43+QQ43*PriceEssAnnual*QC43/12+QR43*PricePremAnnual*QC43/12</f>
        <v/>
      </c>
      <c r="QU43" s="9">
        <f>QT43*12</f>
        <v/>
      </c>
      <c r="QV43" s="12">
        <f>QO43*PriceEssMonthly*QC43+QP43*PricePremMonthly*QC43</f>
        <v/>
      </c>
      <c r="QW43" s="12">
        <f>QM43*PriceEssAnnual*QC43+QN43*PricePremAnnual*QC43</f>
        <v/>
      </c>
      <c r="QX43" s="12">
        <f>QM31*POWER(1-(AnnualChurn*VLOOKUP(PZ43,ChurnSeasonTable,4,FALSE)),1)*PriceEssAnnual*QC43+QM19*POWER(1-(AnnualChurn*VLOOKUP(PZ43,ChurnSeasonTable,4,FALSE)),2)*PriceEssAnnual*QC43+QM7*POWER(1-(AnnualChurn*VLOOKUP(PZ43,ChurnSeasonTable,4,FALSE)),3)*PriceEssAnnual*QC43+QN31*POWER(1-(AnnualChurn*VLOOKUP(PZ43,ChurnSeasonTable,4,FALSE)),1)*PricePremAnnual*QC43+QN19*POWER(1-(AnnualChurn*VLOOKUP(PZ43,ChurnSeasonTable,4,FALSE)),2)*PricePremAnnual*QC43+QN7*POWER(1-(AnnualChurn*VLOOKUP(PZ43,ChurnSeasonTable,4,FALSE)),3)*PricePremAnnual*QC43</f>
        <v/>
      </c>
      <c r="QY43" s="9">
        <f>QV43+QW43+QX43</f>
        <v/>
      </c>
      <c r="QZ43" s="12">
        <f>SUM(QY32:QY43)</f>
        <v/>
      </c>
      <c r="RA43" s="12">
        <f>OR(RA42,QZ43&gt;=VATThreshold)</f>
        <v/>
      </c>
      <c r="RB43" s="9">
        <f>IF(RA43,QY43/(1+VATRate),QY43)</f>
        <v/>
      </c>
      <c r="RC43" s="12">
        <f>QY43-RB43</f>
        <v/>
      </c>
      <c r="RD43" s="12">
        <f>IF(RA43=0,0,IF(PZ43=1,SUMPRODUCT(--(($QA$5:$QA43=$QA43-1)*($PZ$5:$PZ43&gt;=10)*($PZ$5:$PZ43&lt;=12)),$RC$5:$RC43),IF(PZ43=4,SUMPRODUCT(--(($QA$5:$QA43=$QA43)*($PZ$5:$PZ43&gt;=1)*($PZ$5:$PZ43&lt;=3)),$RC$5:$RC43),IF(PZ43=7,SUMPRODUCT(--(($QA$5:$QA43=$QA43)*($PZ$5:$PZ43&gt;=4)*($PZ$5:$PZ43&lt;=6)),$RC$5:$RC43),IF(PZ43=10,SUMPRODUCT(--(($QA$5:$QA43=$QA43)*($PZ$5:$PZ43&gt;=7)*($PZ$5:$PZ43&lt;=9)),$RC$5:$RC43),0)))))</f>
        <v/>
      </c>
      <c r="RE43" s="12">
        <f>RE42+RC43-RD43</f>
        <v/>
      </c>
      <c r="RF43" s="12">
        <f>IF(ProviderDelay&gt;=1,RB42*ProviderShare,RB43*ProviderShare)</f>
        <v/>
      </c>
      <c r="RG43" s="12">
        <f>QY43*PaymentFee</f>
        <v/>
      </c>
      <c r="RH43" s="12">
        <f>QS43*OpsAI</f>
        <v/>
      </c>
      <c r="RI43" s="12">
        <f>MonthlyFixed</f>
        <v/>
      </c>
      <c r="RJ43" s="12">
        <f>QG43*ReferralReward</f>
        <v/>
      </c>
      <c r="RK43" s="12">
        <f>QE43</f>
        <v/>
      </c>
      <c r="RL43" s="9">
        <f>RB43-RF43-RG43-RH43-RI43-RJ43-RK43</f>
        <v/>
      </c>
      <c r="RM43" s="9">
        <f>RM42+QY43-(RF43+RG43+RH43+RI43+RJ43+RK43+RD43)</f>
        <v/>
      </c>
      <c r="RN43" s="12">
        <f>IF(QS43&gt;0,QT43/QS43,0)</f>
        <v/>
      </c>
      <c r="RO43" s="11">
        <f>IF(QS42&gt;0,MAX(0,(QS42+QH43-QS43)/QS42),0)</f>
        <v/>
      </c>
      <c r="RQ43" s="12" t="n">
        <v>39</v>
      </c>
      <c r="RR43" s="12">
        <f>MOD(RQ43-1+LaunchMonth-1,12)+1</f>
        <v/>
      </c>
      <c r="RS43" s="12">
        <f>INT((RQ43-1+LaunchMonth-1)/12)+1</f>
        <v/>
      </c>
      <c r="RT43" s="12">
        <f>VLOOKUP(RR43,SeasonTable,2,FALSE)</f>
        <v/>
      </c>
      <c r="RU43" s="12">
        <f>(1+InflationRate)^INT((RQ43-1)/12)</f>
        <v/>
      </c>
      <c r="RV43" s="11">
        <f>'Sens - Churn'!$A$21*VLOOKUP(RR43,ChurnSeasonTable,4,FALSE)</f>
        <v/>
      </c>
      <c r="RW43" s="12">
        <f>MIN(MAX(MktMin19plus,SQ42*MktPct19plus),MAX(0,TE42-CashBuffer))</f>
        <v/>
      </c>
      <c r="RX43" s="12">
        <f>IF(RW43&gt;0,MAX(1,ROUND(RW43/CAC*RT43,0)),0)</f>
        <v/>
      </c>
      <c r="RY43" s="12">
        <f>IF(RX43&gt;0,ROUND(RX43*ReferralMix/(1-ReferralMix),0),0)</f>
        <v/>
      </c>
      <c r="RZ43" s="12">
        <f>RX43+RY43</f>
        <v/>
      </c>
      <c r="SA43" s="12">
        <f>ROUND(RZ43*(1-AnnualMix),0)</f>
        <v/>
      </c>
      <c r="SB43" s="12">
        <f>RZ43-SA43</f>
        <v/>
      </c>
      <c r="SC43" s="12">
        <f>ROUND(SA43*EssentialMix,0)</f>
        <v/>
      </c>
      <c r="SD43" s="12">
        <f>SA43-SC43</f>
        <v/>
      </c>
      <c r="SE43" s="12">
        <f>ROUND(SB43*EssentialMix,0)</f>
        <v/>
      </c>
      <c r="SF43" s="12">
        <f>SB43-SE43</f>
        <v/>
      </c>
      <c r="SG43" s="12">
        <f>SC43+SC42+SC41+MAX(0,SG42-SC42-SC41)*(1-RV43)</f>
        <v/>
      </c>
      <c r="SH43" s="12">
        <f>SD43+SD42+SD41+MAX(0,SH42-SD42-SD41)*(1-RV43)</f>
        <v/>
      </c>
      <c r="SI43" s="12">
        <f>SI42+SE43-SE31*(AnnualChurn*VLOOKUP(RR43,ChurnSeasonTable,4,FALSE))*POWER(1-(AnnualChurn*VLOOKUP(RR43,ChurnSeasonTable,4,FALSE)),0)+SE19*(AnnualChurn*VLOOKUP(RR43,ChurnSeasonTable,4,FALSE))*POWER(1-(AnnualChurn*VLOOKUP(RR43,ChurnSeasonTable,4,FALSE)),1)+SE7*(AnnualChurn*VLOOKUP(RR43,ChurnSeasonTable,4,FALSE))*POWER(1-(AnnualChurn*VLOOKUP(RR43,ChurnSeasonTable,4,FALSE)),2)</f>
        <v/>
      </c>
      <c r="SJ43" s="12">
        <f>SJ42+SF43-SF31*(AnnualChurn*VLOOKUP(RR43,ChurnSeasonTable,4,FALSE))*POWER(1-(AnnualChurn*VLOOKUP(RR43,ChurnSeasonTable,4,FALSE)),0)+SF19*(AnnualChurn*VLOOKUP(RR43,ChurnSeasonTable,4,FALSE))*POWER(1-(AnnualChurn*VLOOKUP(RR43,ChurnSeasonTable,4,FALSE)),1)+SF7*(AnnualChurn*VLOOKUP(RR43,ChurnSeasonTable,4,FALSE))*POWER(1-(AnnualChurn*VLOOKUP(RR43,ChurnSeasonTable,4,FALSE)),2)</f>
        <v/>
      </c>
      <c r="SK43" s="12">
        <f>SG43+SH43+SI43+SJ43</f>
        <v/>
      </c>
      <c r="SL43" s="9">
        <f>SG43*PriceEssMonthly*RU43+SH43*PricePremMonthly*RU43+SI43*PriceEssAnnual*RU43/12+SJ43*PricePremAnnual*RU43/12</f>
        <v/>
      </c>
      <c r="SM43" s="9">
        <f>SL43*12</f>
        <v/>
      </c>
      <c r="SN43" s="12">
        <f>SG43*PriceEssMonthly*RU43+SH43*PricePremMonthly*RU43</f>
        <v/>
      </c>
      <c r="SO43" s="12">
        <f>SE43*PriceEssAnnual*RU43+SF43*PricePremAnnual*RU43</f>
        <v/>
      </c>
      <c r="SP43" s="12">
        <f>SE31*POWER(1-(AnnualChurn*VLOOKUP(RR43,ChurnSeasonTable,4,FALSE)),1)*PriceEssAnnual*RU43+SE19*POWER(1-(AnnualChurn*VLOOKUP(RR43,ChurnSeasonTable,4,FALSE)),2)*PriceEssAnnual*RU43+SE7*POWER(1-(AnnualChurn*VLOOKUP(RR43,ChurnSeasonTable,4,FALSE)),3)*PriceEssAnnual*RU43+SF31*POWER(1-(AnnualChurn*VLOOKUP(RR43,ChurnSeasonTable,4,FALSE)),1)*PricePremAnnual*RU43+SF19*POWER(1-(AnnualChurn*VLOOKUP(RR43,ChurnSeasonTable,4,FALSE)),2)*PricePremAnnual*RU43+SF7*POWER(1-(AnnualChurn*VLOOKUP(RR43,ChurnSeasonTable,4,FALSE)),3)*PricePremAnnual*RU43</f>
        <v/>
      </c>
      <c r="SQ43" s="9">
        <f>SN43+SO43+SP43</f>
        <v/>
      </c>
      <c r="SR43" s="12">
        <f>SUM(SQ32:SQ43)</f>
        <v/>
      </c>
      <c r="SS43" s="12">
        <f>OR(SS42,SR43&gt;=VATThreshold)</f>
        <v/>
      </c>
      <c r="ST43" s="9">
        <f>IF(SS43,SQ43/(1+VATRate),SQ43)</f>
        <v/>
      </c>
      <c r="SU43" s="12">
        <f>SQ43-ST43</f>
        <v/>
      </c>
      <c r="SV43" s="12">
        <f>IF(SS43=0,0,IF(RR43=1,SUMPRODUCT(--(($RS$5:$RS43=$RS43-1)*($RR$5:$RR43&gt;=10)*($RR$5:$RR43&lt;=12)),$SU$5:$SU43),IF(RR43=4,SUMPRODUCT(--(($RS$5:$RS43=$RS43)*($RR$5:$RR43&gt;=1)*($RR$5:$RR43&lt;=3)),$SU$5:$SU43),IF(RR43=7,SUMPRODUCT(--(($RS$5:$RS43=$RS43)*($RR$5:$RR43&gt;=4)*($RR$5:$RR43&lt;=6)),$SU$5:$SU43),IF(RR43=10,SUMPRODUCT(--(($RS$5:$RS43=$RS43)*($RR$5:$RR43&gt;=7)*($RR$5:$RR43&lt;=9)),$SU$5:$SU43),0)))))</f>
        <v/>
      </c>
      <c r="SW43" s="12">
        <f>SW42+SU43-SV43</f>
        <v/>
      </c>
      <c r="SX43" s="12">
        <f>IF(ProviderDelay&gt;=1,ST42*ProviderShare,ST43*ProviderShare)</f>
        <v/>
      </c>
      <c r="SY43" s="12">
        <f>SQ43*PaymentFee</f>
        <v/>
      </c>
      <c r="SZ43" s="12">
        <f>SK43*OpsAI</f>
        <v/>
      </c>
      <c r="TA43" s="12">
        <f>MonthlyFixed</f>
        <v/>
      </c>
      <c r="TB43" s="12">
        <f>RY43*ReferralReward</f>
        <v/>
      </c>
      <c r="TC43" s="12">
        <f>RW43</f>
        <v/>
      </c>
      <c r="TD43" s="9">
        <f>ST43-SX43-SY43-SZ43-TA43-TB43-TC43</f>
        <v/>
      </c>
      <c r="TE43" s="9">
        <f>TE42+SQ43-(SX43+SY43+SZ43+TA43+TB43+TC43+SV43)</f>
        <v/>
      </c>
      <c r="TF43" s="12">
        <f>IF(SK43&gt;0,SL43/SK43,0)</f>
        <v/>
      </c>
      <c r="TG43" s="11">
        <f>IF(SK42&gt;0,MAX(0,(SK42+RZ43-SK43)/SK42),0)</f>
        <v/>
      </c>
      <c r="TI43" s="12" t="n">
        <v>39</v>
      </c>
      <c r="TJ43" s="12">
        <f>MOD(TI43-1+LaunchMonth-1,12)+1</f>
        <v/>
      </c>
      <c r="TK43" s="12">
        <f>INT((TI43-1+LaunchMonth-1)/12)+1</f>
        <v/>
      </c>
      <c r="TL43" s="12">
        <f>VLOOKUP(TJ43,SeasonTable,2,FALSE)</f>
        <v/>
      </c>
      <c r="TM43" s="12">
        <f>(1+InflationRate)^INT((TI43-1)/12)</f>
        <v/>
      </c>
      <c r="TN43" s="11">
        <f>MonthlyChurn*VLOOKUP(TJ43,ChurnSeasonTable,4,FALSE)</f>
        <v/>
      </c>
      <c r="TO43" s="12">
        <f>MIN(MAX(MktMin19plus,UI42*MktPct19plus),MAX(0,UW42-CashBuffer))</f>
        <v/>
      </c>
      <c r="TP43" s="12">
        <f>IF(TO43&gt;0,MAX(1,ROUND(TO43/CAC*TL43,0)),0)</f>
        <v/>
      </c>
      <c r="TQ43" s="12">
        <f>IF(TP43&gt;0,ROUND(TP43*ReferralMix/(1-ReferralMix),0),0)</f>
        <v/>
      </c>
      <c r="TR43" s="12">
        <f>TP43+TQ43</f>
        <v/>
      </c>
      <c r="TS43" s="12">
        <f>ROUND(TR43*(1-'Sens - Annual Mix'!$A$9),0)</f>
        <v/>
      </c>
      <c r="TT43" s="12">
        <f>TR43-TS43</f>
        <v/>
      </c>
      <c r="TU43" s="12">
        <f>ROUND(TS43*EssentialMix,0)</f>
        <v/>
      </c>
      <c r="TV43" s="12">
        <f>TS43-TU43</f>
        <v/>
      </c>
      <c r="TW43" s="12">
        <f>ROUND(TT43*EssentialMix,0)</f>
        <v/>
      </c>
      <c r="TX43" s="12">
        <f>TT43-TW43</f>
        <v/>
      </c>
      <c r="TY43" s="12">
        <f>TU43+TU42+TU41+MAX(0,TY42-TU42-TU41)*(1-TN43)</f>
        <v/>
      </c>
      <c r="TZ43" s="12">
        <f>TV43+TV42+TV41+MAX(0,TZ42-TV42-TV41)*(1-TN43)</f>
        <v/>
      </c>
      <c r="UA43" s="12">
        <f>UA42+TW43-TW31*(AnnualChurn*VLOOKUP(TJ43,ChurnSeasonTable,4,FALSE))*POWER(1-(AnnualChurn*VLOOKUP(TJ43,ChurnSeasonTable,4,FALSE)),0)+TW19*(AnnualChurn*VLOOKUP(TJ43,ChurnSeasonTable,4,FALSE))*POWER(1-(AnnualChurn*VLOOKUP(TJ43,ChurnSeasonTable,4,FALSE)),1)+TW7*(AnnualChurn*VLOOKUP(TJ43,ChurnSeasonTable,4,FALSE))*POWER(1-(AnnualChurn*VLOOKUP(TJ43,ChurnSeasonTable,4,FALSE)),2)</f>
        <v/>
      </c>
      <c r="UB43" s="12">
        <f>UB42+TX43-TX31*(AnnualChurn*VLOOKUP(TJ43,ChurnSeasonTable,4,FALSE))*POWER(1-(AnnualChurn*VLOOKUP(TJ43,ChurnSeasonTable,4,FALSE)),0)+TX19*(AnnualChurn*VLOOKUP(TJ43,ChurnSeasonTable,4,FALSE))*POWER(1-(AnnualChurn*VLOOKUP(TJ43,ChurnSeasonTable,4,FALSE)),1)+TX7*(AnnualChurn*VLOOKUP(TJ43,ChurnSeasonTable,4,FALSE))*POWER(1-(AnnualChurn*VLOOKUP(TJ43,ChurnSeasonTable,4,FALSE)),2)</f>
        <v/>
      </c>
      <c r="UC43" s="12">
        <f>TY43+TZ43+UA43+UB43</f>
        <v/>
      </c>
      <c r="UD43" s="9">
        <f>TY43*PriceEssMonthly*TM43+TZ43*PricePremMonthly*TM43+UA43*PriceEssAnnual*TM43/12+UB43*PricePremAnnual*TM43/12</f>
        <v/>
      </c>
      <c r="UE43" s="9">
        <f>UD43*12</f>
        <v/>
      </c>
      <c r="UF43" s="12">
        <f>TY43*PriceEssMonthly*TM43+TZ43*PricePremMonthly*TM43</f>
        <v/>
      </c>
      <c r="UG43" s="12">
        <f>TW43*PriceEssAnnual*TM43+TX43*PricePremAnnual*TM43</f>
        <v/>
      </c>
      <c r="UH43" s="12">
        <f>TW31*POWER(1-(AnnualChurn*VLOOKUP(TJ43,ChurnSeasonTable,4,FALSE)),1)*PriceEssAnnual*TM43+TW19*POWER(1-(AnnualChurn*VLOOKUP(TJ43,ChurnSeasonTable,4,FALSE)),2)*PriceEssAnnual*TM43+TW7*POWER(1-(AnnualChurn*VLOOKUP(TJ43,ChurnSeasonTable,4,FALSE)),3)*PriceEssAnnual*TM43+TX31*POWER(1-(AnnualChurn*VLOOKUP(TJ43,ChurnSeasonTable,4,FALSE)),1)*PricePremAnnual*TM43+TX19*POWER(1-(AnnualChurn*VLOOKUP(TJ43,ChurnSeasonTable,4,FALSE)),2)*PricePremAnnual*TM43+TX7*POWER(1-(AnnualChurn*VLOOKUP(TJ43,ChurnSeasonTable,4,FALSE)),3)*PricePremAnnual*TM43</f>
        <v/>
      </c>
      <c r="UI43" s="9">
        <f>UF43+UG43+UH43</f>
        <v/>
      </c>
      <c r="UJ43" s="12">
        <f>SUM(UI32:UI43)</f>
        <v/>
      </c>
      <c r="UK43" s="12">
        <f>OR(UK42,UJ43&gt;=VATThreshold)</f>
        <v/>
      </c>
      <c r="UL43" s="9">
        <f>IF(UK43,UI43/(1+VATRate),UI43)</f>
        <v/>
      </c>
      <c r="UM43" s="12">
        <f>UI43-UL43</f>
        <v/>
      </c>
      <c r="UN43" s="12">
        <f>IF(UK43=0,0,IF(TJ43=1,SUMPRODUCT(--(($TK$5:$TK43=$TK43-1)*($TJ$5:$TJ43&gt;=10)*($TJ$5:$TJ43&lt;=12)),$UM$5:$UM43),IF(TJ43=4,SUMPRODUCT(--(($TK$5:$TK43=$TK43)*($TJ$5:$TJ43&gt;=1)*($TJ$5:$TJ43&lt;=3)),$UM$5:$UM43),IF(TJ43=7,SUMPRODUCT(--(($TK$5:$TK43=$TK43)*($TJ$5:$TJ43&gt;=4)*($TJ$5:$TJ43&lt;=6)),$UM$5:$UM43),IF(TJ43=10,SUMPRODUCT(--(($TK$5:$TK43=$TK43)*($TJ$5:$TJ43&gt;=7)*($TJ$5:$TJ43&lt;=9)),$UM$5:$UM43),0)))))</f>
        <v/>
      </c>
      <c r="UO43" s="12">
        <f>UO42+UM43-UN43</f>
        <v/>
      </c>
      <c r="UP43" s="12">
        <f>IF(ProviderDelay&gt;=1,UL42*ProviderShare,UL43*ProviderShare)</f>
        <v/>
      </c>
      <c r="UQ43" s="12">
        <f>UI43*PaymentFee</f>
        <v/>
      </c>
      <c r="UR43" s="12">
        <f>UC43*OpsAI</f>
        <v/>
      </c>
      <c r="US43" s="12">
        <f>MonthlyFixed</f>
        <v/>
      </c>
      <c r="UT43" s="12">
        <f>TQ43*ReferralReward</f>
        <v/>
      </c>
      <c r="UU43" s="12">
        <f>TO43</f>
        <v/>
      </c>
      <c r="UV43" s="9">
        <f>UL43-UP43-UQ43-UR43-US43-UT43-UU43</f>
        <v/>
      </c>
      <c r="UW43" s="9">
        <f>UW42+UI43-(UP43+UQ43+UR43+US43+UT43+UU43+UN43)</f>
        <v/>
      </c>
      <c r="UX43" s="12">
        <f>IF(UC43&gt;0,UD43/UC43,0)</f>
        <v/>
      </c>
      <c r="UY43" s="11">
        <f>IF(UC42&gt;0,MAX(0,(UC42+TR43-UC43)/UC42),0)</f>
        <v/>
      </c>
      <c r="VA43" s="12" t="n">
        <v>39</v>
      </c>
      <c r="VB43" s="12">
        <f>MOD(VA43-1+LaunchMonth-1,12)+1</f>
        <v/>
      </c>
      <c r="VC43" s="12">
        <f>INT((VA43-1+LaunchMonth-1)/12)+1</f>
        <v/>
      </c>
      <c r="VD43" s="12">
        <f>VLOOKUP(VB43,SeasonTable,2,FALSE)</f>
        <v/>
      </c>
      <c r="VE43" s="12">
        <f>(1+InflationRate)^INT((VA43-1)/12)</f>
        <v/>
      </c>
      <c r="VF43" s="11">
        <f>MonthlyChurn*VLOOKUP(VB43,ChurnSeasonTable,4,FALSE)</f>
        <v/>
      </c>
      <c r="VG43" s="12">
        <f>MIN(MAX(MktMin19plus,WA42*MktPct19plus),MAX(0,WO42-CashBuffer))</f>
        <v/>
      </c>
      <c r="VH43" s="12">
        <f>IF(VG43&gt;0,MAX(1,ROUND(VG43/CAC*VD43,0)),0)</f>
        <v/>
      </c>
      <c r="VI43" s="12">
        <f>IF(VH43&gt;0,ROUND(VH43*ReferralMix/(1-ReferralMix),0),0)</f>
        <v/>
      </c>
      <c r="VJ43" s="12">
        <f>VH43+VI43</f>
        <v/>
      </c>
      <c r="VK43" s="12">
        <f>ROUND(VJ43*(1-'Sens - Annual Mix'!$A$10),0)</f>
        <v/>
      </c>
      <c r="VL43" s="12">
        <f>VJ43-VK43</f>
        <v/>
      </c>
      <c r="VM43" s="12">
        <f>ROUND(VK43*EssentialMix,0)</f>
        <v/>
      </c>
      <c r="VN43" s="12">
        <f>VK43-VM43</f>
        <v/>
      </c>
      <c r="VO43" s="12">
        <f>ROUND(VL43*EssentialMix,0)</f>
        <v/>
      </c>
      <c r="VP43" s="12">
        <f>VL43-VO43</f>
        <v/>
      </c>
      <c r="VQ43" s="12">
        <f>VM43+VM42+VM41+MAX(0,VQ42-VM42-VM41)*(1-VF43)</f>
        <v/>
      </c>
      <c r="VR43" s="12">
        <f>VN43+VN42+VN41+MAX(0,VR42-VN42-VN41)*(1-VF43)</f>
        <v/>
      </c>
      <c r="VS43" s="12">
        <f>VS42+VO43-VO31*(AnnualChurn*VLOOKUP(VB43,ChurnSeasonTable,4,FALSE))*POWER(1-(AnnualChurn*VLOOKUP(VB43,ChurnSeasonTable,4,FALSE)),0)+VO19*(AnnualChurn*VLOOKUP(VB43,ChurnSeasonTable,4,FALSE))*POWER(1-(AnnualChurn*VLOOKUP(VB43,ChurnSeasonTable,4,FALSE)),1)+VO7*(AnnualChurn*VLOOKUP(VB43,ChurnSeasonTable,4,FALSE))*POWER(1-(AnnualChurn*VLOOKUP(VB43,ChurnSeasonTable,4,FALSE)),2)</f>
        <v/>
      </c>
      <c r="VT43" s="12">
        <f>VT42+VP43-VP31*(AnnualChurn*VLOOKUP(VB43,ChurnSeasonTable,4,FALSE))*POWER(1-(AnnualChurn*VLOOKUP(VB43,ChurnSeasonTable,4,FALSE)),0)+VP19*(AnnualChurn*VLOOKUP(VB43,ChurnSeasonTable,4,FALSE))*POWER(1-(AnnualChurn*VLOOKUP(VB43,ChurnSeasonTable,4,FALSE)),1)+VP7*(AnnualChurn*VLOOKUP(VB43,ChurnSeasonTable,4,FALSE))*POWER(1-(AnnualChurn*VLOOKUP(VB43,ChurnSeasonTable,4,FALSE)),2)</f>
        <v/>
      </c>
      <c r="VU43" s="12">
        <f>VQ43+VR43+VS43+VT43</f>
        <v/>
      </c>
      <c r="VV43" s="9">
        <f>VQ43*PriceEssMonthly*VE43+VR43*PricePremMonthly*VE43+VS43*PriceEssAnnual*VE43/12+VT43*PricePremAnnual*VE43/12</f>
        <v/>
      </c>
      <c r="VW43" s="9">
        <f>VV43*12</f>
        <v/>
      </c>
      <c r="VX43" s="12">
        <f>VQ43*PriceEssMonthly*VE43+VR43*PricePremMonthly*VE43</f>
        <v/>
      </c>
      <c r="VY43" s="12">
        <f>VO43*PriceEssAnnual*VE43+VP43*PricePremAnnual*VE43</f>
        <v/>
      </c>
      <c r="VZ43" s="12">
        <f>VO31*POWER(1-(AnnualChurn*VLOOKUP(VB43,ChurnSeasonTable,4,FALSE)),1)*PriceEssAnnual*VE43+VO19*POWER(1-(AnnualChurn*VLOOKUP(VB43,ChurnSeasonTable,4,FALSE)),2)*PriceEssAnnual*VE43+VO7*POWER(1-(AnnualChurn*VLOOKUP(VB43,ChurnSeasonTable,4,FALSE)),3)*PriceEssAnnual*VE43+VP31*POWER(1-(AnnualChurn*VLOOKUP(VB43,ChurnSeasonTable,4,FALSE)),1)*PricePremAnnual*VE43+VP19*POWER(1-(AnnualChurn*VLOOKUP(VB43,ChurnSeasonTable,4,FALSE)),2)*PricePremAnnual*VE43+VP7*POWER(1-(AnnualChurn*VLOOKUP(VB43,ChurnSeasonTable,4,FALSE)),3)*PricePremAnnual*VE43</f>
        <v/>
      </c>
      <c r="WA43" s="9">
        <f>VX43+VY43+VZ43</f>
        <v/>
      </c>
      <c r="WB43" s="12">
        <f>SUM(WA32:WA43)</f>
        <v/>
      </c>
      <c r="WC43" s="12">
        <f>OR(WC42,WB43&gt;=VATThreshold)</f>
        <v/>
      </c>
      <c r="WD43" s="9">
        <f>IF(WC43,WA43/(1+VATRate),WA43)</f>
        <v/>
      </c>
      <c r="WE43" s="12">
        <f>WA43-WD43</f>
        <v/>
      </c>
      <c r="WF43" s="12">
        <f>IF(WC43=0,0,IF(VB43=1,SUMPRODUCT(--(($VC$5:$VC43=$VC43-1)*($VB$5:$VB43&gt;=10)*($VB$5:$VB43&lt;=12)),$WE$5:$WE43),IF(VB43=4,SUMPRODUCT(--(($VC$5:$VC43=$VC43)*($VB$5:$VB43&gt;=1)*($VB$5:$VB43&lt;=3)),$WE$5:$WE43),IF(VB43=7,SUMPRODUCT(--(($VC$5:$VC43=$VC43)*($VB$5:$VB43&gt;=4)*($VB$5:$VB43&lt;=6)),$WE$5:$WE43),IF(VB43=10,SUMPRODUCT(--(($VC$5:$VC43=$VC43)*($VB$5:$VB43&gt;=7)*($VB$5:$VB43&lt;=9)),$WE$5:$WE43),0)))))</f>
        <v/>
      </c>
      <c r="WG43" s="12">
        <f>WG42+WE43-WF43</f>
        <v/>
      </c>
      <c r="WH43" s="12">
        <f>IF(ProviderDelay&gt;=1,WD42*ProviderShare,WD43*ProviderShare)</f>
        <v/>
      </c>
      <c r="WI43" s="12">
        <f>WA43*PaymentFee</f>
        <v/>
      </c>
      <c r="WJ43" s="12">
        <f>VU43*OpsAI</f>
        <v/>
      </c>
      <c r="WK43" s="12">
        <f>MonthlyFixed</f>
        <v/>
      </c>
      <c r="WL43" s="12">
        <f>VI43*ReferralReward</f>
        <v/>
      </c>
      <c r="WM43" s="12">
        <f>VG43</f>
        <v/>
      </c>
      <c r="WN43" s="9">
        <f>WD43-WH43-WI43-WJ43-WK43-WL43-WM43</f>
        <v/>
      </c>
      <c r="WO43" s="9">
        <f>WO42+WA43-(WH43+WI43+WJ43+WK43+WL43+WM43+WF43)</f>
        <v/>
      </c>
      <c r="WP43" s="12">
        <f>IF(VU43&gt;0,VV43/VU43,0)</f>
        <v/>
      </c>
      <c r="WQ43" s="11">
        <f>IF(VU42&gt;0,MAX(0,(VU42+VJ43-VU43)/VU42),0)</f>
        <v/>
      </c>
      <c r="WS43" s="12" t="n">
        <v>39</v>
      </c>
      <c r="WT43" s="12">
        <f>MOD(WS43-1+LaunchMonth-1,12)+1</f>
        <v/>
      </c>
      <c r="WU43" s="12">
        <f>INT((WS43-1+LaunchMonth-1)/12)+1</f>
        <v/>
      </c>
      <c r="WV43" s="12">
        <f>VLOOKUP(WT43,SeasonTable,2,FALSE)</f>
        <v/>
      </c>
      <c r="WW43" s="12">
        <f>(1+InflationRate)^INT((WS43-1)/12)</f>
        <v/>
      </c>
      <c r="WX43" s="11">
        <f>MonthlyChurn*VLOOKUP(WT43,ChurnSeasonTable,4,FALSE)</f>
        <v/>
      </c>
      <c r="WY43" s="12">
        <f>MIN(MAX(MktMin19plus,XS42*MktPct19plus),MAX(0,YG42-CashBuffer))</f>
        <v/>
      </c>
      <c r="WZ43" s="12">
        <f>IF(WY43&gt;0,MAX(1,ROUND(WY43/CAC*WV43,0)),0)</f>
        <v/>
      </c>
      <c r="XA43" s="12">
        <f>IF(WZ43&gt;0,ROUND(WZ43*ReferralMix/(1-ReferralMix),0),0)</f>
        <v/>
      </c>
      <c r="XB43" s="12">
        <f>WZ43+XA43</f>
        <v/>
      </c>
      <c r="XC43" s="12">
        <f>ROUND(XB43*(1-'Sens - Annual Mix'!$A$11),0)</f>
        <v/>
      </c>
      <c r="XD43" s="12">
        <f>XB43-XC43</f>
        <v/>
      </c>
      <c r="XE43" s="12">
        <f>ROUND(XC43*EssentialMix,0)</f>
        <v/>
      </c>
      <c r="XF43" s="12">
        <f>XC43-XE43</f>
        <v/>
      </c>
      <c r="XG43" s="12">
        <f>ROUND(XD43*EssentialMix,0)</f>
        <v/>
      </c>
      <c r="XH43" s="12">
        <f>XD43-XG43</f>
        <v/>
      </c>
      <c r="XI43" s="12">
        <f>XE43+XE42+XE41+MAX(0,XI42-XE42-XE41)*(1-WX43)</f>
        <v/>
      </c>
      <c r="XJ43" s="12">
        <f>XF43+XF42+XF41+MAX(0,XJ42-XF42-XF41)*(1-WX43)</f>
        <v/>
      </c>
      <c r="XK43" s="12">
        <f>XK42+XG43-XG31*(AnnualChurn*VLOOKUP(WT43,ChurnSeasonTable,4,FALSE))*POWER(1-(AnnualChurn*VLOOKUP(WT43,ChurnSeasonTable,4,FALSE)),0)+XG19*(AnnualChurn*VLOOKUP(WT43,ChurnSeasonTable,4,FALSE))*POWER(1-(AnnualChurn*VLOOKUP(WT43,ChurnSeasonTable,4,FALSE)),1)+XG7*(AnnualChurn*VLOOKUP(WT43,ChurnSeasonTable,4,FALSE))*POWER(1-(AnnualChurn*VLOOKUP(WT43,ChurnSeasonTable,4,FALSE)),2)</f>
        <v/>
      </c>
      <c r="XL43" s="12">
        <f>XL42+XH43-XH31*(AnnualChurn*VLOOKUP(WT43,ChurnSeasonTable,4,FALSE))*POWER(1-(AnnualChurn*VLOOKUP(WT43,ChurnSeasonTable,4,FALSE)),0)+XH19*(AnnualChurn*VLOOKUP(WT43,ChurnSeasonTable,4,FALSE))*POWER(1-(AnnualChurn*VLOOKUP(WT43,ChurnSeasonTable,4,FALSE)),1)+XH7*(AnnualChurn*VLOOKUP(WT43,ChurnSeasonTable,4,FALSE))*POWER(1-(AnnualChurn*VLOOKUP(WT43,ChurnSeasonTable,4,FALSE)),2)</f>
        <v/>
      </c>
      <c r="XM43" s="12">
        <f>XI43+XJ43+XK43+XL43</f>
        <v/>
      </c>
      <c r="XN43" s="9">
        <f>XI43*PriceEssMonthly*WW43+XJ43*PricePremMonthly*WW43+XK43*PriceEssAnnual*WW43/12+XL43*PricePremAnnual*WW43/12</f>
        <v/>
      </c>
      <c r="XO43" s="9">
        <f>XN43*12</f>
        <v/>
      </c>
      <c r="XP43" s="12">
        <f>XI43*PriceEssMonthly*WW43+XJ43*PricePremMonthly*WW43</f>
        <v/>
      </c>
      <c r="XQ43" s="12">
        <f>XG43*PriceEssAnnual*WW43+XH43*PricePremAnnual*WW43</f>
        <v/>
      </c>
      <c r="XR43" s="12">
        <f>XG31*POWER(1-(AnnualChurn*VLOOKUP(WT43,ChurnSeasonTable,4,FALSE)),1)*PriceEssAnnual*WW43+XG19*POWER(1-(AnnualChurn*VLOOKUP(WT43,ChurnSeasonTable,4,FALSE)),2)*PriceEssAnnual*WW43+XG7*POWER(1-(AnnualChurn*VLOOKUP(WT43,ChurnSeasonTable,4,FALSE)),3)*PriceEssAnnual*WW43+XH31*POWER(1-(AnnualChurn*VLOOKUP(WT43,ChurnSeasonTable,4,FALSE)),1)*PricePremAnnual*WW43+XH19*POWER(1-(AnnualChurn*VLOOKUP(WT43,ChurnSeasonTable,4,FALSE)),2)*PricePremAnnual*WW43+XH7*POWER(1-(AnnualChurn*VLOOKUP(WT43,ChurnSeasonTable,4,FALSE)),3)*PricePremAnnual*WW43</f>
        <v/>
      </c>
      <c r="XS43" s="9">
        <f>XP43+XQ43+XR43</f>
        <v/>
      </c>
      <c r="XT43" s="12">
        <f>SUM(XS32:XS43)</f>
        <v/>
      </c>
      <c r="XU43" s="12">
        <f>OR(XU42,XT43&gt;=VATThreshold)</f>
        <v/>
      </c>
      <c r="XV43" s="9">
        <f>IF(XU43,XS43/(1+VATRate),XS43)</f>
        <v/>
      </c>
      <c r="XW43" s="12">
        <f>XS43-XV43</f>
        <v/>
      </c>
      <c r="XX43" s="12">
        <f>IF(XU43=0,0,IF(WT43=1,SUMPRODUCT(--(($WU$5:$WU43=$WU43-1)*($WT$5:$WT43&gt;=10)*($WT$5:$WT43&lt;=12)),$XW$5:$XW43),IF(WT43=4,SUMPRODUCT(--(($WU$5:$WU43=$WU43)*($WT$5:$WT43&gt;=1)*($WT$5:$WT43&lt;=3)),$XW$5:$XW43),IF(WT43=7,SUMPRODUCT(--(($WU$5:$WU43=$WU43)*($WT$5:$WT43&gt;=4)*($WT$5:$WT43&lt;=6)),$XW$5:$XW43),IF(WT43=10,SUMPRODUCT(--(($WU$5:$WU43=$WU43)*($WT$5:$WT43&gt;=7)*($WT$5:$WT43&lt;=9)),$XW$5:$XW43),0)))))</f>
        <v/>
      </c>
      <c r="XY43" s="12">
        <f>XY42+XW43-XX43</f>
        <v/>
      </c>
      <c r="XZ43" s="12">
        <f>IF(ProviderDelay&gt;=1,XV42*ProviderShare,XV43*ProviderShare)</f>
        <v/>
      </c>
      <c r="YA43" s="12">
        <f>XS43*PaymentFee</f>
        <v/>
      </c>
      <c r="YB43" s="12">
        <f>XM43*OpsAI</f>
        <v/>
      </c>
      <c r="YC43" s="12">
        <f>MonthlyFixed</f>
        <v/>
      </c>
      <c r="YD43" s="12">
        <f>XA43*ReferralReward</f>
        <v/>
      </c>
      <c r="YE43" s="12">
        <f>WY43</f>
        <v/>
      </c>
      <c r="YF43" s="9">
        <f>XV43-XZ43-YA43-YB43-YC43-YD43-YE43</f>
        <v/>
      </c>
      <c r="YG43" s="9">
        <f>YG42+XS43-(XZ43+YA43+YB43+YC43+YD43+YE43+XX43)</f>
        <v/>
      </c>
      <c r="YH43" s="12">
        <f>IF(XM43&gt;0,XN43/XM43,0)</f>
        <v/>
      </c>
      <c r="YI43" s="11">
        <f>IF(XM42&gt;0,MAX(0,(XM42+XB43-XM43)/XM42),0)</f>
        <v/>
      </c>
      <c r="YK43" s="12" t="n">
        <v>39</v>
      </c>
      <c r="YL43" s="12">
        <f>MOD(YK43-1+LaunchMonth-1,12)+1</f>
        <v/>
      </c>
      <c r="YM43" s="12">
        <f>INT((YK43-1+LaunchMonth-1)/12)+1</f>
        <v/>
      </c>
      <c r="YN43" s="12">
        <f>VLOOKUP(YL43,SeasonTable,2,FALSE)</f>
        <v/>
      </c>
      <c r="YO43" s="12">
        <f>(1+InflationRate)^INT((YK43-1)/12)</f>
        <v/>
      </c>
      <c r="YP43" s="11">
        <f>MonthlyChurn*VLOOKUP(YL43,ChurnSeasonTable,4,FALSE)</f>
        <v/>
      </c>
      <c r="YQ43" s="12">
        <f>MIN(MAX(MktMin19plus,ZK42*MktPct19plus),MAX(0,ZY42-CashBuffer))</f>
        <v/>
      </c>
      <c r="YR43" s="12">
        <f>IF(YQ43&gt;0,MAX(1,ROUND(YQ43/CAC*YN43,0)),0)</f>
        <v/>
      </c>
      <c r="YS43" s="12">
        <f>IF(YR43&gt;0,ROUND(YR43*ReferralMix/(1-ReferralMix),0),0)</f>
        <v/>
      </c>
      <c r="YT43" s="12">
        <f>YR43+YS43</f>
        <v/>
      </c>
      <c r="YU43" s="12">
        <f>ROUND(YT43*(1-'Sens - Annual Mix'!$A$12),0)</f>
        <v/>
      </c>
      <c r="YV43" s="12">
        <f>YT43-YU43</f>
        <v/>
      </c>
      <c r="YW43" s="12">
        <f>ROUND(YU43*EssentialMix,0)</f>
        <v/>
      </c>
      <c r="YX43" s="12">
        <f>YU43-YW43</f>
        <v/>
      </c>
      <c r="YY43" s="12">
        <f>ROUND(YV43*EssentialMix,0)</f>
        <v/>
      </c>
      <c r="YZ43" s="12">
        <f>YV43-YY43</f>
        <v/>
      </c>
      <c r="ZA43" s="12">
        <f>YW43+YW42+YW41+MAX(0,ZA42-YW42-YW41)*(1-YP43)</f>
        <v/>
      </c>
      <c r="ZB43" s="12">
        <f>YX43+YX42+YX41+MAX(0,ZB42-YX42-YX41)*(1-YP43)</f>
        <v/>
      </c>
      <c r="ZC43" s="12">
        <f>ZC42+YY43-YY31*(AnnualChurn*VLOOKUP(YL43,ChurnSeasonTable,4,FALSE))*POWER(1-(AnnualChurn*VLOOKUP(YL43,ChurnSeasonTable,4,FALSE)),0)+YY19*(AnnualChurn*VLOOKUP(YL43,ChurnSeasonTable,4,FALSE))*POWER(1-(AnnualChurn*VLOOKUP(YL43,ChurnSeasonTable,4,FALSE)),1)+YY7*(AnnualChurn*VLOOKUP(YL43,ChurnSeasonTable,4,FALSE))*POWER(1-(AnnualChurn*VLOOKUP(YL43,ChurnSeasonTable,4,FALSE)),2)</f>
        <v/>
      </c>
      <c r="ZD43" s="12">
        <f>ZD42+YZ43-YZ31*(AnnualChurn*VLOOKUP(YL43,ChurnSeasonTable,4,FALSE))*POWER(1-(AnnualChurn*VLOOKUP(YL43,ChurnSeasonTable,4,FALSE)),0)+YZ19*(AnnualChurn*VLOOKUP(YL43,ChurnSeasonTable,4,FALSE))*POWER(1-(AnnualChurn*VLOOKUP(YL43,ChurnSeasonTable,4,FALSE)),1)+YZ7*(AnnualChurn*VLOOKUP(YL43,ChurnSeasonTable,4,FALSE))*POWER(1-(AnnualChurn*VLOOKUP(YL43,ChurnSeasonTable,4,FALSE)),2)</f>
        <v/>
      </c>
      <c r="ZE43" s="12">
        <f>ZA43+ZB43+ZC43+ZD43</f>
        <v/>
      </c>
      <c r="ZF43" s="9">
        <f>ZA43*PriceEssMonthly*YO43+ZB43*PricePremMonthly*YO43+ZC43*PriceEssAnnual*YO43/12+ZD43*PricePremAnnual*YO43/12</f>
        <v/>
      </c>
      <c r="ZG43" s="9">
        <f>ZF43*12</f>
        <v/>
      </c>
      <c r="ZH43" s="12">
        <f>ZA43*PriceEssMonthly*YO43+ZB43*PricePremMonthly*YO43</f>
        <v/>
      </c>
      <c r="ZI43" s="12">
        <f>YY43*PriceEssAnnual*YO43+YZ43*PricePremAnnual*YO43</f>
        <v/>
      </c>
      <c r="ZJ43" s="12">
        <f>YY31*POWER(1-(AnnualChurn*VLOOKUP(YL43,ChurnSeasonTable,4,FALSE)),1)*PriceEssAnnual*YO43+YY19*POWER(1-(AnnualChurn*VLOOKUP(YL43,ChurnSeasonTable,4,FALSE)),2)*PriceEssAnnual*YO43+YY7*POWER(1-(AnnualChurn*VLOOKUP(YL43,ChurnSeasonTable,4,FALSE)),3)*PriceEssAnnual*YO43+YZ31*POWER(1-(AnnualChurn*VLOOKUP(YL43,ChurnSeasonTable,4,FALSE)),1)*PricePremAnnual*YO43+YZ19*POWER(1-(AnnualChurn*VLOOKUP(YL43,ChurnSeasonTable,4,FALSE)),2)*PricePremAnnual*YO43+YZ7*POWER(1-(AnnualChurn*VLOOKUP(YL43,ChurnSeasonTable,4,FALSE)),3)*PricePremAnnual*YO43</f>
        <v/>
      </c>
      <c r="ZK43" s="9">
        <f>ZH43+ZI43+ZJ43</f>
        <v/>
      </c>
      <c r="ZL43" s="12">
        <f>SUM(ZK32:ZK43)</f>
        <v/>
      </c>
      <c r="ZM43" s="12">
        <f>OR(ZM42,ZL43&gt;=VATThreshold)</f>
        <v/>
      </c>
      <c r="ZN43" s="9">
        <f>IF(ZM43,ZK43/(1+VATRate),ZK43)</f>
        <v/>
      </c>
      <c r="ZO43" s="12">
        <f>ZK43-ZN43</f>
        <v/>
      </c>
      <c r="ZP43" s="12">
        <f>IF(ZM43=0,0,IF(YL43=1,SUMPRODUCT(--(($YM$5:$YM43=$YM43-1)*($YL$5:$YL43&gt;=10)*($YL$5:$YL43&lt;=12)),$ZO$5:$ZO43),IF(YL43=4,SUMPRODUCT(--(($YM$5:$YM43=$YM43)*($YL$5:$YL43&gt;=1)*($YL$5:$YL43&lt;=3)),$ZO$5:$ZO43),IF(YL43=7,SUMPRODUCT(--(($YM$5:$YM43=$YM43)*($YL$5:$YL43&gt;=4)*($YL$5:$YL43&lt;=6)),$ZO$5:$ZO43),IF(YL43=10,SUMPRODUCT(--(($YM$5:$YM43=$YM43)*($YL$5:$YL43&gt;=7)*($YL$5:$YL43&lt;=9)),$ZO$5:$ZO43),0)))))</f>
        <v/>
      </c>
      <c r="ZQ43" s="12">
        <f>ZQ42+ZO43-ZP43</f>
        <v/>
      </c>
      <c r="ZR43" s="12">
        <f>IF(ProviderDelay&gt;=1,ZN42*ProviderShare,ZN43*ProviderShare)</f>
        <v/>
      </c>
      <c r="ZS43" s="12">
        <f>ZK43*PaymentFee</f>
        <v/>
      </c>
      <c r="ZT43" s="12">
        <f>ZE43*OpsAI</f>
        <v/>
      </c>
      <c r="ZU43" s="12">
        <f>MonthlyFixed</f>
        <v/>
      </c>
      <c r="ZV43" s="12">
        <f>YS43*ReferralReward</f>
        <v/>
      </c>
      <c r="ZW43" s="12">
        <f>YQ43</f>
        <v/>
      </c>
      <c r="ZX43" s="9">
        <f>ZN43-ZR43-ZS43-ZT43-ZU43-ZV43-ZW43</f>
        <v/>
      </c>
      <c r="ZY43" s="9">
        <f>ZY42+ZK43-(ZR43+ZS43+ZT43+ZU43+ZV43+ZW43+ZP43)</f>
        <v/>
      </c>
      <c r="ZZ43" s="12">
        <f>IF(ZE43&gt;0,ZF43/ZE43,0)</f>
        <v/>
      </c>
      <c r="AAA43" s="11">
        <f>IF(ZE42&gt;0,MAX(0,(ZE42+YT43-ZE43)/ZE42),0)</f>
        <v/>
      </c>
      <c r="AAC43" s="12" t="n">
        <v>39</v>
      </c>
      <c r="AAD43" s="12">
        <f>MOD(AAC43-1+LaunchMonth-1,12)+1</f>
        <v/>
      </c>
      <c r="AAE43" s="12">
        <f>INT((AAC43-1+LaunchMonth-1)/12)+1</f>
        <v/>
      </c>
      <c r="AAF43" s="12">
        <f>VLOOKUP(AAD43,SeasonTable,2,FALSE)</f>
        <v/>
      </c>
      <c r="AAG43" s="12">
        <f>(1+InflationRate)^INT((AAC43-1)/12)</f>
        <v/>
      </c>
      <c r="AAH43" s="11">
        <f>MonthlyChurn*VLOOKUP(AAD43,ChurnSeasonTable,4,FALSE)</f>
        <v/>
      </c>
      <c r="AAI43" s="12">
        <f>MIN(MAX(MktMin19plus,ABC42*MktPct19plus),MAX(0,ABQ42-CashBuffer))</f>
        <v/>
      </c>
      <c r="AAJ43" s="12">
        <f>IF(AAI43&gt;0,MAX(1,ROUND(AAI43/CAC*AAF43,0)),0)</f>
        <v/>
      </c>
      <c r="AAK43" s="12">
        <f>IF(AAJ43&gt;0,ROUND(AAJ43*ReferralMix/(1-ReferralMix),0),0)</f>
        <v/>
      </c>
      <c r="AAL43" s="12">
        <f>AAJ43+AAK43</f>
        <v/>
      </c>
      <c r="AAM43" s="12">
        <f>ROUND(AAL43*(1-'Sens - Annual Mix'!$A$13),0)</f>
        <v/>
      </c>
      <c r="AAN43" s="12">
        <f>AAL43-AAM43</f>
        <v/>
      </c>
      <c r="AAO43" s="12">
        <f>ROUND(AAM43*EssentialMix,0)</f>
        <v/>
      </c>
      <c r="AAP43" s="12">
        <f>AAM43-AAO43</f>
        <v/>
      </c>
      <c r="AAQ43" s="12">
        <f>ROUND(AAN43*EssentialMix,0)</f>
        <v/>
      </c>
      <c r="AAR43" s="12">
        <f>AAN43-AAQ43</f>
        <v/>
      </c>
      <c r="AAS43" s="12">
        <f>AAO43+AAO42+AAO41+MAX(0,AAS42-AAO42-AAO41)*(1-AAH43)</f>
        <v/>
      </c>
      <c r="AAT43" s="12">
        <f>AAP43+AAP42+AAP41+MAX(0,AAT42-AAP42-AAP41)*(1-AAH43)</f>
        <v/>
      </c>
      <c r="AAU43" s="12">
        <f>AAU42+AAQ43-AAQ31*(AnnualChurn*VLOOKUP(AAD43,ChurnSeasonTable,4,FALSE))*POWER(1-(AnnualChurn*VLOOKUP(AAD43,ChurnSeasonTable,4,FALSE)),0)+AAQ19*(AnnualChurn*VLOOKUP(AAD43,ChurnSeasonTable,4,FALSE))*POWER(1-(AnnualChurn*VLOOKUP(AAD43,ChurnSeasonTable,4,FALSE)),1)+AAQ7*(AnnualChurn*VLOOKUP(AAD43,ChurnSeasonTable,4,FALSE))*POWER(1-(AnnualChurn*VLOOKUP(AAD43,ChurnSeasonTable,4,FALSE)),2)</f>
        <v/>
      </c>
      <c r="AAV43" s="12">
        <f>AAV42+AAR43-AAR31*(AnnualChurn*VLOOKUP(AAD43,ChurnSeasonTable,4,FALSE))*POWER(1-(AnnualChurn*VLOOKUP(AAD43,ChurnSeasonTable,4,FALSE)),0)+AAR19*(AnnualChurn*VLOOKUP(AAD43,ChurnSeasonTable,4,FALSE))*POWER(1-(AnnualChurn*VLOOKUP(AAD43,ChurnSeasonTable,4,FALSE)),1)+AAR7*(AnnualChurn*VLOOKUP(AAD43,ChurnSeasonTable,4,FALSE))*POWER(1-(AnnualChurn*VLOOKUP(AAD43,ChurnSeasonTable,4,FALSE)),2)</f>
        <v/>
      </c>
      <c r="AAW43" s="12">
        <f>AAS43+AAT43+AAU43+AAV43</f>
        <v/>
      </c>
      <c r="AAX43" s="9">
        <f>AAS43*PriceEssMonthly*AAG43+AAT43*PricePremMonthly*AAG43+AAU43*PriceEssAnnual*AAG43/12+AAV43*PricePremAnnual*AAG43/12</f>
        <v/>
      </c>
      <c r="AAY43" s="9">
        <f>AAX43*12</f>
        <v/>
      </c>
      <c r="AAZ43" s="12">
        <f>AAS43*PriceEssMonthly*AAG43+AAT43*PricePremMonthly*AAG43</f>
        <v/>
      </c>
      <c r="ABA43" s="12">
        <f>AAQ43*PriceEssAnnual*AAG43+AAR43*PricePremAnnual*AAG43</f>
        <v/>
      </c>
      <c r="ABB43" s="12">
        <f>AAQ31*POWER(1-(AnnualChurn*VLOOKUP(AAD43,ChurnSeasonTable,4,FALSE)),1)*PriceEssAnnual*AAG43+AAQ19*POWER(1-(AnnualChurn*VLOOKUP(AAD43,ChurnSeasonTable,4,FALSE)),2)*PriceEssAnnual*AAG43+AAQ7*POWER(1-(AnnualChurn*VLOOKUP(AAD43,ChurnSeasonTable,4,FALSE)),3)*PriceEssAnnual*AAG43+AAR31*POWER(1-(AnnualChurn*VLOOKUP(AAD43,ChurnSeasonTable,4,FALSE)),1)*PricePremAnnual*AAG43+AAR19*POWER(1-(AnnualChurn*VLOOKUP(AAD43,ChurnSeasonTable,4,FALSE)),2)*PricePremAnnual*AAG43+AAR7*POWER(1-(AnnualChurn*VLOOKUP(AAD43,ChurnSeasonTable,4,FALSE)),3)*PricePremAnnual*AAG43</f>
        <v/>
      </c>
      <c r="ABC43" s="9">
        <f>AAZ43+ABA43+ABB43</f>
        <v/>
      </c>
      <c r="ABD43" s="12">
        <f>SUM(ABC32:ABC43)</f>
        <v/>
      </c>
      <c r="ABE43" s="12">
        <f>OR(ABE42,ABD43&gt;=VATThreshold)</f>
        <v/>
      </c>
      <c r="ABF43" s="9">
        <f>IF(ABE43,ABC43/(1+VATRate),ABC43)</f>
        <v/>
      </c>
      <c r="ABG43" s="12">
        <f>ABC43-ABF43</f>
        <v/>
      </c>
      <c r="ABH43" s="12">
        <f>IF(ABE43=0,0,IF(AAD43=1,SUMPRODUCT(--(($AAE$5:$AAE43=$AAE43-1)*($AAD$5:$AAD43&gt;=10)*($AAD$5:$AAD43&lt;=12)),$ABG$5:$ABG43),IF(AAD43=4,SUMPRODUCT(--(($AAE$5:$AAE43=$AAE43)*($AAD$5:$AAD43&gt;=1)*($AAD$5:$AAD43&lt;=3)),$ABG$5:$ABG43),IF(AAD43=7,SUMPRODUCT(--(($AAE$5:$AAE43=$AAE43)*($AAD$5:$AAD43&gt;=4)*($AAD$5:$AAD43&lt;=6)),$ABG$5:$ABG43),IF(AAD43=10,SUMPRODUCT(--(($AAE$5:$AAE43=$AAE43)*($AAD$5:$AAD43&gt;=7)*($AAD$5:$AAD43&lt;=9)),$ABG$5:$ABG43),0)))))</f>
        <v/>
      </c>
      <c r="ABI43" s="12">
        <f>ABI42+ABG43-ABH43</f>
        <v/>
      </c>
      <c r="ABJ43" s="12">
        <f>IF(ProviderDelay&gt;=1,ABF42*ProviderShare,ABF43*ProviderShare)</f>
        <v/>
      </c>
      <c r="ABK43" s="12">
        <f>ABC43*PaymentFee</f>
        <v/>
      </c>
      <c r="ABL43" s="12">
        <f>AAW43*OpsAI</f>
        <v/>
      </c>
      <c r="ABM43" s="12">
        <f>MonthlyFixed</f>
        <v/>
      </c>
      <c r="ABN43" s="12">
        <f>AAK43*ReferralReward</f>
        <v/>
      </c>
      <c r="ABO43" s="12">
        <f>AAI43</f>
        <v/>
      </c>
      <c r="ABP43" s="9">
        <f>ABF43-ABJ43-ABK43-ABL43-ABM43-ABN43-ABO43</f>
        <v/>
      </c>
      <c r="ABQ43" s="9">
        <f>ABQ42+ABC43-(ABJ43+ABK43+ABL43+ABM43+ABN43+ABO43+ABH43)</f>
        <v/>
      </c>
      <c r="ABR43" s="12">
        <f>IF(AAW43&gt;0,AAX43/AAW43,0)</f>
        <v/>
      </c>
      <c r="ABS43" s="11">
        <f>IF(AAW42&gt;0,MAX(0,(AAW42+AAL43-AAW43)/AAW42),0)</f>
        <v/>
      </c>
      <c r="ABU43" s="12" t="n">
        <v>39</v>
      </c>
      <c r="ABV43" s="12">
        <f>MOD(ABU43-1+LaunchMonth-1,12)+1</f>
        <v/>
      </c>
      <c r="ABW43" s="12">
        <f>INT((ABU43-1+LaunchMonth-1)/12)+1</f>
        <v/>
      </c>
      <c r="ABX43" s="12">
        <f>VLOOKUP(ABV43,SeasonTable,2,FALSE)</f>
        <v/>
      </c>
      <c r="ABY43" s="12">
        <f>(1+InflationRate)^INT((ABU43-1)/12)</f>
        <v/>
      </c>
      <c r="ABZ43" s="11">
        <f>MonthlyChurn*VLOOKUP(ABV43,ChurnSeasonTable,4,FALSE)</f>
        <v/>
      </c>
      <c r="ACA43" s="12">
        <f>MIN(MAX(MktMin19plus,ACU42*MktPct19plus),MAX(0,ADI42-CashBuffer))</f>
        <v/>
      </c>
      <c r="ACB43" s="12">
        <f>IF(ACA43&gt;0,MAX(1,ROUND(ACA43/CAC*ABX43,0)),0)</f>
        <v/>
      </c>
      <c r="ACC43" s="12">
        <f>IF(ACB43&gt;0,ROUND(ACB43*ReferralMix/(1-ReferralMix),0),0)</f>
        <v/>
      </c>
      <c r="ACD43" s="12">
        <f>ACB43+ACC43</f>
        <v/>
      </c>
      <c r="ACE43" s="12">
        <f>ROUND(ACD43*(1-'Sens - Annual Mix'!$A$14),0)</f>
        <v/>
      </c>
      <c r="ACF43" s="12">
        <f>ACD43-ACE43</f>
        <v/>
      </c>
      <c r="ACG43" s="12">
        <f>ROUND(ACE43*EssentialMix,0)</f>
        <v/>
      </c>
      <c r="ACH43" s="12">
        <f>ACE43-ACG43</f>
        <v/>
      </c>
      <c r="ACI43" s="12">
        <f>ROUND(ACF43*EssentialMix,0)</f>
        <v/>
      </c>
      <c r="ACJ43" s="12">
        <f>ACF43-ACI43</f>
        <v/>
      </c>
      <c r="ACK43" s="12">
        <f>ACG43+ACG42+ACG41+MAX(0,ACK42-ACG42-ACG41)*(1-ABZ43)</f>
        <v/>
      </c>
      <c r="ACL43" s="12">
        <f>ACH43+ACH42+ACH41+MAX(0,ACL42-ACH42-ACH41)*(1-ABZ43)</f>
        <v/>
      </c>
      <c r="ACM43" s="12">
        <f>ACM42+ACI43-ACI31*(AnnualChurn*VLOOKUP(ABV43,ChurnSeasonTable,4,FALSE))*POWER(1-(AnnualChurn*VLOOKUP(ABV43,ChurnSeasonTable,4,FALSE)),0)+ACI19*(AnnualChurn*VLOOKUP(ABV43,ChurnSeasonTable,4,FALSE))*POWER(1-(AnnualChurn*VLOOKUP(ABV43,ChurnSeasonTable,4,FALSE)),1)+ACI7*(AnnualChurn*VLOOKUP(ABV43,ChurnSeasonTable,4,FALSE))*POWER(1-(AnnualChurn*VLOOKUP(ABV43,ChurnSeasonTable,4,FALSE)),2)</f>
        <v/>
      </c>
      <c r="ACN43" s="12">
        <f>ACN42+ACJ43-ACJ31*(AnnualChurn*VLOOKUP(ABV43,ChurnSeasonTable,4,FALSE))*POWER(1-(AnnualChurn*VLOOKUP(ABV43,ChurnSeasonTable,4,FALSE)),0)+ACJ19*(AnnualChurn*VLOOKUP(ABV43,ChurnSeasonTable,4,FALSE))*POWER(1-(AnnualChurn*VLOOKUP(ABV43,ChurnSeasonTable,4,FALSE)),1)+ACJ7*(AnnualChurn*VLOOKUP(ABV43,ChurnSeasonTable,4,FALSE))*POWER(1-(AnnualChurn*VLOOKUP(ABV43,ChurnSeasonTable,4,FALSE)),2)</f>
        <v/>
      </c>
      <c r="ACO43" s="12">
        <f>ACK43+ACL43+ACM43+ACN43</f>
        <v/>
      </c>
      <c r="ACP43" s="9">
        <f>ACK43*PriceEssMonthly*ABY43+ACL43*PricePremMonthly*ABY43+ACM43*PriceEssAnnual*ABY43/12+ACN43*PricePremAnnual*ABY43/12</f>
        <v/>
      </c>
      <c r="ACQ43" s="9">
        <f>ACP43*12</f>
        <v/>
      </c>
      <c r="ACR43" s="12">
        <f>ACK43*PriceEssMonthly*ABY43+ACL43*PricePremMonthly*ABY43</f>
        <v/>
      </c>
      <c r="ACS43" s="12">
        <f>ACI43*PriceEssAnnual*ABY43+ACJ43*PricePremAnnual*ABY43</f>
        <v/>
      </c>
      <c r="ACT43" s="12">
        <f>ACI31*POWER(1-(AnnualChurn*VLOOKUP(ABV43,ChurnSeasonTable,4,FALSE)),1)*PriceEssAnnual*ABY43+ACI19*POWER(1-(AnnualChurn*VLOOKUP(ABV43,ChurnSeasonTable,4,FALSE)),2)*PriceEssAnnual*ABY43+ACI7*POWER(1-(AnnualChurn*VLOOKUP(ABV43,ChurnSeasonTable,4,FALSE)),3)*PriceEssAnnual*ABY43+ACJ31*POWER(1-(AnnualChurn*VLOOKUP(ABV43,ChurnSeasonTable,4,FALSE)),1)*PricePremAnnual*ABY43+ACJ19*POWER(1-(AnnualChurn*VLOOKUP(ABV43,ChurnSeasonTable,4,FALSE)),2)*PricePremAnnual*ABY43+ACJ7*POWER(1-(AnnualChurn*VLOOKUP(ABV43,ChurnSeasonTable,4,FALSE)),3)*PricePremAnnual*ABY43</f>
        <v/>
      </c>
      <c r="ACU43" s="9">
        <f>ACR43+ACS43+ACT43</f>
        <v/>
      </c>
      <c r="ACV43" s="12">
        <f>SUM(ACU32:ACU43)</f>
        <v/>
      </c>
      <c r="ACW43" s="12">
        <f>OR(ACW42,ACV43&gt;=VATThreshold)</f>
        <v/>
      </c>
      <c r="ACX43" s="9">
        <f>IF(ACW43,ACU43/(1+VATRate),ACU43)</f>
        <v/>
      </c>
      <c r="ACY43" s="12">
        <f>ACU43-ACX43</f>
        <v/>
      </c>
      <c r="ACZ43" s="12">
        <f>IF(ACW43=0,0,IF(ABV43=1,SUMPRODUCT(--(($ABW$5:$ABW43=$ABW43-1)*($ABV$5:$ABV43&gt;=10)*($ABV$5:$ABV43&lt;=12)),$ACY$5:$ACY43),IF(ABV43=4,SUMPRODUCT(--(($ABW$5:$ABW43=$ABW43)*($ABV$5:$ABV43&gt;=1)*($ABV$5:$ABV43&lt;=3)),$ACY$5:$ACY43),IF(ABV43=7,SUMPRODUCT(--(($ABW$5:$ABW43=$ABW43)*($ABV$5:$ABV43&gt;=4)*($ABV$5:$ABV43&lt;=6)),$ACY$5:$ACY43),IF(ABV43=10,SUMPRODUCT(--(($ABW$5:$ABW43=$ABW43)*($ABV$5:$ABV43&gt;=7)*($ABV$5:$ABV43&lt;=9)),$ACY$5:$ACY43),0)))))</f>
        <v/>
      </c>
      <c r="ADA43" s="12">
        <f>ADA42+ACY43-ACZ43</f>
        <v/>
      </c>
      <c r="ADB43" s="12">
        <f>IF(ProviderDelay&gt;=1,ACX42*ProviderShare,ACX43*ProviderShare)</f>
        <v/>
      </c>
      <c r="ADC43" s="12">
        <f>ACU43*PaymentFee</f>
        <v/>
      </c>
      <c r="ADD43" s="12">
        <f>ACO43*OpsAI</f>
        <v/>
      </c>
      <c r="ADE43" s="12">
        <f>MonthlyFixed</f>
        <v/>
      </c>
      <c r="ADF43" s="12">
        <f>ACC43*ReferralReward</f>
        <v/>
      </c>
      <c r="ADG43" s="12">
        <f>ACA43</f>
        <v/>
      </c>
      <c r="ADH43" s="9">
        <f>ACX43-ADB43-ADC43-ADD43-ADE43-ADF43-ADG43</f>
        <v/>
      </c>
      <c r="ADI43" s="9">
        <f>ADI42+ACU43-(ADB43+ADC43+ADD43+ADE43+ADF43+ADG43+ACZ43)</f>
        <v/>
      </c>
      <c r="ADJ43" s="12">
        <f>IF(ACO43&gt;0,ACP43/ACO43,0)</f>
        <v/>
      </c>
      <c r="ADK43" s="11">
        <f>IF(ACO42&gt;0,MAX(0,(ACO42+ACD43-ACO43)/ACO42),0)</f>
        <v/>
      </c>
      <c r="ADM43" s="12" t="n">
        <v>39</v>
      </c>
      <c r="ADN43" s="12">
        <f>MOD(ADM43-1+LaunchMonth-1,12)+1</f>
        <v/>
      </c>
      <c r="ADO43" s="12">
        <f>INT((ADM43-1+LaunchMonth-1)/12)+1</f>
        <v/>
      </c>
      <c r="ADP43" s="12">
        <f>VLOOKUP(ADN43,SeasonTable,2,FALSE)</f>
        <v/>
      </c>
      <c r="ADQ43" s="12">
        <f>(1+InflationRate)^INT((ADM43-1)/12)</f>
        <v/>
      </c>
      <c r="ADR43" s="11">
        <f>MonthlyChurn*VLOOKUP(ADN43,ChurnSeasonTable,4,FALSE)</f>
        <v/>
      </c>
      <c r="ADS43" s="12">
        <f>MIN(MAX(MktMin19plus,AEM42*MktPct19plus),MAX(0,AFA42-CashBuffer))</f>
        <v/>
      </c>
      <c r="ADT43" s="12">
        <f>IF(ADS43&gt;0,MAX(1,ROUND(ADS43/CAC*ADP43,0)),0)</f>
        <v/>
      </c>
      <c r="ADU43" s="12">
        <f>IF(ADT43&gt;0,ROUND(ADT43*ReferralMix/(1-ReferralMix),0),0)</f>
        <v/>
      </c>
      <c r="ADV43" s="12">
        <f>ADT43+ADU43</f>
        <v/>
      </c>
      <c r="ADW43" s="12">
        <f>ROUND(ADV43*(1-'Sens - Annual Mix'!$A$15),0)</f>
        <v/>
      </c>
      <c r="ADX43" s="12">
        <f>ADV43-ADW43</f>
        <v/>
      </c>
      <c r="ADY43" s="12">
        <f>ROUND(ADW43*EssentialMix,0)</f>
        <v/>
      </c>
      <c r="ADZ43" s="12">
        <f>ADW43-ADY43</f>
        <v/>
      </c>
      <c r="AEA43" s="12">
        <f>ROUND(ADX43*EssentialMix,0)</f>
        <v/>
      </c>
      <c r="AEB43" s="12">
        <f>ADX43-AEA43</f>
        <v/>
      </c>
      <c r="AEC43" s="12">
        <f>ADY43+ADY42+ADY41+MAX(0,AEC42-ADY42-ADY41)*(1-ADR43)</f>
        <v/>
      </c>
      <c r="AED43" s="12">
        <f>ADZ43+ADZ42+ADZ41+MAX(0,AED42-ADZ42-ADZ41)*(1-ADR43)</f>
        <v/>
      </c>
      <c r="AEE43" s="12">
        <f>AEE42+AEA43-AEA31*(AnnualChurn*VLOOKUP(ADN43,ChurnSeasonTable,4,FALSE))*POWER(1-(AnnualChurn*VLOOKUP(ADN43,ChurnSeasonTable,4,FALSE)),0)+AEA19*(AnnualChurn*VLOOKUP(ADN43,ChurnSeasonTable,4,FALSE))*POWER(1-(AnnualChurn*VLOOKUP(ADN43,ChurnSeasonTable,4,FALSE)),1)+AEA7*(AnnualChurn*VLOOKUP(ADN43,ChurnSeasonTable,4,FALSE))*POWER(1-(AnnualChurn*VLOOKUP(ADN43,ChurnSeasonTable,4,FALSE)),2)</f>
        <v/>
      </c>
      <c r="AEF43" s="12">
        <f>AEF42+AEB43-AEB31*(AnnualChurn*VLOOKUP(ADN43,ChurnSeasonTable,4,FALSE))*POWER(1-(AnnualChurn*VLOOKUP(ADN43,ChurnSeasonTable,4,FALSE)),0)+AEB19*(AnnualChurn*VLOOKUP(ADN43,ChurnSeasonTable,4,FALSE))*POWER(1-(AnnualChurn*VLOOKUP(ADN43,ChurnSeasonTable,4,FALSE)),1)+AEB7*(AnnualChurn*VLOOKUP(ADN43,ChurnSeasonTable,4,FALSE))*POWER(1-(AnnualChurn*VLOOKUP(ADN43,ChurnSeasonTable,4,FALSE)),2)</f>
        <v/>
      </c>
      <c r="AEG43" s="12">
        <f>AEC43+AED43+AEE43+AEF43</f>
        <v/>
      </c>
      <c r="AEH43" s="9">
        <f>AEC43*PriceEssMonthly*ADQ43+AED43*PricePremMonthly*ADQ43+AEE43*PriceEssAnnual*ADQ43/12+AEF43*PricePremAnnual*ADQ43/12</f>
        <v/>
      </c>
      <c r="AEI43" s="9">
        <f>AEH43*12</f>
        <v/>
      </c>
      <c r="AEJ43" s="12">
        <f>AEC43*PriceEssMonthly*ADQ43+AED43*PricePremMonthly*ADQ43</f>
        <v/>
      </c>
      <c r="AEK43" s="12">
        <f>AEA43*PriceEssAnnual*ADQ43+AEB43*PricePremAnnual*ADQ43</f>
        <v/>
      </c>
      <c r="AEL43" s="12">
        <f>AEA31*POWER(1-(AnnualChurn*VLOOKUP(ADN43,ChurnSeasonTable,4,FALSE)),1)*PriceEssAnnual*ADQ43+AEA19*POWER(1-(AnnualChurn*VLOOKUP(ADN43,ChurnSeasonTable,4,FALSE)),2)*PriceEssAnnual*ADQ43+AEA7*POWER(1-(AnnualChurn*VLOOKUP(ADN43,ChurnSeasonTable,4,FALSE)),3)*PriceEssAnnual*ADQ43+AEB31*POWER(1-(AnnualChurn*VLOOKUP(ADN43,ChurnSeasonTable,4,FALSE)),1)*PricePremAnnual*ADQ43+AEB19*POWER(1-(AnnualChurn*VLOOKUP(ADN43,ChurnSeasonTable,4,FALSE)),2)*PricePremAnnual*ADQ43+AEB7*POWER(1-(AnnualChurn*VLOOKUP(ADN43,ChurnSeasonTable,4,FALSE)),3)*PricePremAnnual*ADQ43</f>
        <v/>
      </c>
      <c r="AEM43" s="9">
        <f>AEJ43+AEK43+AEL43</f>
        <v/>
      </c>
      <c r="AEN43" s="12">
        <f>SUM(AEM32:AEM43)</f>
        <v/>
      </c>
      <c r="AEO43" s="12">
        <f>OR(AEO42,AEN43&gt;=VATThreshold)</f>
        <v/>
      </c>
      <c r="AEP43" s="9">
        <f>IF(AEO43,AEM43/(1+VATRate),AEM43)</f>
        <v/>
      </c>
      <c r="AEQ43" s="12">
        <f>AEM43-AEP43</f>
        <v/>
      </c>
      <c r="AER43" s="12">
        <f>IF(AEO43=0,0,IF(ADN43=1,SUMPRODUCT(--(($ADO$5:$ADO43=$ADO43-1)*($ADN$5:$ADN43&gt;=10)*($ADN$5:$ADN43&lt;=12)),$AEQ$5:$AEQ43),IF(ADN43=4,SUMPRODUCT(--(($ADO$5:$ADO43=$ADO43)*($ADN$5:$ADN43&gt;=1)*($ADN$5:$ADN43&lt;=3)),$AEQ$5:$AEQ43),IF(ADN43=7,SUMPRODUCT(--(($ADO$5:$ADO43=$ADO43)*($ADN$5:$ADN43&gt;=4)*($ADN$5:$ADN43&lt;=6)),$AEQ$5:$AEQ43),IF(ADN43=10,SUMPRODUCT(--(($ADO$5:$ADO43=$ADO43)*($ADN$5:$ADN43&gt;=7)*($ADN$5:$ADN43&lt;=9)),$AEQ$5:$AEQ43),0)))))</f>
        <v/>
      </c>
      <c r="AES43" s="12">
        <f>AES42+AEQ43-AER43</f>
        <v/>
      </c>
      <c r="AET43" s="12">
        <f>IF(ProviderDelay&gt;=1,AEP42*ProviderShare,AEP43*ProviderShare)</f>
        <v/>
      </c>
      <c r="AEU43" s="12">
        <f>AEM43*PaymentFee</f>
        <v/>
      </c>
      <c r="AEV43" s="12">
        <f>AEG43*OpsAI</f>
        <v/>
      </c>
      <c r="AEW43" s="12">
        <f>MonthlyFixed</f>
        <v/>
      </c>
      <c r="AEX43" s="12">
        <f>ADU43*ReferralReward</f>
        <v/>
      </c>
      <c r="AEY43" s="12">
        <f>ADS43</f>
        <v/>
      </c>
      <c r="AEZ43" s="9">
        <f>AEP43-AET43-AEU43-AEV43-AEW43-AEX43-AEY43</f>
        <v/>
      </c>
      <c r="AFA43" s="9">
        <f>AFA42+AEM43-(AET43+AEU43+AEV43+AEW43+AEX43+AEY43+AER43)</f>
        <v/>
      </c>
      <c r="AFB43" s="12">
        <f>IF(AEG43&gt;0,AEH43/AEG43,0)</f>
        <v/>
      </c>
      <c r="AFC43" s="11">
        <f>IF(AEG42&gt;0,MAX(0,(AEG42+ADV43-AEG43)/AEG42),0)</f>
        <v/>
      </c>
      <c r="AFE43" s="12" t="n">
        <v>39</v>
      </c>
      <c r="AFF43" s="12">
        <f>MOD(AFE43-1+LaunchMonth-1,12)+1</f>
        <v/>
      </c>
      <c r="AFG43" s="12">
        <f>INT((AFE43-1+LaunchMonth-1)/12)+1</f>
        <v/>
      </c>
      <c r="AFH43" s="12">
        <f>VLOOKUP(AFF43,SeasonTable,2,FALSE)</f>
        <v/>
      </c>
      <c r="AFI43" s="12">
        <f>(1+InflationRate)^INT((AFE43-1)/12)</f>
        <v/>
      </c>
      <c r="AFJ43" s="11">
        <f>MonthlyChurn*VLOOKUP(AFF43,ChurnSeasonTable,4,FALSE)</f>
        <v/>
      </c>
      <c r="AFK43" s="12">
        <f>MIN(MAX(MktMin19plus,AGE42*MktPct19plus),MAX(0,AGS42-CashBuffer))</f>
        <v/>
      </c>
      <c r="AFL43" s="12">
        <f>IF(AFK43&gt;0,MAX(1,ROUND(AFK43/'Sens - CAC &amp; Marketing'!$A$9*AFH43,0)),0)</f>
        <v/>
      </c>
      <c r="AFM43" s="12">
        <f>IF(AFL43&gt;0,ROUND(AFL43*ReferralMix/(1-ReferralMix),0),0)</f>
        <v/>
      </c>
      <c r="AFN43" s="12">
        <f>AFL43+AFM43</f>
        <v/>
      </c>
      <c r="AFO43" s="12">
        <f>ROUND(AFN43*(1-AnnualMix),0)</f>
        <v/>
      </c>
      <c r="AFP43" s="12">
        <f>AFN43-AFO43</f>
        <v/>
      </c>
      <c r="AFQ43" s="12">
        <f>ROUND(AFO43*EssentialMix,0)</f>
        <v/>
      </c>
      <c r="AFR43" s="12">
        <f>AFO43-AFQ43</f>
        <v/>
      </c>
      <c r="AFS43" s="12">
        <f>ROUND(AFP43*EssentialMix,0)</f>
        <v/>
      </c>
      <c r="AFT43" s="12">
        <f>AFP43-AFS43</f>
        <v/>
      </c>
      <c r="AFU43" s="12">
        <f>AFQ43+AFQ42+AFQ41+MAX(0,AFU42-AFQ42-AFQ41)*(1-AFJ43)</f>
        <v/>
      </c>
      <c r="AFV43" s="12">
        <f>AFR43+AFR42+AFR41+MAX(0,AFV42-AFR42-AFR41)*(1-AFJ43)</f>
        <v/>
      </c>
      <c r="AFW43" s="12">
        <f>AFW42+AFS43-AFS31*(AnnualChurn*VLOOKUP(AFF43,ChurnSeasonTable,4,FALSE))*POWER(1-(AnnualChurn*VLOOKUP(AFF43,ChurnSeasonTable,4,FALSE)),0)+AFS19*(AnnualChurn*VLOOKUP(AFF43,ChurnSeasonTable,4,FALSE))*POWER(1-(AnnualChurn*VLOOKUP(AFF43,ChurnSeasonTable,4,FALSE)),1)+AFS7*(AnnualChurn*VLOOKUP(AFF43,ChurnSeasonTable,4,FALSE))*POWER(1-(AnnualChurn*VLOOKUP(AFF43,ChurnSeasonTable,4,FALSE)),2)</f>
        <v/>
      </c>
      <c r="AFX43" s="12">
        <f>AFX42+AFT43-AFT31*(AnnualChurn*VLOOKUP(AFF43,ChurnSeasonTable,4,FALSE))*POWER(1-(AnnualChurn*VLOOKUP(AFF43,ChurnSeasonTable,4,FALSE)),0)+AFT19*(AnnualChurn*VLOOKUP(AFF43,ChurnSeasonTable,4,FALSE))*POWER(1-(AnnualChurn*VLOOKUP(AFF43,ChurnSeasonTable,4,FALSE)),1)+AFT7*(AnnualChurn*VLOOKUP(AFF43,ChurnSeasonTable,4,FALSE))*POWER(1-(AnnualChurn*VLOOKUP(AFF43,ChurnSeasonTable,4,FALSE)),2)</f>
        <v/>
      </c>
      <c r="AFY43" s="12">
        <f>AFU43+AFV43+AFW43+AFX43</f>
        <v/>
      </c>
      <c r="AFZ43" s="9">
        <f>AFU43*PriceEssMonthly*AFI43+AFV43*PricePremMonthly*AFI43+AFW43*PriceEssAnnual*AFI43/12+AFX43*PricePremAnnual*AFI43/12</f>
        <v/>
      </c>
      <c r="AGA43" s="9">
        <f>AFZ43*12</f>
        <v/>
      </c>
      <c r="AGB43" s="12">
        <f>AFU43*PriceEssMonthly*AFI43+AFV43*PricePremMonthly*AFI43</f>
        <v/>
      </c>
      <c r="AGC43" s="12">
        <f>AFS43*PriceEssAnnual*AFI43+AFT43*PricePremAnnual*AFI43</f>
        <v/>
      </c>
      <c r="AGD43" s="12">
        <f>AFS31*POWER(1-(AnnualChurn*VLOOKUP(AFF43,ChurnSeasonTable,4,FALSE)),1)*PriceEssAnnual*AFI43+AFS19*POWER(1-(AnnualChurn*VLOOKUP(AFF43,ChurnSeasonTable,4,FALSE)),2)*PriceEssAnnual*AFI43+AFS7*POWER(1-(AnnualChurn*VLOOKUP(AFF43,ChurnSeasonTable,4,FALSE)),3)*PriceEssAnnual*AFI43+AFT31*POWER(1-(AnnualChurn*VLOOKUP(AFF43,ChurnSeasonTable,4,FALSE)),1)*PricePremAnnual*AFI43+AFT19*POWER(1-(AnnualChurn*VLOOKUP(AFF43,ChurnSeasonTable,4,FALSE)),2)*PricePremAnnual*AFI43+AFT7*POWER(1-(AnnualChurn*VLOOKUP(AFF43,ChurnSeasonTable,4,FALSE)),3)*PricePremAnnual*AFI43</f>
        <v/>
      </c>
      <c r="AGE43" s="9">
        <f>AGB43+AGC43+AGD43</f>
        <v/>
      </c>
      <c r="AGF43" s="12">
        <f>SUM(AGE32:AGE43)</f>
        <v/>
      </c>
      <c r="AGG43" s="12">
        <f>OR(AGG42,AGF43&gt;=VATThreshold)</f>
        <v/>
      </c>
      <c r="AGH43" s="9">
        <f>IF(AGG43,AGE43/(1+VATRate),AGE43)</f>
        <v/>
      </c>
      <c r="AGI43" s="12">
        <f>AGE43-AGH43</f>
        <v/>
      </c>
      <c r="AGJ43" s="12">
        <f>IF(AGG43=0,0,IF(AFF43=1,SUMPRODUCT(--(($AFG$5:$AFG43=$AFG43-1)*($AFF$5:$AFF43&gt;=10)*($AFF$5:$AFF43&lt;=12)),$AGI$5:$AGI43),IF(AFF43=4,SUMPRODUCT(--(($AFG$5:$AFG43=$AFG43)*($AFF$5:$AFF43&gt;=1)*($AFF$5:$AFF43&lt;=3)),$AGI$5:$AGI43),IF(AFF43=7,SUMPRODUCT(--(($AFG$5:$AFG43=$AFG43)*($AFF$5:$AFF43&gt;=4)*($AFF$5:$AFF43&lt;=6)),$AGI$5:$AGI43),IF(AFF43=10,SUMPRODUCT(--(($AFG$5:$AFG43=$AFG43)*($AFF$5:$AFF43&gt;=7)*($AFF$5:$AFF43&lt;=9)),$AGI$5:$AGI43),0)))))</f>
        <v/>
      </c>
      <c r="AGK43" s="12">
        <f>AGK42+AGI43-AGJ43</f>
        <v/>
      </c>
      <c r="AGL43" s="12">
        <f>IF(ProviderDelay&gt;=1,AGH42*ProviderShare,AGH43*ProviderShare)</f>
        <v/>
      </c>
      <c r="AGM43" s="12">
        <f>AGE43*PaymentFee</f>
        <v/>
      </c>
      <c r="AGN43" s="12">
        <f>AFY43*OpsAI</f>
        <v/>
      </c>
      <c r="AGO43" s="12">
        <f>MonthlyFixed</f>
        <v/>
      </c>
      <c r="AGP43" s="12">
        <f>AFM43*ReferralReward</f>
        <v/>
      </c>
      <c r="AGQ43" s="12">
        <f>AFK43</f>
        <v/>
      </c>
      <c r="AGR43" s="9">
        <f>AGH43-AGL43-AGM43-AGN43-AGO43-AGP43-AGQ43</f>
        <v/>
      </c>
      <c r="AGS43" s="9">
        <f>AGS42+AGE43-(AGL43+AGM43+AGN43+AGO43+AGP43+AGQ43+AGJ43)</f>
        <v/>
      </c>
      <c r="AGT43" s="12">
        <f>IF(AFY43&gt;0,AFZ43/AFY43,0)</f>
        <v/>
      </c>
      <c r="AGU43" s="11">
        <f>IF(AFY42&gt;0,MAX(0,(AFY42+AFN43-AFY43)/AFY42),0)</f>
        <v/>
      </c>
      <c r="AGW43" s="12" t="n">
        <v>39</v>
      </c>
      <c r="AGX43" s="12">
        <f>MOD(AGW43-1+LaunchMonth-1,12)+1</f>
        <v/>
      </c>
      <c r="AGY43" s="12">
        <f>INT((AGW43-1+LaunchMonth-1)/12)+1</f>
        <v/>
      </c>
      <c r="AGZ43" s="12">
        <f>VLOOKUP(AGX43,SeasonTable,2,FALSE)</f>
        <v/>
      </c>
      <c r="AHA43" s="12">
        <f>(1+InflationRate)^INT((AGW43-1)/12)</f>
        <v/>
      </c>
      <c r="AHB43" s="11">
        <f>MonthlyChurn*VLOOKUP(AGX43,ChurnSeasonTable,4,FALSE)</f>
        <v/>
      </c>
      <c r="AHC43" s="12">
        <f>MIN(MAX(MktMin19plus,AHW42*MktPct19plus),MAX(0,AIK42-CashBuffer))</f>
        <v/>
      </c>
      <c r="AHD43" s="12">
        <f>IF(AHC43&gt;0,MAX(1,ROUND(AHC43/'Sens - CAC &amp; Marketing'!$A$10*AGZ43,0)),0)</f>
        <v/>
      </c>
      <c r="AHE43" s="12">
        <f>IF(AHD43&gt;0,ROUND(AHD43*ReferralMix/(1-ReferralMix),0),0)</f>
        <v/>
      </c>
      <c r="AHF43" s="12">
        <f>AHD43+AHE43</f>
        <v/>
      </c>
      <c r="AHG43" s="12">
        <f>ROUND(AHF43*(1-AnnualMix),0)</f>
        <v/>
      </c>
      <c r="AHH43" s="12">
        <f>AHF43-AHG43</f>
        <v/>
      </c>
      <c r="AHI43" s="12">
        <f>ROUND(AHG43*EssentialMix,0)</f>
        <v/>
      </c>
      <c r="AHJ43" s="12">
        <f>AHG43-AHI43</f>
        <v/>
      </c>
      <c r="AHK43" s="12">
        <f>ROUND(AHH43*EssentialMix,0)</f>
        <v/>
      </c>
      <c r="AHL43" s="12">
        <f>AHH43-AHK43</f>
        <v/>
      </c>
      <c r="AHM43" s="12">
        <f>AHI43+AHI42+AHI41+MAX(0,AHM42-AHI42-AHI41)*(1-AHB43)</f>
        <v/>
      </c>
      <c r="AHN43" s="12">
        <f>AHJ43+AHJ42+AHJ41+MAX(0,AHN42-AHJ42-AHJ41)*(1-AHB43)</f>
        <v/>
      </c>
      <c r="AHO43" s="12">
        <f>AHO42+AHK43-AHK31*(AnnualChurn*VLOOKUP(AGX43,ChurnSeasonTable,4,FALSE))*POWER(1-(AnnualChurn*VLOOKUP(AGX43,ChurnSeasonTable,4,FALSE)),0)+AHK19*(AnnualChurn*VLOOKUP(AGX43,ChurnSeasonTable,4,FALSE))*POWER(1-(AnnualChurn*VLOOKUP(AGX43,ChurnSeasonTable,4,FALSE)),1)+AHK7*(AnnualChurn*VLOOKUP(AGX43,ChurnSeasonTable,4,FALSE))*POWER(1-(AnnualChurn*VLOOKUP(AGX43,ChurnSeasonTable,4,FALSE)),2)</f>
        <v/>
      </c>
      <c r="AHP43" s="12">
        <f>AHP42+AHL43-AHL31*(AnnualChurn*VLOOKUP(AGX43,ChurnSeasonTable,4,FALSE))*POWER(1-(AnnualChurn*VLOOKUP(AGX43,ChurnSeasonTable,4,FALSE)),0)+AHL19*(AnnualChurn*VLOOKUP(AGX43,ChurnSeasonTable,4,FALSE))*POWER(1-(AnnualChurn*VLOOKUP(AGX43,ChurnSeasonTable,4,FALSE)),1)+AHL7*(AnnualChurn*VLOOKUP(AGX43,ChurnSeasonTable,4,FALSE))*POWER(1-(AnnualChurn*VLOOKUP(AGX43,ChurnSeasonTable,4,FALSE)),2)</f>
        <v/>
      </c>
      <c r="AHQ43" s="12">
        <f>AHM43+AHN43+AHO43+AHP43</f>
        <v/>
      </c>
      <c r="AHR43" s="9">
        <f>AHM43*PriceEssMonthly*AHA43+AHN43*PricePremMonthly*AHA43+AHO43*PriceEssAnnual*AHA43/12+AHP43*PricePremAnnual*AHA43/12</f>
        <v/>
      </c>
      <c r="AHS43" s="9">
        <f>AHR43*12</f>
        <v/>
      </c>
      <c r="AHT43" s="12">
        <f>AHM43*PriceEssMonthly*AHA43+AHN43*PricePremMonthly*AHA43</f>
        <v/>
      </c>
      <c r="AHU43" s="12">
        <f>AHK43*PriceEssAnnual*AHA43+AHL43*PricePremAnnual*AHA43</f>
        <v/>
      </c>
      <c r="AHV43" s="12">
        <f>AHK31*POWER(1-(AnnualChurn*VLOOKUP(AGX43,ChurnSeasonTable,4,FALSE)),1)*PriceEssAnnual*AHA43+AHK19*POWER(1-(AnnualChurn*VLOOKUP(AGX43,ChurnSeasonTable,4,FALSE)),2)*PriceEssAnnual*AHA43+AHK7*POWER(1-(AnnualChurn*VLOOKUP(AGX43,ChurnSeasonTable,4,FALSE)),3)*PriceEssAnnual*AHA43+AHL31*POWER(1-(AnnualChurn*VLOOKUP(AGX43,ChurnSeasonTable,4,FALSE)),1)*PricePremAnnual*AHA43+AHL19*POWER(1-(AnnualChurn*VLOOKUP(AGX43,ChurnSeasonTable,4,FALSE)),2)*PricePremAnnual*AHA43+AHL7*POWER(1-(AnnualChurn*VLOOKUP(AGX43,ChurnSeasonTable,4,FALSE)),3)*PricePremAnnual*AHA43</f>
        <v/>
      </c>
      <c r="AHW43" s="9">
        <f>AHT43+AHU43+AHV43</f>
        <v/>
      </c>
      <c r="AHX43" s="12">
        <f>SUM(AHW32:AHW43)</f>
        <v/>
      </c>
      <c r="AHY43" s="12">
        <f>OR(AHY42,AHX43&gt;=VATThreshold)</f>
        <v/>
      </c>
      <c r="AHZ43" s="9">
        <f>IF(AHY43,AHW43/(1+VATRate),AHW43)</f>
        <v/>
      </c>
      <c r="AIA43" s="12">
        <f>AHW43-AHZ43</f>
        <v/>
      </c>
      <c r="AIB43" s="12">
        <f>IF(AHY43=0,0,IF(AGX43=1,SUMPRODUCT(--(($AGY$5:$AGY43=$AGY43-1)*($AGX$5:$AGX43&gt;=10)*($AGX$5:$AGX43&lt;=12)),$AIA$5:$AIA43),IF(AGX43=4,SUMPRODUCT(--(($AGY$5:$AGY43=$AGY43)*($AGX$5:$AGX43&gt;=1)*($AGX$5:$AGX43&lt;=3)),$AIA$5:$AIA43),IF(AGX43=7,SUMPRODUCT(--(($AGY$5:$AGY43=$AGY43)*($AGX$5:$AGX43&gt;=4)*($AGX$5:$AGX43&lt;=6)),$AIA$5:$AIA43),IF(AGX43=10,SUMPRODUCT(--(($AGY$5:$AGY43=$AGY43)*($AGX$5:$AGX43&gt;=7)*($AGX$5:$AGX43&lt;=9)),$AIA$5:$AIA43),0)))))</f>
        <v/>
      </c>
      <c r="AIC43" s="12">
        <f>AIC42+AIA43-AIB43</f>
        <v/>
      </c>
      <c r="AID43" s="12">
        <f>IF(ProviderDelay&gt;=1,AHZ42*ProviderShare,AHZ43*ProviderShare)</f>
        <v/>
      </c>
      <c r="AIE43" s="12">
        <f>AHW43*PaymentFee</f>
        <v/>
      </c>
      <c r="AIF43" s="12">
        <f>AHQ43*OpsAI</f>
        <v/>
      </c>
      <c r="AIG43" s="12">
        <f>MonthlyFixed</f>
        <v/>
      </c>
      <c r="AIH43" s="12">
        <f>AHE43*ReferralReward</f>
        <v/>
      </c>
      <c r="AII43" s="12">
        <f>AHC43</f>
        <v/>
      </c>
      <c r="AIJ43" s="9">
        <f>AHZ43-AID43-AIE43-AIF43-AIG43-AIH43-AII43</f>
        <v/>
      </c>
      <c r="AIK43" s="9">
        <f>AIK42+AHW43-(AID43+AIE43+AIF43+AIG43+AIH43+AII43+AIB43)</f>
        <v/>
      </c>
      <c r="AIL43" s="12">
        <f>IF(AHQ43&gt;0,AHR43/AHQ43,0)</f>
        <v/>
      </c>
      <c r="AIM43" s="11">
        <f>IF(AHQ42&gt;0,MAX(0,(AHQ42+AHF43-AHQ43)/AHQ42),0)</f>
        <v/>
      </c>
      <c r="AIO43" s="12" t="n">
        <v>39</v>
      </c>
      <c r="AIP43" s="12">
        <f>MOD(AIO43-1+LaunchMonth-1,12)+1</f>
        <v/>
      </c>
      <c r="AIQ43" s="12">
        <f>INT((AIO43-1+LaunchMonth-1)/12)+1</f>
        <v/>
      </c>
      <c r="AIR43" s="12">
        <f>VLOOKUP(AIP43,SeasonTable,2,FALSE)</f>
        <v/>
      </c>
      <c r="AIS43" s="12">
        <f>(1+InflationRate)^INT((AIO43-1)/12)</f>
        <v/>
      </c>
      <c r="AIT43" s="11">
        <f>MonthlyChurn*VLOOKUP(AIP43,ChurnSeasonTable,4,FALSE)</f>
        <v/>
      </c>
      <c r="AIU43" s="12">
        <f>MIN(MAX(MktMin19plus,AJO42*MktPct19plus),MAX(0,AKC42-CashBuffer))</f>
        <v/>
      </c>
      <c r="AIV43" s="12">
        <f>IF(AIU43&gt;0,MAX(1,ROUND(AIU43/'Sens - CAC &amp; Marketing'!$A$11*AIR43,0)),0)</f>
        <v/>
      </c>
      <c r="AIW43" s="12">
        <f>IF(AIV43&gt;0,ROUND(AIV43*ReferralMix/(1-ReferralMix),0),0)</f>
        <v/>
      </c>
      <c r="AIX43" s="12">
        <f>AIV43+AIW43</f>
        <v/>
      </c>
      <c r="AIY43" s="12">
        <f>ROUND(AIX43*(1-AnnualMix),0)</f>
        <v/>
      </c>
      <c r="AIZ43" s="12">
        <f>AIX43-AIY43</f>
        <v/>
      </c>
      <c r="AJA43" s="12">
        <f>ROUND(AIY43*EssentialMix,0)</f>
        <v/>
      </c>
      <c r="AJB43" s="12">
        <f>AIY43-AJA43</f>
        <v/>
      </c>
      <c r="AJC43" s="12">
        <f>ROUND(AIZ43*EssentialMix,0)</f>
        <v/>
      </c>
      <c r="AJD43" s="12">
        <f>AIZ43-AJC43</f>
        <v/>
      </c>
      <c r="AJE43" s="12">
        <f>AJA43+AJA42+AJA41+MAX(0,AJE42-AJA42-AJA41)*(1-AIT43)</f>
        <v/>
      </c>
      <c r="AJF43" s="12">
        <f>AJB43+AJB42+AJB41+MAX(0,AJF42-AJB42-AJB41)*(1-AIT43)</f>
        <v/>
      </c>
      <c r="AJG43" s="12">
        <f>AJG42+AJC43-AJC31*(AnnualChurn*VLOOKUP(AIP43,ChurnSeasonTable,4,FALSE))*POWER(1-(AnnualChurn*VLOOKUP(AIP43,ChurnSeasonTable,4,FALSE)),0)+AJC19*(AnnualChurn*VLOOKUP(AIP43,ChurnSeasonTable,4,FALSE))*POWER(1-(AnnualChurn*VLOOKUP(AIP43,ChurnSeasonTable,4,FALSE)),1)+AJC7*(AnnualChurn*VLOOKUP(AIP43,ChurnSeasonTable,4,FALSE))*POWER(1-(AnnualChurn*VLOOKUP(AIP43,ChurnSeasonTable,4,FALSE)),2)</f>
        <v/>
      </c>
      <c r="AJH43" s="12">
        <f>AJH42+AJD43-AJD31*(AnnualChurn*VLOOKUP(AIP43,ChurnSeasonTable,4,FALSE))*POWER(1-(AnnualChurn*VLOOKUP(AIP43,ChurnSeasonTable,4,FALSE)),0)+AJD19*(AnnualChurn*VLOOKUP(AIP43,ChurnSeasonTable,4,FALSE))*POWER(1-(AnnualChurn*VLOOKUP(AIP43,ChurnSeasonTable,4,FALSE)),1)+AJD7*(AnnualChurn*VLOOKUP(AIP43,ChurnSeasonTable,4,FALSE))*POWER(1-(AnnualChurn*VLOOKUP(AIP43,ChurnSeasonTable,4,FALSE)),2)</f>
        <v/>
      </c>
      <c r="AJI43" s="12">
        <f>AJE43+AJF43+AJG43+AJH43</f>
        <v/>
      </c>
      <c r="AJJ43" s="9">
        <f>AJE43*PriceEssMonthly*AIS43+AJF43*PricePremMonthly*AIS43+AJG43*PriceEssAnnual*AIS43/12+AJH43*PricePremAnnual*AIS43/12</f>
        <v/>
      </c>
      <c r="AJK43" s="9">
        <f>AJJ43*12</f>
        <v/>
      </c>
      <c r="AJL43" s="12">
        <f>AJE43*PriceEssMonthly*AIS43+AJF43*PricePremMonthly*AIS43</f>
        <v/>
      </c>
      <c r="AJM43" s="12">
        <f>AJC43*PriceEssAnnual*AIS43+AJD43*PricePremAnnual*AIS43</f>
        <v/>
      </c>
      <c r="AJN43" s="12">
        <f>AJC31*POWER(1-(AnnualChurn*VLOOKUP(AIP43,ChurnSeasonTable,4,FALSE)),1)*PriceEssAnnual*AIS43+AJC19*POWER(1-(AnnualChurn*VLOOKUP(AIP43,ChurnSeasonTable,4,FALSE)),2)*PriceEssAnnual*AIS43+AJC7*POWER(1-(AnnualChurn*VLOOKUP(AIP43,ChurnSeasonTable,4,FALSE)),3)*PriceEssAnnual*AIS43+AJD31*POWER(1-(AnnualChurn*VLOOKUP(AIP43,ChurnSeasonTable,4,FALSE)),1)*PricePremAnnual*AIS43+AJD19*POWER(1-(AnnualChurn*VLOOKUP(AIP43,ChurnSeasonTable,4,FALSE)),2)*PricePremAnnual*AIS43+AJD7*POWER(1-(AnnualChurn*VLOOKUP(AIP43,ChurnSeasonTable,4,FALSE)),3)*PricePremAnnual*AIS43</f>
        <v/>
      </c>
      <c r="AJO43" s="9">
        <f>AJL43+AJM43+AJN43</f>
        <v/>
      </c>
      <c r="AJP43" s="12">
        <f>SUM(AJO32:AJO43)</f>
        <v/>
      </c>
      <c r="AJQ43" s="12">
        <f>OR(AJQ42,AJP43&gt;=VATThreshold)</f>
        <v/>
      </c>
      <c r="AJR43" s="9">
        <f>IF(AJQ43,AJO43/(1+VATRate),AJO43)</f>
        <v/>
      </c>
      <c r="AJS43" s="12">
        <f>AJO43-AJR43</f>
        <v/>
      </c>
      <c r="AJT43" s="12">
        <f>IF(AJQ43=0,0,IF(AIP43=1,SUMPRODUCT(--(($AIQ$5:$AIQ43=$AIQ43-1)*($AIP$5:$AIP43&gt;=10)*($AIP$5:$AIP43&lt;=12)),$AJS$5:$AJS43),IF(AIP43=4,SUMPRODUCT(--(($AIQ$5:$AIQ43=$AIQ43)*($AIP$5:$AIP43&gt;=1)*($AIP$5:$AIP43&lt;=3)),$AJS$5:$AJS43),IF(AIP43=7,SUMPRODUCT(--(($AIQ$5:$AIQ43=$AIQ43)*($AIP$5:$AIP43&gt;=4)*($AIP$5:$AIP43&lt;=6)),$AJS$5:$AJS43),IF(AIP43=10,SUMPRODUCT(--(($AIQ$5:$AIQ43=$AIQ43)*($AIP$5:$AIP43&gt;=7)*($AIP$5:$AIP43&lt;=9)),$AJS$5:$AJS43),0)))))</f>
        <v/>
      </c>
      <c r="AJU43" s="12">
        <f>AJU42+AJS43-AJT43</f>
        <v/>
      </c>
      <c r="AJV43" s="12">
        <f>IF(ProviderDelay&gt;=1,AJR42*ProviderShare,AJR43*ProviderShare)</f>
        <v/>
      </c>
      <c r="AJW43" s="12">
        <f>AJO43*PaymentFee</f>
        <v/>
      </c>
      <c r="AJX43" s="12">
        <f>AJI43*OpsAI</f>
        <v/>
      </c>
      <c r="AJY43" s="12">
        <f>MonthlyFixed</f>
        <v/>
      </c>
      <c r="AJZ43" s="12">
        <f>AIW43*ReferralReward</f>
        <v/>
      </c>
      <c r="AKA43" s="12">
        <f>AIU43</f>
        <v/>
      </c>
      <c r="AKB43" s="9">
        <f>AJR43-AJV43-AJW43-AJX43-AJY43-AJZ43-AKA43</f>
        <v/>
      </c>
      <c r="AKC43" s="9">
        <f>AKC42+AJO43-(AJV43+AJW43+AJX43+AJY43+AJZ43+AKA43+AJT43)</f>
        <v/>
      </c>
      <c r="AKD43" s="12">
        <f>IF(AJI43&gt;0,AJJ43/AJI43,0)</f>
        <v/>
      </c>
      <c r="AKE43" s="11">
        <f>IF(AJI42&gt;0,MAX(0,(AJI42+AIX43-AJI43)/AJI42),0)</f>
        <v/>
      </c>
      <c r="AKG43" s="12" t="n">
        <v>39</v>
      </c>
      <c r="AKH43" s="12">
        <f>MOD(AKG43-1+LaunchMonth-1,12)+1</f>
        <v/>
      </c>
      <c r="AKI43" s="12">
        <f>INT((AKG43-1+LaunchMonth-1)/12)+1</f>
        <v/>
      </c>
      <c r="AKJ43" s="12">
        <f>VLOOKUP(AKH43,SeasonTable,2,FALSE)</f>
        <v/>
      </c>
      <c r="AKK43" s="12">
        <f>(1+InflationRate)^INT((AKG43-1)/12)</f>
        <v/>
      </c>
      <c r="AKL43" s="11">
        <f>MonthlyChurn*VLOOKUP(AKH43,ChurnSeasonTable,4,FALSE)</f>
        <v/>
      </c>
      <c r="AKM43" s="12">
        <f>MIN(MAX(MktMin19plus,ALG42*MktPct19plus),MAX(0,ALU42-CashBuffer))</f>
        <v/>
      </c>
      <c r="AKN43" s="12">
        <f>IF(AKM43&gt;0,MAX(1,ROUND(AKM43/'Sens - CAC &amp; Marketing'!$A$12*AKJ43,0)),0)</f>
        <v/>
      </c>
      <c r="AKO43" s="12">
        <f>IF(AKN43&gt;0,ROUND(AKN43*ReferralMix/(1-ReferralMix),0),0)</f>
        <v/>
      </c>
      <c r="AKP43" s="12">
        <f>AKN43+AKO43</f>
        <v/>
      </c>
      <c r="AKQ43" s="12">
        <f>ROUND(AKP43*(1-AnnualMix),0)</f>
        <v/>
      </c>
      <c r="AKR43" s="12">
        <f>AKP43-AKQ43</f>
        <v/>
      </c>
      <c r="AKS43" s="12">
        <f>ROUND(AKQ43*EssentialMix,0)</f>
        <v/>
      </c>
      <c r="AKT43" s="12">
        <f>AKQ43-AKS43</f>
        <v/>
      </c>
      <c r="AKU43" s="12">
        <f>ROUND(AKR43*EssentialMix,0)</f>
        <v/>
      </c>
      <c r="AKV43" s="12">
        <f>AKR43-AKU43</f>
        <v/>
      </c>
      <c r="AKW43" s="12">
        <f>AKS43+AKS42+AKS41+MAX(0,AKW42-AKS42-AKS41)*(1-AKL43)</f>
        <v/>
      </c>
      <c r="AKX43" s="12">
        <f>AKT43+AKT42+AKT41+MAX(0,AKX42-AKT42-AKT41)*(1-AKL43)</f>
        <v/>
      </c>
      <c r="AKY43" s="12">
        <f>AKY42+AKU43-AKU31*(AnnualChurn*VLOOKUP(AKH43,ChurnSeasonTable,4,FALSE))*POWER(1-(AnnualChurn*VLOOKUP(AKH43,ChurnSeasonTable,4,FALSE)),0)+AKU19*(AnnualChurn*VLOOKUP(AKH43,ChurnSeasonTable,4,FALSE))*POWER(1-(AnnualChurn*VLOOKUP(AKH43,ChurnSeasonTable,4,FALSE)),1)+AKU7*(AnnualChurn*VLOOKUP(AKH43,ChurnSeasonTable,4,FALSE))*POWER(1-(AnnualChurn*VLOOKUP(AKH43,ChurnSeasonTable,4,FALSE)),2)</f>
        <v/>
      </c>
      <c r="AKZ43" s="12">
        <f>AKZ42+AKV43-AKV31*(AnnualChurn*VLOOKUP(AKH43,ChurnSeasonTable,4,FALSE))*POWER(1-(AnnualChurn*VLOOKUP(AKH43,ChurnSeasonTable,4,FALSE)),0)+AKV19*(AnnualChurn*VLOOKUP(AKH43,ChurnSeasonTable,4,FALSE))*POWER(1-(AnnualChurn*VLOOKUP(AKH43,ChurnSeasonTable,4,FALSE)),1)+AKV7*(AnnualChurn*VLOOKUP(AKH43,ChurnSeasonTable,4,FALSE))*POWER(1-(AnnualChurn*VLOOKUP(AKH43,ChurnSeasonTable,4,FALSE)),2)</f>
        <v/>
      </c>
      <c r="ALA43" s="12">
        <f>AKW43+AKX43+AKY43+AKZ43</f>
        <v/>
      </c>
      <c r="ALB43" s="9">
        <f>AKW43*PriceEssMonthly*AKK43+AKX43*PricePremMonthly*AKK43+AKY43*PriceEssAnnual*AKK43/12+AKZ43*PricePremAnnual*AKK43/12</f>
        <v/>
      </c>
      <c r="ALC43" s="9">
        <f>ALB43*12</f>
        <v/>
      </c>
      <c r="ALD43" s="12">
        <f>AKW43*PriceEssMonthly*AKK43+AKX43*PricePremMonthly*AKK43</f>
        <v/>
      </c>
      <c r="ALE43" s="12">
        <f>AKU43*PriceEssAnnual*AKK43+AKV43*PricePremAnnual*AKK43</f>
        <v/>
      </c>
      <c r="ALF43" s="12">
        <f>AKU31*POWER(1-(AnnualChurn*VLOOKUP(AKH43,ChurnSeasonTable,4,FALSE)),1)*PriceEssAnnual*AKK43+AKU19*POWER(1-(AnnualChurn*VLOOKUP(AKH43,ChurnSeasonTable,4,FALSE)),2)*PriceEssAnnual*AKK43+AKU7*POWER(1-(AnnualChurn*VLOOKUP(AKH43,ChurnSeasonTable,4,FALSE)),3)*PriceEssAnnual*AKK43+AKV31*POWER(1-(AnnualChurn*VLOOKUP(AKH43,ChurnSeasonTable,4,FALSE)),1)*PricePremAnnual*AKK43+AKV19*POWER(1-(AnnualChurn*VLOOKUP(AKH43,ChurnSeasonTable,4,FALSE)),2)*PricePremAnnual*AKK43+AKV7*POWER(1-(AnnualChurn*VLOOKUP(AKH43,ChurnSeasonTable,4,FALSE)),3)*PricePremAnnual*AKK43</f>
        <v/>
      </c>
      <c r="ALG43" s="9">
        <f>ALD43+ALE43+ALF43</f>
        <v/>
      </c>
      <c r="ALH43" s="12">
        <f>SUM(ALG32:ALG43)</f>
        <v/>
      </c>
      <c r="ALI43" s="12">
        <f>OR(ALI42,ALH43&gt;=VATThreshold)</f>
        <v/>
      </c>
      <c r="ALJ43" s="9">
        <f>IF(ALI43,ALG43/(1+VATRate),ALG43)</f>
        <v/>
      </c>
      <c r="ALK43" s="12">
        <f>ALG43-ALJ43</f>
        <v/>
      </c>
      <c r="ALL43" s="12">
        <f>IF(ALI43=0,0,IF(AKH43=1,SUMPRODUCT(--(($AKI$5:$AKI43=$AKI43-1)*($AKH$5:$AKH43&gt;=10)*($AKH$5:$AKH43&lt;=12)),$ALK$5:$ALK43),IF(AKH43=4,SUMPRODUCT(--(($AKI$5:$AKI43=$AKI43)*($AKH$5:$AKH43&gt;=1)*($AKH$5:$AKH43&lt;=3)),$ALK$5:$ALK43),IF(AKH43=7,SUMPRODUCT(--(($AKI$5:$AKI43=$AKI43)*($AKH$5:$AKH43&gt;=4)*($AKH$5:$AKH43&lt;=6)),$ALK$5:$ALK43),IF(AKH43=10,SUMPRODUCT(--(($AKI$5:$AKI43=$AKI43)*($AKH$5:$AKH43&gt;=7)*($AKH$5:$AKH43&lt;=9)),$ALK$5:$ALK43),0)))))</f>
        <v/>
      </c>
      <c r="ALM43" s="12">
        <f>ALM42+ALK43-ALL43</f>
        <v/>
      </c>
      <c r="ALN43" s="12">
        <f>IF(ProviderDelay&gt;=1,ALJ42*ProviderShare,ALJ43*ProviderShare)</f>
        <v/>
      </c>
      <c r="ALO43" s="12">
        <f>ALG43*PaymentFee</f>
        <v/>
      </c>
      <c r="ALP43" s="12">
        <f>ALA43*OpsAI</f>
        <v/>
      </c>
      <c r="ALQ43" s="12">
        <f>MonthlyFixed</f>
        <v/>
      </c>
      <c r="ALR43" s="12">
        <f>AKO43*ReferralReward</f>
        <v/>
      </c>
      <c r="ALS43" s="12">
        <f>AKM43</f>
        <v/>
      </c>
      <c r="ALT43" s="9">
        <f>ALJ43-ALN43-ALO43-ALP43-ALQ43-ALR43-ALS43</f>
        <v/>
      </c>
      <c r="ALU43" s="9">
        <f>ALU42+ALG43-(ALN43+ALO43+ALP43+ALQ43+ALR43+ALS43+ALL43)</f>
        <v/>
      </c>
      <c r="ALV43" s="12">
        <f>IF(ALA43&gt;0,ALB43/ALA43,0)</f>
        <v/>
      </c>
      <c r="ALW43" s="11">
        <f>IF(ALA42&gt;0,MAX(0,(ALA42+AKP43-ALA43)/ALA42),0)</f>
        <v/>
      </c>
      <c r="ALY43" s="12" t="n">
        <v>39</v>
      </c>
      <c r="ALZ43" s="12">
        <f>MOD(ALY43-1+LaunchMonth-1,12)+1</f>
        <v/>
      </c>
      <c r="AMA43" s="12">
        <f>INT((ALY43-1+LaunchMonth-1)/12)+1</f>
        <v/>
      </c>
      <c r="AMB43" s="12">
        <f>VLOOKUP(ALZ43,SeasonTable,2,FALSE)</f>
        <v/>
      </c>
      <c r="AMC43" s="12">
        <f>(1+InflationRate)^INT((ALY43-1)/12)</f>
        <v/>
      </c>
      <c r="AMD43" s="11">
        <f>MonthlyChurn*VLOOKUP(ALZ43,ChurnSeasonTable,4,FALSE)</f>
        <v/>
      </c>
      <c r="AME43" s="12">
        <f>MIN(MAX(MktMin19plus,AMY42*MktPct19plus),MAX(0,ANM42-CashBuffer))</f>
        <v/>
      </c>
      <c r="AMF43" s="12">
        <f>IF(AME43&gt;0,MAX(1,ROUND(AME43/'Sens - CAC &amp; Marketing'!$A$13*AMB43,0)),0)</f>
        <v/>
      </c>
      <c r="AMG43" s="12">
        <f>IF(AMF43&gt;0,ROUND(AMF43*ReferralMix/(1-ReferralMix),0),0)</f>
        <v/>
      </c>
      <c r="AMH43" s="12">
        <f>AMF43+AMG43</f>
        <v/>
      </c>
      <c r="AMI43" s="12">
        <f>ROUND(AMH43*(1-AnnualMix),0)</f>
        <v/>
      </c>
      <c r="AMJ43" s="12">
        <f>AMH43-AMI43</f>
        <v/>
      </c>
      <c r="AMK43" s="12">
        <f>ROUND(AMI43*EssentialMix,0)</f>
        <v/>
      </c>
      <c r="AML43" s="12">
        <f>AMI43-AMK43</f>
        <v/>
      </c>
      <c r="AMM43" s="12">
        <f>ROUND(AMJ43*EssentialMix,0)</f>
        <v/>
      </c>
      <c r="AMN43" s="12">
        <f>AMJ43-AMM43</f>
        <v/>
      </c>
      <c r="AMO43" s="12">
        <f>AMK43+AMK42+AMK41+MAX(0,AMO42-AMK42-AMK41)*(1-AMD43)</f>
        <v/>
      </c>
      <c r="AMP43" s="12">
        <f>AML43+AML42+AML41+MAX(0,AMP42-AML42-AML41)*(1-AMD43)</f>
        <v/>
      </c>
      <c r="AMQ43" s="12">
        <f>AMQ42+AMM43-AMM31*(AnnualChurn*VLOOKUP(ALZ43,ChurnSeasonTable,4,FALSE))*POWER(1-(AnnualChurn*VLOOKUP(ALZ43,ChurnSeasonTable,4,FALSE)),0)+AMM19*(AnnualChurn*VLOOKUP(ALZ43,ChurnSeasonTable,4,FALSE))*POWER(1-(AnnualChurn*VLOOKUP(ALZ43,ChurnSeasonTable,4,FALSE)),1)+AMM7*(AnnualChurn*VLOOKUP(ALZ43,ChurnSeasonTable,4,FALSE))*POWER(1-(AnnualChurn*VLOOKUP(ALZ43,ChurnSeasonTable,4,FALSE)),2)</f>
        <v/>
      </c>
      <c r="AMR43" s="12">
        <f>AMR42+AMN43-AMN31*(AnnualChurn*VLOOKUP(ALZ43,ChurnSeasonTable,4,FALSE))*POWER(1-(AnnualChurn*VLOOKUP(ALZ43,ChurnSeasonTable,4,FALSE)),0)+AMN19*(AnnualChurn*VLOOKUP(ALZ43,ChurnSeasonTable,4,FALSE))*POWER(1-(AnnualChurn*VLOOKUP(ALZ43,ChurnSeasonTable,4,FALSE)),1)+AMN7*(AnnualChurn*VLOOKUP(ALZ43,ChurnSeasonTable,4,FALSE))*POWER(1-(AnnualChurn*VLOOKUP(ALZ43,ChurnSeasonTable,4,FALSE)),2)</f>
        <v/>
      </c>
      <c r="AMS43" s="12">
        <f>AMO43+AMP43+AMQ43+AMR43</f>
        <v/>
      </c>
      <c r="AMT43" s="9">
        <f>AMO43*PriceEssMonthly*AMC43+AMP43*PricePremMonthly*AMC43+AMQ43*PriceEssAnnual*AMC43/12+AMR43*PricePremAnnual*AMC43/12</f>
        <v/>
      </c>
      <c r="AMU43" s="9">
        <f>AMT43*12</f>
        <v/>
      </c>
      <c r="AMV43" s="12">
        <f>AMO43*PriceEssMonthly*AMC43+AMP43*PricePremMonthly*AMC43</f>
        <v/>
      </c>
      <c r="AMW43" s="12">
        <f>AMM43*PriceEssAnnual*AMC43+AMN43*PricePremAnnual*AMC43</f>
        <v/>
      </c>
      <c r="AMX43" s="12">
        <f>AMM31*POWER(1-(AnnualChurn*VLOOKUP(ALZ43,ChurnSeasonTable,4,FALSE)),1)*PriceEssAnnual*AMC43+AMM19*POWER(1-(AnnualChurn*VLOOKUP(ALZ43,ChurnSeasonTable,4,FALSE)),2)*PriceEssAnnual*AMC43+AMM7*POWER(1-(AnnualChurn*VLOOKUP(ALZ43,ChurnSeasonTable,4,FALSE)),3)*PriceEssAnnual*AMC43+AMN31*POWER(1-(AnnualChurn*VLOOKUP(ALZ43,ChurnSeasonTable,4,FALSE)),1)*PricePremAnnual*AMC43+AMN19*POWER(1-(AnnualChurn*VLOOKUP(ALZ43,ChurnSeasonTable,4,FALSE)),2)*PricePremAnnual*AMC43+AMN7*POWER(1-(AnnualChurn*VLOOKUP(ALZ43,ChurnSeasonTable,4,FALSE)),3)*PricePremAnnual*AMC43</f>
        <v/>
      </c>
      <c r="AMY43" s="9">
        <f>AMV43+AMW43+AMX43</f>
        <v/>
      </c>
      <c r="AMZ43" s="12">
        <f>SUM(AMY32:AMY43)</f>
        <v/>
      </c>
      <c r="ANA43" s="12">
        <f>OR(ANA42,AMZ43&gt;=VATThreshold)</f>
        <v/>
      </c>
      <c r="ANB43" s="9">
        <f>IF(ANA43,AMY43/(1+VATRate),AMY43)</f>
        <v/>
      </c>
      <c r="ANC43" s="12">
        <f>AMY43-ANB43</f>
        <v/>
      </c>
      <c r="AND43" s="12">
        <f>IF(ANA43=0,0,IF(ALZ43=1,SUMPRODUCT(--(($AMA$5:$AMA43=$AMA43-1)*($ALZ$5:$ALZ43&gt;=10)*($ALZ$5:$ALZ43&lt;=12)),$ANC$5:$ANC43),IF(ALZ43=4,SUMPRODUCT(--(($AMA$5:$AMA43=$AMA43)*($ALZ$5:$ALZ43&gt;=1)*($ALZ$5:$ALZ43&lt;=3)),$ANC$5:$ANC43),IF(ALZ43=7,SUMPRODUCT(--(($AMA$5:$AMA43=$AMA43)*($ALZ$5:$ALZ43&gt;=4)*($ALZ$5:$ALZ43&lt;=6)),$ANC$5:$ANC43),IF(ALZ43=10,SUMPRODUCT(--(($AMA$5:$AMA43=$AMA43)*($ALZ$5:$ALZ43&gt;=7)*($ALZ$5:$ALZ43&lt;=9)),$ANC$5:$ANC43),0)))))</f>
        <v/>
      </c>
      <c r="ANE43" s="12">
        <f>ANE42+ANC43-AND43</f>
        <v/>
      </c>
      <c r="ANF43" s="12">
        <f>IF(ProviderDelay&gt;=1,ANB42*ProviderShare,ANB43*ProviderShare)</f>
        <v/>
      </c>
      <c r="ANG43" s="12">
        <f>AMY43*PaymentFee</f>
        <v/>
      </c>
      <c r="ANH43" s="12">
        <f>AMS43*OpsAI</f>
        <v/>
      </c>
      <c r="ANI43" s="12">
        <f>MonthlyFixed</f>
        <v/>
      </c>
      <c r="ANJ43" s="12">
        <f>AMG43*ReferralReward</f>
        <v/>
      </c>
      <c r="ANK43" s="12">
        <f>AME43</f>
        <v/>
      </c>
      <c r="ANL43" s="9">
        <f>ANB43-ANF43-ANG43-ANH43-ANI43-ANJ43-ANK43</f>
        <v/>
      </c>
      <c r="ANM43" s="9">
        <f>ANM42+AMY43-(ANF43+ANG43+ANH43+ANI43+ANJ43+ANK43+AND43)</f>
        <v/>
      </c>
      <c r="ANN43" s="12">
        <f>IF(AMS43&gt;0,AMT43/AMS43,0)</f>
        <v/>
      </c>
      <c r="ANO43" s="11">
        <f>IF(AMS42&gt;0,MAX(0,(AMS42+AMH43-AMS43)/AMS42),0)</f>
        <v/>
      </c>
      <c r="ANQ43" s="12" t="n">
        <v>39</v>
      </c>
      <c r="ANR43" s="12">
        <f>MOD(ANQ43-1+LaunchMonth-1,12)+1</f>
        <v/>
      </c>
      <c r="ANS43" s="12">
        <f>INT((ANQ43-1+LaunchMonth-1)/12)+1</f>
        <v/>
      </c>
      <c r="ANT43" s="12">
        <f>VLOOKUP(ANR43,SeasonTable,2,FALSE)</f>
        <v/>
      </c>
      <c r="ANU43" s="12">
        <f>(1+InflationRate)^INT((ANQ43-1)/12)</f>
        <v/>
      </c>
      <c r="ANV43" s="11">
        <f>MonthlyChurn*VLOOKUP(ANR43,ChurnSeasonTable,4,FALSE)</f>
        <v/>
      </c>
      <c r="ANW43" s="12">
        <f>MIN(MAX(MktMin19plus,AOQ42*MktPct19plus),MAX(0,APE42-CashBuffer))</f>
        <v/>
      </c>
      <c r="ANX43" s="12">
        <f>IF(ANW43&gt;0,MAX(1,ROUND(ANW43/'Sens - CAC &amp; Marketing'!$A$14*ANT43,0)),0)</f>
        <v/>
      </c>
      <c r="ANY43" s="12">
        <f>IF(ANX43&gt;0,ROUND(ANX43*ReferralMix/(1-ReferralMix),0),0)</f>
        <v/>
      </c>
      <c r="ANZ43" s="12">
        <f>ANX43+ANY43</f>
        <v/>
      </c>
      <c r="AOA43" s="12">
        <f>ROUND(ANZ43*(1-AnnualMix),0)</f>
        <v/>
      </c>
      <c r="AOB43" s="12">
        <f>ANZ43-AOA43</f>
        <v/>
      </c>
      <c r="AOC43" s="12">
        <f>ROUND(AOA43*EssentialMix,0)</f>
        <v/>
      </c>
      <c r="AOD43" s="12">
        <f>AOA43-AOC43</f>
        <v/>
      </c>
      <c r="AOE43" s="12">
        <f>ROUND(AOB43*EssentialMix,0)</f>
        <v/>
      </c>
      <c r="AOF43" s="12">
        <f>AOB43-AOE43</f>
        <v/>
      </c>
      <c r="AOG43" s="12">
        <f>AOC43+AOC42+AOC41+MAX(0,AOG42-AOC42-AOC41)*(1-ANV43)</f>
        <v/>
      </c>
      <c r="AOH43" s="12">
        <f>AOD43+AOD42+AOD41+MAX(0,AOH42-AOD42-AOD41)*(1-ANV43)</f>
        <v/>
      </c>
      <c r="AOI43" s="12">
        <f>AOI42+AOE43-AOE31*(AnnualChurn*VLOOKUP(ANR43,ChurnSeasonTable,4,FALSE))*POWER(1-(AnnualChurn*VLOOKUP(ANR43,ChurnSeasonTable,4,FALSE)),0)+AOE19*(AnnualChurn*VLOOKUP(ANR43,ChurnSeasonTable,4,FALSE))*POWER(1-(AnnualChurn*VLOOKUP(ANR43,ChurnSeasonTable,4,FALSE)),1)+AOE7*(AnnualChurn*VLOOKUP(ANR43,ChurnSeasonTable,4,FALSE))*POWER(1-(AnnualChurn*VLOOKUP(ANR43,ChurnSeasonTable,4,FALSE)),2)</f>
        <v/>
      </c>
      <c r="AOJ43" s="12">
        <f>AOJ42+AOF43-AOF31*(AnnualChurn*VLOOKUP(ANR43,ChurnSeasonTable,4,FALSE))*POWER(1-(AnnualChurn*VLOOKUP(ANR43,ChurnSeasonTable,4,FALSE)),0)+AOF19*(AnnualChurn*VLOOKUP(ANR43,ChurnSeasonTable,4,FALSE))*POWER(1-(AnnualChurn*VLOOKUP(ANR43,ChurnSeasonTable,4,FALSE)),1)+AOF7*(AnnualChurn*VLOOKUP(ANR43,ChurnSeasonTable,4,FALSE))*POWER(1-(AnnualChurn*VLOOKUP(ANR43,ChurnSeasonTable,4,FALSE)),2)</f>
        <v/>
      </c>
      <c r="AOK43" s="12">
        <f>AOG43+AOH43+AOI43+AOJ43</f>
        <v/>
      </c>
      <c r="AOL43" s="9">
        <f>AOG43*PriceEssMonthly*ANU43+AOH43*PricePremMonthly*ANU43+AOI43*PriceEssAnnual*ANU43/12+AOJ43*PricePremAnnual*ANU43/12</f>
        <v/>
      </c>
      <c r="AOM43" s="9">
        <f>AOL43*12</f>
        <v/>
      </c>
      <c r="AON43" s="12">
        <f>AOG43*PriceEssMonthly*ANU43+AOH43*PricePremMonthly*ANU43</f>
        <v/>
      </c>
      <c r="AOO43" s="12">
        <f>AOE43*PriceEssAnnual*ANU43+AOF43*PricePremAnnual*ANU43</f>
        <v/>
      </c>
      <c r="AOP43" s="12">
        <f>AOE31*POWER(1-(AnnualChurn*VLOOKUP(ANR43,ChurnSeasonTable,4,FALSE)),1)*PriceEssAnnual*ANU43+AOE19*POWER(1-(AnnualChurn*VLOOKUP(ANR43,ChurnSeasonTable,4,FALSE)),2)*PriceEssAnnual*ANU43+AOE7*POWER(1-(AnnualChurn*VLOOKUP(ANR43,ChurnSeasonTable,4,FALSE)),3)*PriceEssAnnual*ANU43+AOF31*POWER(1-(AnnualChurn*VLOOKUP(ANR43,ChurnSeasonTable,4,FALSE)),1)*PricePremAnnual*ANU43+AOF19*POWER(1-(AnnualChurn*VLOOKUP(ANR43,ChurnSeasonTable,4,FALSE)),2)*PricePremAnnual*ANU43+AOF7*POWER(1-(AnnualChurn*VLOOKUP(ANR43,ChurnSeasonTable,4,FALSE)),3)*PricePremAnnual*ANU43</f>
        <v/>
      </c>
      <c r="AOQ43" s="9">
        <f>AON43+AOO43+AOP43</f>
        <v/>
      </c>
      <c r="AOR43" s="12">
        <f>SUM(AOQ32:AOQ43)</f>
        <v/>
      </c>
      <c r="AOS43" s="12">
        <f>OR(AOS42,AOR43&gt;=VATThreshold)</f>
        <v/>
      </c>
      <c r="AOT43" s="9">
        <f>IF(AOS43,AOQ43/(1+VATRate),AOQ43)</f>
        <v/>
      </c>
      <c r="AOU43" s="12">
        <f>AOQ43-AOT43</f>
        <v/>
      </c>
      <c r="AOV43" s="12">
        <f>IF(AOS43=0,0,IF(ANR43=1,SUMPRODUCT(--(($ANS$5:$ANS43=$ANS43-1)*($ANR$5:$ANR43&gt;=10)*($ANR$5:$ANR43&lt;=12)),$AOU$5:$AOU43),IF(ANR43=4,SUMPRODUCT(--(($ANS$5:$ANS43=$ANS43)*($ANR$5:$ANR43&gt;=1)*($ANR$5:$ANR43&lt;=3)),$AOU$5:$AOU43),IF(ANR43=7,SUMPRODUCT(--(($ANS$5:$ANS43=$ANS43)*($ANR$5:$ANR43&gt;=4)*($ANR$5:$ANR43&lt;=6)),$AOU$5:$AOU43),IF(ANR43=10,SUMPRODUCT(--(($ANS$5:$ANS43=$ANS43)*($ANR$5:$ANR43&gt;=7)*($ANR$5:$ANR43&lt;=9)),$AOU$5:$AOU43),0)))))</f>
        <v/>
      </c>
      <c r="AOW43" s="12">
        <f>AOW42+AOU43-AOV43</f>
        <v/>
      </c>
      <c r="AOX43" s="12">
        <f>IF(ProviderDelay&gt;=1,AOT42*ProviderShare,AOT43*ProviderShare)</f>
        <v/>
      </c>
      <c r="AOY43" s="12">
        <f>AOQ43*PaymentFee</f>
        <v/>
      </c>
      <c r="AOZ43" s="12">
        <f>AOK43*OpsAI</f>
        <v/>
      </c>
      <c r="APA43" s="12">
        <f>MonthlyFixed</f>
        <v/>
      </c>
      <c r="APB43" s="12">
        <f>ANY43*ReferralReward</f>
        <v/>
      </c>
      <c r="APC43" s="12">
        <f>ANW43</f>
        <v/>
      </c>
      <c r="APD43" s="9">
        <f>AOT43-AOX43-AOY43-AOZ43-APA43-APB43-APC43</f>
        <v/>
      </c>
      <c r="APE43" s="9">
        <f>APE42+AOQ43-(AOX43+AOY43+AOZ43+APA43+APB43+APC43+AOV43)</f>
        <v/>
      </c>
      <c r="APF43" s="12">
        <f>IF(AOK43&gt;0,AOL43/AOK43,0)</f>
        <v/>
      </c>
      <c r="APG43" s="11">
        <f>IF(AOK42&gt;0,MAX(0,(AOK42+ANZ43-AOK43)/AOK42),0)</f>
        <v/>
      </c>
      <c r="API43" s="12" t="n">
        <v>39</v>
      </c>
      <c r="APJ43" s="12">
        <f>MOD(API43-1+LaunchMonth-1,12)+1</f>
        <v/>
      </c>
      <c r="APK43" s="12">
        <f>INT((API43-1+LaunchMonth-1)/12)+1</f>
        <v/>
      </c>
      <c r="APL43" s="12">
        <f>VLOOKUP(APJ43,SeasonTable,2,FALSE)</f>
        <v/>
      </c>
      <c r="APM43" s="12">
        <f>(1+InflationRate)^INT((API43-1)/12)</f>
        <v/>
      </c>
      <c r="APN43" s="11">
        <f>MonthlyChurn*VLOOKUP(APJ43,ChurnSeasonTable,4,FALSE)</f>
        <v/>
      </c>
      <c r="APO43" s="12">
        <f>MIN(MAX(MktMin19plus,AQI42*MktPct19plus),MAX(0,AQW42-CashBuffer))</f>
        <v/>
      </c>
      <c r="APP43" s="12">
        <f>IF(APO43&gt;0,MAX(1,ROUND(APO43/'Sens - CAC &amp; Marketing'!$A$15*APL43,0)),0)</f>
        <v/>
      </c>
      <c r="APQ43" s="12">
        <f>IF(APP43&gt;0,ROUND(APP43*ReferralMix/(1-ReferralMix),0),0)</f>
        <v/>
      </c>
      <c r="APR43" s="12">
        <f>APP43+APQ43</f>
        <v/>
      </c>
      <c r="APS43" s="12">
        <f>ROUND(APR43*(1-AnnualMix),0)</f>
        <v/>
      </c>
      <c r="APT43" s="12">
        <f>APR43-APS43</f>
        <v/>
      </c>
      <c r="APU43" s="12">
        <f>ROUND(APS43*EssentialMix,0)</f>
        <v/>
      </c>
      <c r="APV43" s="12">
        <f>APS43-APU43</f>
        <v/>
      </c>
      <c r="APW43" s="12">
        <f>ROUND(APT43*EssentialMix,0)</f>
        <v/>
      </c>
      <c r="APX43" s="12">
        <f>APT43-APW43</f>
        <v/>
      </c>
      <c r="APY43" s="12">
        <f>APU43+APU42+APU41+MAX(0,APY42-APU42-APU41)*(1-APN43)</f>
        <v/>
      </c>
      <c r="APZ43" s="12">
        <f>APV43+APV42+APV41+MAX(0,APZ42-APV42-APV41)*(1-APN43)</f>
        <v/>
      </c>
      <c r="AQA43" s="12">
        <f>AQA42+APW43-APW31*(AnnualChurn*VLOOKUP(APJ43,ChurnSeasonTable,4,FALSE))*POWER(1-(AnnualChurn*VLOOKUP(APJ43,ChurnSeasonTable,4,FALSE)),0)+APW19*(AnnualChurn*VLOOKUP(APJ43,ChurnSeasonTable,4,FALSE))*POWER(1-(AnnualChurn*VLOOKUP(APJ43,ChurnSeasonTable,4,FALSE)),1)+APW7*(AnnualChurn*VLOOKUP(APJ43,ChurnSeasonTable,4,FALSE))*POWER(1-(AnnualChurn*VLOOKUP(APJ43,ChurnSeasonTable,4,FALSE)),2)</f>
        <v/>
      </c>
      <c r="AQB43" s="12">
        <f>AQB42+APX43-APX31*(AnnualChurn*VLOOKUP(APJ43,ChurnSeasonTable,4,FALSE))*POWER(1-(AnnualChurn*VLOOKUP(APJ43,ChurnSeasonTable,4,FALSE)),0)+APX19*(AnnualChurn*VLOOKUP(APJ43,ChurnSeasonTable,4,FALSE))*POWER(1-(AnnualChurn*VLOOKUP(APJ43,ChurnSeasonTable,4,FALSE)),1)+APX7*(AnnualChurn*VLOOKUP(APJ43,ChurnSeasonTable,4,FALSE))*POWER(1-(AnnualChurn*VLOOKUP(APJ43,ChurnSeasonTable,4,FALSE)),2)</f>
        <v/>
      </c>
      <c r="AQC43" s="12">
        <f>APY43+APZ43+AQA43+AQB43</f>
        <v/>
      </c>
      <c r="AQD43" s="9">
        <f>APY43*PriceEssMonthly*APM43+APZ43*PricePremMonthly*APM43+AQA43*PriceEssAnnual*APM43/12+AQB43*PricePremAnnual*APM43/12</f>
        <v/>
      </c>
      <c r="AQE43" s="9">
        <f>AQD43*12</f>
        <v/>
      </c>
      <c r="AQF43" s="12">
        <f>APY43*PriceEssMonthly*APM43+APZ43*PricePremMonthly*APM43</f>
        <v/>
      </c>
      <c r="AQG43" s="12">
        <f>APW43*PriceEssAnnual*APM43+APX43*PricePremAnnual*APM43</f>
        <v/>
      </c>
      <c r="AQH43" s="12">
        <f>APW31*POWER(1-(AnnualChurn*VLOOKUP(APJ43,ChurnSeasonTable,4,FALSE)),1)*PriceEssAnnual*APM43+APW19*POWER(1-(AnnualChurn*VLOOKUP(APJ43,ChurnSeasonTable,4,FALSE)),2)*PriceEssAnnual*APM43+APW7*POWER(1-(AnnualChurn*VLOOKUP(APJ43,ChurnSeasonTable,4,FALSE)),3)*PriceEssAnnual*APM43+APX31*POWER(1-(AnnualChurn*VLOOKUP(APJ43,ChurnSeasonTable,4,FALSE)),1)*PricePremAnnual*APM43+APX19*POWER(1-(AnnualChurn*VLOOKUP(APJ43,ChurnSeasonTable,4,FALSE)),2)*PricePremAnnual*APM43+APX7*POWER(1-(AnnualChurn*VLOOKUP(APJ43,ChurnSeasonTable,4,FALSE)),3)*PricePremAnnual*APM43</f>
        <v/>
      </c>
      <c r="AQI43" s="9">
        <f>AQF43+AQG43+AQH43</f>
        <v/>
      </c>
      <c r="AQJ43" s="12">
        <f>SUM(AQI32:AQI43)</f>
        <v/>
      </c>
      <c r="AQK43" s="12">
        <f>OR(AQK42,AQJ43&gt;=VATThreshold)</f>
        <v/>
      </c>
      <c r="AQL43" s="9">
        <f>IF(AQK43,AQI43/(1+VATRate),AQI43)</f>
        <v/>
      </c>
      <c r="AQM43" s="12">
        <f>AQI43-AQL43</f>
        <v/>
      </c>
      <c r="AQN43" s="12">
        <f>IF(AQK43=0,0,IF(APJ43=1,SUMPRODUCT(--(($APK$5:$APK43=$APK43-1)*($APJ$5:$APJ43&gt;=10)*($APJ$5:$APJ43&lt;=12)),$AQM$5:$AQM43),IF(APJ43=4,SUMPRODUCT(--(($APK$5:$APK43=$APK43)*($APJ$5:$APJ43&gt;=1)*($APJ$5:$APJ43&lt;=3)),$AQM$5:$AQM43),IF(APJ43=7,SUMPRODUCT(--(($APK$5:$APK43=$APK43)*($APJ$5:$APJ43&gt;=4)*($APJ$5:$APJ43&lt;=6)),$AQM$5:$AQM43),IF(APJ43=10,SUMPRODUCT(--(($APK$5:$APK43=$APK43)*($APJ$5:$APJ43&gt;=7)*($APJ$5:$APJ43&lt;=9)),$AQM$5:$AQM43),0)))))</f>
        <v/>
      </c>
      <c r="AQO43" s="12">
        <f>AQO42+AQM43-AQN43</f>
        <v/>
      </c>
      <c r="AQP43" s="12">
        <f>IF(ProviderDelay&gt;=1,AQL42*ProviderShare,AQL43*ProviderShare)</f>
        <v/>
      </c>
      <c r="AQQ43" s="12">
        <f>AQI43*PaymentFee</f>
        <v/>
      </c>
      <c r="AQR43" s="12">
        <f>AQC43*OpsAI</f>
        <v/>
      </c>
      <c r="AQS43" s="12">
        <f>MonthlyFixed</f>
        <v/>
      </c>
      <c r="AQT43" s="12">
        <f>APQ43*ReferralReward</f>
        <v/>
      </c>
      <c r="AQU43" s="12">
        <f>APO43</f>
        <v/>
      </c>
      <c r="AQV43" s="9">
        <f>AQL43-AQP43-AQQ43-AQR43-AQS43-AQT43-AQU43</f>
        <v/>
      </c>
      <c r="AQW43" s="9">
        <f>AQW42+AQI43-(AQP43+AQQ43+AQR43+AQS43+AQT43+AQU43+AQN43)</f>
        <v/>
      </c>
      <c r="AQX43" s="12">
        <f>IF(AQC43&gt;0,AQD43/AQC43,0)</f>
        <v/>
      </c>
      <c r="AQY43" s="11">
        <f>IF(AQC42&gt;0,MAX(0,(AQC42+APR43-AQC43)/AQC42),0)</f>
        <v/>
      </c>
      <c r="ARA43" s="12" t="n">
        <v>39</v>
      </c>
      <c r="ARB43" s="12">
        <f>MOD(ARA43-1+LaunchMonth-1,12)+1</f>
        <v/>
      </c>
      <c r="ARC43" s="12">
        <f>INT((ARA43-1+LaunchMonth-1)/12)+1</f>
        <v/>
      </c>
      <c r="ARD43" s="12">
        <f>VLOOKUP(ARB43,WinterPivotSeasonTable,5,FALSE)</f>
        <v/>
      </c>
      <c r="ARE43" s="12">
        <f>(1+InflationRate)^INT((ARA43-1)/12)</f>
        <v/>
      </c>
      <c r="ARF43" s="11">
        <f>MonthlyChurn*VLOOKUP(ARB43,WinterPivotChurnTable,6,FALSE)</f>
        <v/>
      </c>
      <c r="ARG43" s="12">
        <f>MIN(MAX(MktMin19plus,ASA42*MktPct19plus),MAX(0,ASO42-CashBuffer))</f>
        <v/>
      </c>
      <c r="ARH43" s="12">
        <f>IF(ARG43&gt;0,MAX(1,ROUND(ARG43/CAC*ARD43,0)),0)</f>
        <v/>
      </c>
      <c r="ARI43" s="12">
        <f>IF(ARH43&gt;0,ROUND(ARH43*ReferralMix/(1-ReferralMix),0),0)</f>
        <v/>
      </c>
      <c r="ARJ43" s="12">
        <f>ARH43+ARI43</f>
        <v/>
      </c>
      <c r="ARK43" s="12">
        <f>ROUND(ARJ43*(1-AnnualMix),0)</f>
        <v/>
      </c>
      <c r="ARL43" s="12">
        <f>ARJ43-ARK43</f>
        <v/>
      </c>
      <c r="ARM43" s="12">
        <f>ROUND(ARK43*'Sens - Winter Pivot'!$B$6,0)</f>
        <v/>
      </c>
      <c r="ARN43" s="12">
        <f>ARK43-ARM43</f>
        <v/>
      </c>
      <c r="ARO43" s="12">
        <f>ROUND(ARL43*'Sens - Winter Pivot'!$B$6,0)</f>
        <v/>
      </c>
      <c r="ARP43" s="12">
        <f>ARL43-ARO43</f>
        <v/>
      </c>
      <c r="ARQ43" s="12">
        <f>ARM43+ARM42+ARM41+MAX(0,ARQ42-ARM42-ARM41)*(1-ARF43)</f>
        <v/>
      </c>
      <c r="ARR43" s="12">
        <f>ARN43+ARN42+ARN41+MAX(0,ARR42-ARN42-ARN41)*(1-ARF43)</f>
        <v/>
      </c>
      <c r="ARS43" s="12">
        <f>ARS42+ARO43-ARO31*(AnnualChurn*VLOOKUP(ARB43,WinterPivotChurnTable,6,FALSE))*POWER(1-(AnnualChurn*VLOOKUP(ARB43,WinterPivotChurnTable,6,FALSE)),0)+ARO19*(AnnualChurn*VLOOKUP(ARB43,WinterPivotChurnTable,6,FALSE))*POWER(1-(AnnualChurn*VLOOKUP(ARB43,WinterPivotChurnTable,6,FALSE)),1)+ARO7*(AnnualChurn*VLOOKUP(ARB43,WinterPivotChurnTable,6,FALSE))*POWER(1-(AnnualChurn*VLOOKUP(ARB43,WinterPivotChurnTable,6,FALSE)),2)</f>
        <v/>
      </c>
      <c r="ART43" s="12">
        <f>ART42+ARP43-ARP31*(AnnualChurn*VLOOKUP(ARB43,WinterPivotChurnTable,6,FALSE))*POWER(1-(AnnualChurn*VLOOKUP(ARB43,WinterPivotChurnTable,6,FALSE)),0)+ARP19*(AnnualChurn*VLOOKUP(ARB43,WinterPivotChurnTable,6,FALSE))*POWER(1-(AnnualChurn*VLOOKUP(ARB43,WinterPivotChurnTable,6,FALSE)),1)+ARP7*(AnnualChurn*VLOOKUP(ARB43,WinterPivotChurnTable,6,FALSE))*POWER(1-(AnnualChurn*VLOOKUP(ARB43,WinterPivotChurnTable,6,FALSE)),2)</f>
        <v/>
      </c>
      <c r="ARU43" s="12">
        <f>ARQ43+ARR43+ARS43+ART43</f>
        <v/>
      </c>
      <c r="ARV43" s="9">
        <f>ARQ43*PriceEssMonthly*ARE43+ARR43*(PricePremMonthly+'Sens - Winter Pivot'!$B$7)*ARE43+ARS43*PriceEssAnnual*ARE43/12+ART43*(PricePremAnnual+'Sens - Winter Pivot'!$B$7*12)*ARE43/12</f>
        <v/>
      </c>
      <c r="ARW43" s="9">
        <f>ARV43*12</f>
        <v/>
      </c>
      <c r="ARX43" s="12">
        <f>ARQ43*PriceEssMonthly*ARE43+ARR43*(PricePremMonthly+'Sens - Winter Pivot'!$B$7)*ARE43</f>
        <v/>
      </c>
      <c r="ARY43" s="12">
        <f>ARO43*PriceEssAnnual*ARE43+ARP43*(PricePremAnnual+'Sens - Winter Pivot'!$B$7*12)*ARE43</f>
        <v/>
      </c>
      <c r="ARZ43" s="12">
        <f>ARO31*POWER(1-(AnnualChurn*VLOOKUP(ARB43,WinterPivotChurnTable,6,FALSE)),1)*PriceEssAnnual*ARE43+ARO19*POWER(1-(AnnualChurn*VLOOKUP(ARB43,WinterPivotChurnTable,6,FALSE)),2)*PriceEssAnnual*ARE43+ARO7*POWER(1-(AnnualChurn*VLOOKUP(ARB43,WinterPivotChurnTable,6,FALSE)),3)*PriceEssAnnual*ARE43+ARP31*POWER(1-(AnnualChurn*VLOOKUP(ARB43,WinterPivotChurnTable,6,FALSE)),1)*PricePremAnnual*ARE43+ARP19*POWER(1-(AnnualChurn*VLOOKUP(ARB43,WinterPivotChurnTable,6,FALSE)),2)*PricePremAnnual*ARE43+ARP7*POWER(1-(AnnualChurn*VLOOKUP(ARB43,WinterPivotChurnTable,6,FALSE)),3)*PricePremAnnual*ARE43</f>
        <v/>
      </c>
      <c r="ASA43" s="9">
        <f>ARX43+ARY43+ARZ43</f>
        <v/>
      </c>
      <c r="ASB43" s="12">
        <f>SUM(ASA32:ASA43)</f>
        <v/>
      </c>
      <c r="ASC43" s="12">
        <f>OR(ASC42,ASB43&gt;=VATThreshold)</f>
        <v/>
      </c>
      <c r="ASD43" s="9">
        <f>IF(ASC43,ASA43/(1+VATRate),ASA43)</f>
        <v/>
      </c>
      <c r="ASE43" s="12">
        <f>ASA43-ASD43</f>
        <v/>
      </c>
      <c r="ASF43" s="12">
        <f>IF(ASC43=0,0,IF(ARB43=1,SUMPRODUCT(--(($ARC$5:$ARC43=$ARC43-1)*($ARB$5:$ARB43&gt;=10)*($ARB$5:$ARB43&lt;=12)),$ASE$5:$ASE43),IF(ARB43=4,SUMPRODUCT(--(($ARC$5:$ARC43=$ARC43)*($ARB$5:$ARB43&gt;=1)*($ARB$5:$ARB43&lt;=3)),$ASE$5:$ASE43),IF(ARB43=7,SUMPRODUCT(--(($ARC$5:$ARC43=$ARC43)*($ARB$5:$ARB43&gt;=4)*($ARB$5:$ARB43&lt;=6)),$ASE$5:$ASE43),IF(ARB43=10,SUMPRODUCT(--(($ARC$5:$ARC43=$ARC43)*($ARB$5:$ARB43&gt;=7)*($ARB$5:$ARB43&lt;=9)),$ASE$5:$ASE43),0)))))</f>
        <v/>
      </c>
      <c r="ASG43" s="12">
        <f>ASG42+ASE43-ASF43</f>
        <v/>
      </c>
      <c r="ASH43" s="12">
        <f>IF(ProviderDelay&gt;=1,ASD42*ProviderShare,ASD43*ProviderShare)</f>
        <v/>
      </c>
      <c r="ASI43" s="12">
        <f>ASA43*PaymentFee</f>
        <v/>
      </c>
      <c r="ASJ43" s="12">
        <f>ARU43*OpsAI</f>
        <v/>
      </c>
      <c r="ASK43" s="12">
        <f>MonthlyFixed</f>
        <v/>
      </c>
      <c r="ASL43" s="12">
        <f>ARI43*ReferralReward</f>
        <v/>
      </c>
      <c r="ASM43" s="12">
        <f>ARG43</f>
        <v/>
      </c>
      <c r="ASN43" s="9">
        <f>ASD43-ASH43-ASI43-ASJ43-ASK43-ASL43-ASM43</f>
        <v/>
      </c>
      <c r="ASO43" s="9">
        <f>ASO42+ASA43-(ASH43+ASI43+ASJ43+ASK43+ASL43+ASM43+ASF43)</f>
        <v/>
      </c>
      <c r="ASP43" s="12">
        <f>IF(ARU43&gt;0,ARV43/ARU43,0)</f>
        <v/>
      </c>
      <c r="ASQ43" s="11">
        <f>IF(ARU42&gt;0,MAX(0,(ARU42+ARJ43-ARU43)/ARU42),0)</f>
        <v/>
      </c>
    </row>
    <row r="44">
      <c r="A44" s="12" t="n">
        <v>40</v>
      </c>
      <c r="B44" s="12">
        <f>MOD(A44-1+LaunchMonth-1,12)+1</f>
        <v/>
      </c>
      <c r="C44" s="12">
        <f>INT((A44-1+LaunchMonth-1)/12)+1</f>
        <v/>
      </c>
      <c r="D44" s="12">
        <f>VLOOKUP(B44,SeasonTable,2,FALSE)</f>
        <v/>
      </c>
      <c r="E44" s="12">
        <f>(1+InflationRate)^INT((A44-1)/12)</f>
        <v/>
      </c>
      <c r="F44" s="11">
        <f>'Sens - Scenarios'!$B$5*VLOOKUP(B44,ChurnSeasonTable,4,FALSE)</f>
        <v/>
      </c>
      <c r="G44" s="12">
        <f>MIN(MAX(MktMin19plus,AA43*MktPct19plus),MAX(0,AO43-CashBuffer))</f>
        <v/>
      </c>
      <c r="H44" s="12">
        <f>IF(G44&gt;0,MAX(1,ROUND(G44/'Sens - Scenarios'!$B$8*D44,0)),0)</f>
        <v/>
      </c>
      <c r="I44" s="12">
        <f>IF(H44&gt;0,ROUND(H44*ReferralMix/(1-ReferralMix),0),0)</f>
        <v/>
      </c>
      <c r="J44" s="12">
        <f>H44+I44</f>
        <v/>
      </c>
      <c r="K44" s="12">
        <f>ROUND(J44*(1-'Sens - Scenarios'!$B$7),0)</f>
        <v/>
      </c>
      <c r="L44" s="12">
        <f>J44-K44</f>
        <v/>
      </c>
      <c r="M44" s="12">
        <f>ROUND(K44*EssentialMix,0)</f>
        <v/>
      </c>
      <c r="N44" s="12">
        <f>K44-M44</f>
        <v/>
      </c>
      <c r="O44" s="12">
        <f>ROUND(L44*EssentialMix,0)</f>
        <v/>
      </c>
      <c r="P44" s="12">
        <f>L44-O44</f>
        <v/>
      </c>
      <c r="Q44" s="12">
        <f>M44+M43+M42+MAX(0,Q43-M43-M42)*(1-F44)</f>
        <v/>
      </c>
      <c r="R44" s="12">
        <f>N44+N43+N42+MAX(0,R43-N43-N42)*(1-F44)</f>
        <v/>
      </c>
      <c r="S44" s="12">
        <f>S43+O44-O32*('Sens - Scenarios'!$B$6*VLOOKUP(B44,ChurnSeasonTable,4,FALSE))*POWER(1-('Sens - Scenarios'!$B$6*VLOOKUP(B44,ChurnSeasonTable,4,FALSE)),0)+O20*('Sens - Scenarios'!$B$6*VLOOKUP(B44,ChurnSeasonTable,4,FALSE))*POWER(1-('Sens - Scenarios'!$B$6*VLOOKUP(B44,ChurnSeasonTable,4,FALSE)),1)+O8*('Sens - Scenarios'!$B$6*VLOOKUP(B44,ChurnSeasonTable,4,FALSE))*POWER(1-('Sens - Scenarios'!$B$6*VLOOKUP(B44,ChurnSeasonTable,4,FALSE)),2)</f>
        <v/>
      </c>
      <c r="T44" s="12">
        <f>T43+P44-P32*('Sens - Scenarios'!$B$6*VLOOKUP(B44,ChurnSeasonTable,4,FALSE))*POWER(1-('Sens - Scenarios'!$B$6*VLOOKUP(B44,ChurnSeasonTable,4,FALSE)),0)+P20*('Sens - Scenarios'!$B$6*VLOOKUP(B44,ChurnSeasonTable,4,FALSE))*POWER(1-('Sens - Scenarios'!$B$6*VLOOKUP(B44,ChurnSeasonTable,4,FALSE)),1)+P8*('Sens - Scenarios'!$B$6*VLOOKUP(B44,ChurnSeasonTable,4,FALSE))*POWER(1-('Sens - Scenarios'!$B$6*VLOOKUP(B44,ChurnSeasonTable,4,FALSE)),2)</f>
        <v/>
      </c>
      <c r="U44" s="12">
        <f>Q44+R44+S44+T44</f>
        <v/>
      </c>
      <c r="V44" s="9">
        <f>Q44*PriceEssMonthly*E44+R44*PricePremMonthly*E44+S44*PriceEssAnnual*E44/12+T44*PricePremAnnual*E44/12</f>
        <v/>
      </c>
      <c r="W44" s="9">
        <f>V44*12</f>
        <v/>
      </c>
      <c r="X44" s="12">
        <f>Q44*PriceEssMonthly*E44+R44*PricePremMonthly*E44</f>
        <v/>
      </c>
      <c r="Y44" s="12">
        <f>O44*PriceEssAnnual*E44+P44*PricePremAnnual*E44</f>
        <v/>
      </c>
      <c r="Z44" s="12">
        <f>O32*POWER(1-('Sens - Scenarios'!$B$6*VLOOKUP(B44,ChurnSeasonTable,4,FALSE)),1)*PriceEssAnnual*E44+O20*POWER(1-('Sens - Scenarios'!$B$6*VLOOKUP(B44,ChurnSeasonTable,4,FALSE)),2)*PriceEssAnnual*E44+O8*POWER(1-('Sens - Scenarios'!$B$6*VLOOKUP(B44,ChurnSeasonTable,4,FALSE)),3)*PriceEssAnnual*E44+P32*POWER(1-('Sens - Scenarios'!$B$6*VLOOKUP(B44,ChurnSeasonTable,4,FALSE)),1)*PricePremAnnual*E44+P20*POWER(1-('Sens - Scenarios'!$B$6*VLOOKUP(B44,ChurnSeasonTable,4,FALSE)),2)*PricePremAnnual*E44+P8*POWER(1-('Sens - Scenarios'!$B$6*VLOOKUP(B44,ChurnSeasonTable,4,FALSE)),3)*PricePremAnnual*E44</f>
        <v/>
      </c>
      <c r="AA44" s="9">
        <f>X44+Y44+Z44</f>
        <v/>
      </c>
      <c r="AB44" s="12">
        <f>SUM(AA33:AA44)</f>
        <v/>
      </c>
      <c r="AC44" s="12">
        <f>OR(AC43,AB44&gt;=VATThreshold)</f>
        <v/>
      </c>
      <c r="AD44" s="9">
        <f>IF(AC44,AA44/(1+VATRate),AA44)</f>
        <v/>
      </c>
      <c r="AE44" s="12">
        <f>AA44-AD44</f>
        <v/>
      </c>
      <c r="AF44" s="12">
        <f>IF(AC44=0,0,IF(B44=1,SUMPRODUCT(--(($C$5:$C44=$C44-1)*($B$5:$B44&gt;=10)*($B$5:$B44&lt;=12)),$AE$5:$AE44),IF(B44=4,SUMPRODUCT(--(($C$5:$C44=$C44)*($B$5:$B44&gt;=1)*($B$5:$B44&lt;=3)),$AE$5:$AE44),IF(B44=7,SUMPRODUCT(--(($C$5:$C44=$C44)*($B$5:$B44&gt;=4)*($B$5:$B44&lt;=6)),$AE$5:$AE44),IF(B44=10,SUMPRODUCT(--(($C$5:$C44=$C44)*($B$5:$B44&gt;=7)*($B$5:$B44&lt;=9)),$AE$5:$AE44),0)))))</f>
        <v/>
      </c>
      <c r="AG44" s="12">
        <f>AG43+AE44-AF44</f>
        <v/>
      </c>
      <c r="AH44" s="12">
        <f>IF(ProviderDelay&gt;=1,AD43*ProviderShare,AD44*ProviderShare)</f>
        <v/>
      </c>
      <c r="AI44" s="12">
        <f>AA44*PaymentFee</f>
        <v/>
      </c>
      <c r="AJ44" s="12">
        <f>U44*OpsAI</f>
        <v/>
      </c>
      <c r="AK44" s="12">
        <f>MonthlyFixed</f>
        <v/>
      </c>
      <c r="AL44" s="12">
        <f>I44*ReferralReward</f>
        <v/>
      </c>
      <c r="AM44" s="12">
        <f>G44</f>
        <v/>
      </c>
      <c r="AN44" s="9">
        <f>AD44-AH44-AI44-AJ44-AK44-AL44-AM44</f>
        <v/>
      </c>
      <c r="AO44" s="9">
        <f>AO43+AA44-(AH44+AI44+AJ44+AK44+AL44+AM44+AF44)</f>
        <v/>
      </c>
      <c r="AP44" s="12">
        <f>IF(U44&gt;0,V44/U44,0)</f>
        <v/>
      </c>
      <c r="AQ44" s="11">
        <f>IF(U43&gt;0,MAX(0,(U43+J44-U44)/U43),0)</f>
        <v/>
      </c>
      <c r="AS44" s="12" t="n">
        <v>40</v>
      </c>
      <c r="AT44" s="12">
        <f>MOD(AS44-1+LaunchMonth-1,12)+1</f>
        <v/>
      </c>
      <c r="AU44" s="12">
        <f>INT((AS44-1+LaunchMonth-1)/12)+1</f>
        <v/>
      </c>
      <c r="AV44" s="12">
        <f>VLOOKUP(AT44,SeasonTable,2,FALSE)</f>
        <v/>
      </c>
      <c r="AW44" s="12">
        <f>(1+InflationRate)^INT((AS44-1)/12)</f>
        <v/>
      </c>
      <c r="AX44" s="11">
        <f>MonthlyChurn*VLOOKUP(AT44,ChurnSeasonTable,4,FALSE)</f>
        <v/>
      </c>
      <c r="AY44" s="12">
        <f>MIN(MAX(MktMin19plus,BS43*MktPct19plus),MAX(0,CG43-CashBuffer))</f>
        <v/>
      </c>
      <c r="AZ44" s="12">
        <f>IF(AY44&gt;0,MAX(1,ROUND(AY44/CAC*AV44,0)),0)</f>
        <v/>
      </c>
      <c r="BA44" s="12">
        <f>IF(AZ44&gt;0,ROUND(AZ44*ReferralMix/(1-ReferralMix),0),0)</f>
        <v/>
      </c>
      <c r="BB44" s="12">
        <f>AZ44+BA44</f>
        <v/>
      </c>
      <c r="BC44" s="12">
        <f>ROUND(BB44*(1-AnnualMix),0)</f>
        <v/>
      </c>
      <c r="BD44" s="12">
        <f>BB44-BC44</f>
        <v/>
      </c>
      <c r="BE44" s="12">
        <f>ROUND(BC44*EssentialMix,0)</f>
        <v/>
      </c>
      <c r="BF44" s="12">
        <f>BC44-BE44</f>
        <v/>
      </c>
      <c r="BG44" s="12">
        <f>ROUND(BD44*EssentialMix,0)</f>
        <v/>
      </c>
      <c r="BH44" s="12">
        <f>BD44-BG44</f>
        <v/>
      </c>
      <c r="BI44" s="12">
        <f>BE44+BE43+BE42+MAX(0,BI43-BE43-BE42)*(1-AX44)</f>
        <v/>
      </c>
      <c r="BJ44" s="12">
        <f>BF44+BF43+BF42+MAX(0,BJ43-BF43-BF42)*(1-AX44)</f>
        <v/>
      </c>
      <c r="BK44" s="12">
        <f>BK43+BG44-BG32*(AnnualChurn*VLOOKUP(AT44,ChurnSeasonTable,4,FALSE))*POWER(1-(AnnualChurn*VLOOKUP(AT44,ChurnSeasonTable,4,FALSE)),0)+BG20*(AnnualChurn*VLOOKUP(AT44,ChurnSeasonTable,4,FALSE))*POWER(1-(AnnualChurn*VLOOKUP(AT44,ChurnSeasonTable,4,FALSE)),1)+BG8*(AnnualChurn*VLOOKUP(AT44,ChurnSeasonTable,4,FALSE))*POWER(1-(AnnualChurn*VLOOKUP(AT44,ChurnSeasonTable,4,FALSE)),2)</f>
        <v/>
      </c>
      <c r="BL44" s="12">
        <f>BL43+BH44-BH32*(AnnualChurn*VLOOKUP(AT44,ChurnSeasonTable,4,FALSE))*POWER(1-(AnnualChurn*VLOOKUP(AT44,ChurnSeasonTable,4,FALSE)),0)+BH20*(AnnualChurn*VLOOKUP(AT44,ChurnSeasonTable,4,FALSE))*POWER(1-(AnnualChurn*VLOOKUP(AT44,ChurnSeasonTable,4,FALSE)),1)+BH8*(AnnualChurn*VLOOKUP(AT44,ChurnSeasonTable,4,FALSE))*POWER(1-(AnnualChurn*VLOOKUP(AT44,ChurnSeasonTable,4,FALSE)),2)</f>
        <v/>
      </c>
      <c r="BM44" s="12">
        <f>BI44+BJ44+BK44+BL44</f>
        <v/>
      </c>
      <c r="BN44" s="9">
        <f>BI44*PriceEssMonthly*AW44+BJ44*PricePremMonthly*AW44+BK44*PriceEssAnnual*AW44/12+BL44*PricePremAnnual*AW44/12</f>
        <v/>
      </c>
      <c r="BO44" s="9">
        <f>BN44*12</f>
        <v/>
      </c>
      <c r="BP44" s="12">
        <f>BI44*PriceEssMonthly*AW44+BJ44*PricePremMonthly*AW44</f>
        <v/>
      </c>
      <c r="BQ44" s="12">
        <f>BG44*PriceEssAnnual*AW44+BH44*PricePremAnnual*AW44</f>
        <v/>
      </c>
      <c r="BR44" s="12">
        <f>BG32*POWER(1-(AnnualChurn*VLOOKUP(AT44,ChurnSeasonTable,4,FALSE)),1)*PriceEssAnnual*AW44+BG20*POWER(1-(AnnualChurn*VLOOKUP(AT44,ChurnSeasonTable,4,FALSE)),2)*PriceEssAnnual*AW44+BG8*POWER(1-(AnnualChurn*VLOOKUP(AT44,ChurnSeasonTable,4,FALSE)),3)*PriceEssAnnual*AW44+BH32*POWER(1-(AnnualChurn*VLOOKUP(AT44,ChurnSeasonTable,4,FALSE)),1)*PricePremAnnual*AW44+BH20*POWER(1-(AnnualChurn*VLOOKUP(AT44,ChurnSeasonTable,4,FALSE)),2)*PricePremAnnual*AW44+BH8*POWER(1-(AnnualChurn*VLOOKUP(AT44,ChurnSeasonTable,4,FALSE)),3)*PricePremAnnual*AW44</f>
        <v/>
      </c>
      <c r="BS44" s="9">
        <f>BP44+BQ44+BR44</f>
        <v/>
      </c>
      <c r="BT44" s="12">
        <f>SUM(BS33:BS44)</f>
        <v/>
      </c>
      <c r="BU44" s="12">
        <f>OR(BU43,BT44&gt;=VATThreshold)</f>
        <v/>
      </c>
      <c r="BV44" s="9">
        <f>IF(BU44,BS44/(1+VATRate),BS44)</f>
        <v/>
      </c>
      <c r="BW44" s="12">
        <f>BS44-BV44</f>
        <v/>
      </c>
      <c r="BX44" s="12">
        <f>IF(BU44=0,0,IF(AT44=1,SUMPRODUCT(--(($AU$5:$AU44=$AU44-1)*($AT$5:$AT44&gt;=10)*($AT$5:$AT44&lt;=12)),$BW$5:$BW44),IF(AT44=4,SUMPRODUCT(--(($AU$5:$AU44=$AU44)*($AT$5:$AT44&gt;=1)*($AT$5:$AT44&lt;=3)),$BW$5:$BW44),IF(AT44=7,SUMPRODUCT(--(($AU$5:$AU44=$AU44)*($AT$5:$AT44&gt;=4)*($AT$5:$AT44&lt;=6)),$BW$5:$BW44),IF(AT44=10,SUMPRODUCT(--(($AU$5:$AU44=$AU44)*($AT$5:$AT44&gt;=7)*($AT$5:$AT44&lt;=9)),$BW$5:$BW44),0)))))</f>
        <v/>
      </c>
      <c r="BY44" s="12">
        <f>BY43+BW44-BX44</f>
        <v/>
      </c>
      <c r="BZ44" s="12">
        <f>IF(ProviderDelay&gt;=1,BV43*ProviderShare,BV44*ProviderShare)</f>
        <v/>
      </c>
      <c r="CA44" s="12">
        <f>BS44*PaymentFee</f>
        <v/>
      </c>
      <c r="CB44" s="12">
        <f>BM44*OpsAI</f>
        <v/>
      </c>
      <c r="CC44" s="12">
        <f>MonthlyFixed</f>
        <v/>
      </c>
      <c r="CD44" s="12">
        <f>BA44*ReferralReward</f>
        <v/>
      </c>
      <c r="CE44" s="12">
        <f>AY44</f>
        <v/>
      </c>
      <c r="CF44" s="9">
        <f>BV44-BZ44-CA44-CB44-CC44-CD44-CE44</f>
        <v/>
      </c>
      <c r="CG44" s="9">
        <f>CG43+BS44-(BZ44+CA44+CB44+CC44+CD44+CE44+BX44)</f>
        <v/>
      </c>
      <c r="CH44" s="12">
        <f>IF(BM44&gt;0,BN44/BM44,0)</f>
        <v/>
      </c>
      <c r="CI44" s="11">
        <f>IF(BM43&gt;0,MAX(0,(BM43+BB44-BM44)/BM43),0)</f>
        <v/>
      </c>
      <c r="CK44" s="12" t="n">
        <v>40</v>
      </c>
      <c r="CL44" s="12">
        <f>MOD(CK44-1+LaunchMonth-1,12)+1</f>
        <v/>
      </c>
      <c r="CM44" s="12">
        <f>INT((CK44-1+LaunchMonth-1)/12)+1</f>
        <v/>
      </c>
      <c r="CN44" s="12">
        <f>VLOOKUP(CL44,SeasonTable,2,FALSE)</f>
        <v/>
      </c>
      <c r="CO44" s="12">
        <f>(1+InflationRate)^INT((CK44-1)/12)</f>
        <v/>
      </c>
      <c r="CP44" s="11">
        <f>'Sens - Scenarios'!$D$5*VLOOKUP(CL44,ChurnSeasonTable,4,FALSE)</f>
        <v/>
      </c>
      <c r="CQ44" s="12">
        <f>MIN(MAX(MktMin19plus,DK43*MktPct19plus),MAX(0,DY43-CashBuffer))</f>
        <v/>
      </c>
      <c r="CR44" s="12">
        <f>IF(CQ44&gt;0,MAX(1,ROUND(CQ44/'Sens - Scenarios'!$D$8*CN44,0)),0)</f>
        <v/>
      </c>
      <c r="CS44" s="12">
        <f>IF(CR44&gt;0,ROUND(CR44*ReferralMix/(1-ReferralMix),0),0)</f>
        <v/>
      </c>
      <c r="CT44" s="12">
        <f>CR44+CS44</f>
        <v/>
      </c>
      <c r="CU44" s="12">
        <f>ROUND(CT44*(1-'Sens - Scenarios'!$D$7),0)</f>
        <v/>
      </c>
      <c r="CV44" s="12">
        <f>CT44-CU44</f>
        <v/>
      </c>
      <c r="CW44" s="12">
        <f>ROUND(CU44*EssentialMix,0)</f>
        <v/>
      </c>
      <c r="CX44" s="12">
        <f>CU44-CW44</f>
        <v/>
      </c>
      <c r="CY44" s="12">
        <f>ROUND(CV44*EssentialMix,0)</f>
        <v/>
      </c>
      <c r="CZ44" s="12">
        <f>CV44-CY44</f>
        <v/>
      </c>
      <c r="DA44" s="12">
        <f>CW44+CW43+CW42+MAX(0,DA43-CW43-CW42)*(1-CP44)</f>
        <v/>
      </c>
      <c r="DB44" s="12">
        <f>CX44+CX43+CX42+MAX(0,DB43-CX43-CX42)*(1-CP44)</f>
        <v/>
      </c>
      <c r="DC44" s="12">
        <f>DC43+CY44-CY32*('Sens - Scenarios'!$D$6*VLOOKUP(CL44,ChurnSeasonTable,4,FALSE))*POWER(1-('Sens - Scenarios'!$D$6*VLOOKUP(CL44,ChurnSeasonTable,4,FALSE)),0)+CY20*('Sens - Scenarios'!$D$6*VLOOKUP(CL44,ChurnSeasonTable,4,FALSE))*POWER(1-('Sens - Scenarios'!$D$6*VLOOKUP(CL44,ChurnSeasonTable,4,FALSE)),1)+CY8*('Sens - Scenarios'!$D$6*VLOOKUP(CL44,ChurnSeasonTable,4,FALSE))*POWER(1-('Sens - Scenarios'!$D$6*VLOOKUP(CL44,ChurnSeasonTable,4,FALSE)),2)</f>
        <v/>
      </c>
      <c r="DD44" s="12">
        <f>DD43+CZ44-CZ32*('Sens - Scenarios'!$D$6*VLOOKUP(CL44,ChurnSeasonTable,4,FALSE))*POWER(1-('Sens - Scenarios'!$D$6*VLOOKUP(CL44,ChurnSeasonTable,4,FALSE)),0)+CZ20*('Sens - Scenarios'!$D$6*VLOOKUP(CL44,ChurnSeasonTable,4,FALSE))*POWER(1-('Sens - Scenarios'!$D$6*VLOOKUP(CL44,ChurnSeasonTable,4,FALSE)),1)+CZ8*('Sens - Scenarios'!$D$6*VLOOKUP(CL44,ChurnSeasonTable,4,FALSE))*POWER(1-('Sens - Scenarios'!$D$6*VLOOKUP(CL44,ChurnSeasonTable,4,FALSE)),2)</f>
        <v/>
      </c>
      <c r="DE44" s="12">
        <f>DA44+DB44+DC44+DD44</f>
        <v/>
      </c>
      <c r="DF44" s="9">
        <f>DA44*PriceEssMonthly*CO44+DB44*PricePremMonthly*CO44+DC44*PriceEssAnnual*CO44/12+DD44*PricePremAnnual*CO44/12</f>
        <v/>
      </c>
      <c r="DG44" s="9">
        <f>DF44*12</f>
        <v/>
      </c>
      <c r="DH44" s="12">
        <f>DA44*PriceEssMonthly*CO44+DB44*PricePremMonthly*CO44</f>
        <v/>
      </c>
      <c r="DI44" s="12">
        <f>CY44*PriceEssAnnual*CO44+CZ44*PricePremAnnual*CO44</f>
        <v/>
      </c>
      <c r="DJ44" s="12">
        <f>CY32*POWER(1-('Sens - Scenarios'!$D$6*VLOOKUP(CL44,ChurnSeasonTable,4,FALSE)),1)*PriceEssAnnual*CO44+CY20*POWER(1-('Sens - Scenarios'!$D$6*VLOOKUP(CL44,ChurnSeasonTable,4,FALSE)),2)*PriceEssAnnual*CO44+CY8*POWER(1-('Sens - Scenarios'!$D$6*VLOOKUP(CL44,ChurnSeasonTable,4,FALSE)),3)*PriceEssAnnual*CO44+CZ32*POWER(1-('Sens - Scenarios'!$D$6*VLOOKUP(CL44,ChurnSeasonTable,4,FALSE)),1)*PricePremAnnual*CO44+CZ20*POWER(1-('Sens - Scenarios'!$D$6*VLOOKUP(CL44,ChurnSeasonTable,4,FALSE)),2)*PricePremAnnual*CO44+CZ8*POWER(1-('Sens - Scenarios'!$D$6*VLOOKUP(CL44,ChurnSeasonTable,4,FALSE)),3)*PricePremAnnual*CO44</f>
        <v/>
      </c>
      <c r="DK44" s="9">
        <f>DH44+DI44+DJ44</f>
        <v/>
      </c>
      <c r="DL44" s="12">
        <f>SUM(DK33:DK44)</f>
        <v/>
      </c>
      <c r="DM44" s="12">
        <f>OR(DM43,DL44&gt;=VATThreshold)</f>
        <v/>
      </c>
      <c r="DN44" s="9">
        <f>IF(DM44,DK44/(1+VATRate),DK44)</f>
        <v/>
      </c>
      <c r="DO44" s="12">
        <f>DK44-DN44</f>
        <v/>
      </c>
      <c r="DP44" s="12">
        <f>IF(DM44=0,0,IF(CL44=1,SUMPRODUCT(--(($CM$5:$CM44=$CM44-1)*($CL$5:$CL44&gt;=10)*($CL$5:$CL44&lt;=12)),$DO$5:$DO44),IF(CL44=4,SUMPRODUCT(--(($CM$5:$CM44=$CM44)*($CL$5:$CL44&gt;=1)*($CL$5:$CL44&lt;=3)),$DO$5:$DO44),IF(CL44=7,SUMPRODUCT(--(($CM$5:$CM44=$CM44)*($CL$5:$CL44&gt;=4)*($CL$5:$CL44&lt;=6)),$DO$5:$DO44),IF(CL44=10,SUMPRODUCT(--(($CM$5:$CM44=$CM44)*($CL$5:$CL44&gt;=7)*($CL$5:$CL44&lt;=9)),$DO$5:$DO44),0)))))</f>
        <v/>
      </c>
      <c r="DQ44" s="12">
        <f>DQ43+DO44-DP44</f>
        <v/>
      </c>
      <c r="DR44" s="12">
        <f>IF(ProviderDelay&gt;=1,DN43*ProviderShare,DN44*ProviderShare)</f>
        <v/>
      </c>
      <c r="DS44" s="12">
        <f>DK44*PaymentFee</f>
        <v/>
      </c>
      <c r="DT44" s="12">
        <f>DE44*OpsAI</f>
        <v/>
      </c>
      <c r="DU44" s="12">
        <f>MonthlyFixed</f>
        <v/>
      </c>
      <c r="DV44" s="12">
        <f>CS44*ReferralReward</f>
        <v/>
      </c>
      <c r="DW44" s="12">
        <f>CQ44</f>
        <v/>
      </c>
      <c r="DX44" s="9">
        <f>DN44-DR44-DS44-DT44-DU44-DV44-DW44</f>
        <v/>
      </c>
      <c r="DY44" s="9">
        <f>DY43+DK44-(DR44+DS44+DT44+DU44+DV44+DW44+DP44)</f>
        <v/>
      </c>
      <c r="DZ44" s="12">
        <f>IF(DE44&gt;0,DF44/DE44,0)</f>
        <v/>
      </c>
      <c r="EA44" s="11">
        <f>IF(DE43&gt;0,MAX(0,(DE43+CT44-DE44)/DE43),0)</f>
        <v/>
      </c>
      <c r="EC44" s="12" t="n">
        <v>40</v>
      </c>
      <c r="ED44" s="12">
        <f>MOD(EC44-1+LaunchMonth-1,12)+1</f>
        <v/>
      </c>
      <c r="EE44" s="12">
        <f>INT((EC44-1+LaunchMonth-1)/12)+1</f>
        <v/>
      </c>
      <c r="EF44" s="12">
        <f>VLOOKUP(ED44,SeasonTable,2,FALSE)</f>
        <v/>
      </c>
      <c r="EG44" s="12">
        <f>(1+InflationRate)^INT((EC44-1)/12)</f>
        <v/>
      </c>
      <c r="EH44" s="11">
        <f>'Sens - Churn'!$A$13*VLOOKUP(ED44,ChurnSeasonTable,4,FALSE)</f>
        <v/>
      </c>
      <c r="EI44" s="12">
        <f>MIN(MAX(MktMin19plus,FC43*MktPct19plus),MAX(0,FQ43-CashBuffer))</f>
        <v/>
      </c>
      <c r="EJ44" s="12">
        <f>IF(EI44&gt;0,MAX(1,ROUND(EI44/CAC*EF44,0)),0)</f>
        <v/>
      </c>
      <c r="EK44" s="12">
        <f>IF(EJ44&gt;0,ROUND(EJ44*ReferralMix/(1-ReferralMix),0),0)</f>
        <v/>
      </c>
      <c r="EL44" s="12">
        <f>EJ44+EK44</f>
        <v/>
      </c>
      <c r="EM44" s="12">
        <f>ROUND(EL44*(1-AnnualMix),0)</f>
        <v/>
      </c>
      <c r="EN44" s="12">
        <f>EL44-EM44</f>
        <v/>
      </c>
      <c r="EO44" s="12">
        <f>ROUND(EM44*EssentialMix,0)</f>
        <v/>
      </c>
      <c r="EP44" s="12">
        <f>EM44-EO44</f>
        <v/>
      </c>
      <c r="EQ44" s="12">
        <f>ROUND(EN44*EssentialMix,0)</f>
        <v/>
      </c>
      <c r="ER44" s="12">
        <f>EN44-EQ44</f>
        <v/>
      </c>
      <c r="ES44" s="12">
        <f>EO44+EO43+EO42+MAX(0,ES43-EO43-EO42)*(1-EH44)</f>
        <v/>
      </c>
      <c r="ET44" s="12">
        <f>EP44+EP43+EP42+MAX(0,ET43-EP43-EP42)*(1-EH44)</f>
        <v/>
      </c>
      <c r="EU44" s="12">
        <f>EU43+EQ44-EQ32*(AnnualChurn*VLOOKUP(ED44,ChurnSeasonTable,4,FALSE))*POWER(1-(AnnualChurn*VLOOKUP(ED44,ChurnSeasonTable,4,FALSE)),0)+EQ20*(AnnualChurn*VLOOKUP(ED44,ChurnSeasonTable,4,FALSE))*POWER(1-(AnnualChurn*VLOOKUP(ED44,ChurnSeasonTable,4,FALSE)),1)+EQ8*(AnnualChurn*VLOOKUP(ED44,ChurnSeasonTable,4,FALSE))*POWER(1-(AnnualChurn*VLOOKUP(ED44,ChurnSeasonTable,4,FALSE)),2)</f>
        <v/>
      </c>
      <c r="EV44" s="12">
        <f>EV43+ER44-ER32*(AnnualChurn*VLOOKUP(ED44,ChurnSeasonTable,4,FALSE))*POWER(1-(AnnualChurn*VLOOKUP(ED44,ChurnSeasonTable,4,FALSE)),0)+ER20*(AnnualChurn*VLOOKUP(ED44,ChurnSeasonTable,4,FALSE))*POWER(1-(AnnualChurn*VLOOKUP(ED44,ChurnSeasonTable,4,FALSE)),1)+ER8*(AnnualChurn*VLOOKUP(ED44,ChurnSeasonTable,4,FALSE))*POWER(1-(AnnualChurn*VLOOKUP(ED44,ChurnSeasonTable,4,FALSE)),2)</f>
        <v/>
      </c>
      <c r="EW44" s="12">
        <f>ES44+ET44+EU44+EV44</f>
        <v/>
      </c>
      <c r="EX44" s="9">
        <f>ES44*PriceEssMonthly*EG44+ET44*PricePremMonthly*EG44+EU44*PriceEssAnnual*EG44/12+EV44*PricePremAnnual*EG44/12</f>
        <v/>
      </c>
      <c r="EY44" s="9">
        <f>EX44*12</f>
        <v/>
      </c>
      <c r="EZ44" s="12">
        <f>ES44*PriceEssMonthly*EG44+ET44*PricePremMonthly*EG44</f>
        <v/>
      </c>
      <c r="FA44" s="12">
        <f>EQ44*PriceEssAnnual*EG44+ER44*PricePremAnnual*EG44</f>
        <v/>
      </c>
      <c r="FB44" s="12">
        <f>EQ32*POWER(1-(AnnualChurn*VLOOKUP(ED44,ChurnSeasonTable,4,FALSE)),1)*PriceEssAnnual*EG44+EQ20*POWER(1-(AnnualChurn*VLOOKUP(ED44,ChurnSeasonTable,4,FALSE)),2)*PriceEssAnnual*EG44+EQ8*POWER(1-(AnnualChurn*VLOOKUP(ED44,ChurnSeasonTable,4,FALSE)),3)*PriceEssAnnual*EG44+ER32*POWER(1-(AnnualChurn*VLOOKUP(ED44,ChurnSeasonTable,4,FALSE)),1)*PricePremAnnual*EG44+ER20*POWER(1-(AnnualChurn*VLOOKUP(ED44,ChurnSeasonTable,4,FALSE)),2)*PricePremAnnual*EG44+ER8*POWER(1-(AnnualChurn*VLOOKUP(ED44,ChurnSeasonTable,4,FALSE)),3)*PricePremAnnual*EG44</f>
        <v/>
      </c>
      <c r="FC44" s="9">
        <f>EZ44+FA44+FB44</f>
        <v/>
      </c>
      <c r="FD44" s="12">
        <f>SUM(FC33:FC44)</f>
        <v/>
      </c>
      <c r="FE44" s="12">
        <f>OR(FE43,FD44&gt;=VATThreshold)</f>
        <v/>
      </c>
      <c r="FF44" s="9">
        <f>IF(FE44,FC44/(1+VATRate),FC44)</f>
        <v/>
      </c>
      <c r="FG44" s="12">
        <f>FC44-FF44</f>
        <v/>
      </c>
      <c r="FH44" s="12">
        <f>IF(FE44=0,0,IF(ED44=1,SUMPRODUCT(--(($EE$5:$EE44=$EE44-1)*($ED$5:$ED44&gt;=10)*($ED$5:$ED44&lt;=12)),$FG$5:$FG44),IF(ED44=4,SUMPRODUCT(--(($EE$5:$EE44=$EE44)*($ED$5:$ED44&gt;=1)*($ED$5:$ED44&lt;=3)),$FG$5:$FG44),IF(ED44=7,SUMPRODUCT(--(($EE$5:$EE44=$EE44)*($ED$5:$ED44&gt;=4)*($ED$5:$ED44&lt;=6)),$FG$5:$FG44),IF(ED44=10,SUMPRODUCT(--(($EE$5:$EE44=$EE44)*($ED$5:$ED44&gt;=7)*($ED$5:$ED44&lt;=9)),$FG$5:$FG44),0)))))</f>
        <v/>
      </c>
      <c r="FI44" s="12">
        <f>FI43+FG44-FH44</f>
        <v/>
      </c>
      <c r="FJ44" s="12">
        <f>IF(ProviderDelay&gt;=1,FF43*ProviderShare,FF44*ProviderShare)</f>
        <v/>
      </c>
      <c r="FK44" s="12">
        <f>FC44*PaymentFee</f>
        <v/>
      </c>
      <c r="FL44" s="12">
        <f>EW44*OpsAI</f>
        <v/>
      </c>
      <c r="FM44" s="12">
        <f>MonthlyFixed</f>
        <v/>
      </c>
      <c r="FN44" s="12">
        <f>EK44*ReferralReward</f>
        <v/>
      </c>
      <c r="FO44" s="12">
        <f>EI44</f>
        <v/>
      </c>
      <c r="FP44" s="9">
        <f>FF44-FJ44-FK44-FL44-FM44-FN44-FO44</f>
        <v/>
      </c>
      <c r="FQ44" s="9">
        <f>FQ43+FC44-(FJ44+FK44+FL44+FM44+FN44+FO44+FH44)</f>
        <v/>
      </c>
      <c r="FR44" s="12">
        <f>IF(EW44&gt;0,EX44/EW44,0)</f>
        <v/>
      </c>
      <c r="FS44" s="11">
        <f>IF(EW43&gt;0,MAX(0,(EW43+EL44-EW44)/EW43),0)</f>
        <v/>
      </c>
      <c r="FU44" s="12" t="n">
        <v>40</v>
      </c>
      <c r="FV44" s="12">
        <f>MOD(FU44-1+LaunchMonth-1,12)+1</f>
        <v/>
      </c>
      <c r="FW44" s="12">
        <f>INT((FU44-1+LaunchMonth-1)/12)+1</f>
        <v/>
      </c>
      <c r="FX44" s="12">
        <f>VLOOKUP(FV44,SeasonTable,2,FALSE)</f>
        <v/>
      </c>
      <c r="FY44" s="12">
        <f>(1+InflationRate)^INT((FU44-1)/12)</f>
        <v/>
      </c>
      <c r="FZ44" s="11">
        <f>'Sens - Churn'!$A$14*VLOOKUP(FV44,ChurnSeasonTable,4,FALSE)</f>
        <v/>
      </c>
      <c r="GA44" s="12">
        <f>MIN(MAX(MktMin19plus,GU43*MktPct19plus),MAX(0,HI43-CashBuffer))</f>
        <v/>
      </c>
      <c r="GB44" s="12">
        <f>IF(GA44&gt;0,MAX(1,ROUND(GA44/CAC*FX44,0)),0)</f>
        <v/>
      </c>
      <c r="GC44" s="12">
        <f>IF(GB44&gt;0,ROUND(GB44*ReferralMix/(1-ReferralMix),0),0)</f>
        <v/>
      </c>
      <c r="GD44" s="12">
        <f>GB44+GC44</f>
        <v/>
      </c>
      <c r="GE44" s="12">
        <f>ROUND(GD44*(1-AnnualMix),0)</f>
        <v/>
      </c>
      <c r="GF44" s="12">
        <f>GD44-GE44</f>
        <v/>
      </c>
      <c r="GG44" s="12">
        <f>ROUND(GE44*EssentialMix,0)</f>
        <v/>
      </c>
      <c r="GH44" s="12">
        <f>GE44-GG44</f>
        <v/>
      </c>
      <c r="GI44" s="12">
        <f>ROUND(GF44*EssentialMix,0)</f>
        <v/>
      </c>
      <c r="GJ44" s="12">
        <f>GF44-GI44</f>
        <v/>
      </c>
      <c r="GK44" s="12">
        <f>GG44+GG43+GG42+MAX(0,GK43-GG43-GG42)*(1-FZ44)</f>
        <v/>
      </c>
      <c r="GL44" s="12">
        <f>GH44+GH43+GH42+MAX(0,GL43-GH43-GH42)*(1-FZ44)</f>
        <v/>
      </c>
      <c r="GM44" s="12">
        <f>GM43+GI44-GI32*(AnnualChurn*VLOOKUP(FV44,ChurnSeasonTable,4,FALSE))*POWER(1-(AnnualChurn*VLOOKUP(FV44,ChurnSeasonTable,4,FALSE)),0)+GI20*(AnnualChurn*VLOOKUP(FV44,ChurnSeasonTable,4,FALSE))*POWER(1-(AnnualChurn*VLOOKUP(FV44,ChurnSeasonTable,4,FALSE)),1)+GI8*(AnnualChurn*VLOOKUP(FV44,ChurnSeasonTable,4,FALSE))*POWER(1-(AnnualChurn*VLOOKUP(FV44,ChurnSeasonTable,4,FALSE)),2)</f>
        <v/>
      </c>
      <c r="GN44" s="12">
        <f>GN43+GJ44-GJ32*(AnnualChurn*VLOOKUP(FV44,ChurnSeasonTable,4,FALSE))*POWER(1-(AnnualChurn*VLOOKUP(FV44,ChurnSeasonTable,4,FALSE)),0)+GJ20*(AnnualChurn*VLOOKUP(FV44,ChurnSeasonTable,4,FALSE))*POWER(1-(AnnualChurn*VLOOKUP(FV44,ChurnSeasonTable,4,FALSE)),1)+GJ8*(AnnualChurn*VLOOKUP(FV44,ChurnSeasonTable,4,FALSE))*POWER(1-(AnnualChurn*VLOOKUP(FV44,ChurnSeasonTable,4,FALSE)),2)</f>
        <v/>
      </c>
      <c r="GO44" s="12">
        <f>GK44+GL44+GM44+GN44</f>
        <v/>
      </c>
      <c r="GP44" s="9">
        <f>GK44*PriceEssMonthly*FY44+GL44*PricePremMonthly*FY44+GM44*PriceEssAnnual*FY44/12+GN44*PricePremAnnual*FY44/12</f>
        <v/>
      </c>
      <c r="GQ44" s="9">
        <f>GP44*12</f>
        <v/>
      </c>
      <c r="GR44" s="12">
        <f>GK44*PriceEssMonthly*FY44+GL44*PricePremMonthly*FY44</f>
        <v/>
      </c>
      <c r="GS44" s="12">
        <f>GI44*PriceEssAnnual*FY44+GJ44*PricePremAnnual*FY44</f>
        <v/>
      </c>
      <c r="GT44" s="12">
        <f>GI32*POWER(1-(AnnualChurn*VLOOKUP(FV44,ChurnSeasonTable,4,FALSE)),1)*PriceEssAnnual*FY44+GI20*POWER(1-(AnnualChurn*VLOOKUP(FV44,ChurnSeasonTable,4,FALSE)),2)*PriceEssAnnual*FY44+GI8*POWER(1-(AnnualChurn*VLOOKUP(FV44,ChurnSeasonTable,4,FALSE)),3)*PriceEssAnnual*FY44+GJ32*POWER(1-(AnnualChurn*VLOOKUP(FV44,ChurnSeasonTable,4,FALSE)),1)*PricePremAnnual*FY44+GJ20*POWER(1-(AnnualChurn*VLOOKUP(FV44,ChurnSeasonTable,4,FALSE)),2)*PricePremAnnual*FY44+GJ8*POWER(1-(AnnualChurn*VLOOKUP(FV44,ChurnSeasonTable,4,FALSE)),3)*PricePremAnnual*FY44</f>
        <v/>
      </c>
      <c r="GU44" s="9">
        <f>GR44+GS44+GT44</f>
        <v/>
      </c>
      <c r="GV44" s="12">
        <f>SUM(GU33:GU44)</f>
        <v/>
      </c>
      <c r="GW44" s="12">
        <f>OR(GW43,GV44&gt;=VATThreshold)</f>
        <v/>
      </c>
      <c r="GX44" s="9">
        <f>IF(GW44,GU44/(1+VATRate),GU44)</f>
        <v/>
      </c>
      <c r="GY44" s="12">
        <f>GU44-GX44</f>
        <v/>
      </c>
      <c r="GZ44" s="12">
        <f>IF(GW44=0,0,IF(FV44=1,SUMPRODUCT(--(($FW$5:$FW44=$FW44-1)*($FV$5:$FV44&gt;=10)*($FV$5:$FV44&lt;=12)),$GY$5:$GY44),IF(FV44=4,SUMPRODUCT(--(($FW$5:$FW44=$FW44)*($FV$5:$FV44&gt;=1)*($FV$5:$FV44&lt;=3)),$GY$5:$GY44),IF(FV44=7,SUMPRODUCT(--(($FW$5:$FW44=$FW44)*($FV$5:$FV44&gt;=4)*($FV$5:$FV44&lt;=6)),$GY$5:$GY44),IF(FV44=10,SUMPRODUCT(--(($FW$5:$FW44=$FW44)*($FV$5:$FV44&gt;=7)*($FV$5:$FV44&lt;=9)),$GY$5:$GY44),0)))))</f>
        <v/>
      </c>
      <c r="HA44" s="12">
        <f>HA43+GY44-GZ44</f>
        <v/>
      </c>
      <c r="HB44" s="12">
        <f>IF(ProviderDelay&gt;=1,GX43*ProviderShare,GX44*ProviderShare)</f>
        <v/>
      </c>
      <c r="HC44" s="12">
        <f>GU44*PaymentFee</f>
        <v/>
      </c>
      <c r="HD44" s="12">
        <f>GO44*OpsAI</f>
        <v/>
      </c>
      <c r="HE44" s="12">
        <f>MonthlyFixed</f>
        <v/>
      </c>
      <c r="HF44" s="12">
        <f>GC44*ReferralReward</f>
        <v/>
      </c>
      <c r="HG44" s="12">
        <f>GA44</f>
        <v/>
      </c>
      <c r="HH44" s="9">
        <f>GX44-HB44-HC44-HD44-HE44-HF44-HG44</f>
        <v/>
      </c>
      <c r="HI44" s="9">
        <f>HI43+GU44-(HB44+HC44+HD44+HE44+HF44+HG44+GZ44)</f>
        <v/>
      </c>
      <c r="HJ44" s="12">
        <f>IF(GO44&gt;0,GP44/GO44,0)</f>
        <v/>
      </c>
      <c r="HK44" s="11">
        <f>IF(GO43&gt;0,MAX(0,(GO43+GD44-GO44)/GO43),0)</f>
        <v/>
      </c>
      <c r="HM44" s="12" t="n">
        <v>40</v>
      </c>
      <c r="HN44" s="12">
        <f>MOD(HM44-1+LaunchMonth-1,12)+1</f>
        <v/>
      </c>
      <c r="HO44" s="12">
        <f>INT((HM44-1+LaunchMonth-1)/12)+1</f>
        <v/>
      </c>
      <c r="HP44" s="12">
        <f>VLOOKUP(HN44,SeasonTable,2,FALSE)</f>
        <v/>
      </c>
      <c r="HQ44" s="12">
        <f>(1+InflationRate)^INT((HM44-1)/12)</f>
        <v/>
      </c>
      <c r="HR44" s="11">
        <f>'Sens - Churn'!$A$15*VLOOKUP(HN44,ChurnSeasonTable,4,FALSE)</f>
        <v/>
      </c>
      <c r="HS44" s="12">
        <f>MIN(MAX(MktMin19plus,IM43*MktPct19plus),MAX(0,JA43-CashBuffer))</f>
        <v/>
      </c>
      <c r="HT44" s="12">
        <f>IF(HS44&gt;0,MAX(1,ROUND(HS44/CAC*HP44,0)),0)</f>
        <v/>
      </c>
      <c r="HU44" s="12">
        <f>IF(HT44&gt;0,ROUND(HT44*ReferralMix/(1-ReferralMix),0),0)</f>
        <v/>
      </c>
      <c r="HV44" s="12">
        <f>HT44+HU44</f>
        <v/>
      </c>
      <c r="HW44" s="12">
        <f>ROUND(HV44*(1-AnnualMix),0)</f>
        <v/>
      </c>
      <c r="HX44" s="12">
        <f>HV44-HW44</f>
        <v/>
      </c>
      <c r="HY44" s="12">
        <f>ROUND(HW44*EssentialMix,0)</f>
        <v/>
      </c>
      <c r="HZ44" s="12">
        <f>HW44-HY44</f>
        <v/>
      </c>
      <c r="IA44" s="12">
        <f>ROUND(HX44*EssentialMix,0)</f>
        <v/>
      </c>
      <c r="IB44" s="12">
        <f>HX44-IA44</f>
        <v/>
      </c>
      <c r="IC44" s="12">
        <f>HY44+HY43+HY42+MAX(0,IC43-HY43-HY42)*(1-HR44)</f>
        <v/>
      </c>
      <c r="ID44" s="12">
        <f>HZ44+HZ43+HZ42+MAX(0,ID43-HZ43-HZ42)*(1-HR44)</f>
        <v/>
      </c>
      <c r="IE44" s="12">
        <f>IE43+IA44-IA32*(AnnualChurn*VLOOKUP(HN44,ChurnSeasonTable,4,FALSE))*POWER(1-(AnnualChurn*VLOOKUP(HN44,ChurnSeasonTable,4,FALSE)),0)+IA20*(AnnualChurn*VLOOKUP(HN44,ChurnSeasonTable,4,FALSE))*POWER(1-(AnnualChurn*VLOOKUP(HN44,ChurnSeasonTable,4,FALSE)),1)+IA8*(AnnualChurn*VLOOKUP(HN44,ChurnSeasonTable,4,FALSE))*POWER(1-(AnnualChurn*VLOOKUP(HN44,ChurnSeasonTable,4,FALSE)),2)</f>
        <v/>
      </c>
      <c r="IF44" s="12">
        <f>IF43+IB44-IB32*(AnnualChurn*VLOOKUP(HN44,ChurnSeasonTable,4,FALSE))*POWER(1-(AnnualChurn*VLOOKUP(HN44,ChurnSeasonTable,4,FALSE)),0)+IB20*(AnnualChurn*VLOOKUP(HN44,ChurnSeasonTable,4,FALSE))*POWER(1-(AnnualChurn*VLOOKUP(HN44,ChurnSeasonTable,4,FALSE)),1)+IB8*(AnnualChurn*VLOOKUP(HN44,ChurnSeasonTable,4,FALSE))*POWER(1-(AnnualChurn*VLOOKUP(HN44,ChurnSeasonTable,4,FALSE)),2)</f>
        <v/>
      </c>
      <c r="IG44" s="12">
        <f>IC44+ID44+IE44+IF44</f>
        <v/>
      </c>
      <c r="IH44" s="9">
        <f>IC44*PriceEssMonthly*HQ44+ID44*PricePremMonthly*HQ44+IE44*PriceEssAnnual*HQ44/12+IF44*PricePremAnnual*HQ44/12</f>
        <v/>
      </c>
      <c r="II44" s="9">
        <f>IH44*12</f>
        <v/>
      </c>
      <c r="IJ44" s="12">
        <f>IC44*PriceEssMonthly*HQ44+ID44*PricePremMonthly*HQ44</f>
        <v/>
      </c>
      <c r="IK44" s="12">
        <f>IA44*PriceEssAnnual*HQ44+IB44*PricePremAnnual*HQ44</f>
        <v/>
      </c>
      <c r="IL44" s="12">
        <f>IA32*POWER(1-(AnnualChurn*VLOOKUP(HN44,ChurnSeasonTable,4,FALSE)),1)*PriceEssAnnual*HQ44+IA20*POWER(1-(AnnualChurn*VLOOKUP(HN44,ChurnSeasonTable,4,FALSE)),2)*PriceEssAnnual*HQ44+IA8*POWER(1-(AnnualChurn*VLOOKUP(HN44,ChurnSeasonTable,4,FALSE)),3)*PriceEssAnnual*HQ44+IB32*POWER(1-(AnnualChurn*VLOOKUP(HN44,ChurnSeasonTable,4,FALSE)),1)*PricePremAnnual*HQ44+IB20*POWER(1-(AnnualChurn*VLOOKUP(HN44,ChurnSeasonTable,4,FALSE)),2)*PricePremAnnual*HQ44+IB8*POWER(1-(AnnualChurn*VLOOKUP(HN44,ChurnSeasonTable,4,FALSE)),3)*PricePremAnnual*HQ44</f>
        <v/>
      </c>
      <c r="IM44" s="9">
        <f>IJ44+IK44+IL44</f>
        <v/>
      </c>
      <c r="IN44" s="12">
        <f>SUM(IM33:IM44)</f>
        <v/>
      </c>
      <c r="IO44" s="12">
        <f>OR(IO43,IN44&gt;=VATThreshold)</f>
        <v/>
      </c>
      <c r="IP44" s="9">
        <f>IF(IO44,IM44/(1+VATRate),IM44)</f>
        <v/>
      </c>
      <c r="IQ44" s="12">
        <f>IM44-IP44</f>
        <v/>
      </c>
      <c r="IR44" s="12">
        <f>IF(IO44=0,0,IF(HN44=1,SUMPRODUCT(--(($HO$5:$HO44=$HO44-1)*($HN$5:$HN44&gt;=10)*($HN$5:$HN44&lt;=12)),$IQ$5:$IQ44),IF(HN44=4,SUMPRODUCT(--(($HO$5:$HO44=$HO44)*($HN$5:$HN44&gt;=1)*($HN$5:$HN44&lt;=3)),$IQ$5:$IQ44),IF(HN44=7,SUMPRODUCT(--(($HO$5:$HO44=$HO44)*($HN$5:$HN44&gt;=4)*($HN$5:$HN44&lt;=6)),$IQ$5:$IQ44),IF(HN44=10,SUMPRODUCT(--(($HO$5:$HO44=$HO44)*($HN$5:$HN44&gt;=7)*($HN$5:$HN44&lt;=9)),$IQ$5:$IQ44),0)))))</f>
        <v/>
      </c>
      <c r="IS44" s="12">
        <f>IS43+IQ44-IR44</f>
        <v/>
      </c>
      <c r="IT44" s="12">
        <f>IF(ProviderDelay&gt;=1,IP43*ProviderShare,IP44*ProviderShare)</f>
        <v/>
      </c>
      <c r="IU44" s="12">
        <f>IM44*PaymentFee</f>
        <v/>
      </c>
      <c r="IV44" s="12">
        <f>IG44*OpsAI</f>
        <v/>
      </c>
      <c r="IW44" s="12">
        <f>MonthlyFixed</f>
        <v/>
      </c>
      <c r="IX44" s="12">
        <f>HU44*ReferralReward</f>
        <v/>
      </c>
      <c r="IY44" s="12">
        <f>HS44</f>
        <v/>
      </c>
      <c r="IZ44" s="9">
        <f>IP44-IT44-IU44-IV44-IW44-IX44-IY44</f>
        <v/>
      </c>
      <c r="JA44" s="9">
        <f>JA43+IM44-(IT44+IU44+IV44+IW44+IX44+IY44+IR44)</f>
        <v/>
      </c>
      <c r="JB44" s="12">
        <f>IF(IG44&gt;0,IH44/IG44,0)</f>
        <v/>
      </c>
      <c r="JC44" s="11">
        <f>IF(IG43&gt;0,MAX(0,(IG43+HV44-IG44)/IG43),0)</f>
        <v/>
      </c>
      <c r="JE44" s="12" t="n">
        <v>40</v>
      </c>
      <c r="JF44" s="12">
        <f>MOD(JE44-1+LaunchMonth-1,12)+1</f>
        <v/>
      </c>
      <c r="JG44" s="12">
        <f>INT((JE44-1+LaunchMonth-1)/12)+1</f>
        <v/>
      </c>
      <c r="JH44" s="12">
        <f>VLOOKUP(JF44,SeasonTable,2,FALSE)</f>
        <v/>
      </c>
      <c r="JI44" s="12">
        <f>(1+InflationRate)^INT((JE44-1)/12)</f>
        <v/>
      </c>
      <c r="JJ44" s="11">
        <f>'Sens - Churn'!$A$16*VLOOKUP(JF44,ChurnSeasonTable,4,FALSE)</f>
        <v/>
      </c>
      <c r="JK44" s="12">
        <f>MIN(MAX(MktMin19plus,KE43*MktPct19plus),MAX(0,KS43-CashBuffer))</f>
        <v/>
      </c>
      <c r="JL44" s="12">
        <f>IF(JK44&gt;0,MAX(1,ROUND(JK44/CAC*JH44,0)),0)</f>
        <v/>
      </c>
      <c r="JM44" s="12">
        <f>IF(JL44&gt;0,ROUND(JL44*ReferralMix/(1-ReferralMix),0),0)</f>
        <v/>
      </c>
      <c r="JN44" s="12">
        <f>JL44+JM44</f>
        <v/>
      </c>
      <c r="JO44" s="12">
        <f>ROUND(JN44*(1-AnnualMix),0)</f>
        <v/>
      </c>
      <c r="JP44" s="12">
        <f>JN44-JO44</f>
        <v/>
      </c>
      <c r="JQ44" s="12">
        <f>ROUND(JO44*EssentialMix,0)</f>
        <v/>
      </c>
      <c r="JR44" s="12">
        <f>JO44-JQ44</f>
        <v/>
      </c>
      <c r="JS44" s="12">
        <f>ROUND(JP44*EssentialMix,0)</f>
        <v/>
      </c>
      <c r="JT44" s="12">
        <f>JP44-JS44</f>
        <v/>
      </c>
      <c r="JU44" s="12">
        <f>JQ44+JQ43+JQ42+MAX(0,JU43-JQ43-JQ42)*(1-JJ44)</f>
        <v/>
      </c>
      <c r="JV44" s="12">
        <f>JR44+JR43+JR42+MAX(0,JV43-JR43-JR42)*(1-JJ44)</f>
        <v/>
      </c>
      <c r="JW44" s="12">
        <f>JW43+JS44-JS32*(AnnualChurn*VLOOKUP(JF44,ChurnSeasonTable,4,FALSE))*POWER(1-(AnnualChurn*VLOOKUP(JF44,ChurnSeasonTable,4,FALSE)),0)+JS20*(AnnualChurn*VLOOKUP(JF44,ChurnSeasonTable,4,FALSE))*POWER(1-(AnnualChurn*VLOOKUP(JF44,ChurnSeasonTable,4,FALSE)),1)+JS8*(AnnualChurn*VLOOKUP(JF44,ChurnSeasonTable,4,FALSE))*POWER(1-(AnnualChurn*VLOOKUP(JF44,ChurnSeasonTable,4,FALSE)),2)</f>
        <v/>
      </c>
      <c r="JX44" s="12">
        <f>JX43+JT44-JT32*(AnnualChurn*VLOOKUP(JF44,ChurnSeasonTable,4,FALSE))*POWER(1-(AnnualChurn*VLOOKUP(JF44,ChurnSeasonTable,4,FALSE)),0)+JT20*(AnnualChurn*VLOOKUP(JF44,ChurnSeasonTable,4,FALSE))*POWER(1-(AnnualChurn*VLOOKUP(JF44,ChurnSeasonTable,4,FALSE)),1)+JT8*(AnnualChurn*VLOOKUP(JF44,ChurnSeasonTable,4,FALSE))*POWER(1-(AnnualChurn*VLOOKUP(JF44,ChurnSeasonTable,4,FALSE)),2)</f>
        <v/>
      </c>
      <c r="JY44" s="12">
        <f>JU44+JV44+JW44+JX44</f>
        <v/>
      </c>
      <c r="JZ44" s="9">
        <f>JU44*PriceEssMonthly*JI44+JV44*PricePremMonthly*JI44+JW44*PriceEssAnnual*JI44/12+JX44*PricePremAnnual*JI44/12</f>
        <v/>
      </c>
      <c r="KA44" s="9">
        <f>JZ44*12</f>
        <v/>
      </c>
      <c r="KB44" s="12">
        <f>JU44*PriceEssMonthly*JI44+JV44*PricePremMonthly*JI44</f>
        <v/>
      </c>
      <c r="KC44" s="12">
        <f>JS44*PriceEssAnnual*JI44+JT44*PricePremAnnual*JI44</f>
        <v/>
      </c>
      <c r="KD44" s="12">
        <f>JS32*POWER(1-(AnnualChurn*VLOOKUP(JF44,ChurnSeasonTable,4,FALSE)),1)*PriceEssAnnual*JI44+JS20*POWER(1-(AnnualChurn*VLOOKUP(JF44,ChurnSeasonTable,4,FALSE)),2)*PriceEssAnnual*JI44+JS8*POWER(1-(AnnualChurn*VLOOKUP(JF44,ChurnSeasonTable,4,FALSE)),3)*PriceEssAnnual*JI44+JT32*POWER(1-(AnnualChurn*VLOOKUP(JF44,ChurnSeasonTable,4,FALSE)),1)*PricePremAnnual*JI44+JT20*POWER(1-(AnnualChurn*VLOOKUP(JF44,ChurnSeasonTable,4,FALSE)),2)*PricePremAnnual*JI44+JT8*POWER(1-(AnnualChurn*VLOOKUP(JF44,ChurnSeasonTable,4,FALSE)),3)*PricePremAnnual*JI44</f>
        <v/>
      </c>
      <c r="KE44" s="9">
        <f>KB44+KC44+KD44</f>
        <v/>
      </c>
      <c r="KF44" s="12">
        <f>SUM(KE33:KE44)</f>
        <v/>
      </c>
      <c r="KG44" s="12">
        <f>OR(KG43,KF44&gt;=VATThreshold)</f>
        <v/>
      </c>
      <c r="KH44" s="9">
        <f>IF(KG44,KE44/(1+VATRate),KE44)</f>
        <v/>
      </c>
      <c r="KI44" s="12">
        <f>KE44-KH44</f>
        <v/>
      </c>
      <c r="KJ44" s="12">
        <f>IF(KG44=0,0,IF(JF44=1,SUMPRODUCT(--(($JG$5:$JG44=$JG44-1)*($JF$5:$JF44&gt;=10)*($JF$5:$JF44&lt;=12)),$KI$5:$KI44),IF(JF44=4,SUMPRODUCT(--(($JG$5:$JG44=$JG44)*($JF$5:$JF44&gt;=1)*($JF$5:$JF44&lt;=3)),$KI$5:$KI44),IF(JF44=7,SUMPRODUCT(--(($JG$5:$JG44=$JG44)*($JF$5:$JF44&gt;=4)*($JF$5:$JF44&lt;=6)),$KI$5:$KI44),IF(JF44=10,SUMPRODUCT(--(($JG$5:$JG44=$JG44)*($JF$5:$JF44&gt;=7)*($JF$5:$JF44&lt;=9)),$KI$5:$KI44),0)))))</f>
        <v/>
      </c>
      <c r="KK44" s="12">
        <f>KK43+KI44-KJ44</f>
        <v/>
      </c>
      <c r="KL44" s="12">
        <f>IF(ProviderDelay&gt;=1,KH43*ProviderShare,KH44*ProviderShare)</f>
        <v/>
      </c>
      <c r="KM44" s="12">
        <f>KE44*PaymentFee</f>
        <v/>
      </c>
      <c r="KN44" s="12">
        <f>JY44*OpsAI</f>
        <v/>
      </c>
      <c r="KO44" s="12">
        <f>MonthlyFixed</f>
        <v/>
      </c>
      <c r="KP44" s="12">
        <f>JM44*ReferralReward</f>
        <v/>
      </c>
      <c r="KQ44" s="12">
        <f>JK44</f>
        <v/>
      </c>
      <c r="KR44" s="9">
        <f>KH44-KL44-KM44-KN44-KO44-KP44-KQ44</f>
        <v/>
      </c>
      <c r="KS44" s="9">
        <f>KS43+KE44-(KL44+KM44+KN44+KO44+KP44+KQ44+KJ44)</f>
        <v/>
      </c>
      <c r="KT44" s="12">
        <f>IF(JY44&gt;0,JZ44/JY44,0)</f>
        <v/>
      </c>
      <c r="KU44" s="11">
        <f>IF(JY43&gt;0,MAX(0,(JY43+JN44-JY44)/JY43),0)</f>
        <v/>
      </c>
      <c r="KW44" s="12" t="n">
        <v>40</v>
      </c>
      <c r="KX44" s="12">
        <f>MOD(KW44-1+LaunchMonth-1,12)+1</f>
        <v/>
      </c>
      <c r="KY44" s="12">
        <f>INT((KW44-1+LaunchMonth-1)/12)+1</f>
        <v/>
      </c>
      <c r="KZ44" s="12">
        <f>VLOOKUP(KX44,SeasonTable,2,FALSE)</f>
        <v/>
      </c>
      <c r="LA44" s="12">
        <f>(1+InflationRate)^INT((KW44-1)/12)</f>
        <v/>
      </c>
      <c r="LB44" s="11">
        <f>'Sens - Churn'!$A$17*VLOOKUP(KX44,ChurnSeasonTable,4,FALSE)</f>
        <v/>
      </c>
      <c r="LC44" s="12">
        <f>MIN(MAX(MktMin19plus,LW43*MktPct19plus),MAX(0,MK43-CashBuffer))</f>
        <v/>
      </c>
      <c r="LD44" s="12">
        <f>IF(LC44&gt;0,MAX(1,ROUND(LC44/CAC*KZ44,0)),0)</f>
        <v/>
      </c>
      <c r="LE44" s="12">
        <f>IF(LD44&gt;0,ROUND(LD44*ReferralMix/(1-ReferralMix),0),0)</f>
        <v/>
      </c>
      <c r="LF44" s="12">
        <f>LD44+LE44</f>
        <v/>
      </c>
      <c r="LG44" s="12">
        <f>ROUND(LF44*(1-AnnualMix),0)</f>
        <v/>
      </c>
      <c r="LH44" s="12">
        <f>LF44-LG44</f>
        <v/>
      </c>
      <c r="LI44" s="12">
        <f>ROUND(LG44*EssentialMix,0)</f>
        <v/>
      </c>
      <c r="LJ44" s="12">
        <f>LG44-LI44</f>
        <v/>
      </c>
      <c r="LK44" s="12">
        <f>ROUND(LH44*EssentialMix,0)</f>
        <v/>
      </c>
      <c r="LL44" s="12">
        <f>LH44-LK44</f>
        <v/>
      </c>
      <c r="LM44" s="12">
        <f>LI44+LI43+LI42+MAX(0,LM43-LI43-LI42)*(1-LB44)</f>
        <v/>
      </c>
      <c r="LN44" s="12">
        <f>LJ44+LJ43+LJ42+MAX(0,LN43-LJ43-LJ42)*(1-LB44)</f>
        <v/>
      </c>
      <c r="LO44" s="12">
        <f>LO43+LK44-LK32*(AnnualChurn*VLOOKUP(KX44,ChurnSeasonTable,4,FALSE))*POWER(1-(AnnualChurn*VLOOKUP(KX44,ChurnSeasonTable,4,FALSE)),0)+LK20*(AnnualChurn*VLOOKUP(KX44,ChurnSeasonTable,4,FALSE))*POWER(1-(AnnualChurn*VLOOKUP(KX44,ChurnSeasonTable,4,FALSE)),1)+LK8*(AnnualChurn*VLOOKUP(KX44,ChurnSeasonTable,4,FALSE))*POWER(1-(AnnualChurn*VLOOKUP(KX44,ChurnSeasonTable,4,FALSE)),2)</f>
        <v/>
      </c>
      <c r="LP44" s="12">
        <f>LP43+LL44-LL32*(AnnualChurn*VLOOKUP(KX44,ChurnSeasonTable,4,FALSE))*POWER(1-(AnnualChurn*VLOOKUP(KX44,ChurnSeasonTable,4,FALSE)),0)+LL20*(AnnualChurn*VLOOKUP(KX44,ChurnSeasonTable,4,FALSE))*POWER(1-(AnnualChurn*VLOOKUP(KX44,ChurnSeasonTable,4,FALSE)),1)+LL8*(AnnualChurn*VLOOKUP(KX44,ChurnSeasonTable,4,FALSE))*POWER(1-(AnnualChurn*VLOOKUP(KX44,ChurnSeasonTable,4,FALSE)),2)</f>
        <v/>
      </c>
      <c r="LQ44" s="12">
        <f>LM44+LN44+LO44+LP44</f>
        <v/>
      </c>
      <c r="LR44" s="9">
        <f>LM44*PriceEssMonthly*LA44+LN44*PricePremMonthly*LA44+LO44*PriceEssAnnual*LA44/12+LP44*PricePremAnnual*LA44/12</f>
        <v/>
      </c>
      <c r="LS44" s="9">
        <f>LR44*12</f>
        <v/>
      </c>
      <c r="LT44" s="12">
        <f>LM44*PriceEssMonthly*LA44+LN44*PricePremMonthly*LA44</f>
        <v/>
      </c>
      <c r="LU44" s="12">
        <f>LK44*PriceEssAnnual*LA44+LL44*PricePremAnnual*LA44</f>
        <v/>
      </c>
      <c r="LV44" s="12">
        <f>LK32*POWER(1-(AnnualChurn*VLOOKUP(KX44,ChurnSeasonTable,4,FALSE)),1)*PriceEssAnnual*LA44+LK20*POWER(1-(AnnualChurn*VLOOKUP(KX44,ChurnSeasonTable,4,FALSE)),2)*PriceEssAnnual*LA44+LK8*POWER(1-(AnnualChurn*VLOOKUP(KX44,ChurnSeasonTable,4,FALSE)),3)*PriceEssAnnual*LA44+LL32*POWER(1-(AnnualChurn*VLOOKUP(KX44,ChurnSeasonTable,4,FALSE)),1)*PricePremAnnual*LA44+LL20*POWER(1-(AnnualChurn*VLOOKUP(KX44,ChurnSeasonTable,4,FALSE)),2)*PricePremAnnual*LA44+LL8*POWER(1-(AnnualChurn*VLOOKUP(KX44,ChurnSeasonTable,4,FALSE)),3)*PricePremAnnual*LA44</f>
        <v/>
      </c>
      <c r="LW44" s="9">
        <f>LT44+LU44+LV44</f>
        <v/>
      </c>
      <c r="LX44" s="12">
        <f>SUM(LW33:LW44)</f>
        <v/>
      </c>
      <c r="LY44" s="12">
        <f>OR(LY43,LX44&gt;=VATThreshold)</f>
        <v/>
      </c>
      <c r="LZ44" s="9">
        <f>IF(LY44,LW44/(1+VATRate),LW44)</f>
        <v/>
      </c>
      <c r="MA44" s="12">
        <f>LW44-LZ44</f>
        <v/>
      </c>
      <c r="MB44" s="12">
        <f>IF(LY44=0,0,IF(KX44=1,SUMPRODUCT(--(($KY$5:$KY44=$KY44-1)*($KX$5:$KX44&gt;=10)*($KX$5:$KX44&lt;=12)),$MA$5:$MA44),IF(KX44=4,SUMPRODUCT(--(($KY$5:$KY44=$KY44)*($KX$5:$KX44&gt;=1)*($KX$5:$KX44&lt;=3)),$MA$5:$MA44),IF(KX44=7,SUMPRODUCT(--(($KY$5:$KY44=$KY44)*($KX$5:$KX44&gt;=4)*($KX$5:$KX44&lt;=6)),$MA$5:$MA44),IF(KX44=10,SUMPRODUCT(--(($KY$5:$KY44=$KY44)*($KX$5:$KX44&gt;=7)*($KX$5:$KX44&lt;=9)),$MA$5:$MA44),0)))))</f>
        <v/>
      </c>
      <c r="MC44" s="12">
        <f>MC43+MA44-MB44</f>
        <v/>
      </c>
      <c r="MD44" s="12">
        <f>IF(ProviderDelay&gt;=1,LZ43*ProviderShare,LZ44*ProviderShare)</f>
        <v/>
      </c>
      <c r="ME44" s="12">
        <f>LW44*PaymentFee</f>
        <v/>
      </c>
      <c r="MF44" s="12">
        <f>LQ44*OpsAI</f>
        <v/>
      </c>
      <c r="MG44" s="12">
        <f>MonthlyFixed</f>
        <v/>
      </c>
      <c r="MH44" s="12">
        <f>LE44*ReferralReward</f>
        <v/>
      </c>
      <c r="MI44" s="12">
        <f>LC44</f>
        <v/>
      </c>
      <c r="MJ44" s="9">
        <f>LZ44-MD44-ME44-MF44-MG44-MH44-MI44</f>
        <v/>
      </c>
      <c r="MK44" s="9">
        <f>MK43+LW44-(MD44+ME44+MF44+MG44+MH44+MI44+MB44)</f>
        <v/>
      </c>
      <c r="ML44" s="12">
        <f>IF(LQ44&gt;0,LR44/LQ44,0)</f>
        <v/>
      </c>
      <c r="MM44" s="11">
        <f>IF(LQ43&gt;0,MAX(0,(LQ43+LF44-LQ44)/LQ43),0)</f>
        <v/>
      </c>
      <c r="MO44" s="12" t="n">
        <v>40</v>
      </c>
      <c r="MP44" s="12">
        <f>MOD(MO44-1+LaunchMonth-1,12)+1</f>
        <v/>
      </c>
      <c r="MQ44" s="12">
        <f>INT((MO44-1+LaunchMonth-1)/12)+1</f>
        <v/>
      </c>
      <c r="MR44" s="12">
        <f>VLOOKUP(MP44,SeasonTable,2,FALSE)</f>
        <v/>
      </c>
      <c r="MS44" s="12">
        <f>(1+InflationRate)^INT((MO44-1)/12)</f>
        <v/>
      </c>
      <c r="MT44" s="11">
        <f>'Sens - Churn'!$A$18*VLOOKUP(MP44,ChurnSeasonTable,4,FALSE)</f>
        <v/>
      </c>
      <c r="MU44" s="12">
        <f>MIN(MAX(MktMin19plus,NO43*MktPct19plus),MAX(0,OC43-CashBuffer))</f>
        <v/>
      </c>
      <c r="MV44" s="12">
        <f>IF(MU44&gt;0,MAX(1,ROUND(MU44/CAC*MR44,0)),0)</f>
        <v/>
      </c>
      <c r="MW44" s="12">
        <f>IF(MV44&gt;0,ROUND(MV44*ReferralMix/(1-ReferralMix),0),0)</f>
        <v/>
      </c>
      <c r="MX44" s="12">
        <f>MV44+MW44</f>
        <v/>
      </c>
      <c r="MY44" s="12">
        <f>ROUND(MX44*(1-AnnualMix),0)</f>
        <v/>
      </c>
      <c r="MZ44" s="12">
        <f>MX44-MY44</f>
        <v/>
      </c>
      <c r="NA44" s="12">
        <f>ROUND(MY44*EssentialMix,0)</f>
        <v/>
      </c>
      <c r="NB44" s="12">
        <f>MY44-NA44</f>
        <v/>
      </c>
      <c r="NC44" s="12">
        <f>ROUND(MZ44*EssentialMix,0)</f>
        <v/>
      </c>
      <c r="ND44" s="12">
        <f>MZ44-NC44</f>
        <v/>
      </c>
      <c r="NE44" s="12">
        <f>NA44+NA43+NA42+MAX(0,NE43-NA43-NA42)*(1-MT44)</f>
        <v/>
      </c>
      <c r="NF44" s="12">
        <f>NB44+NB43+NB42+MAX(0,NF43-NB43-NB42)*(1-MT44)</f>
        <v/>
      </c>
      <c r="NG44" s="12">
        <f>NG43+NC44-NC32*(AnnualChurn*VLOOKUP(MP44,ChurnSeasonTable,4,FALSE))*POWER(1-(AnnualChurn*VLOOKUP(MP44,ChurnSeasonTable,4,FALSE)),0)+NC20*(AnnualChurn*VLOOKUP(MP44,ChurnSeasonTable,4,FALSE))*POWER(1-(AnnualChurn*VLOOKUP(MP44,ChurnSeasonTable,4,FALSE)),1)+NC8*(AnnualChurn*VLOOKUP(MP44,ChurnSeasonTable,4,FALSE))*POWER(1-(AnnualChurn*VLOOKUP(MP44,ChurnSeasonTable,4,FALSE)),2)</f>
        <v/>
      </c>
      <c r="NH44" s="12">
        <f>NH43+ND44-ND32*(AnnualChurn*VLOOKUP(MP44,ChurnSeasonTable,4,FALSE))*POWER(1-(AnnualChurn*VLOOKUP(MP44,ChurnSeasonTable,4,FALSE)),0)+ND20*(AnnualChurn*VLOOKUP(MP44,ChurnSeasonTable,4,FALSE))*POWER(1-(AnnualChurn*VLOOKUP(MP44,ChurnSeasonTable,4,FALSE)),1)+ND8*(AnnualChurn*VLOOKUP(MP44,ChurnSeasonTable,4,FALSE))*POWER(1-(AnnualChurn*VLOOKUP(MP44,ChurnSeasonTable,4,FALSE)),2)</f>
        <v/>
      </c>
      <c r="NI44" s="12">
        <f>NE44+NF44+NG44+NH44</f>
        <v/>
      </c>
      <c r="NJ44" s="9">
        <f>NE44*PriceEssMonthly*MS44+NF44*PricePremMonthly*MS44+NG44*PriceEssAnnual*MS44/12+NH44*PricePremAnnual*MS44/12</f>
        <v/>
      </c>
      <c r="NK44" s="9">
        <f>NJ44*12</f>
        <v/>
      </c>
      <c r="NL44" s="12">
        <f>NE44*PriceEssMonthly*MS44+NF44*PricePremMonthly*MS44</f>
        <v/>
      </c>
      <c r="NM44" s="12">
        <f>NC44*PriceEssAnnual*MS44+ND44*PricePremAnnual*MS44</f>
        <v/>
      </c>
      <c r="NN44" s="12">
        <f>NC32*POWER(1-(AnnualChurn*VLOOKUP(MP44,ChurnSeasonTable,4,FALSE)),1)*PriceEssAnnual*MS44+NC20*POWER(1-(AnnualChurn*VLOOKUP(MP44,ChurnSeasonTable,4,FALSE)),2)*PriceEssAnnual*MS44+NC8*POWER(1-(AnnualChurn*VLOOKUP(MP44,ChurnSeasonTable,4,FALSE)),3)*PriceEssAnnual*MS44+ND32*POWER(1-(AnnualChurn*VLOOKUP(MP44,ChurnSeasonTable,4,FALSE)),1)*PricePremAnnual*MS44+ND20*POWER(1-(AnnualChurn*VLOOKUP(MP44,ChurnSeasonTable,4,FALSE)),2)*PricePremAnnual*MS44+ND8*POWER(1-(AnnualChurn*VLOOKUP(MP44,ChurnSeasonTable,4,FALSE)),3)*PricePremAnnual*MS44</f>
        <v/>
      </c>
      <c r="NO44" s="9">
        <f>NL44+NM44+NN44</f>
        <v/>
      </c>
      <c r="NP44" s="12">
        <f>SUM(NO33:NO44)</f>
        <v/>
      </c>
      <c r="NQ44" s="12">
        <f>OR(NQ43,NP44&gt;=VATThreshold)</f>
        <v/>
      </c>
      <c r="NR44" s="9">
        <f>IF(NQ44,NO44/(1+VATRate),NO44)</f>
        <v/>
      </c>
      <c r="NS44" s="12">
        <f>NO44-NR44</f>
        <v/>
      </c>
      <c r="NT44" s="12">
        <f>IF(NQ44=0,0,IF(MP44=1,SUMPRODUCT(--(($MQ$5:$MQ44=$MQ44-1)*($MP$5:$MP44&gt;=10)*($MP$5:$MP44&lt;=12)),$NS$5:$NS44),IF(MP44=4,SUMPRODUCT(--(($MQ$5:$MQ44=$MQ44)*($MP$5:$MP44&gt;=1)*($MP$5:$MP44&lt;=3)),$NS$5:$NS44),IF(MP44=7,SUMPRODUCT(--(($MQ$5:$MQ44=$MQ44)*($MP$5:$MP44&gt;=4)*($MP$5:$MP44&lt;=6)),$NS$5:$NS44),IF(MP44=10,SUMPRODUCT(--(($MQ$5:$MQ44=$MQ44)*($MP$5:$MP44&gt;=7)*($MP$5:$MP44&lt;=9)),$NS$5:$NS44),0)))))</f>
        <v/>
      </c>
      <c r="NU44" s="12">
        <f>NU43+NS44-NT44</f>
        <v/>
      </c>
      <c r="NV44" s="12">
        <f>IF(ProviderDelay&gt;=1,NR43*ProviderShare,NR44*ProviderShare)</f>
        <v/>
      </c>
      <c r="NW44" s="12">
        <f>NO44*PaymentFee</f>
        <v/>
      </c>
      <c r="NX44" s="12">
        <f>NI44*OpsAI</f>
        <v/>
      </c>
      <c r="NY44" s="12">
        <f>MonthlyFixed</f>
        <v/>
      </c>
      <c r="NZ44" s="12">
        <f>MW44*ReferralReward</f>
        <v/>
      </c>
      <c r="OA44" s="12">
        <f>MU44</f>
        <v/>
      </c>
      <c r="OB44" s="9">
        <f>NR44-NV44-NW44-NX44-NY44-NZ44-OA44</f>
        <v/>
      </c>
      <c r="OC44" s="9">
        <f>OC43+NO44-(NV44+NW44+NX44+NY44+NZ44+OA44+NT44)</f>
        <v/>
      </c>
      <c r="OD44" s="12">
        <f>IF(NI44&gt;0,NJ44/NI44,0)</f>
        <v/>
      </c>
      <c r="OE44" s="11">
        <f>IF(NI43&gt;0,MAX(0,(NI43+MX44-NI44)/NI43),0)</f>
        <v/>
      </c>
      <c r="OG44" s="12" t="n">
        <v>40</v>
      </c>
      <c r="OH44" s="12">
        <f>MOD(OG44-1+LaunchMonth-1,12)+1</f>
        <v/>
      </c>
      <c r="OI44" s="12">
        <f>INT((OG44-1+LaunchMonth-1)/12)+1</f>
        <v/>
      </c>
      <c r="OJ44" s="12">
        <f>VLOOKUP(OH44,SeasonTable,2,FALSE)</f>
        <v/>
      </c>
      <c r="OK44" s="12">
        <f>(1+InflationRate)^INT((OG44-1)/12)</f>
        <v/>
      </c>
      <c r="OL44" s="11">
        <f>'Sens - Churn'!$A$19*VLOOKUP(OH44,ChurnSeasonTable,4,FALSE)</f>
        <v/>
      </c>
      <c r="OM44" s="12">
        <f>MIN(MAX(MktMin19plus,PG43*MktPct19plus),MAX(0,PU43-CashBuffer))</f>
        <v/>
      </c>
      <c r="ON44" s="12">
        <f>IF(OM44&gt;0,MAX(1,ROUND(OM44/CAC*OJ44,0)),0)</f>
        <v/>
      </c>
      <c r="OO44" s="12">
        <f>IF(ON44&gt;0,ROUND(ON44*ReferralMix/(1-ReferralMix),0),0)</f>
        <v/>
      </c>
      <c r="OP44" s="12">
        <f>ON44+OO44</f>
        <v/>
      </c>
      <c r="OQ44" s="12">
        <f>ROUND(OP44*(1-AnnualMix),0)</f>
        <v/>
      </c>
      <c r="OR44" s="12">
        <f>OP44-OQ44</f>
        <v/>
      </c>
      <c r="OS44" s="12">
        <f>ROUND(OQ44*EssentialMix,0)</f>
        <v/>
      </c>
      <c r="OT44" s="12">
        <f>OQ44-OS44</f>
        <v/>
      </c>
      <c r="OU44" s="12">
        <f>ROUND(OR44*EssentialMix,0)</f>
        <v/>
      </c>
      <c r="OV44" s="12">
        <f>OR44-OU44</f>
        <v/>
      </c>
      <c r="OW44" s="12">
        <f>OS44+OS43+OS42+MAX(0,OW43-OS43-OS42)*(1-OL44)</f>
        <v/>
      </c>
      <c r="OX44" s="12">
        <f>OT44+OT43+OT42+MAX(0,OX43-OT43-OT42)*(1-OL44)</f>
        <v/>
      </c>
      <c r="OY44" s="12">
        <f>OY43+OU44-OU32*(AnnualChurn*VLOOKUP(OH44,ChurnSeasonTable,4,FALSE))*POWER(1-(AnnualChurn*VLOOKUP(OH44,ChurnSeasonTable,4,FALSE)),0)+OU20*(AnnualChurn*VLOOKUP(OH44,ChurnSeasonTable,4,FALSE))*POWER(1-(AnnualChurn*VLOOKUP(OH44,ChurnSeasonTable,4,FALSE)),1)+OU8*(AnnualChurn*VLOOKUP(OH44,ChurnSeasonTable,4,FALSE))*POWER(1-(AnnualChurn*VLOOKUP(OH44,ChurnSeasonTable,4,FALSE)),2)</f>
        <v/>
      </c>
      <c r="OZ44" s="12">
        <f>OZ43+OV44-OV32*(AnnualChurn*VLOOKUP(OH44,ChurnSeasonTable,4,FALSE))*POWER(1-(AnnualChurn*VLOOKUP(OH44,ChurnSeasonTable,4,FALSE)),0)+OV20*(AnnualChurn*VLOOKUP(OH44,ChurnSeasonTable,4,FALSE))*POWER(1-(AnnualChurn*VLOOKUP(OH44,ChurnSeasonTable,4,FALSE)),1)+OV8*(AnnualChurn*VLOOKUP(OH44,ChurnSeasonTable,4,FALSE))*POWER(1-(AnnualChurn*VLOOKUP(OH44,ChurnSeasonTable,4,FALSE)),2)</f>
        <v/>
      </c>
      <c r="PA44" s="12">
        <f>OW44+OX44+OY44+OZ44</f>
        <v/>
      </c>
      <c r="PB44" s="9">
        <f>OW44*PriceEssMonthly*OK44+OX44*PricePremMonthly*OK44+OY44*PriceEssAnnual*OK44/12+OZ44*PricePremAnnual*OK44/12</f>
        <v/>
      </c>
      <c r="PC44" s="9">
        <f>PB44*12</f>
        <v/>
      </c>
      <c r="PD44" s="12">
        <f>OW44*PriceEssMonthly*OK44+OX44*PricePremMonthly*OK44</f>
        <v/>
      </c>
      <c r="PE44" s="12">
        <f>OU44*PriceEssAnnual*OK44+OV44*PricePremAnnual*OK44</f>
        <v/>
      </c>
      <c r="PF44" s="12">
        <f>OU32*POWER(1-(AnnualChurn*VLOOKUP(OH44,ChurnSeasonTable,4,FALSE)),1)*PriceEssAnnual*OK44+OU20*POWER(1-(AnnualChurn*VLOOKUP(OH44,ChurnSeasonTable,4,FALSE)),2)*PriceEssAnnual*OK44+OU8*POWER(1-(AnnualChurn*VLOOKUP(OH44,ChurnSeasonTable,4,FALSE)),3)*PriceEssAnnual*OK44+OV32*POWER(1-(AnnualChurn*VLOOKUP(OH44,ChurnSeasonTable,4,FALSE)),1)*PricePremAnnual*OK44+OV20*POWER(1-(AnnualChurn*VLOOKUP(OH44,ChurnSeasonTable,4,FALSE)),2)*PricePremAnnual*OK44+OV8*POWER(1-(AnnualChurn*VLOOKUP(OH44,ChurnSeasonTable,4,FALSE)),3)*PricePremAnnual*OK44</f>
        <v/>
      </c>
      <c r="PG44" s="9">
        <f>PD44+PE44+PF44</f>
        <v/>
      </c>
      <c r="PH44" s="12">
        <f>SUM(PG33:PG44)</f>
        <v/>
      </c>
      <c r="PI44" s="12">
        <f>OR(PI43,PH44&gt;=VATThreshold)</f>
        <v/>
      </c>
      <c r="PJ44" s="9">
        <f>IF(PI44,PG44/(1+VATRate),PG44)</f>
        <v/>
      </c>
      <c r="PK44" s="12">
        <f>PG44-PJ44</f>
        <v/>
      </c>
      <c r="PL44" s="12">
        <f>IF(PI44=0,0,IF(OH44=1,SUMPRODUCT(--(($OI$5:$OI44=$OI44-1)*($OH$5:$OH44&gt;=10)*($OH$5:$OH44&lt;=12)),$PK$5:$PK44),IF(OH44=4,SUMPRODUCT(--(($OI$5:$OI44=$OI44)*($OH$5:$OH44&gt;=1)*($OH$5:$OH44&lt;=3)),$PK$5:$PK44),IF(OH44=7,SUMPRODUCT(--(($OI$5:$OI44=$OI44)*($OH$5:$OH44&gt;=4)*($OH$5:$OH44&lt;=6)),$PK$5:$PK44),IF(OH44=10,SUMPRODUCT(--(($OI$5:$OI44=$OI44)*($OH$5:$OH44&gt;=7)*($OH$5:$OH44&lt;=9)),$PK$5:$PK44),0)))))</f>
        <v/>
      </c>
      <c r="PM44" s="12">
        <f>PM43+PK44-PL44</f>
        <v/>
      </c>
      <c r="PN44" s="12">
        <f>IF(ProviderDelay&gt;=1,PJ43*ProviderShare,PJ44*ProviderShare)</f>
        <v/>
      </c>
      <c r="PO44" s="12">
        <f>PG44*PaymentFee</f>
        <v/>
      </c>
      <c r="PP44" s="12">
        <f>PA44*OpsAI</f>
        <v/>
      </c>
      <c r="PQ44" s="12">
        <f>MonthlyFixed</f>
        <v/>
      </c>
      <c r="PR44" s="12">
        <f>OO44*ReferralReward</f>
        <v/>
      </c>
      <c r="PS44" s="12">
        <f>OM44</f>
        <v/>
      </c>
      <c r="PT44" s="9">
        <f>PJ44-PN44-PO44-PP44-PQ44-PR44-PS44</f>
        <v/>
      </c>
      <c r="PU44" s="9">
        <f>PU43+PG44-(PN44+PO44+PP44+PQ44+PR44+PS44+PL44)</f>
        <v/>
      </c>
      <c r="PV44" s="12">
        <f>IF(PA44&gt;0,PB44/PA44,0)</f>
        <v/>
      </c>
      <c r="PW44" s="11">
        <f>IF(PA43&gt;0,MAX(0,(PA43+OP44-PA44)/PA43),0)</f>
        <v/>
      </c>
      <c r="PY44" s="12" t="n">
        <v>40</v>
      </c>
      <c r="PZ44" s="12">
        <f>MOD(PY44-1+LaunchMonth-1,12)+1</f>
        <v/>
      </c>
      <c r="QA44" s="12">
        <f>INT((PY44-1+LaunchMonth-1)/12)+1</f>
        <v/>
      </c>
      <c r="QB44" s="12">
        <f>VLOOKUP(PZ44,SeasonTable,2,FALSE)</f>
        <v/>
      </c>
      <c r="QC44" s="12">
        <f>(1+InflationRate)^INT((PY44-1)/12)</f>
        <v/>
      </c>
      <c r="QD44" s="11">
        <f>'Sens - Churn'!$A$20*VLOOKUP(PZ44,ChurnSeasonTable,4,FALSE)</f>
        <v/>
      </c>
      <c r="QE44" s="12">
        <f>MIN(MAX(MktMin19plus,QY43*MktPct19plus),MAX(0,RM43-CashBuffer))</f>
        <v/>
      </c>
      <c r="QF44" s="12">
        <f>IF(QE44&gt;0,MAX(1,ROUND(QE44/CAC*QB44,0)),0)</f>
        <v/>
      </c>
      <c r="QG44" s="12">
        <f>IF(QF44&gt;0,ROUND(QF44*ReferralMix/(1-ReferralMix),0),0)</f>
        <v/>
      </c>
      <c r="QH44" s="12">
        <f>QF44+QG44</f>
        <v/>
      </c>
      <c r="QI44" s="12">
        <f>ROUND(QH44*(1-AnnualMix),0)</f>
        <v/>
      </c>
      <c r="QJ44" s="12">
        <f>QH44-QI44</f>
        <v/>
      </c>
      <c r="QK44" s="12">
        <f>ROUND(QI44*EssentialMix,0)</f>
        <v/>
      </c>
      <c r="QL44" s="12">
        <f>QI44-QK44</f>
        <v/>
      </c>
      <c r="QM44" s="12">
        <f>ROUND(QJ44*EssentialMix,0)</f>
        <v/>
      </c>
      <c r="QN44" s="12">
        <f>QJ44-QM44</f>
        <v/>
      </c>
      <c r="QO44" s="12">
        <f>QK44+QK43+QK42+MAX(0,QO43-QK43-QK42)*(1-QD44)</f>
        <v/>
      </c>
      <c r="QP44" s="12">
        <f>QL44+QL43+QL42+MAX(0,QP43-QL43-QL42)*(1-QD44)</f>
        <v/>
      </c>
      <c r="QQ44" s="12">
        <f>QQ43+QM44-QM32*(AnnualChurn*VLOOKUP(PZ44,ChurnSeasonTable,4,FALSE))*POWER(1-(AnnualChurn*VLOOKUP(PZ44,ChurnSeasonTable,4,FALSE)),0)+QM20*(AnnualChurn*VLOOKUP(PZ44,ChurnSeasonTable,4,FALSE))*POWER(1-(AnnualChurn*VLOOKUP(PZ44,ChurnSeasonTable,4,FALSE)),1)+QM8*(AnnualChurn*VLOOKUP(PZ44,ChurnSeasonTable,4,FALSE))*POWER(1-(AnnualChurn*VLOOKUP(PZ44,ChurnSeasonTable,4,FALSE)),2)</f>
        <v/>
      </c>
      <c r="QR44" s="12">
        <f>QR43+QN44-QN32*(AnnualChurn*VLOOKUP(PZ44,ChurnSeasonTable,4,FALSE))*POWER(1-(AnnualChurn*VLOOKUP(PZ44,ChurnSeasonTable,4,FALSE)),0)+QN20*(AnnualChurn*VLOOKUP(PZ44,ChurnSeasonTable,4,FALSE))*POWER(1-(AnnualChurn*VLOOKUP(PZ44,ChurnSeasonTable,4,FALSE)),1)+QN8*(AnnualChurn*VLOOKUP(PZ44,ChurnSeasonTable,4,FALSE))*POWER(1-(AnnualChurn*VLOOKUP(PZ44,ChurnSeasonTable,4,FALSE)),2)</f>
        <v/>
      </c>
      <c r="QS44" s="12">
        <f>QO44+QP44+QQ44+QR44</f>
        <v/>
      </c>
      <c r="QT44" s="9">
        <f>QO44*PriceEssMonthly*QC44+QP44*PricePremMonthly*QC44+QQ44*PriceEssAnnual*QC44/12+QR44*PricePremAnnual*QC44/12</f>
        <v/>
      </c>
      <c r="QU44" s="9">
        <f>QT44*12</f>
        <v/>
      </c>
      <c r="QV44" s="12">
        <f>QO44*PriceEssMonthly*QC44+QP44*PricePremMonthly*QC44</f>
        <v/>
      </c>
      <c r="QW44" s="12">
        <f>QM44*PriceEssAnnual*QC44+QN44*PricePremAnnual*QC44</f>
        <v/>
      </c>
      <c r="QX44" s="12">
        <f>QM32*POWER(1-(AnnualChurn*VLOOKUP(PZ44,ChurnSeasonTable,4,FALSE)),1)*PriceEssAnnual*QC44+QM20*POWER(1-(AnnualChurn*VLOOKUP(PZ44,ChurnSeasonTable,4,FALSE)),2)*PriceEssAnnual*QC44+QM8*POWER(1-(AnnualChurn*VLOOKUP(PZ44,ChurnSeasonTable,4,FALSE)),3)*PriceEssAnnual*QC44+QN32*POWER(1-(AnnualChurn*VLOOKUP(PZ44,ChurnSeasonTable,4,FALSE)),1)*PricePremAnnual*QC44+QN20*POWER(1-(AnnualChurn*VLOOKUP(PZ44,ChurnSeasonTable,4,FALSE)),2)*PricePremAnnual*QC44+QN8*POWER(1-(AnnualChurn*VLOOKUP(PZ44,ChurnSeasonTable,4,FALSE)),3)*PricePremAnnual*QC44</f>
        <v/>
      </c>
      <c r="QY44" s="9">
        <f>QV44+QW44+QX44</f>
        <v/>
      </c>
      <c r="QZ44" s="12">
        <f>SUM(QY33:QY44)</f>
        <v/>
      </c>
      <c r="RA44" s="12">
        <f>OR(RA43,QZ44&gt;=VATThreshold)</f>
        <v/>
      </c>
      <c r="RB44" s="9">
        <f>IF(RA44,QY44/(1+VATRate),QY44)</f>
        <v/>
      </c>
      <c r="RC44" s="12">
        <f>QY44-RB44</f>
        <v/>
      </c>
      <c r="RD44" s="12">
        <f>IF(RA44=0,0,IF(PZ44=1,SUMPRODUCT(--(($QA$5:$QA44=$QA44-1)*($PZ$5:$PZ44&gt;=10)*($PZ$5:$PZ44&lt;=12)),$RC$5:$RC44),IF(PZ44=4,SUMPRODUCT(--(($QA$5:$QA44=$QA44)*($PZ$5:$PZ44&gt;=1)*($PZ$5:$PZ44&lt;=3)),$RC$5:$RC44),IF(PZ44=7,SUMPRODUCT(--(($QA$5:$QA44=$QA44)*($PZ$5:$PZ44&gt;=4)*($PZ$5:$PZ44&lt;=6)),$RC$5:$RC44),IF(PZ44=10,SUMPRODUCT(--(($QA$5:$QA44=$QA44)*($PZ$5:$PZ44&gt;=7)*($PZ$5:$PZ44&lt;=9)),$RC$5:$RC44),0)))))</f>
        <v/>
      </c>
      <c r="RE44" s="12">
        <f>RE43+RC44-RD44</f>
        <v/>
      </c>
      <c r="RF44" s="12">
        <f>IF(ProviderDelay&gt;=1,RB43*ProviderShare,RB44*ProviderShare)</f>
        <v/>
      </c>
      <c r="RG44" s="12">
        <f>QY44*PaymentFee</f>
        <v/>
      </c>
      <c r="RH44" s="12">
        <f>QS44*OpsAI</f>
        <v/>
      </c>
      <c r="RI44" s="12">
        <f>MonthlyFixed</f>
        <v/>
      </c>
      <c r="RJ44" s="12">
        <f>QG44*ReferralReward</f>
        <v/>
      </c>
      <c r="RK44" s="12">
        <f>QE44</f>
        <v/>
      </c>
      <c r="RL44" s="9">
        <f>RB44-RF44-RG44-RH44-RI44-RJ44-RK44</f>
        <v/>
      </c>
      <c r="RM44" s="9">
        <f>RM43+QY44-(RF44+RG44+RH44+RI44+RJ44+RK44+RD44)</f>
        <v/>
      </c>
      <c r="RN44" s="12">
        <f>IF(QS44&gt;0,QT44/QS44,0)</f>
        <v/>
      </c>
      <c r="RO44" s="11">
        <f>IF(QS43&gt;0,MAX(0,(QS43+QH44-QS44)/QS43),0)</f>
        <v/>
      </c>
      <c r="RQ44" s="12" t="n">
        <v>40</v>
      </c>
      <c r="RR44" s="12">
        <f>MOD(RQ44-1+LaunchMonth-1,12)+1</f>
        <v/>
      </c>
      <c r="RS44" s="12">
        <f>INT((RQ44-1+LaunchMonth-1)/12)+1</f>
        <v/>
      </c>
      <c r="RT44" s="12">
        <f>VLOOKUP(RR44,SeasonTable,2,FALSE)</f>
        <v/>
      </c>
      <c r="RU44" s="12">
        <f>(1+InflationRate)^INT((RQ44-1)/12)</f>
        <v/>
      </c>
      <c r="RV44" s="11">
        <f>'Sens - Churn'!$A$21*VLOOKUP(RR44,ChurnSeasonTable,4,FALSE)</f>
        <v/>
      </c>
      <c r="RW44" s="12">
        <f>MIN(MAX(MktMin19plus,SQ43*MktPct19plus),MAX(0,TE43-CashBuffer))</f>
        <v/>
      </c>
      <c r="RX44" s="12">
        <f>IF(RW44&gt;0,MAX(1,ROUND(RW44/CAC*RT44,0)),0)</f>
        <v/>
      </c>
      <c r="RY44" s="12">
        <f>IF(RX44&gt;0,ROUND(RX44*ReferralMix/(1-ReferralMix),0),0)</f>
        <v/>
      </c>
      <c r="RZ44" s="12">
        <f>RX44+RY44</f>
        <v/>
      </c>
      <c r="SA44" s="12">
        <f>ROUND(RZ44*(1-AnnualMix),0)</f>
        <v/>
      </c>
      <c r="SB44" s="12">
        <f>RZ44-SA44</f>
        <v/>
      </c>
      <c r="SC44" s="12">
        <f>ROUND(SA44*EssentialMix,0)</f>
        <v/>
      </c>
      <c r="SD44" s="12">
        <f>SA44-SC44</f>
        <v/>
      </c>
      <c r="SE44" s="12">
        <f>ROUND(SB44*EssentialMix,0)</f>
        <v/>
      </c>
      <c r="SF44" s="12">
        <f>SB44-SE44</f>
        <v/>
      </c>
      <c r="SG44" s="12">
        <f>SC44+SC43+SC42+MAX(0,SG43-SC43-SC42)*(1-RV44)</f>
        <v/>
      </c>
      <c r="SH44" s="12">
        <f>SD44+SD43+SD42+MAX(0,SH43-SD43-SD42)*(1-RV44)</f>
        <v/>
      </c>
      <c r="SI44" s="12">
        <f>SI43+SE44-SE32*(AnnualChurn*VLOOKUP(RR44,ChurnSeasonTable,4,FALSE))*POWER(1-(AnnualChurn*VLOOKUP(RR44,ChurnSeasonTable,4,FALSE)),0)+SE20*(AnnualChurn*VLOOKUP(RR44,ChurnSeasonTable,4,FALSE))*POWER(1-(AnnualChurn*VLOOKUP(RR44,ChurnSeasonTable,4,FALSE)),1)+SE8*(AnnualChurn*VLOOKUP(RR44,ChurnSeasonTable,4,FALSE))*POWER(1-(AnnualChurn*VLOOKUP(RR44,ChurnSeasonTable,4,FALSE)),2)</f>
        <v/>
      </c>
      <c r="SJ44" s="12">
        <f>SJ43+SF44-SF32*(AnnualChurn*VLOOKUP(RR44,ChurnSeasonTable,4,FALSE))*POWER(1-(AnnualChurn*VLOOKUP(RR44,ChurnSeasonTable,4,FALSE)),0)+SF20*(AnnualChurn*VLOOKUP(RR44,ChurnSeasonTable,4,FALSE))*POWER(1-(AnnualChurn*VLOOKUP(RR44,ChurnSeasonTable,4,FALSE)),1)+SF8*(AnnualChurn*VLOOKUP(RR44,ChurnSeasonTable,4,FALSE))*POWER(1-(AnnualChurn*VLOOKUP(RR44,ChurnSeasonTable,4,FALSE)),2)</f>
        <v/>
      </c>
      <c r="SK44" s="12">
        <f>SG44+SH44+SI44+SJ44</f>
        <v/>
      </c>
      <c r="SL44" s="9">
        <f>SG44*PriceEssMonthly*RU44+SH44*PricePremMonthly*RU44+SI44*PriceEssAnnual*RU44/12+SJ44*PricePremAnnual*RU44/12</f>
        <v/>
      </c>
      <c r="SM44" s="9">
        <f>SL44*12</f>
        <v/>
      </c>
      <c r="SN44" s="12">
        <f>SG44*PriceEssMonthly*RU44+SH44*PricePremMonthly*RU44</f>
        <v/>
      </c>
      <c r="SO44" s="12">
        <f>SE44*PriceEssAnnual*RU44+SF44*PricePremAnnual*RU44</f>
        <v/>
      </c>
      <c r="SP44" s="12">
        <f>SE32*POWER(1-(AnnualChurn*VLOOKUP(RR44,ChurnSeasonTable,4,FALSE)),1)*PriceEssAnnual*RU44+SE20*POWER(1-(AnnualChurn*VLOOKUP(RR44,ChurnSeasonTable,4,FALSE)),2)*PriceEssAnnual*RU44+SE8*POWER(1-(AnnualChurn*VLOOKUP(RR44,ChurnSeasonTable,4,FALSE)),3)*PriceEssAnnual*RU44+SF32*POWER(1-(AnnualChurn*VLOOKUP(RR44,ChurnSeasonTable,4,FALSE)),1)*PricePremAnnual*RU44+SF20*POWER(1-(AnnualChurn*VLOOKUP(RR44,ChurnSeasonTable,4,FALSE)),2)*PricePremAnnual*RU44+SF8*POWER(1-(AnnualChurn*VLOOKUP(RR44,ChurnSeasonTable,4,FALSE)),3)*PricePremAnnual*RU44</f>
        <v/>
      </c>
      <c r="SQ44" s="9">
        <f>SN44+SO44+SP44</f>
        <v/>
      </c>
      <c r="SR44" s="12">
        <f>SUM(SQ33:SQ44)</f>
        <v/>
      </c>
      <c r="SS44" s="12">
        <f>OR(SS43,SR44&gt;=VATThreshold)</f>
        <v/>
      </c>
      <c r="ST44" s="9">
        <f>IF(SS44,SQ44/(1+VATRate),SQ44)</f>
        <v/>
      </c>
      <c r="SU44" s="12">
        <f>SQ44-ST44</f>
        <v/>
      </c>
      <c r="SV44" s="12">
        <f>IF(SS44=0,0,IF(RR44=1,SUMPRODUCT(--(($RS$5:$RS44=$RS44-1)*($RR$5:$RR44&gt;=10)*($RR$5:$RR44&lt;=12)),$SU$5:$SU44),IF(RR44=4,SUMPRODUCT(--(($RS$5:$RS44=$RS44)*($RR$5:$RR44&gt;=1)*($RR$5:$RR44&lt;=3)),$SU$5:$SU44),IF(RR44=7,SUMPRODUCT(--(($RS$5:$RS44=$RS44)*($RR$5:$RR44&gt;=4)*($RR$5:$RR44&lt;=6)),$SU$5:$SU44),IF(RR44=10,SUMPRODUCT(--(($RS$5:$RS44=$RS44)*($RR$5:$RR44&gt;=7)*($RR$5:$RR44&lt;=9)),$SU$5:$SU44),0)))))</f>
        <v/>
      </c>
      <c r="SW44" s="12">
        <f>SW43+SU44-SV44</f>
        <v/>
      </c>
      <c r="SX44" s="12">
        <f>IF(ProviderDelay&gt;=1,ST43*ProviderShare,ST44*ProviderShare)</f>
        <v/>
      </c>
      <c r="SY44" s="12">
        <f>SQ44*PaymentFee</f>
        <v/>
      </c>
      <c r="SZ44" s="12">
        <f>SK44*OpsAI</f>
        <v/>
      </c>
      <c r="TA44" s="12">
        <f>MonthlyFixed</f>
        <v/>
      </c>
      <c r="TB44" s="12">
        <f>RY44*ReferralReward</f>
        <v/>
      </c>
      <c r="TC44" s="12">
        <f>RW44</f>
        <v/>
      </c>
      <c r="TD44" s="9">
        <f>ST44-SX44-SY44-SZ44-TA44-TB44-TC44</f>
        <v/>
      </c>
      <c r="TE44" s="9">
        <f>TE43+SQ44-(SX44+SY44+SZ44+TA44+TB44+TC44+SV44)</f>
        <v/>
      </c>
      <c r="TF44" s="12">
        <f>IF(SK44&gt;0,SL44/SK44,0)</f>
        <v/>
      </c>
      <c r="TG44" s="11">
        <f>IF(SK43&gt;0,MAX(0,(SK43+RZ44-SK44)/SK43),0)</f>
        <v/>
      </c>
      <c r="TI44" s="12" t="n">
        <v>40</v>
      </c>
      <c r="TJ44" s="12">
        <f>MOD(TI44-1+LaunchMonth-1,12)+1</f>
        <v/>
      </c>
      <c r="TK44" s="12">
        <f>INT((TI44-1+LaunchMonth-1)/12)+1</f>
        <v/>
      </c>
      <c r="TL44" s="12">
        <f>VLOOKUP(TJ44,SeasonTable,2,FALSE)</f>
        <v/>
      </c>
      <c r="TM44" s="12">
        <f>(1+InflationRate)^INT((TI44-1)/12)</f>
        <v/>
      </c>
      <c r="TN44" s="11">
        <f>MonthlyChurn*VLOOKUP(TJ44,ChurnSeasonTable,4,FALSE)</f>
        <v/>
      </c>
      <c r="TO44" s="12">
        <f>MIN(MAX(MktMin19plus,UI43*MktPct19plus),MAX(0,UW43-CashBuffer))</f>
        <v/>
      </c>
      <c r="TP44" s="12">
        <f>IF(TO44&gt;0,MAX(1,ROUND(TO44/CAC*TL44,0)),0)</f>
        <v/>
      </c>
      <c r="TQ44" s="12">
        <f>IF(TP44&gt;0,ROUND(TP44*ReferralMix/(1-ReferralMix),0),0)</f>
        <v/>
      </c>
      <c r="TR44" s="12">
        <f>TP44+TQ44</f>
        <v/>
      </c>
      <c r="TS44" s="12">
        <f>ROUND(TR44*(1-'Sens - Annual Mix'!$A$9),0)</f>
        <v/>
      </c>
      <c r="TT44" s="12">
        <f>TR44-TS44</f>
        <v/>
      </c>
      <c r="TU44" s="12">
        <f>ROUND(TS44*EssentialMix,0)</f>
        <v/>
      </c>
      <c r="TV44" s="12">
        <f>TS44-TU44</f>
        <v/>
      </c>
      <c r="TW44" s="12">
        <f>ROUND(TT44*EssentialMix,0)</f>
        <v/>
      </c>
      <c r="TX44" s="12">
        <f>TT44-TW44</f>
        <v/>
      </c>
      <c r="TY44" s="12">
        <f>TU44+TU43+TU42+MAX(0,TY43-TU43-TU42)*(1-TN44)</f>
        <v/>
      </c>
      <c r="TZ44" s="12">
        <f>TV44+TV43+TV42+MAX(0,TZ43-TV43-TV42)*(1-TN44)</f>
        <v/>
      </c>
      <c r="UA44" s="12">
        <f>UA43+TW44-TW32*(AnnualChurn*VLOOKUP(TJ44,ChurnSeasonTable,4,FALSE))*POWER(1-(AnnualChurn*VLOOKUP(TJ44,ChurnSeasonTable,4,FALSE)),0)+TW20*(AnnualChurn*VLOOKUP(TJ44,ChurnSeasonTable,4,FALSE))*POWER(1-(AnnualChurn*VLOOKUP(TJ44,ChurnSeasonTable,4,FALSE)),1)+TW8*(AnnualChurn*VLOOKUP(TJ44,ChurnSeasonTable,4,FALSE))*POWER(1-(AnnualChurn*VLOOKUP(TJ44,ChurnSeasonTable,4,FALSE)),2)</f>
        <v/>
      </c>
      <c r="UB44" s="12">
        <f>UB43+TX44-TX32*(AnnualChurn*VLOOKUP(TJ44,ChurnSeasonTable,4,FALSE))*POWER(1-(AnnualChurn*VLOOKUP(TJ44,ChurnSeasonTable,4,FALSE)),0)+TX20*(AnnualChurn*VLOOKUP(TJ44,ChurnSeasonTable,4,FALSE))*POWER(1-(AnnualChurn*VLOOKUP(TJ44,ChurnSeasonTable,4,FALSE)),1)+TX8*(AnnualChurn*VLOOKUP(TJ44,ChurnSeasonTable,4,FALSE))*POWER(1-(AnnualChurn*VLOOKUP(TJ44,ChurnSeasonTable,4,FALSE)),2)</f>
        <v/>
      </c>
      <c r="UC44" s="12">
        <f>TY44+TZ44+UA44+UB44</f>
        <v/>
      </c>
      <c r="UD44" s="9">
        <f>TY44*PriceEssMonthly*TM44+TZ44*PricePremMonthly*TM44+UA44*PriceEssAnnual*TM44/12+UB44*PricePremAnnual*TM44/12</f>
        <v/>
      </c>
      <c r="UE44" s="9">
        <f>UD44*12</f>
        <v/>
      </c>
      <c r="UF44" s="12">
        <f>TY44*PriceEssMonthly*TM44+TZ44*PricePremMonthly*TM44</f>
        <v/>
      </c>
      <c r="UG44" s="12">
        <f>TW44*PriceEssAnnual*TM44+TX44*PricePremAnnual*TM44</f>
        <v/>
      </c>
      <c r="UH44" s="12">
        <f>TW32*POWER(1-(AnnualChurn*VLOOKUP(TJ44,ChurnSeasonTable,4,FALSE)),1)*PriceEssAnnual*TM44+TW20*POWER(1-(AnnualChurn*VLOOKUP(TJ44,ChurnSeasonTable,4,FALSE)),2)*PriceEssAnnual*TM44+TW8*POWER(1-(AnnualChurn*VLOOKUP(TJ44,ChurnSeasonTable,4,FALSE)),3)*PriceEssAnnual*TM44+TX32*POWER(1-(AnnualChurn*VLOOKUP(TJ44,ChurnSeasonTable,4,FALSE)),1)*PricePremAnnual*TM44+TX20*POWER(1-(AnnualChurn*VLOOKUP(TJ44,ChurnSeasonTable,4,FALSE)),2)*PricePremAnnual*TM44+TX8*POWER(1-(AnnualChurn*VLOOKUP(TJ44,ChurnSeasonTable,4,FALSE)),3)*PricePremAnnual*TM44</f>
        <v/>
      </c>
      <c r="UI44" s="9">
        <f>UF44+UG44+UH44</f>
        <v/>
      </c>
      <c r="UJ44" s="12">
        <f>SUM(UI33:UI44)</f>
        <v/>
      </c>
      <c r="UK44" s="12">
        <f>OR(UK43,UJ44&gt;=VATThreshold)</f>
        <v/>
      </c>
      <c r="UL44" s="9">
        <f>IF(UK44,UI44/(1+VATRate),UI44)</f>
        <v/>
      </c>
      <c r="UM44" s="12">
        <f>UI44-UL44</f>
        <v/>
      </c>
      <c r="UN44" s="12">
        <f>IF(UK44=0,0,IF(TJ44=1,SUMPRODUCT(--(($TK$5:$TK44=$TK44-1)*($TJ$5:$TJ44&gt;=10)*($TJ$5:$TJ44&lt;=12)),$UM$5:$UM44),IF(TJ44=4,SUMPRODUCT(--(($TK$5:$TK44=$TK44)*($TJ$5:$TJ44&gt;=1)*($TJ$5:$TJ44&lt;=3)),$UM$5:$UM44),IF(TJ44=7,SUMPRODUCT(--(($TK$5:$TK44=$TK44)*($TJ$5:$TJ44&gt;=4)*($TJ$5:$TJ44&lt;=6)),$UM$5:$UM44),IF(TJ44=10,SUMPRODUCT(--(($TK$5:$TK44=$TK44)*($TJ$5:$TJ44&gt;=7)*($TJ$5:$TJ44&lt;=9)),$UM$5:$UM44),0)))))</f>
        <v/>
      </c>
      <c r="UO44" s="12">
        <f>UO43+UM44-UN44</f>
        <v/>
      </c>
      <c r="UP44" s="12">
        <f>IF(ProviderDelay&gt;=1,UL43*ProviderShare,UL44*ProviderShare)</f>
        <v/>
      </c>
      <c r="UQ44" s="12">
        <f>UI44*PaymentFee</f>
        <v/>
      </c>
      <c r="UR44" s="12">
        <f>UC44*OpsAI</f>
        <v/>
      </c>
      <c r="US44" s="12">
        <f>MonthlyFixed</f>
        <v/>
      </c>
      <c r="UT44" s="12">
        <f>TQ44*ReferralReward</f>
        <v/>
      </c>
      <c r="UU44" s="12">
        <f>TO44</f>
        <v/>
      </c>
      <c r="UV44" s="9">
        <f>UL44-UP44-UQ44-UR44-US44-UT44-UU44</f>
        <v/>
      </c>
      <c r="UW44" s="9">
        <f>UW43+UI44-(UP44+UQ44+UR44+US44+UT44+UU44+UN44)</f>
        <v/>
      </c>
      <c r="UX44" s="12">
        <f>IF(UC44&gt;0,UD44/UC44,0)</f>
        <v/>
      </c>
      <c r="UY44" s="11">
        <f>IF(UC43&gt;0,MAX(0,(UC43+TR44-UC44)/UC43),0)</f>
        <v/>
      </c>
      <c r="VA44" s="12" t="n">
        <v>40</v>
      </c>
      <c r="VB44" s="12">
        <f>MOD(VA44-1+LaunchMonth-1,12)+1</f>
        <v/>
      </c>
      <c r="VC44" s="12">
        <f>INT((VA44-1+LaunchMonth-1)/12)+1</f>
        <v/>
      </c>
      <c r="VD44" s="12">
        <f>VLOOKUP(VB44,SeasonTable,2,FALSE)</f>
        <v/>
      </c>
      <c r="VE44" s="12">
        <f>(1+InflationRate)^INT((VA44-1)/12)</f>
        <v/>
      </c>
      <c r="VF44" s="11">
        <f>MonthlyChurn*VLOOKUP(VB44,ChurnSeasonTable,4,FALSE)</f>
        <v/>
      </c>
      <c r="VG44" s="12">
        <f>MIN(MAX(MktMin19plus,WA43*MktPct19plus),MAX(0,WO43-CashBuffer))</f>
        <v/>
      </c>
      <c r="VH44" s="12">
        <f>IF(VG44&gt;0,MAX(1,ROUND(VG44/CAC*VD44,0)),0)</f>
        <v/>
      </c>
      <c r="VI44" s="12">
        <f>IF(VH44&gt;0,ROUND(VH44*ReferralMix/(1-ReferralMix),0),0)</f>
        <v/>
      </c>
      <c r="VJ44" s="12">
        <f>VH44+VI44</f>
        <v/>
      </c>
      <c r="VK44" s="12">
        <f>ROUND(VJ44*(1-'Sens - Annual Mix'!$A$10),0)</f>
        <v/>
      </c>
      <c r="VL44" s="12">
        <f>VJ44-VK44</f>
        <v/>
      </c>
      <c r="VM44" s="12">
        <f>ROUND(VK44*EssentialMix,0)</f>
        <v/>
      </c>
      <c r="VN44" s="12">
        <f>VK44-VM44</f>
        <v/>
      </c>
      <c r="VO44" s="12">
        <f>ROUND(VL44*EssentialMix,0)</f>
        <v/>
      </c>
      <c r="VP44" s="12">
        <f>VL44-VO44</f>
        <v/>
      </c>
      <c r="VQ44" s="12">
        <f>VM44+VM43+VM42+MAX(0,VQ43-VM43-VM42)*(1-VF44)</f>
        <v/>
      </c>
      <c r="VR44" s="12">
        <f>VN44+VN43+VN42+MAX(0,VR43-VN43-VN42)*(1-VF44)</f>
        <v/>
      </c>
      <c r="VS44" s="12">
        <f>VS43+VO44-VO32*(AnnualChurn*VLOOKUP(VB44,ChurnSeasonTable,4,FALSE))*POWER(1-(AnnualChurn*VLOOKUP(VB44,ChurnSeasonTable,4,FALSE)),0)+VO20*(AnnualChurn*VLOOKUP(VB44,ChurnSeasonTable,4,FALSE))*POWER(1-(AnnualChurn*VLOOKUP(VB44,ChurnSeasonTable,4,FALSE)),1)+VO8*(AnnualChurn*VLOOKUP(VB44,ChurnSeasonTable,4,FALSE))*POWER(1-(AnnualChurn*VLOOKUP(VB44,ChurnSeasonTable,4,FALSE)),2)</f>
        <v/>
      </c>
      <c r="VT44" s="12">
        <f>VT43+VP44-VP32*(AnnualChurn*VLOOKUP(VB44,ChurnSeasonTable,4,FALSE))*POWER(1-(AnnualChurn*VLOOKUP(VB44,ChurnSeasonTable,4,FALSE)),0)+VP20*(AnnualChurn*VLOOKUP(VB44,ChurnSeasonTable,4,FALSE))*POWER(1-(AnnualChurn*VLOOKUP(VB44,ChurnSeasonTable,4,FALSE)),1)+VP8*(AnnualChurn*VLOOKUP(VB44,ChurnSeasonTable,4,FALSE))*POWER(1-(AnnualChurn*VLOOKUP(VB44,ChurnSeasonTable,4,FALSE)),2)</f>
        <v/>
      </c>
      <c r="VU44" s="12">
        <f>VQ44+VR44+VS44+VT44</f>
        <v/>
      </c>
      <c r="VV44" s="9">
        <f>VQ44*PriceEssMonthly*VE44+VR44*PricePremMonthly*VE44+VS44*PriceEssAnnual*VE44/12+VT44*PricePremAnnual*VE44/12</f>
        <v/>
      </c>
      <c r="VW44" s="9">
        <f>VV44*12</f>
        <v/>
      </c>
      <c r="VX44" s="12">
        <f>VQ44*PriceEssMonthly*VE44+VR44*PricePremMonthly*VE44</f>
        <v/>
      </c>
      <c r="VY44" s="12">
        <f>VO44*PriceEssAnnual*VE44+VP44*PricePremAnnual*VE44</f>
        <v/>
      </c>
      <c r="VZ44" s="12">
        <f>VO32*POWER(1-(AnnualChurn*VLOOKUP(VB44,ChurnSeasonTable,4,FALSE)),1)*PriceEssAnnual*VE44+VO20*POWER(1-(AnnualChurn*VLOOKUP(VB44,ChurnSeasonTable,4,FALSE)),2)*PriceEssAnnual*VE44+VO8*POWER(1-(AnnualChurn*VLOOKUP(VB44,ChurnSeasonTable,4,FALSE)),3)*PriceEssAnnual*VE44+VP32*POWER(1-(AnnualChurn*VLOOKUP(VB44,ChurnSeasonTable,4,FALSE)),1)*PricePremAnnual*VE44+VP20*POWER(1-(AnnualChurn*VLOOKUP(VB44,ChurnSeasonTable,4,FALSE)),2)*PricePremAnnual*VE44+VP8*POWER(1-(AnnualChurn*VLOOKUP(VB44,ChurnSeasonTable,4,FALSE)),3)*PricePremAnnual*VE44</f>
        <v/>
      </c>
      <c r="WA44" s="9">
        <f>VX44+VY44+VZ44</f>
        <v/>
      </c>
      <c r="WB44" s="12">
        <f>SUM(WA33:WA44)</f>
        <v/>
      </c>
      <c r="WC44" s="12">
        <f>OR(WC43,WB44&gt;=VATThreshold)</f>
        <v/>
      </c>
      <c r="WD44" s="9">
        <f>IF(WC44,WA44/(1+VATRate),WA44)</f>
        <v/>
      </c>
      <c r="WE44" s="12">
        <f>WA44-WD44</f>
        <v/>
      </c>
      <c r="WF44" s="12">
        <f>IF(WC44=0,0,IF(VB44=1,SUMPRODUCT(--(($VC$5:$VC44=$VC44-1)*($VB$5:$VB44&gt;=10)*($VB$5:$VB44&lt;=12)),$WE$5:$WE44),IF(VB44=4,SUMPRODUCT(--(($VC$5:$VC44=$VC44)*($VB$5:$VB44&gt;=1)*($VB$5:$VB44&lt;=3)),$WE$5:$WE44),IF(VB44=7,SUMPRODUCT(--(($VC$5:$VC44=$VC44)*($VB$5:$VB44&gt;=4)*($VB$5:$VB44&lt;=6)),$WE$5:$WE44),IF(VB44=10,SUMPRODUCT(--(($VC$5:$VC44=$VC44)*($VB$5:$VB44&gt;=7)*($VB$5:$VB44&lt;=9)),$WE$5:$WE44),0)))))</f>
        <v/>
      </c>
      <c r="WG44" s="12">
        <f>WG43+WE44-WF44</f>
        <v/>
      </c>
      <c r="WH44" s="12">
        <f>IF(ProviderDelay&gt;=1,WD43*ProviderShare,WD44*ProviderShare)</f>
        <v/>
      </c>
      <c r="WI44" s="12">
        <f>WA44*PaymentFee</f>
        <v/>
      </c>
      <c r="WJ44" s="12">
        <f>VU44*OpsAI</f>
        <v/>
      </c>
      <c r="WK44" s="12">
        <f>MonthlyFixed</f>
        <v/>
      </c>
      <c r="WL44" s="12">
        <f>VI44*ReferralReward</f>
        <v/>
      </c>
      <c r="WM44" s="12">
        <f>VG44</f>
        <v/>
      </c>
      <c r="WN44" s="9">
        <f>WD44-WH44-WI44-WJ44-WK44-WL44-WM44</f>
        <v/>
      </c>
      <c r="WO44" s="9">
        <f>WO43+WA44-(WH44+WI44+WJ44+WK44+WL44+WM44+WF44)</f>
        <v/>
      </c>
      <c r="WP44" s="12">
        <f>IF(VU44&gt;0,VV44/VU44,0)</f>
        <v/>
      </c>
      <c r="WQ44" s="11">
        <f>IF(VU43&gt;0,MAX(0,(VU43+VJ44-VU44)/VU43),0)</f>
        <v/>
      </c>
      <c r="WS44" s="12" t="n">
        <v>40</v>
      </c>
      <c r="WT44" s="12">
        <f>MOD(WS44-1+LaunchMonth-1,12)+1</f>
        <v/>
      </c>
      <c r="WU44" s="12">
        <f>INT((WS44-1+LaunchMonth-1)/12)+1</f>
        <v/>
      </c>
      <c r="WV44" s="12">
        <f>VLOOKUP(WT44,SeasonTable,2,FALSE)</f>
        <v/>
      </c>
      <c r="WW44" s="12">
        <f>(1+InflationRate)^INT((WS44-1)/12)</f>
        <v/>
      </c>
      <c r="WX44" s="11">
        <f>MonthlyChurn*VLOOKUP(WT44,ChurnSeasonTable,4,FALSE)</f>
        <v/>
      </c>
      <c r="WY44" s="12">
        <f>MIN(MAX(MktMin19plus,XS43*MktPct19plus),MAX(0,YG43-CashBuffer))</f>
        <v/>
      </c>
      <c r="WZ44" s="12">
        <f>IF(WY44&gt;0,MAX(1,ROUND(WY44/CAC*WV44,0)),0)</f>
        <v/>
      </c>
      <c r="XA44" s="12">
        <f>IF(WZ44&gt;0,ROUND(WZ44*ReferralMix/(1-ReferralMix),0),0)</f>
        <v/>
      </c>
      <c r="XB44" s="12">
        <f>WZ44+XA44</f>
        <v/>
      </c>
      <c r="XC44" s="12">
        <f>ROUND(XB44*(1-'Sens - Annual Mix'!$A$11),0)</f>
        <v/>
      </c>
      <c r="XD44" s="12">
        <f>XB44-XC44</f>
        <v/>
      </c>
      <c r="XE44" s="12">
        <f>ROUND(XC44*EssentialMix,0)</f>
        <v/>
      </c>
      <c r="XF44" s="12">
        <f>XC44-XE44</f>
        <v/>
      </c>
      <c r="XG44" s="12">
        <f>ROUND(XD44*EssentialMix,0)</f>
        <v/>
      </c>
      <c r="XH44" s="12">
        <f>XD44-XG44</f>
        <v/>
      </c>
      <c r="XI44" s="12">
        <f>XE44+XE43+XE42+MAX(0,XI43-XE43-XE42)*(1-WX44)</f>
        <v/>
      </c>
      <c r="XJ44" s="12">
        <f>XF44+XF43+XF42+MAX(0,XJ43-XF43-XF42)*(1-WX44)</f>
        <v/>
      </c>
      <c r="XK44" s="12">
        <f>XK43+XG44-XG32*(AnnualChurn*VLOOKUP(WT44,ChurnSeasonTable,4,FALSE))*POWER(1-(AnnualChurn*VLOOKUP(WT44,ChurnSeasonTable,4,FALSE)),0)+XG20*(AnnualChurn*VLOOKUP(WT44,ChurnSeasonTable,4,FALSE))*POWER(1-(AnnualChurn*VLOOKUP(WT44,ChurnSeasonTable,4,FALSE)),1)+XG8*(AnnualChurn*VLOOKUP(WT44,ChurnSeasonTable,4,FALSE))*POWER(1-(AnnualChurn*VLOOKUP(WT44,ChurnSeasonTable,4,FALSE)),2)</f>
        <v/>
      </c>
      <c r="XL44" s="12">
        <f>XL43+XH44-XH32*(AnnualChurn*VLOOKUP(WT44,ChurnSeasonTable,4,FALSE))*POWER(1-(AnnualChurn*VLOOKUP(WT44,ChurnSeasonTable,4,FALSE)),0)+XH20*(AnnualChurn*VLOOKUP(WT44,ChurnSeasonTable,4,FALSE))*POWER(1-(AnnualChurn*VLOOKUP(WT44,ChurnSeasonTable,4,FALSE)),1)+XH8*(AnnualChurn*VLOOKUP(WT44,ChurnSeasonTable,4,FALSE))*POWER(1-(AnnualChurn*VLOOKUP(WT44,ChurnSeasonTable,4,FALSE)),2)</f>
        <v/>
      </c>
      <c r="XM44" s="12">
        <f>XI44+XJ44+XK44+XL44</f>
        <v/>
      </c>
      <c r="XN44" s="9">
        <f>XI44*PriceEssMonthly*WW44+XJ44*PricePremMonthly*WW44+XK44*PriceEssAnnual*WW44/12+XL44*PricePremAnnual*WW44/12</f>
        <v/>
      </c>
      <c r="XO44" s="9">
        <f>XN44*12</f>
        <v/>
      </c>
      <c r="XP44" s="12">
        <f>XI44*PriceEssMonthly*WW44+XJ44*PricePremMonthly*WW44</f>
        <v/>
      </c>
      <c r="XQ44" s="12">
        <f>XG44*PriceEssAnnual*WW44+XH44*PricePremAnnual*WW44</f>
        <v/>
      </c>
      <c r="XR44" s="12">
        <f>XG32*POWER(1-(AnnualChurn*VLOOKUP(WT44,ChurnSeasonTable,4,FALSE)),1)*PriceEssAnnual*WW44+XG20*POWER(1-(AnnualChurn*VLOOKUP(WT44,ChurnSeasonTable,4,FALSE)),2)*PriceEssAnnual*WW44+XG8*POWER(1-(AnnualChurn*VLOOKUP(WT44,ChurnSeasonTable,4,FALSE)),3)*PriceEssAnnual*WW44+XH32*POWER(1-(AnnualChurn*VLOOKUP(WT44,ChurnSeasonTable,4,FALSE)),1)*PricePremAnnual*WW44+XH20*POWER(1-(AnnualChurn*VLOOKUP(WT44,ChurnSeasonTable,4,FALSE)),2)*PricePremAnnual*WW44+XH8*POWER(1-(AnnualChurn*VLOOKUP(WT44,ChurnSeasonTable,4,FALSE)),3)*PricePremAnnual*WW44</f>
        <v/>
      </c>
      <c r="XS44" s="9">
        <f>XP44+XQ44+XR44</f>
        <v/>
      </c>
      <c r="XT44" s="12">
        <f>SUM(XS33:XS44)</f>
        <v/>
      </c>
      <c r="XU44" s="12">
        <f>OR(XU43,XT44&gt;=VATThreshold)</f>
        <v/>
      </c>
      <c r="XV44" s="9">
        <f>IF(XU44,XS44/(1+VATRate),XS44)</f>
        <v/>
      </c>
      <c r="XW44" s="12">
        <f>XS44-XV44</f>
        <v/>
      </c>
      <c r="XX44" s="12">
        <f>IF(XU44=0,0,IF(WT44=1,SUMPRODUCT(--(($WU$5:$WU44=$WU44-1)*($WT$5:$WT44&gt;=10)*($WT$5:$WT44&lt;=12)),$XW$5:$XW44),IF(WT44=4,SUMPRODUCT(--(($WU$5:$WU44=$WU44)*($WT$5:$WT44&gt;=1)*($WT$5:$WT44&lt;=3)),$XW$5:$XW44),IF(WT44=7,SUMPRODUCT(--(($WU$5:$WU44=$WU44)*($WT$5:$WT44&gt;=4)*($WT$5:$WT44&lt;=6)),$XW$5:$XW44),IF(WT44=10,SUMPRODUCT(--(($WU$5:$WU44=$WU44)*($WT$5:$WT44&gt;=7)*($WT$5:$WT44&lt;=9)),$XW$5:$XW44),0)))))</f>
        <v/>
      </c>
      <c r="XY44" s="12">
        <f>XY43+XW44-XX44</f>
        <v/>
      </c>
      <c r="XZ44" s="12">
        <f>IF(ProviderDelay&gt;=1,XV43*ProviderShare,XV44*ProviderShare)</f>
        <v/>
      </c>
      <c r="YA44" s="12">
        <f>XS44*PaymentFee</f>
        <v/>
      </c>
      <c r="YB44" s="12">
        <f>XM44*OpsAI</f>
        <v/>
      </c>
      <c r="YC44" s="12">
        <f>MonthlyFixed</f>
        <v/>
      </c>
      <c r="YD44" s="12">
        <f>XA44*ReferralReward</f>
        <v/>
      </c>
      <c r="YE44" s="12">
        <f>WY44</f>
        <v/>
      </c>
      <c r="YF44" s="9">
        <f>XV44-XZ44-YA44-YB44-YC44-YD44-YE44</f>
        <v/>
      </c>
      <c r="YG44" s="9">
        <f>YG43+XS44-(XZ44+YA44+YB44+YC44+YD44+YE44+XX44)</f>
        <v/>
      </c>
      <c r="YH44" s="12">
        <f>IF(XM44&gt;0,XN44/XM44,0)</f>
        <v/>
      </c>
      <c r="YI44" s="11">
        <f>IF(XM43&gt;0,MAX(0,(XM43+XB44-XM44)/XM43),0)</f>
        <v/>
      </c>
      <c r="YK44" s="12" t="n">
        <v>40</v>
      </c>
      <c r="YL44" s="12">
        <f>MOD(YK44-1+LaunchMonth-1,12)+1</f>
        <v/>
      </c>
      <c r="YM44" s="12">
        <f>INT((YK44-1+LaunchMonth-1)/12)+1</f>
        <v/>
      </c>
      <c r="YN44" s="12">
        <f>VLOOKUP(YL44,SeasonTable,2,FALSE)</f>
        <v/>
      </c>
      <c r="YO44" s="12">
        <f>(1+InflationRate)^INT((YK44-1)/12)</f>
        <v/>
      </c>
      <c r="YP44" s="11">
        <f>MonthlyChurn*VLOOKUP(YL44,ChurnSeasonTable,4,FALSE)</f>
        <v/>
      </c>
      <c r="YQ44" s="12">
        <f>MIN(MAX(MktMin19plus,ZK43*MktPct19plus),MAX(0,ZY43-CashBuffer))</f>
        <v/>
      </c>
      <c r="YR44" s="12">
        <f>IF(YQ44&gt;0,MAX(1,ROUND(YQ44/CAC*YN44,0)),0)</f>
        <v/>
      </c>
      <c r="YS44" s="12">
        <f>IF(YR44&gt;0,ROUND(YR44*ReferralMix/(1-ReferralMix),0),0)</f>
        <v/>
      </c>
      <c r="YT44" s="12">
        <f>YR44+YS44</f>
        <v/>
      </c>
      <c r="YU44" s="12">
        <f>ROUND(YT44*(1-'Sens - Annual Mix'!$A$12),0)</f>
        <v/>
      </c>
      <c r="YV44" s="12">
        <f>YT44-YU44</f>
        <v/>
      </c>
      <c r="YW44" s="12">
        <f>ROUND(YU44*EssentialMix,0)</f>
        <v/>
      </c>
      <c r="YX44" s="12">
        <f>YU44-YW44</f>
        <v/>
      </c>
      <c r="YY44" s="12">
        <f>ROUND(YV44*EssentialMix,0)</f>
        <v/>
      </c>
      <c r="YZ44" s="12">
        <f>YV44-YY44</f>
        <v/>
      </c>
      <c r="ZA44" s="12">
        <f>YW44+YW43+YW42+MAX(0,ZA43-YW43-YW42)*(1-YP44)</f>
        <v/>
      </c>
      <c r="ZB44" s="12">
        <f>YX44+YX43+YX42+MAX(0,ZB43-YX43-YX42)*(1-YP44)</f>
        <v/>
      </c>
      <c r="ZC44" s="12">
        <f>ZC43+YY44-YY32*(AnnualChurn*VLOOKUP(YL44,ChurnSeasonTable,4,FALSE))*POWER(1-(AnnualChurn*VLOOKUP(YL44,ChurnSeasonTable,4,FALSE)),0)+YY20*(AnnualChurn*VLOOKUP(YL44,ChurnSeasonTable,4,FALSE))*POWER(1-(AnnualChurn*VLOOKUP(YL44,ChurnSeasonTable,4,FALSE)),1)+YY8*(AnnualChurn*VLOOKUP(YL44,ChurnSeasonTable,4,FALSE))*POWER(1-(AnnualChurn*VLOOKUP(YL44,ChurnSeasonTable,4,FALSE)),2)</f>
        <v/>
      </c>
      <c r="ZD44" s="12">
        <f>ZD43+YZ44-YZ32*(AnnualChurn*VLOOKUP(YL44,ChurnSeasonTable,4,FALSE))*POWER(1-(AnnualChurn*VLOOKUP(YL44,ChurnSeasonTable,4,FALSE)),0)+YZ20*(AnnualChurn*VLOOKUP(YL44,ChurnSeasonTable,4,FALSE))*POWER(1-(AnnualChurn*VLOOKUP(YL44,ChurnSeasonTable,4,FALSE)),1)+YZ8*(AnnualChurn*VLOOKUP(YL44,ChurnSeasonTable,4,FALSE))*POWER(1-(AnnualChurn*VLOOKUP(YL44,ChurnSeasonTable,4,FALSE)),2)</f>
        <v/>
      </c>
      <c r="ZE44" s="12">
        <f>ZA44+ZB44+ZC44+ZD44</f>
        <v/>
      </c>
      <c r="ZF44" s="9">
        <f>ZA44*PriceEssMonthly*YO44+ZB44*PricePremMonthly*YO44+ZC44*PriceEssAnnual*YO44/12+ZD44*PricePremAnnual*YO44/12</f>
        <v/>
      </c>
      <c r="ZG44" s="9">
        <f>ZF44*12</f>
        <v/>
      </c>
      <c r="ZH44" s="12">
        <f>ZA44*PriceEssMonthly*YO44+ZB44*PricePremMonthly*YO44</f>
        <v/>
      </c>
      <c r="ZI44" s="12">
        <f>YY44*PriceEssAnnual*YO44+YZ44*PricePremAnnual*YO44</f>
        <v/>
      </c>
      <c r="ZJ44" s="12">
        <f>YY32*POWER(1-(AnnualChurn*VLOOKUP(YL44,ChurnSeasonTable,4,FALSE)),1)*PriceEssAnnual*YO44+YY20*POWER(1-(AnnualChurn*VLOOKUP(YL44,ChurnSeasonTable,4,FALSE)),2)*PriceEssAnnual*YO44+YY8*POWER(1-(AnnualChurn*VLOOKUP(YL44,ChurnSeasonTable,4,FALSE)),3)*PriceEssAnnual*YO44+YZ32*POWER(1-(AnnualChurn*VLOOKUP(YL44,ChurnSeasonTable,4,FALSE)),1)*PricePremAnnual*YO44+YZ20*POWER(1-(AnnualChurn*VLOOKUP(YL44,ChurnSeasonTable,4,FALSE)),2)*PricePremAnnual*YO44+YZ8*POWER(1-(AnnualChurn*VLOOKUP(YL44,ChurnSeasonTable,4,FALSE)),3)*PricePremAnnual*YO44</f>
        <v/>
      </c>
      <c r="ZK44" s="9">
        <f>ZH44+ZI44+ZJ44</f>
        <v/>
      </c>
      <c r="ZL44" s="12">
        <f>SUM(ZK33:ZK44)</f>
        <v/>
      </c>
      <c r="ZM44" s="12">
        <f>OR(ZM43,ZL44&gt;=VATThreshold)</f>
        <v/>
      </c>
      <c r="ZN44" s="9">
        <f>IF(ZM44,ZK44/(1+VATRate),ZK44)</f>
        <v/>
      </c>
      <c r="ZO44" s="12">
        <f>ZK44-ZN44</f>
        <v/>
      </c>
      <c r="ZP44" s="12">
        <f>IF(ZM44=0,0,IF(YL44=1,SUMPRODUCT(--(($YM$5:$YM44=$YM44-1)*($YL$5:$YL44&gt;=10)*($YL$5:$YL44&lt;=12)),$ZO$5:$ZO44),IF(YL44=4,SUMPRODUCT(--(($YM$5:$YM44=$YM44)*($YL$5:$YL44&gt;=1)*($YL$5:$YL44&lt;=3)),$ZO$5:$ZO44),IF(YL44=7,SUMPRODUCT(--(($YM$5:$YM44=$YM44)*($YL$5:$YL44&gt;=4)*($YL$5:$YL44&lt;=6)),$ZO$5:$ZO44),IF(YL44=10,SUMPRODUCT(--(($YM$5:$YM44=$YM44)*($YL$5:$YL44&gt;=7)*($YL$5:$YL44&lt;=9)),$ZO$5:$ZO44),0)))))</f>
        <v/>
      </c>
      <c r="ZQ44" s="12">
        <f>ZQ43+ZO44-ZP44</f>
        <v/>
      </c>
      <c r="ZR44" s="12">
        <f>IF(ProviderDelay&gt;=1,ZN43*ProviderShare,ZN44*ProviderShare)</f>
        <v/>
      </c>
      <c r="ZS44" s="12">
        <f>ZK44*PaymentFee</f>
        <v/>
      </c>
      <c r="ZT44" s="12">
        <f>ZE44*OpsAI</f>
        <v/>
      </c>
      <c r="ZU44" s="12">
        <f>MonthlyFixed</f>
        <v/>
      </c>
      <c r="ZV44" s="12">
        <f>YS44*ReferralReward</f>
        <v/>
      </c>
      <c r="ZW44" s="12">
        <f>YQ44</f>
        <v/>
      </c>
      <c r="ZX44" s="9">
        <f>ZN44-ZR44-ZS44-ZT44-ZU44-ZV44-ZW44</f>
        <v/>
      </c>
      <c r="ZY44" s="9">
        <f>ZY43+ZK44-(ZR44+ZS44+ZT44+ZU44+ZV44+ZW44+ZP44)</f>
        <v/>
      </c>
      <c r="ZZ44" s="12">
        <f>IF(ZE44&gt;0,ZF44/ZE44,0)</f>
        <v/>
      </c>
      <c r="AAA44" s="11">
        <f>IF(ZE43&gt;0,MAX(0,(ZE43+YT44-ZE44)/ZE43),0)</f>
        <v/>
      </c>
      <c r="AAC44" s="12" t="n">
        <v>40</v>
      </c>
      <c r="AAD44" s="12">
        <f>MOD(AAC44-1+LaunchMonth-1,12)+1</f>
        <v/>
      </c>
      <c r="AAE44" s="12">
        <f>INT((AAC44-1+LaunchMonth-1)/12)+1</f>
        <v/>
      </c>
      <c r="AAF44" s="12">
        <f>VLOOKUP(AAD44,SeasonTable,2,FALSE)</f>
        <v/>
      </c>
      <c r="AAG44" s="12">
        <f>(1+InflationRate)^INT((AAC44-1)/12)</f>
        <v/>
      </c>
      <c r="AAH44" s="11">
        <f>MonthlyChurn*VLOOKUP(AAD44,ChurnSeasonTable,4,FALSE)</f>
        <v/>
      </c>
      <c r="AAI44" s="12">
        <f>MIN(MAX(MktMin19plus,ABC43*MktPct19plus),MAX(0,ABQ43-CashBuffer))</f>
        <v/>
      </c>
      <c r="AAJ44" s="12">
        <f>IF(AAI44&gt;0,MAX(1,ROUND(AAI44/CAC*AAF44,0)),0)</f>
        <v/>
      </c>
      <c r="AAK44" s="12">
        <f>IF(AAJ44&gt;0,ROUND(AAJ44*ReferralMix/(1-ReferralMix),0),0)</f>
        <v/>
      </c>
      <c r="AAL44" s="12">
        <f>AAJ44+AAK44</f>
        <v/>
      </c>
      <c r="AAM44" s="12">
        <f>ROUND(AAL44*(1-'Sens - Annual Mix'!$A$13),0)</f>
        <v/>
      </c>
      <c r="AAN44" s="12">
        <f>AAL44-AAM44</f>
        <v/>
      </c>
      <c r="AAO44" s="12">
        <f>ROUND(AAM44*EssentialMix,0)</f>
        <v/>
      </c>
      <c r="AAP44" s="12">
        <f>AAM44-AAO44</f>
        <v/>
      </c>
      <c r="AAQ44" s="12">
        <f>ROUND(AAN44*EssentialMix,0)</f>
        <v/>
      </c>
      <c r="AAR44" s="12">
        <f>AAN44-AAQ44</f>
        <v/>
      </c>
      <c r="AAS44" s="12">
        <f>AAO44+AAO43+AAO42+MAX(0,AAS43-AAO43-AAO42)*(1-AAH44)</f>
        <v/>
      </c>
      <c r="AAT44" s="12">
        <f>AAP44+AAP43+AAP42+MAX(0,AAT43-AAP43-AAP42)*(1-AAH44)</f>
        <v/>
      </c>
      <c r="AAU44" s="12">
        <f>AAU43+AAQ44-AAQ32*(AnnualChurn*VLOOKUP(AAD44,ChurnSeasonTable,4,FALSE))*POWER(1-(AnnualChurn*VLOOKUP(AAD44,ChurnSeasonTable,4,FALSE)),0)+AAQ20*(AnnualChurn*VLOOKUP(AAD44,ChurnSeasonTable,4,FALSE))*POWER(1-(AnnualChurn*VLOOKUP(AAD44,ChurnSeasonTable,4,FALSE)),1)+AAQ8*(AnnualChurn*VLOOKUP(AAD44,ChurnSeasonTable,4,FALSE))*POWER(1-(AnnualChurn*VLOOKUP(AAD44,ChurnSeasonTable,4,FALSE)),2)</f>
        <v/>
      </c>
      <c r="AAV44" s="12">
        <f>AAV43+AAR44-AAR32*(AnnualChurn*VLOOKUP(AAD44,ChurnSeasonTable,4,FALSE))*POWER(1-(AnnualChurn*VLOOKUP(AAD44,ChurnSeasonTable,4,FALSE)),0)+AAR20*(AnnualChurn*VLOOKUP(AAD44,ChurnSeasonTable,4,FALSE))*POWER(1-(AnnualChurn*VLOOKUP(AAD44,ChurnSeasonTable,4,FALSE)),1)+AAR8*(AnnualChurn*VLOOKUP(AAD44,ChurnSeasonTable,4,FALSE))*POWER(1-(AnnualChurn*VLOOKUP(AAD44,ChurnSeasonTable,4,FALSE)),2)</f>
        <v/>
      </c>
      <c r="AAW44" s="12">
        <f>AAS44+AAT44+AAU44+AAV44</f>
        <v/>
      </c>
      <c r="AAX44" s="9">
        <f>AAS44*PriceEssMonthly*AAG44+AAT44*PricePremMonthly*AAG44+AAU44*PriceEssAnnual*AAG44/12+AAV44*PricePremAnnual*AAG44/12</f>
        <v/>
      </c>
      <c r="AAY44" s="9">
        <f>AAX44*12</f>
        <v/>
      </c>
      <c r="AAZ44" s="12">
        <f>AAS44*PriceEssMonthly*AAG44+AAT44*PricePremMonthly*AAG44</f>
        <v/>
      </c>
      <c r="ABA44" s="12">
        <f>AAQ44*PriceEssAnnual*AAG44+AAR44*PricePremAnnual*AAG44</f>
        <v/>
      </c>
      <c r="ABB44" s="12">
        <f>AAQ32*POWER(1-(AnnualChurn*VLOOKUP(AAD44,ChurnSeasonTable,4,FALSE)),1)*PriceEssAnnual*AAG44+AAQ20*POWER(1-(AnnualChurn*VLOOKUP(AAD44,ChurnSeasonTable,4,FALSE)),2)*PriceEssAnnual*AAG44+AAQ8*POWER(1-(AnnualChurn*VLOOKUP(AAD44,ChurnSeasonTable,4,FALSE)),3)*PriceEssAnnual*AAG44+AAR32*POWER(1-(AnnualChurn*VLOOKUP(AAD44,ChurnSeasonTable,4,FALSE)),1)*PricePremAnnual*AAG44+AAR20*POWER(1-(AnnualChurn*VLOOKUP(AAD44,ChurnSeasonTable,4,FALSE)),2)*PricePremAnnual*AAG44+AAR8*POWER(1-(AnnualChurn*VLOOKUP(AAD44,ChurnSeasonTable,4,FALSE)),3)*PricePremAnnual*AAG44</f>
        <v/>
      </c>
      <c r="ABC44" s="9">
        <f>AAZ44+ABA44+ABB44</f>
        <v/>
      </c>
      <c r="ABD44" s="12">
        <f>SUM(ABC33:ABC44)</f>
        <v/>
      </c>
      <c r="ABE44" s="12">
        <f>OR(ABE43,ABD44&gt;=VATThreshold)</f>
        <v/>
      </c>
      <c r="ABF44" s="9">
        <f>IF(ABE44,ABC44/(1+VATRate),ABC44)</f>
        <v/>
      </c>
      <c r="ABG44" s="12">
        <f>ABC44-ABF44</f>
        <v/>
      </c>
      <c r="ABH44" s="12">
        <f>IF(ABE44=0,0,IF(AAD44=1,SUMPRODUCT(--(($AAE$5:$AAE44=$AAE44-1)*($AAD$5:$AAD44&gt;=10)*($AAD$5:$AAD44&lt;=12)),$ABG$5:$ABG44),IF(AAD44=4,SUMPRODUCT(--(($AAE$5:$AAE44=$AAE44)*($AAD$5:$AAD44&gt;=1)*($AAD$5:$AAD44&lt;=3)),$ABG$5:$ABG44),IF(AAD44=7,SUMPRODUCT(--(($AAE$5:$AAE44=$AAE44)*($AAD$5:$AAD44&gt;=4)*($AAD$5:$AAD44&lt;=6)),$ABG$5:$ABG44),IF(AAD44=10,SUMPRODUCT(--(($AAE$5:$AAE44=$AAE44)*($AAD$5:$AAD44&gt;=7)*($AAD$5:$AAD44&lt;=9)),$ABG$5:$ABG44),0)))))</f>
        <v/>
      </c>
      <c r="ABI44" s="12">
        <f>ABI43+ABG44-ABH44</f>
        <v/>
      </c>
      <c r="ABJ44" s="12">
        <f>IF(ProviderDelay&gt;=1,ABF43*ProviderShare,ABF44*ProviderShare)</f>
        <v/>
      </c>
      <c r="ABK44" s="12">
        <f>ABC44*PaymentFee</f>
        <v/>
      </c>
      <c r="ABL44" s="12">
        <f>AAW44*OpsAI</f>
        <v/>
      </c>
      <c r="ABM44" s="12">
        <f>MonthlyFixed</f>
        <v/>
      </c>
      <c r="ABN44" s="12">
        <f>AAK44*ReferralReward</f>
        <v/>
      </c>
      <c r="ABO44" s="12">
        <f>AAI44</f>
        <v/>
      </c>
      <c r="ABP44" s="9">
        <f>ABF44-ABJ44-ABK44-ABL44-ABM44-ABN44-ABO44</f>
        <v/>
      </c>
      <c r="ABQ44" s="9">
        <f>ABQ43+ABC44-(ABJ44+ABK44+ABL44+ABM44+ABN44+ABO44+ABH44)</f>
        <v/>
      </c>
      <c r="ABR44" s="12">
        <f>IF(AAW44&gt;0,AAX44/AAW44,0)</f>
        <v/>
      </c>
      <c r="ABS44" s="11">
        <f>IF(AAW43&gt;0,MAX(0,(AAW43+AAL44-AAW44)/AAW43),0)</f>
        <v/>
      </c>
      <c r="ABU44" s="12" t="n">
        <v>40</v>
      </c>
      <c r="ABV44" s="12">
        <f>MOD(ABU44-1+LaunchMonth-1,12)+1</f>
        <v/>
      </c>
      <c r="ABW44" s="12">
        <f>INT((ABU44-1+LaunchMonth-1)/12)+1</f>
        <v/>
      </c>
      <c r="ABX44" s="12">
        <f>VLOOKUP(ABV44,SeasonTable,2,FALSE)</f>
        <v/>
      </c>
      <c r="ABY44" s="12">
        <f>(1+InflationRate)^INT((ABU44-1)/12)</f>
        <v/>
      </c>
      <c r="ABZ44" s="11">
        <f>MonthlyChurn*VLOOKUP(ABV44,ChurnSeasonTable,4,FALSE)</f>
        <v/>
      </c>
      <c r="ACA44" s="12">
        <f>MIN(MAX(MktMin19plus,ACU43*MktPct19plus),MAX(0,ADI43-CashBuffer))</f>
        <v/>
      </c>
      <c r="ACB44" s="12">
        <f>IF(ACA44&gt;0,MAX(1,ROUND(ACA44/CAC*ABX44,0)),0)</f>
        <v/>
      </c>
      <c r="ACC44" s="12">
        <f>IF(ACB44&gt;0,ROUND(ACB44*ReferralMix/(1-ReferralMix),0),0)</f>
        <v/>
      </c>
      <c r="ACD44" s="12">
        <f>ACB44+ACC44</f>
        <v/>
      </c>
      <c r="ACE44" s="12">
        <f>ROUND(ACD44*(1-'Sens - Annual Mix'!$A$14),0)</f>
        <v/>
      </c>
      <c r="ACF44" s="12">
        <f>ACD44-ACE44</f>
        <v/>
      </c>
      <c r="ACG44" s="12">
        <f>ROUND(ACE44*EssentialMix,0)</f>
        <v/>
      </c>
      <c r="ACH44" s="12">
        <f>ACE44-ACG44</f>
        <v/>
      </c>
      <c r="ACI44" s="12">
        <f>ROUND(ACF44*EssentialMix,0)</f>
        <v/>
      </c>
      <c r="ACJ44" s="12">
        <f>ACF44-ACI44</f>
        <v/>
      </c>
      <c r="ACK44" s="12">
        <f>ACG44+ACG43+ACG42+MAX(0,ACK43-ACG43-ACG42)*(1-ABZ44)</f>
        <v/>
      </c>
      <c r="ACL44" s="12">
        <f>ACH44+ACH43+ACH42+MAX(0,ACL43-ACH43-ACH42)*(1-ABZ44)</f>
        <v/>
      </c>
      <c r="ACM44" s="12">
        <f>ACM43+ACI44-ACI32*(AnnualChurn*VLOOKUP(ABV44,ChurnSeasonTable,4,FALSE))*POWER(1-(AnnualChurn*VLOOKUP(ABV44,ChurnSeasonTable,4,FALSE)),0)+ACI20*(AnnualChurn*VLOOKUP(ABV44,ChurnSeasonTable,4,FALSE))*POWER(1-(AnnualChurn*VLOOKUP(ABV44,ChurnSeasonTable,4,FALSE)),1)+ACI8*(AnnualChurn*VLOOKUP(ABV44,ChurnSeasonTable,4,FALSE))*POWER(1-(AnnualChurn*VLOOKUP(ABV44,ChurnSeasonTable,4,FALSE)),2)</f>
        <v/>
      </c>
      <c r="ACN44" s="12">
        <f>ACN43+ACJ44-ACJ32*(AnnualChurn*VLOOKUP(ABV44,ChurnSeasonTable,4,FALSE))*POWER(1-(AnnualChurn*VLOOKUP(ABV44,ChurnSeasonTable,4,FALSE)),0)+ACJ20*(AnnualChurn*VLOOKUP(ABV44,ChurnSeasonTable,4,FALSE))*POWER(1-(AnnualChurn*VLOOKUP(ABV44,ChurnSeasonTable,4,FALSE)),1)+ACJ8*(AnnualChurn*VLOOKUP(ABV44,ChurnSeasonTable,4,FALSE))*POWER(1-(AnnualChurn*VLOOKUP(ABV44,ChurnSeasonTable,4,FALSE)),2)</f>
        <v/>
      </c>
      <c r="ACO44" s="12">
        <f>ACK44+ACL44+ACM44+ACN44</f>
        <v/>
      </c>
      <c r="ACP44" s="9">
        <f>ACK44*PriceEssMonthly*ABY44+ACL44*PricePremMonthly*ABY44+ACM44*PriceEssAnnual*ABY44/12+ACN44*PricePremAnnual*ABY44/12</f>
        <v/>
      </c>
      <c r="ACQ44" s="9">
        <f>ACP44*12</f>
        <v/>
      </c>
      <c r="ACR44" s="12">
        <f>ACK44*PriceEssMonthly*ABY44+ACL44*PricePremMonthly*ABY44</f>
        <v/>
      </c>
      <c r="ACS44" s="12">
        <f>ACI44*PriceEssAnnual*ABY44+ACJ44*PricePremAnnual*ABY44</f>
        <v/>
      </c>
      <c r="ACT44" s="12">
        <f>ACI32*POWER(1-(AnnualChurn*VLOOKUP(ABV44,ChurnSeasonTable,4,FALSE)),1)*PriceEssAnnual*ABY44+ACI20*POWER(1-(AnnualChurn*VLOOKUP(ABV44,ChurnSeasonTable,4,FALSE)),2)*PriceEssAnnual*ABY44+ACI8*POWER(1-(AnnualChurn*VLOOKUP(ABV44,ChurnSeasonTable,4,FALSE)),3)*PriceEssAnnual*ABY44+ACJ32*POWER(1-(AnnualChurn*VLOOKUP(ABV44,ChurnSeasonTable,4,FALSE)),1)*PricePremAnnual*ABY44+ACJ20*POWER(1-(AnnualChurn*VLOOKUP(ABV44,ChurnSeasonTable,4,FALSE)),2)*PricePremAnnual*ABY44+ACJ8*POWER(1-(AnnualChurn*VLOOKUP(ABV44,ChurnSeasonTable,4,FALSE)),3)*PricePremAnnual*ABY44</f>
        <v/>
      </c>
      <c r="ACU44" s="9">
        <f>ACR44+ACS44+ACT44</f>
        <v/>
      </c>
      <c r="ACV44" s="12">
        <f>SUM(ACU33:ACU44)</f>
        <v/>
      </c>
      <c r="ACW44" s="12">
        <f>OR(ACW43,ACV44&gt;=VATThreshold)</f>
        <v/>
      </c>
      <c r="ACX44" s="9">
        <f>IF(ACW44,ACU44/(1+VATRate),ACU44)</f>
        <v/>
      </c>
      <c r="ACY44" s="12">
        <f>ACU44-ACX44</f>
        <v/>
      </c>
      <c r="ACZ44" s="12">
        <f>IF(ACW44=0,0,IF(ABV44=1,SUMPRODUCT(--(($ABW$5:$ABW44=$ABW44-1)*($ABV$5:$ABV44&gt;=10)*($ABV$5:$ABV44&lt;=12)),$ACY$5:$ACY44),IF(ABV44=4,SUMPRODUCT(--(($ABW$5:$ABW44=$ABW44)*($ABV$5:$ABV44&gt;=1)*($ABV$5:$ABV44&lt;=3)),$ACY$5:$ACY44),IF(ABV44=7,SUMPRODUCT(--(($ABW$5:$ABW44=$ABW44)*($ABV$5:$ABV44&gt;=4)*($ABV$5:$ABV44&lt;=6)),$ACY$5:$ACY44),IF(ABV44=10,SUMPRODUCT(--(($ABW$5:$ABW44=$ABW44)*($ABV$5:$ABV44&gt;=7)*($ABV$5:$ABV44&lt;=9)),$ACY$5:$ACY44),0)))))</f>
        <v/>
      </c>
      <c r="ADA44" s="12">
        <f>ADA43+ACY44-ACZ44</f>
        <v/>
      </c>
      <c r="ADB44" s="12">
        <f>IF(ProviderDelay&gt;=1,ACX43*ProviderShare,ACX44*ProviderShare)</f>
        <v/>
      </c>
      <c r="ADC44" s="12">
        <f>ACU44*PaymentFee</f>
        <v/>
      </c>
      <c r="ADD44" s="12">
        <f>ACO44*OpsAI</f>
        <v/>
      </c>
      <c r="ADE44" s="12">
        <f>MonthlyFixed</f>
        <v/>
      </c>
      <c r="ADF44" s="12">
        <f>ACC44*ReferralReward</f>
        <v/>
      </c>
      <c r="ADG44" s="12">
        <f>ACA44</f>
        <v/>
      </c>
      <c r="ADH44" s="9">
        <f>ACX44-ADB44-ADC44-ADD44-ADE44-ADF44-ADG44</f>
        <v/>
      </c>
      <c r="ADI44" s="9">
        <f>ADI43+ACU44-(ADB44+ADC44+ADD44+ADE44+ADF44+ADG44+ACZ44)</f>
        <v/>
      </c>
      <c r="ADJ44" s="12">
        <f>IF(ACO44&gt;0,ACP44/ACO44,0)</f>
        <v/>
      </c>
      <c r="ADK44" s="11">
        <f>IF(ACO43&gt;0,MAX(0,(ACO43+ACD44-ACO44)/ACO43),0)</f>
        <v/>
      </c>
      <c r="ADM44" s="12" t="n">
        <v>40</v>
      </c>
      <c r="ADN44" s="12">
        <f>MOD(ADM44-1+LaunchMonth-1,12)+1</f>
        <v/>
      </c>
      <c r="ADO44" s="12">
        <f>INT((ADM44-1+LaunchMonth-1)/12)+1</f>
        <v/>
      </c>
      <c r="ADP44" s="12">
        <f>VLOOKUP(ADN44,SeasonTable,2,FALSE)</f>
        <v/>
      </c>
      <c r="ADQ44" s="12">
        <f>(1+InflationRate)^INT((ADM44-1)/12)</f>
        <v/>
      </c>
      <c r="ADR44" s="11">
        <f>MonthlyChurn*VLOOKUP(ADN44,ChurnSeasonTable,4,FALSE)</f>
        <v/>
      </c>
      <c r="ADS44" s="12">
        <f>MIN(MAX(MktMin19plus,AEM43*MktPct19plus),MAX(0,AFA43-CashBuffer))</f>
        <v/>
      </c>
      <c r="ADT44" s="12">
        <f>IF(ADS44&gt;0,MAX(1,ROUND(ADS44/CAC*ADP44,0)),0)</f>
        <v/>
      </c>
      <c r="ADU44" s="12">
        <f>IF(ADT44&gt;0,ROUND(ADT44*ReferralMix/(1-ReferralMix),0),0)</f>
        <v/>
      </c>
      <c r="ADV44" s="12">
        <f>ADT44+ADU44</f>
        <v/>
      </c>
      <c r="ADW44" s="12">
        <f>ROUND(ADV44*(1-'Sens - Annual Mix'!$A$15),0)</f>
        <v/>
      </c>
      <c r="ADX44" s="12">
        <f>ADV44-ADW44</f>
        <v/>
      </c>
      <c r="ADY44" s="12">
        <f>ROUND(ADW44*EssentialMix,0)</f>
        <v/>
      </c>
      <c r="ADZ44" s="12">
        <f>ADW44-ADY44</f>
        <v/>
      </c>
      <c r="AEA44" s="12">
        <f>ROUND(ADX44*EssentialMix,0)</f>
        <v/>
      </c>
      <c r="AEB44" s="12">
        <f>ADX44-AEA44</f>
        <v/>
      </c>
      <c r="AEC44" s="12">
        <f>ADY44+ADY43+ADY42+MAX(0,AEC43-ADY43-ADY42)*(1-ADR44)</f>
        <v/>
      </c>
      <c r="AED44" s="12">
        <f>ADZ44+ADZ43+ADZ42+MAX(0,AED43-ADZ43-ADZ42)*(1-ADR44)</f>
        <v/>
      </c>
      <c r="AEE44" s="12">
        <f>AEE43+AEA44-AEA32*(AnnualChurn*VLOOKUP(ADN44,ChurnSeasonTable,4,FALSE))*POWER(1-(AnnualChurn*VLOOKUP(ADN44,ChurnSeasonTable,4,FALSE)),0)+AEA20*(AnnualChurn*VLOOKUP(ADN44,ChurnSeasonTable,4,FALSE))*POWER(1-(AnnualChurn*VLOOKUP(ADN44,ChurnSeasonTable,4,FALSE)),1)+AEA8*(AnnualChurn*VLOOKUP(ADN44,ChurnSeasonTable,4,FALSE))*POWER(1-(AnnualChurn*VLOOKUP(ADN44,ChurnSeasonTable,4,FALSE)),2)</f>
        <v/>
      </c>
      <c r="AEF44" s="12">
        <f>AEF43+AEB44-AEB32*(AnnualChurn*VLOOKUP(ADN44,ChurnSeasonTable,4,FALSE))*POWER(1-(AnnualChurn*VLOOKUP(ADN44,ChurnSeasonTable,4,FALSE)),0)+AEB20*(AnnualChurn*VLOOKUP(ADN44,ChurnSeasonTable,4,FALSE))*POWER(1-(AnnualChurn*VLOOKUP(ADN44,ChurnSeasonTable,4,FALSE)),1)+AEB8*(AnnualChurn*VLOOKUP(ADN44,ChurnSeasonTable,4,FALSE))*POWER(1-(AnnualChurn*VLOOKUP(ADN44,ChurnSeasonTable,4,FALSE)),2)</f>
        <v/>
      </c>
      <c r="AEG44" s="12">
        <f>AEC44+AED44+AEE44+AEF44</f>
        <v/>
      </c>
      <c r="AEH44" s="9">
        <f>AEC44*PriceEssMonthly*ADQ44+AED44*PricePremMonthly*ADQ44+AEE44*PriceEssAnnual*ADQ44/12+AEF44*PricePremAnnual*ADQ44/12</f>
        <v/>
      </c>
      <c r="AEI44" s="9">
        <f>AEH44*12</f>
        <v/>
      </c>
      <c r="AEJ44" s="12">
        <f>AEC44*PriceEssMonthly*ADQ44+AED44*PricePremMonthly*ADQ44</f>
        <v/>
      </c>
      <c r="AEK44" s="12">
        <f>AEA44*PriceEssAnnual*ADQ44+AEB44*PricePremAnnual*ADQ44</f>
        <v/>
      </c>
      <c r="AEL44" s="12">
        <f>AEA32*POWER(1-(AnnualChurn*VLOOKUP(ADN44,ChurnSeasonTable,4,FALSE)),1)*PriceEssAnnual*ADQ44+AEA20*POWER(1-(AnnualChurn*VLOOKUP(ADN44,ChurnSeasonTable,4,FALSE)),2)*PriceEssAnnual*ADQ44+AEA8*POWER(1-(AnnualChurn*VLOOKUP(ADN44,ChurnSeasonTable,4,FALSE)),3)*PriceEssAnnual*ADQ44+AEB32*POWER(1-(AnnualChurn*VLOOKUP(ADN44,ChurnSeasonTable,4,FALSE)),1)*PricePremAnnual*ADQ44+AEB20*POWER(1-(AnnualChurn*VLOOKUP(ADN44,ChurnSeasonTable,4,FALSE)),2)*PricePremAnnual*ADQ44+AEB8*POWER(1-(AnnualChurn*VLOOKUP(ADN44,ChurnSeasonTable,4,FALSE)),3)*PricePremAnnual*ADQ44</f>
        <v/>
      </c>
      <c r="AEM44" s="9">
        <f>AEJ44+AEK44+AEL44</f>
        <v/>
      </c>
      <c r="AEN44" s="12">
        <f>SUM(AEM33:AEM44)</f>
        <v/>
      </c>
      <c r="AEO44" s="12">
        <f>OR(AEO43,AEN44&gt;=VATThreshold)</f>
        <v/>
      </c>
      <c r="AEP44" s="9">
        <f>IF(AEO44,AEM44/(1+VATRate),AEM44)</f>
        <v/>
      </c>
      <c r="AEQ44" s="12">
        <f>AEM44-AEP44</f>
        <v/>
      </c>
      <c r="AER44" s="12">
        <f>IF(AEO44=0,0,IF(ADN44=1,SUMPRODUCT(--(($ADO$5:$ADO44=$ADO44-1)*($ADN$5:$ADN44&gt;=10)*($ADN$5:$ADN44&lt;=12)),$AEQ$5:$AEQ44),IF(ADN44=4,SUMPRODUCT(--(($ADO$5:$ADO44=$ADO44)*($ADN$5:$ADN44&gt;=1)*($ADN$5:$ADN44&lt;=3)),$AEQ$5:$AEQ44),IF(ADN44=7,SUMPRODUCT(--(($ADO$5:$ADO44=$ADO44)*($ADN$5:$ADN44&gt;=4)*($ADN$5:$ADN44&lt;=6)),$AEQ$5:$AEQ44),IF(ADN44=10,SUMPRODUCT(--(($ADO$5:$ADO44=$ADO44)*($ADN$5:$ADN44&gt;=7)*($ADN$5:$ADN44&lt;=9)),$AEQ$5:$AEQ44),0)))))</f>
        <v/>
      </c>
      <c r="AES44" s="12">
        <f>AES43+AEQ44-AER44</f>
        <v/>
      </c>
      <c r="AET44" s="12">
        <f>IF(ProviderDelay&gt;=1,AEP43*ProviderShare,AEP44*ProviderShare)</f>
        <v/>
      </c>
      <c r="AEU44" s="12">
        <f>AEM44*PaymentFee</f>
        <v/>
      </c>
      <c r="AEV44" s="12">
        <f>AEG44*OpsAI</f>
        <v/>
      </c>
      <c r="AEW44" s="12">
        <f>MonthlyFixed</f>
        <v/>
      </c>
      <c r="AEX44" s="12">
        <f>ADU44*ReferralReward</f>
        <v/>
      </c>
      <c r="AEY44" s="12">
        <f>ADS44</f>
        <v/>
      </c>
      <c r="AEZ44" s="9">
        <f>AEP44-AET44-AEU44-AEV44-AEW44-AEX44-AEY44</f>
        <v/>
      </c>
      <c r="AFA44" s="9">
        <f>AFA43+AEM44-(AET44+AEU44+AEV44+AEW44+AEX44+AEY44+AER44)</f>
        <v/>
      </c>
      <c r="AFB44" s="12">
        <f>IF(AEG44&gt;0,AEH44/AEG44,0)</f>
        <v/>
      </c>
      <c r="AFC44" s="11">
        <f>IF(AEG43&gt;0,MAX(0,(AEG43+ADV44-AEG44)/AEG43),0)</f>
        <v/>
      </c>
      <c r="AFE44" s="12" t="n">
        <v>40</v>
      </c>
      <c r="AFF44" s="12">
        <f>MOD(AFE44-1+LaunchMonth-1,12)+1</f>
        <v/>
      </c>
      <c r="AFG44" s="12">
        <f>INT((AFE44-1+LaunchMonth-1)/12)+1</f>
        <v/>
      </c>
      <c r="AFH44" s="12">
        <f>VLOOKUP(AFF44,SeasonTable,2,FALSE)</f>
        <v/>
      </c>
      <c r="AFI44" s="12">
        <f>(1+InflationRate)^INT((AFE44-1)/12)</f>
        <v/>
      </c>
      <c r="AFJ44" s="11">
        <f>MonthlyChurn*VLOOKUP(AFF44,ChurnSeasonTable,4,FALSE)</f>
        <v/>
      </c>
      <c r="AFK44" s="12">
        <f>MIN(MAX(MktMin19plus,AGE43*MktPct19plus),MAX(0,AGS43-CashBuffer))</f>
        <v/>
      </c>
      <c r="AFL44" s="12">
        <f>IF(AFK44&gt;0,MAX(1,ROUND(AFK44/'Sens - CAC &amp; Marketing'!$A$9*AFH44,0)),0)</f>
        <v/>
      </c>
      <c r="AFM44" s="12">
        <f>IF(AFL44&gt;0,ROUND(AFL44*ReferralMix/(1-ReferralMix),0),0)</f>
        <v/>
      </c>
      <c r="AFN44" s="12">
        <f>AFL44+AFM44</f>
        <v/>
      </c>
      <c r="AFO44" s="12">
        <f>ROUND(AFN44*(1-AnnualMix),0)</f>
        <v/>
      </c>
      <c r="AFP44" s="12">
        <f>AFN44-AFO44</f>
        <v/>
      </c>
      <c r="AFQ44" s="12">
        <f>ROUND(AFO44*EssentialMix,0)</f>
        <v/>
      </c>
      <c r="AFR44" s="12">
        <f>AFO44-AFQ44</f>
        <v/>
      </c>
      <c r="AFS44" s="12">
        <f>ROUND(AFP44*EssentialMix,0)</f>
        <v/>
      </c>
      <c r="AFT44" s="12">
        <f>AFP44-AFS44</f>
        <v/>
      </c>
      <c r="AFU44" s="12">
        <f>AFQ44+AFQ43+AFQ42+MAX(0,AFU43-AFQ43-AFQ42)*(1-AFJ44)</f>
        <v/>
      </c>
      <c r="AFV44" s="12">
        <f>AFR44+AFR43+AFR42+MAX(0,AFV43-AFR43-AFR42)*(1-AFJ44)</f>
        <v/>
      </c>
      <c r="AFW44" s="12">
        <f>AFW43+AFS44-AFS32*(AnnualChurn*VLOOKUP(AFF44,ChurnSeasonTable,4,FALSE))*POWER(1-(AnnualChurn*VLOOKUP(AFF44,ChurnSeasonTable,4,FALSE)),0)+AFS20*(AnnualChurn*VLOOKUP(AFF44,ChurnSeasonTable,4,FALSE))*POWER(1-(AnnualChurn*VLOOKUP(AFF44,ChurnSeasonTable,4,FALSE)),1)+AFS8*(AnnualChurn*VLOOKUP(AFF44,ChurnSeasonTable,4,FALSE))*POWER(1-(AnnualChurn*VLOOKUP(AFF44,ChurnSeasonTable,4,FALSE)),2)</f>
        <v/>
      </c>
      <c r="AFX44" s="12">
        <f>AFX43+AFT44-AFT32*(AnnualChurn*VLOOKUP(AFF44,ChurnSeasonTable,4,FALSE))*POWER(1-(AnnualChurn*VLOOKUP(AFF44,ChurnSeasonTable,4,FALSE)),0)+AFT20*(AnnualChurn*VLOOKUP(AFF44,ChurnSeasonTable,4,FALSE))*POWER(1-(AnnualChurn*VLOOKUP(AFF44,ChurnSeasonTable,4,FALSE)),1)+AFT8*(AnnualChurn*VLOOKUP(AFF44,ChurnSeasonTable,4,FALSE))*POWER(1-(AnnualChurn*VLOOKUP(AFF44,ChurnSeasonTable,4,FALSE)),2)</f>
        <v/>
      </c>
      <c r="AFY44" s="12">
        <f>AFU44+AFV44+AFW44+AFX44</f>
        <v/>
      </c>
      <c r="AFZ44" s="9">
        <f>AFU44*PriceEssMonthly*AFI44+AFV44*PricePremMonthly*AFI44+AFW44*PriceEssAnnual*AFI44/12+AFX44*PricePremAnnual*AFI44/12</f>
        <v/>
      </c>
      <c r="AGA44" s="9">
        <f>AFZ44*12</f>
        <v/>
      </c>
      <c r="AGB44" s="12">
        <f>AFU44*PriceEssMonthly*AFI44+AFV44*PricePremMonthly*AFI44</f>
        <v/>
      </c>
      <c r="AGC44" s="12">
        <f>AFS44*PriceEssAnnual*AFI44+AFT44*PricePremAnnual*AFI44</f>
        <v/>
      </c>
      <c r="AGD44" s="12">
        <f>AFS32*POWER(1-(AnnualChurn*VLOOKUP(AFF44,ChurnSeasonTable,4,FALSE)),1)*PriceEssAnnual*AFI44+AFS20*POWER(1-(AnnualChurn*VLOOKUP(AFF44,ChurnSeasonTable,4,FALSE)),2)*PriceEssAnnual*AFI44+AFS8*POWER(1-(AnnualChurn*VLOOKUP(AFF44,ChurnSeasonTable,4,FALSE)),3)*PriceEssAnnual*AFI44+AFT32*POWER(1-(AnnualChurn*VLOOKUP(AFF44,ChurnSeasonTable,4,FALSE)),1)*PricePremAnnual*AFI44+AFT20*POWER(1-(AnnualChurn*VLOOKUP(AFF44,ChurnSeasonTable,4,FALSE)),2)*PricePremAnnual*AFI44+AFT8*POWER(1-(AnnualChurn*VLOOKUP(AFF44,ChurnSeasonTable,4,FALSE)),3)*PricePremAnnual*AFI44</f>
        <v/>
      </c>
      <c r="AGE44" s="9">
        <f>AGB44+AGC44+AGD44</f>
        <v/>
      </c>
      <c r="AGF44" s="12">
        <f>SUM(AGE33:AGE44)</f>
        <v/>
      </c>
      <c r="AGG44" s="12">
        <f>OR(AGG43,AGF44&gt;=VATThreshold)</f>
        <v/>
      </c>
      <c r="AGH44" s="9">
        <f>IF(AGG44,AGE44/(1+VATRate),AGE44)</f>
        <v/>
      </c>
      <c r="AGI44" s="12">
        <f>AGE44-AGH44</f>
        <v/>
      </c>
      <c r="AGJ44" s="12">
        <f>IF(AGG44=0,0,IF(AFF44=1,SUMPRODUCT(--(($AFG$5:$AFG44=$AFG44-1)*($AFF$5:$AFF44&gt;=10)*($AFF$5:$AFF44&lt;=12)),$AGI$5:$AGI44),IF(AFF44=4,SUMPRODUCT(--(($AFG$5:$AFG44=$AFG44)*($AFF$5:$AFF44&gt;=1)*($AFF$5:$AFF44&lt;=3)),$AGI$5:$AGI44),IF(AFF44=7,SUMPRODUCT(--(($AFG$5:$AFG44=$AFG44)*($AFF$5:$AFF44&gt;=4)*($AFF$5:$AFF44&lt;=6)),$AGI$5:$AGI44),IF(AFF44=10,SUMPRODUCT(--(($AFG$5:$AFG44=$AFG44)*($AFF$5:$AFF44&gt;=7)*($AFF$5:$AFF44&lt;=9)),$AGI$5:$AGI44),0)))))</f>
        <v/>
      </c>
      <c r="AGK44" s="12">
        <f>AGK43+AGI44-AGJ44</f>
        <v/>
      </c>
      <c r="AGL44" s="12">
        <f>IF(ProviderDelay&gt;=1,AGH43*ProviderShare,AGH44*ProviderShare)</f>
        <v/>
      </c>
      <c r="AGM44" s="12">
        <f>AGE44*PaymentFee</f>
        <v/>
      </c>
      <c r="AGN44" s="12">
        <f>AFY44*OpsAI</f>
        <v/>
      </c>
      <c r="AGO44" s="12">
        <f>MonthlyFixed</f>
        <v/>
      </c>
      <c r="AGP44" s="12">
        <f>AFM44*ReferralReward</f>
        <v/>
      </c>
      <c r="AGQ44" s="12">
        <f>AFK44</f>
        <v/>
      </c>
      <c r="AGR44" s="9">
        <f>AGH44-AGL44-AGM44-AGN44-AGO44-AGP44-AGQ44</f>
        <v/>
      </c>
      <c r="AGS44" s="9">
        <f>AGS43+AGE44-(AGL44+AGM44+AGN44+AGO44+AGP44+AGQ44+AGJ44)</f>
        <v/>
      </c>
      <c r="AGT44" s="12">
        <f>IF(AFY44&gt;0,AFZ44/AFY44,0)</f>
        <v/>
      </c>
      <c r="AGU44" s="11">
        <f>IF(AFY43&gt;0,MAX(0,(AFY43+AFN44-AFY44)/AFY43),0)</f>
        <v/>
      </c>
      <c r="AGW44" s="12" t="n">
        <v>40</v>
      </c>
      <c r="AGX44" s="12">
        <f>MOD(AGW44-1+LaunchMonth-1,12)+1</f>
        <v/>
      </c>
      <c r="AGY44" s="12">
        <f>INT((AGW44-1+LaunchMonth-1)/12)+1</f>
        <v/>
      </c>
      <c r="AGZ44" s="12">
        <f>VLOOKUP(AGX44,SeasonTable,2,FALSE)</f>
        <v/>
      </c>
      <c r="AHA44" s="12">
        <f>(1+InflationRate)^INT((AGW44-1)/12)</f>
        <v/>
      </c>
      <c r="AHB44" s="11">
        <f>MonthlyChurn*VLOOKUP(AGX44,ChurnSeasonTable,4,FALSE)</f>
        <v/>
      </c>
      <c r="AHC44" s="12">
        <f>MIN(MAX(MktMin19plus,AHW43*MktPct19plus),MAX(0,AIK43-CashBuffer))</f>
        <v/>
      </c>
      <c r="AHD44" s="12">
        <f>IF(AHC44&gt;0,MAX(1,ROUND(AHC44/'Sens - CAC &amp; Marketing'!$A$10*AGZ44,0)),0)</f>
        <v/>
      </c>
      <c r="AHE44" s="12">
        <f>IF(AHD44&gt;0,ROUND(AHD44*ReferralMix/(1-ReferralMix),0),0)</f>
        <v/>
      </c>
      <c r="AHF44" s="12">
        <f>AHD44+AHE44</f>
        <v/>
      </c>
      <c r="AHG44" s="12">
        <f>ROUND(AHF44*(1-AnnualMix),0)</f>
        <v/>
      </c>
      <c r="AHH44" s="12">
        <f>AHF44-AHG44</f>
        <v/>
      </c>
      <c r="AHI44" s="12">
        <f>ROUND(AHG44*EssentialMix,0)</f>
        <v/>
      </c>
      <c r="AHJ44" s="12">
        <f>AHG44-AHI44</f>
        <v/>
      </c>
      <c r="AHK44" s="12">
        <f>ROUND(AHH44*EssentialMix,0)</f>
        <v/>
      </c>
      <c r="AHL44" s="12">
        <f>AHH44-AHK44</f>
        <v/>
      </c>
      <c r="AHM44" s="12">
        <f>AHI44+AHI43+AHI42+MAX(0,AHM43-AHI43-AHI42)*(1-AHB44)</f>
        <v/>
      </c>
      <c r="AHN44" s="12">
        <f>AHJ44+AHJ43+AHJ42+MAX(0,AHN43-AHJ43-AHJ42)*(1-AHB44)</f>
        <v/>
      </c>
      <c r="AHO44" s="12">
        <f>AHO43+AHK44-AHK32*(AnnualChurn*VLOOKUP(AGX44,ChurnSeasonTable,4,FALSE))*POWER(1-(AnnualChurn*VLOOKUP(AGX44,ChurnSeasonTable,4,FALSE)),0)+AHK20*(AnnualChurn*VLOOKUP(AGX44,ChurnSeasonTable,4,FALSE))*POWER(1-(AnnualChurn*VLOOKUP(AGX44,ChurnSeasonTable,4,FALSE)),1)+AHK8*(AnnualChurn*VLOOKUP(AGX44,ChurnSeasonTable,4,FALSE))*POWER(1-(AnnualChurn*VLOOKUP(AGX44,ChurnSeasonTable,4,FALSE)),2)</f>
        <v/>
      </c>
      <c r="AHP44" s="12">
        <f>AHP43+AHL44-AHL32*(AnnualChurn*VLOOKUP(AGX44,ChurnSeasonTable,4,FALSE))*POWER(1-(AnnualChurn*VLOOKUP(AGX44,ChurnSeasonTable,4,FALSE)),0)+AHL20*(AnnualChurn*VLOOKUP(AGX44,ChurnSeasonTable,4,FALSE))*POWER(1-(AnnualChurn*VLOOKUP(AGX44,ChurnSeasonTable,4,FALSE)),1)+AHL8*(AnnualChurn*VLOOKUP(AGX44,ChurnSeasonTable,4,FALSE))*POWER(1-(AnnualChurn*VLOOKUP(AGX44,ChurnSeasonTable,4,FALSE)),2)</f>
        <v/>
      </c>
      <c r="AHQ44" s="12">
        <f>AHM44+AHN44+AHO44+AHP44</f>
        <v/>
      </c>
      <c r="AHR44" s="9">
        <f>AHM44*PriceEssMonthly*AHA44+AHN44*PricePremMonthly*AHA44+AHO44*PriceEssAnnual*AHA44/12+AHP44*PricePremAnnual*AHA44/12</f>
        <v/>
      </c>
      <c r="AHS44" s="9">
        <f>AHR44*12</f>
        <v/>
      </c>
      <c r="AHT44" s="12">
        <f>AHM44*PriceEssMonthly*AHA44+AHN44*PricePremMonthly*AHA44</f>
        <v/>
      </c>
      <c r="AHU44" s="12">
        <f>AHK44*PriceEssAnnual*AHA44+AHL44*PricePremAnnual*AHA44</f>
        <v/>
      </c>
      <c r="AHV44" s="12">
        <f>AHK32*POWER(1-(AnnualChurn*VLOOKUP(AGX44,ChurnSeasonTable,4,FALSE)),1)*PriceEssAnnual*AHA44+AHK20*POWER(1-(AnnualChurn*VLOOKUP(AGX44,ChurnSeasonTable,4,FALSE)),2)*PriceEssAnnual*AHA44+AHK8*POWER(1-(AnnualChurn*VLOOKUP(AGX44,ChurnSeasonTable,4,FALSE)),3)*PriceEssAnnual*AHA44+AHL32*POWER(1-(AnnualChurn*VLOOKUP(AGX44,ChurnSeasonTable,4,FALSE)),1)*PricePremAnnual*AHA44+AHL20*POWER(1-(AnnualChurn*VLOOKUP(AGX44,ChurnSeasonTable,4,FALSE)),2)*PricePremAnnual*AHA44+AHL8*POWER(1-(AnnualChurn*VLOOKUP(AGX44,ChurnSeasonTable,4,FALSE)),3)*PricePremAnnual*AHA44</f>
        <v/>
      </c>
      <c r="AHW44" s="9">
        <f>AHT44+AHU44+AHV44</f>
        <v/>
      </c>
      <c r="AHX44" s="12">
        <f>SUM(AHW33:AHW44)</f>
        <v/>
      </c>
      <c r="AHY44" s="12">
        <f>OR(AHY43,AHX44&gt;=VATThreshold)</f>
        <v/>
      </c>
      <c r="AHZ44" s="9">
        <f>IF(AHY44,AHW44/(1+VATRate),AHW44)</f>
        <v/>
      </c>
      <c r="AIA44" s="12">
        <f>AHW44-AHZ44</f>
        <v/>
      </c>
      <c r="AIB44" s="12">
        <f>IF(AHY44=0,0,IF(AGX44=1,SUMPRODUCT(--(($AGY$5:$AGY44=$AGY44-1)*($AGX$5:$AGX44&gt;=10)*($AGX$5:$AGX44&lt;=12)),$AIA$5:$AIA44),IF(AGX44=4,SUMPRODUCT(--(($AGY$5:$AGY44=$AGY44)*($AGX$5:$AGX44&gt;=1)*($AGX$5:$AGX44&lt;=3)),$AIA$5:$AIA44),IF(AGX44=7,SUMPRODUCT(--(($AGY$5:$AGY44=$AGY44)*($AGX$5:$AGX44&gt;=4)*($AGX$5:$AGX44&lt;=6)),$AIA$5:$AIA44),IF(AGX44=10,SUMPRODUCT(--(($AGY$5:$AGY44=$AGY44)*($AGX$5:$AGX44&gt;=7)*($AGX$5:$AGX44&lt;=9)),$AIA$5:$AIA44),0)))))</f>
        <v/>
      </c>
      <c r="AIC44" s="12">
        <f>AIC43+AIA44-AIB44</f>
        <v/>
      </c>
      <c r="AID44" s="12">
        <f>IF(ProviderDelay&gt;=1,AHZ43*ProviderShare,AHZ44*ProviderShare)</f>
        <v/>
      </c>
      <c r="AIE44" s="12">
        <f>AHW44*PaymentFee</f>
        <v/>
      </c>
      <c r="AIF44" s="12">
        <f>AHQ44*OpsAI</f>
        <v/>
      </c>
      <c r="AIG44" s="12">
        <f>MonthlyFixed</f>
        <v/>
      </c>
      <c r="AIH44" s="12">
        <f>AHE44*ReferralReward</f>
        <v/>
      </c>
      <c r="AII44" s="12">
        <f>AHC44</f>
        <v/>
      </c>
      <c r="AIJ44" s="9">
        <f>AHZ44-AID44-AIE44-AIF44-AIG44-AIH44-AII44</f>
        <v/>
      </c>
      <c r="AIK44" s="9">
        <f>AIK43+AHW44-(AID44+AIE44+AIF44+AIG44+AIH44+AII44+AIB44)</f>
        <v/>
      </c>
      <c r="AIL44" s="12">
        <f>IF(AHQ44&gt;0,AHR44/AHQ44,0)</f>
        <v/>
      </c>
      <c r="AIM44" s="11">
        <f>IF(AHQ43&gt;0,MAX(0,(AHQ43+AHF44-AHQ44)/AHQ43),0)</f>
        <v/>
      </c>
      <c r="AIO44" s="12" t="n">
        <v>40</v>
      </c>
      <c r="AIP44" s="12">
        <f>MOD(AIO44-1+LaunchMonth-1,12)+1</f>
        <v/>
      </c>
      <c r="AIQ44" s="12">
        <f>INT((AIO44-1+LaunchMonth-1)/12)+1</f>
        <v/>
      </c>
      <c r="AIR44" s="12">
        <f>VLOOKUP(AIP44,SeasonTable,2,FALSE)</f>
        <v/>
      </c>
      <c r="AIS44" s="12">
        <f>(1+InflationRate)^INT((AIO44-1)/12)</f>
        <v/>
      </c>
      <c r="AIT44" s="11">
        <f>MonthlyChurn*VLOOKUP(AIP44,ChurnSeasonTable,4,FALSE)</f>
        <v/>
      </c>
      <c r="AIU44" s="12">
        <f>MIN(MAX(MktMin19plus,AJO43*MktPct19plus),MAX(0,AKC43-CashBuffer))</f>
        <v/>
      </c>
      <c r="AIV44" s="12">
        <f>IF(AIU44&gt;0,MAX(1,ROUND(AIU44/'Sens - CAC &amp; Marketing'!$A$11*AIR44,0)),0)</f>
        <v/>
      </c>
      <c r="AIW44" s="12">
        <f>IF(AIV44&gt;0,ROUND(AIV44*ReferralMix/(1-ReferralMix),0),0)</f>
        <v/>
      </c>
      <c r="AIX44" s="12">
        <f>AIV44+AIW44</f>
        <v/>
      </c>
      <c r="AIY44" s="12">
        <f>ROUND(AIX44*(1-AnnualMix),0)</f>
        <v/>
      </c>
      <c r="AIZ44" s="12">
        <f>AIX44-AIY44</f>
        <v/>
      </c>
      <c r="AJA44" s="12">
        <f>ROUND(AIY44*EssentialMix,0)</f>
        <v/>
      </c>
      <c r="AJB44" s="12">
        <f>AIY44-AJA44</f>
        <v/>
      </c>
      <c r="AJC44" s="12">
        <f>ROUND(AIZ44*EssentialMix,0)</f>
        <v/>
      </c>
      <c r="AJD44" s="12">
        <f>AIZ44-AJC44</f>
        <v/>
      </c>
      <c r="AJE44" s="12">
        <f>AJA44+AJA43+AJA42+MAX(0,AJE43-AJA43-AJA42)*(1-AIT44)</f>
        <v/>
      </c>
      <c r="AJF44" s="12">
        <f>AJB44+AJB43+AJB42+MAX(0,AJF43-AJB43-AJB42)*(1-AIT44)</f>
        <v/>
      </c>
      <c r="AJG44" s="12">
        <f>AJG43+AJC44-AJC32*(AnnualChurn*VLOOKUP(AIP44,ChurnSeasonTable,4,FALSE))*POWER(1-(AnnualChurn*VLOOKUP(AIP44,ChurnSeasonTable,4,FALSE)),0)+AJC20*(AnnualChurn*VLOOKUP(AIP44,ChurnSeasonTable,4,FALSE))*POWER(1-(AnnualChurn*VLOOKUP(AIP44,ChurnSeasonTable,4,FALSE)),1)+AJC8*(AnnualChurn*VLOOKUP(AIP44,ChurnSeasonTable,4,FALSE))*POWER(1-(AnnualChurn*VLOOKUP(AIP44,ChurnSeasonTable,4,FALSE)),2)</f>
        <v/>
      </c>
      <c r="AJH44" s="12">
        <f>AJH43+AJD44-AJD32*(AnnualChurn*VLOOKUP(AIP44,ChurnSeasonTable,4,FALSE))*POWER(1-(AnnualChurn*VLOOKUP(AIP44,ChurnSeasonTable,4,FALSE)),0)+AJD20*(AnnualChurn*VLOOKUP(AIP44,ChurnSeasonTable,4,FALSE))*POWER(1-(AnnualChurn*VLOOKUP(AIP44,ChurnSeasonTable,4,FALSE)),1)+AJD8*(AnnualChurn*VLOOKUP(AIP44,ChurnSeasonTable,4,FALSE))*POWER(1-(AnnualChurn*VLOOKUP(AIP44,ChurnSeasonTable,4,FALSE)),2)</f>
        <v/>
      </c>
      <c r="AJI44" s="12">
        <f>AJE44+AJF44+AJG44+AJH44</f>
        <v/>
      </c>
      <c r="AJJ44" s="9">
        <f>AJE44*PriceEssMonthly*AIS44+AJF44*PricePremMonthly*AIS44+AJG44*PriceEssAnnual*AIS44/12+AJH44*PricePremAnnual*AIS44/12</f>
        <v/>
      </c>
      <c r="AJK44" s="9">
        <f>AJJ44*12</f>
        <v/>
      </c>
      <c r="AJL44" s="12">
        <f>AJE44*PriceEssMonthly*AIS44+AJF44*PricePremMonthly*AIS44</f>
        <v/>
      </c>
      <c r="AJM44" s="12">
        <f>AJC44*PriceEssAnnual*AIS44+AJD44*PricePremAnnual*AIS44</f>
        <v/>
      </c>
      <c r="AJN44" s="12">
        <f>AJC32*POWER(1-(AnnualChurn*VLOOKUP(AIP44,ChurnSeasonTable,4,FALSE)),1)*PriceEssAnnual*AIS44+AJC20*POWER(1-(AnnualChurn*VLOOKUP(AIP44,ChurnSeasonTable,4,FALSE)),2)*PriceEssAnnual*AIS44+AJC8*POWER(1-(AnnualChurn*VLOOKUP(AIP44,ChurnSeasonTable,4,FALSE)),3)*PriceEssAnnual*AIS44+AJD32*POWER(1-(AnnualChurn*VLOOKUP(AIP44,ChurnSeasonTable,4,FALSE)),1)*PricePremAnnual*AIS44+AJD20*POWER(1-(AnnualChurn*VLOOKUP(AIP44,ChurnSeasonTable,4,FALSE)),2)*PricePremAnnual*AIS44+AJD8*POWER(1-(AnnualChurn*VLOOKUP(AIP44,ChurnSeasonTable,4,FALSE)),3)*PricePremAnnual*AIS44</f>
        <v/>
      </c>
      <c r="AJO44" s="9">
        <f>AJL44+AJM44+AJN44</f>
        <v/>
      </c>
      <c r="AJP44" s="12">
        <f>SUM(AJO33:AJO44)</f>
        <v/>
      </c>
      <c r="AJQ44" s="12">
        <f>OR(AJQ43,AJP44&gt;=VATThreshold)</f>
        <v/>
      </c>
      <c r="AJR44" s="9">
        <f>IF(AJQ44,AJO44/(1+VATRate),AJO44)</f>
        <v/>
      </c>
      <c r="AJS44" s="12">
        <f>AJO44-AJR44</f>
        <v/>
      </c>
      <c r="AJT44" s="12">
        <f>IF(AJQ44=0,0,IF(AIP44=1,SUMPRODUCT(--(($AIQ$5:$AIQ44=$AIQ44-1)*($AIP$5:$AIP44&gt;=10)*($AIP$5:$AIP44&lt;=12)),$AJS$5:$AJS44),IF(AIP44=4,SUMPRODUCT(--(($AIQ$5:$AIQ44=$AIQ44)*($AIP$5:$AIP44&gt;=1)*($AIP$5:$AIP44&lt;=3)),$AJS$5:$AJS44),IF(AIP44=7,SUMPRODUCT(--(($AIQ$5:$AIQ44=$AIQ44)*($AIP$5:$AIP44&gt;=4)*($AIP$5:$AIP44&lt;=6)),$AJS$5:$AJS44),IF(AIP44=10,SUMPRODUCT(--(($AIQ$5:$AIQ44=$AIQ44)*($AIP$5:$AIP44&gt;=7)*($AIP$5:$AIP44&lt;=9)),$AJS$5:$AJS44),0)))))</f>
        <v/>
      </c>
      <c r="AJU44" s="12">
        <f>AJU43+AJS44-AJT44</f>
        <v/>
      </c>
      <c r="AJV44" s="12">
        <f>IF(ProviderDelay&gt;=1,AJR43*ProviderShare,AJR44*ProviderShare)</f>
        <v/>
      </c>
      <c r="AJW44" s="12">
        <f>AJO44*PaymentFee</f>
        <v/>
      </c>
      <c r="AJX44" s="12">
        <f>AJI44*OpsAI</f>
        <v/>
      </c>
      <c r="AJY44" s="12">
        <f>MonthlyFixed</f>
        <v/>
      </c>
      <c r="AJZ44" s="12">
        <f>AIW44*ReferralReward</f>
        <v/>
      </c>
      <c r="AKA44" s="12">
        <f>AIU44</f>
        <v/>
      </c>
      <c r="AKB44" s="9">
        <f>AJR44-AJV44-AJW44-AJX44-AJY44-AJZ44-AKA44</f>
        <v/>
      </c>
      <c r="AKC44" s="9">
        <f>AKC43+AJO44-(AJV44+AJW44+AJX44+AJY44+AJZ44+AKA44+AJT44)</f>
        <v/>
      </c>
      <c r="AKD44" s="12">
        <f>IF(AJI44&gt;0,AJJ44/AJI44,0)</f>
        <v/>
      </c>
      <c r="AKE44" s="11">
        <f>IF(AJI43&gt;0,MAX(0,(AJI43+AIX44-AJI44)/AJI43),0)</f>
        <v/>
      </c>
      <c r="AKG44" s="12" t="n">
        <v>40</v>
      </c>
      <c r="AKH44" s="12">
        <f>MOD(AKG44-1+LaunchMonth-1,12)+1</f>
        <v/>
      </c>
      <c r="AKI44" s="12">
        <f>INT((AKG44-1+LaunchMonth-1)/12)+1</f>
        <v/>
      </c>
      <c r="AKJ44" s="12">
        <f>VLOOKUP(AKH44,SeasonTable,2,FALSE)</f>
        <v/>
      </c>
      <c r="AKK44" s="12">
        <f>(1+InflationRate)^INT((AKG44-1)/12)</f>
        <v/>
      </c>
      <c r="AKL44" s="11">
        <f>MonthlyChurn*VLOOKUP(AKH44,ChurnSeasonTable,4,FALSE)</f>
        <v/>
      </c>
      <c r="AKM44" s="12">
        <f>MIN(MAX(MktMin19plus,ALG43*MktPct19plus),MAX(0,ALU43-CashBuffer))</f>
        <v/>
      </c>
      <c r="AKN44" s="12">
        <f>IF(AKM44&gt;0,MAX(1,ROUND(AKM44/'Sens - CAC &amp; Marketing'!$A$12*AKJ44,0)),0)</f>
        <v/>
      </c>
      <c r="AKO44" s="12">
        <f>IF(AKN44&gt;0,ROUND(AKN44*ReferralMix/(1-ReferralMix),0),0)</f>
        <v/>
      </c>
      <c r="AKP44" s="12">
        <f>AKN44+AKO44</f>
        <v/>
      </c>
      <c r="AKQ44" s="12">
        <f>ROUND(AKP44*(1-AnnualMix),0)</f>
        <v/>
      </c>
      <c r="AKR44" s="12">
        <f>AKP44-AKQ44</f>
        <v/>
      </c>
      <c r="AKS44" s="12">
        <f>ROUND(AKQ44*EssentialMix,0)</f>
        <v/>
      </c>
      <c r="AKT44" s="12">
        <f>AKQ44-AKS44</f>
        <v/>
      </c>
      <c r="AKU44" s="12">
        <f>ROUND(AKR44*EssentialMix,0)</f>
        <v/>
      </c>
      <c r="AKV44" s="12">
        <f>AKR44-AKU44</f>
        <v/>
      </c>
      <c r="AKW44" s="12">
        <f>AKS44+AKS43+AKS42+MAX(0,AKW43-AKS43-AKS42)*(1-AKL44)</f>
        <v/>
      </c>
      <c r="AKX44" s="12">
        <f>AKT44+AKT43+AKT42+MAX(0,AKX43-AKT43-AKT42)*(1-AKL44)</f>
        <v/>
      </c>
      <c r="AKY44" s="12">
        <f>AKY43+AKU44-AKU32*(AnnualChurn*VLOOKUP(AKH44,ChurnSeasonTable,4,FALSE))*POWER(1-(AnnualChurn*VLOOKUP(AKH44,ChurnSeasonTable,4,FALSE)),0)+AKU20*(AnnualChurn*VLOOKUP(AKH44,ChurnSeasonTable,4,FALSE))*POWER(1-(AnnualChurn*VLOOKUP(AKH44,ChurnSeasonTable,4,FALSE)),1)+AKU8*(AnnualChurn*VLOOKUP(AKH44,ChurnSeasonTable,4,FALSE))*POWER(1-(AnnualChurn*VLOOKUP(AKH44,ChurnSeasonTable,4,FALSE)),2)</f>
        <v/>
      </c>
      <c r="AKZ44" s="12">
        <f>AKZ43+AKV44-AKV32*(AnnualChurn*VLOOKUP(AKH44,ChurnSeasonTable,4,FALSE))*POWER(1-(AnnualChurn*VLOOKUP(AKH44,ChurnSeasonTable,4,FALSE)),0)+AKV20*(AnnualChurn*VLOOKUP(AKH44,ChurnSeasonTable,4,FALSE))*POWER(1-(AnnualChurn*VLOOKUP(AKH44,ChurnSeasonTable,4,FALSE)),1)+AKV8*(AnnualChurn*VLOOKUP(AKH44,ChurnSeasonTable,4,FALSE))*POWER(1-(AnnualChurn*VLOOKUP(AKH44,ChurnSeasonTable,4,FALSE)),2)</f>
        <v/>
      </c>
      <c r="ALA44" s="12">
        <f>AKW44+AKX44+AKY44+AKZ44</f>
        <v/>
      </c>
      <c r="ALB44" s="9">
        <f>AKW44*PriceEssMonthly*AKK44+AKX44*PricePremMonthly*AKK44+AKY44*PriceEssAnnual*AKK44/12+AKZ44*PricePremAnnual*AKK44/12</f>
        <v/>
      </c>
      <c r="ALC44" s="9">
        <f>ALB44*12</f>
        <v/>
      </c>
      <c r="ALD44" s="12">
        <f>AKW44*PriceEssMonthly*AKK44+AKX44*PricePremMonthly*AKK44</f>
        <v/>
      </c>
      <c r="ALE44" s="12">
        <f>AKU44*PriceEssAnnual*AKK44+AKV44*PricePremAnnual*AKK44</f>
        <v/>
      </c>
      <c r="ALF44" s="12">
        <f>AKU32*POWER(1-(AnnualChurn*VLOOKUP(AKH44,ChurnSeasonTable,4,FALSE)),1)*PriceEssAnnual*AKK44+AKU20*POWER(1-(AnnualChurn*VLOOKUP(AKH44,ChurnSeasonTable,4,FALSE)),2)*PriceEssAnnual*AKK44+AKU8*POWER(1-(AnnualChurn*VLOOKUP(AKH44,ChurnSeasonTable,4,FALSE)),3)*PriceEssAnnual*AKK44+AKV32*POWER(1-(AnnualChurn*VLOOKUP(AKH44,ChurnSeasonTable,4,FALSE)),1)*PricePremAnnual*AKK44+AKV20*POWER(1-(AnnualChurn*VLOOKUP(AKH44,ChurnSeasonTable,4,FALSE)),2)*PricePremAnnual*AKK44+AKV8*POWER(1-(AnnualChurn*VLOOKUP(AKH44,ChurnSeasonTable,4,FALSE)),3)*PricePremAnnual*AKK44</f>
        <v/>
      </c>
      <c r="ALG44" s="9">
        <f>ALD44+ALE44+ALF44</f>
        <v/>
      </c>
      <c r="ALH44" s="12">
        <f>SUM(ALG33:ALG44)</f>
        <v/>
      </c>
      <c r="ALI44" s="12">
        <f>OR(ALI43,ALH44&gt;=VATThreshold)</f>
        <v/>
      </c>
      <c r="ALJ44" s="9">
        <f>IF(ALI44,ALG44/(1+VATRate),ALG44)</f>
        <v/>
      </c>
      <c r="ALK44" s="12">
        <f>ALG44-ALJ44</f>
        <v/>
      </c>
      <c r="ALL44" s="12">
        <f>IF(ALI44=0,0,IF(AKH44=1,SUMPRODUCT(--(($AKI$5:$AKI44=$AKI44-1)*($AKH$5:$AKH44&gt;=10)*($AKH$5:$AKH44&lt;=12)),$ALK$5:$ALK44),IF(AKH44=4,SUMPRODUCT(--(($AKI$5:$AKI44=$AKI44)*($AKH$5:$AKH44&gt;=1)*($AKH$5:$AKH44&lt;=3)),$ALK$5:$ALK44),IF(AKH44=7,SUMPRODUCT(--(($AKI$5:$AKI44=$AKI44)*($AKH$5:$AKH44&gt;=4)*($AKH$5:$AKH44&lt;=6)),$ALK$5:$ALK44),IF(AKH44=10,SUMPRODUCT(--(($AKI$5:$AKI44=$AKI44)*($AKH$5:$AKH44&gt;=7)*($AKH$5:$AKH44&lt;=9)),$ALK$5:$ALK44),0)))))</f>
        <v/>
      </c>
      <c r="ALM44" s="12">
        <f>ALM43+ALK44-ALL44</f>
        <v/>
      </c>
      <c r="ALN44" s="12">
        <f>IF(ProviderDelay&gt;=1,ALJ43*ProviderShare,ALJ44*ProviderShare)</f>
        <v/>
      </c>
      <c r="ALO44" s="12">
        <f>ALG44*PaymentFee</f>
        <v/>
      </c>
      <c r="ALP44" s="12">
        <f>ALA44*OpsAI</f>
        <v/>
      </c>
      <c r="ALQ44" s="12">
        <f>MonthlyFixed</f>
        <v/>
      </c>
      <c r="ALR44" s="12">
        <f>AKO44*ReferralReward</f>
        <v/>
      </c>
      <c r="ALS44" s="12">
        <f>AKM44</f>
        <v/>
      </c>
      <c r="ALT44" s="9">
        <f>ALJ44-ALN44-ALO44-ALP44-ALQ44-ALR44-ALS44</f>
        <v/>
      </c>
      <c r="ALU44" s="9">
        <f>ALU43+ALG44-(ALN44+ALO44+ALP44+ALQ44+ALR44+ALS44+ALL44)</f>
        <v/>
      </c>
      <c r="ALV44" s="12">
        <f>IF(ALA44&gt;0,ALB44/ALA44,0)</f>
        <v/>
      </c>
      <c r="ALW44" s="11">
        <f>IF(ALA43&gt;0,MAX(0,(ALA43+AKP44-ALA44)/ALA43),0)</f>
        <v/>
      </c>
      <c r="ALY44" s="12" t="n">
        <v>40</v>
      </c>
      <c r="ALZ44" s="12">
        <f>MOD(ALY44-1+LaunchMonth-1,12)+1</f>
        <v/>
      </c>
      <c r="AMA44" s="12">
        <f>INT((ALY44-1+LaunchMonth-1)/12)+1</f>
        <v/>
      </c>
      <c r="AMB44" s="12">
        <f>VLOOKUP(ALZ44,SeasonTable,2,FALSE)</f>
        <v/>
      </c>
      <c r="AMC44" s="12">
        <f>(1+InflationRate)^INT((ALY44-1)/12)</f>
        <v/>
      </c>
      <c r="AMD44" s="11">
        <f>MonthlyChurn*VLOOKUP(ALZ44,ChurnSeasonTable,4,FALSE)</f>
        <v/>
      </c>
      <c r="AME44" s="12">
        <f>MIN(MAX(MktMin19plus,AMY43*MktPct19plus),MAX(0,ANM43-CashBuffer))</f>
        <v/>
      </c>
      <c r="AMF44" s="12">
        <f>IF(AME44&gt;0,MAX(1,ROUND(AME44/'Sens - CAC &amp; Marketing'!$A$13*AMB44,0)),0)</f>
        <v/>
      </c>
      <c r="AMG44" s="12">
        <f>IF(AMF44&gt;0,ROUND(AMF44*ReferralMix/(1-ReferralMix),0),0)</f>
        <v/>
      </c>
      <c r="AMH44" s="12">
        <f>AMF44+AMG44</f>
        <v/>
      </c>
      <c r="AMI44" s="12">
        <f>ROUND(AMH44*(1-AnnualMix),0)</f>
        <v/>
      </c>
      <c r="AMJ44" s="12">
        <f>AMH44-AMI44</f>
        <v/>
      </c>
      <c r="AMK44" s="12">
        <f>ROUND(AMI44*EssentialMix,0)</f>
        <v/>
      </c>
      <c r="AML44" s="12">
        <f>AMI44-AMK44</f>
        <v/>
      </c>
      <c r="AMM44" s="12">
        <f>ROUND(AMJ44*EssentialMix,0)</f>
        <v/>
      </c>
      <c r="AMN44" s="12">
        <f>AMJ44-AMM44</f>
        <v/>
      </c>
      <c r="AMO44" s="12">
        <f>AMK44+AMK43+AMK42+MAX(0,AMO43-AMK43-AMK42)*(1-AMD44)</f>
        <v/>
      </c>
      <c r="AMP44" s="12">
        <f>AML44+AML43+AML42+MAX(0,AMP43-AML43-AML42)*(1-AMD44)</f>
        <v/>
      </c>
      <c r="AMQ44" s="12">
        <f>AMQ43+AMM44-AMM32*(AnnualChurn*VLOOKUP(ALZ44,ChurnSeasonTable,4,FALSE))*POWER(1-(AnnualChurn*VLOOKUP(ALZ44,ChurnSeasonTable,4,FALSE)),0)+AMM20*(AnnualChurn*VLOOKUP(ALZ44,ChurnSeasonTable,4,FALSE))*POWER(1-(AnnualChurn*VLOOKUP(ALZ44,ChurnSeasonTable,4,FALSE)),1)+AMM8*(AnnualChurn*VLOOKUP(ALZ44,ChurnSeasonTable,4,FALSE))*POWER(1-(AnnualChurn*VLOOKUP(ALZ44,ChurnSeasonTable,4,FALSE)),2)</f>
        <v/>
      </c>
      <c r="AMR44" s="12">
        <f>AMR43+AMN44-AMN32*(AnnualChurn*VLOOKUP(ALZ44,ChurnSeasonTable,4,FALSE))*POWER(1-(AnnualChurn*VLOOKUP(ALZ44,ChurnSeasonTable,4,FALSE)),0)+AMN20*(AnnualChurn*VLOOKUP(ALZ44,ChurnSeasonTable,4,FALSE))*POWER(1-(AnnualChurn*VLOOKUP(ALZ44,ChurnSeasonTable,4,FALSE)),1)+AMN8*(AnnualChurn*VLOOKUP(ALZ44,ChurnSeasonTable,4,FALSE))*POWER(1-(AnnualChurn*VLOOKUP(ALZ44,ChurnSeasonTable,4,FALSE)),2)</f>
        <v/>
      </c>
      <c r="AMS44" s="12">
        <f>AMO44+AMP44+AMQ44+AMR44</f>
        <v/>
      </c>
      <c r="AMT44" s="9">
        <f>AMO44*PriceEssMonthly*AMC44+AMP44*PricePremMonthly*AMC44+AMQ44*PriceEssAnnual*AMC44/12+AMR44*PricePremAnnual*AMC44/12</f>
        <v/>
      </c>
      <c r="AMU44" s="9">
        <f>AMT44*12</f>
        <v/>
      </c>
      <c r="AMV44" s="12">
        <f>AMO44*PriceEssMonthly*AMC44+AMP44*PricePremMonthly*AMC44</f>
        <v/>
      </c>
      <c r="AMW44" s="12">
        <f>AMM44*PriceEssAnnual*AMC44+AMN44*PricePremAnnual*AMC44</f>
        <v/>
      </c>
      <c r="AMX44" s="12">
        <f>AMM32*POWER(1-(AnnualChurn*VLOOKUP(ALZ44,ChurnSeasonTable,4,FALSE)),1)*PriceEssAnnual*AMC44+AMM20*POWER(1-(AnnualChurn*VLOOKUP(ALZ44,ChurnSeasonTable,4,FALSE)),2)*PriceEssAnnual*AMC44+AMM8*POWER(1-(AnnualChurn*VLOOKUP(ALZ44,ChurnSeasonTable,4,FALSE)),3)*PriceEssAnnual*AMC44+AMN32*POWER(1-(AnnualChurn*VLOOKUP(ALZ44,ChurnSeasonTable,4,FALSE)),1)*PricePremAnnual*AMC44+AMN20*POWER(1-(AnnualChurn*VLOOKUP(ALZ44,ChurnSeasonTable,4,FALSE)),2)*PricePremAnnual*AMC44+AMN8*POWER(1-(AnnualChurn*VLOOKUP(ALZ44,ChurnSeasonTable,4,FALSE)),3)*PricePremAnnual*AMC44</f>
        <v/>
      </c>
      <c r="AMY44" s="9">
        <f>AMV44+AMW44+AMX44</f>
        <v/>
      </c>
      <c r="AMZ44" s="12">
        <f>SUM(AMY33:AMY44)</f>
        <v/>
      </c>
      <c r="ANA44" s="12">
        <f>OR(ANA43,AMZ44&gt;=VATThreshold)</f>
        <v/>
      </c>
      <c r="ANB44" s="9">
        <f>IF(ANA44,AMY44/(1+VATRate),AMY44)</f>
        <v/>
      </c>
      <c r="ANC44" s="12">
        <f>AMY44-ANB44</f>
        <v/>
      </c>
      <c r="AND44" s="12">
        <f>IF(ANA44=0,0,IF(ALZ44=1,SUMPRODUCT(--(($AMA$5:$AMA44=$AMA44-1)*($ALZ$5:$ALZ44&gt;=10)*($ALZ$5:$ALZ44&lt;=12)),$ANC$5:$ANC44),IF(ALZ44=4,SUMPRODUCT(--(($AMA$5:$AMA44=$AMA44)*($ALZ$5:$ALZ44&gt;=1)*($ALZ$5:$ALZ44&lt;=3)),$ANC$5:$ANC44),IF(ALZ44=7,SUMPRODUCT(--(($AMA$5:$AMA44=$AMA44)*($ALZ$5:$ALZ44&gt;=4)*($ALZ$5:$ALZ44&lt;=6)),$ANC$5:$ANC44),IF(ALZ44=10,SUMPRODUCT(--(($AMA$5:$AMA44=$AMA44)*($ALZ$5:$ALZ44&gt;=7)*($ALZ$5:$ALZ44&lt;=9)),$ANC$5:$ANC44),0)))))</f>
        <v/>
      </c>
      <c r="ANE44" s="12">
        <f>ANE43+ANC44-AND44</f>
        <v/>
      </c>
      <c r="ANF44" s="12">
        <f>IF(ProviderDelay&gt;=1,ANB43*ProviderShare,ANB44*ProviderShare)</f>
        <v/>
      </c>
      <c r="ANG44" s="12">
        <f>AMY44*PaymentFee</f>
        <v/>
      </c>
      <c r="ANH44" s="12">
        <f>AMS44*OpsAI</f>
        <v/>
      </c>
      <c r="ANI44" s="12">
        <f>MonthlyFixed</f>
        <v/>
      </c>
      <c r="ANJ44" s="12">
        <f>AMG44*ReferralReward</f>
        <v/>
      </c>
      <c r="ANK44" s="12">
        <f>AME44</f>
        <v/>
      </c>
      <c r="ANL44" s="9">
        <f>ANB44-ANF44-ANG44-ANH44-ANI44-ANJ44-ANK44</f>
        <v/>
      </c>
      <c r="ANM44" s="9">
        <f>ANM43+AMY44-(ANF44+ANG44+ANH44+ANI44+ANJ44+ANK44+AND44)</f>
        <v/>
      </c>
      <c r="ANN44" s="12">
        <f>IF(AMS44&gt;0,AMT44/AMS44,0)</f>
        <v/>
      </c>
      <c r="ANO44" s="11">
        <f>IF(AMS43&gt;0,MAX(0,(AMS43+AMH44-AMS44)/AMS43),0)</f>
        <v/>
      </c>
      <c r="ANQ44" s="12" t="n">
        <v>40</v>
      </c>
      <c r="ANR44" s="12">
        <f>MOD(ANQ44-1+LaunchMonth-1,12)+1</f>
        <v/>
      </c>
      <c r="ANS44" s="12">
        <f>INT((ANQ44-1+LaunchMonth-1)/12)+1</f>
        <v/>
      </c>
      <c r="ANT44" s="12">
        <f>VLOOKUP(ANR44,SeasonTable,2,FALSE)</f>
        <v/>
      </c>
      <c r="ANU44" s="12">
        <f>(1+InflationRate)^INT((ANQ44-1)/12)</f>
        <v/>
      </c>
      <c r="ANV44" s="11">
        <f>MonthlyChurn*VLOOKUP(ANR44,ChurnSeasonTable,4,FALSE)</f>
        <v/>
      </c>
      <c r="ANW44" s="12">
        <f>MIN(MAX(MktMin19plus,AOQ43*MktPct19plus),MAX(0,APE43-CashBuffer))</f>
        <v/>
      </c>
      <c r="ANX44" s="12">
        <f>IF(ANW44&gt;0,MAX(1,ROUND(ANW44/'Sens - CAC &amp; Marketing'!$A$14*ANT44,0)),0)</f>
        <v/>
      </c>
      <c r="ANY44" s="12">
        <f>IF(ANX44&gt;0,ROUND(ANX44*ReferralMix/(1-ReferralMix),0),0)</f>
        <v/>
      </c>
      <c r="ANZ44" s="12">
        <f>ANX44+ANY44</f>
        <v/>
      </c>
      <c r="AOA44" s="12">
        <f>ROUND(ANZ44*(1-AnnualMix),0)</f>
        <v/>
      </c>
      <c r="AOB44" s="12">
        <f>ANZ44-AOA44</f>
        <v/>
      </c>
      <c r="AOC44" s="12">
        <f>ROUND(AOA44*EssentialMix,0)</f>
        <v/>
      </c>
      <c r="AOD44" s="12">
        <f>AOA44-AOC44</f>
        <v/>
      </c>
      <c r="AOE44" s="12">
        <f>ROUND(AOB44*EssentialMix,0)</f>
        <v/>
      </c>
      <c r="AOF44" s="12">
        <f>AOB44-AOE44</f>
        <v/>
      </c>
      <c r="AOG44" s="12">
        <f>AOC44+AOC43+AOC42+MAX(0,AOG43-AOC43-AOC42)*(1-ANV44)</f>
        <v/>
      </c>
      <c r="AOH44" s="12">
        <f>AOD44+AOD43+AOD42+MAX(0,AOH43-AOD43-AOD42)*(1-ANV44)</f>
        <v/>
      </c>
      <c r="AOI44" s="12">
        <f>AOI43+AOE44-AOE32*(AnnualChurn*VLOOKUP(ANR44,ChurnSeasonTable,4,FALSE))*POWER(1-(AnnualChurn*VLOOKUP(ANR44,ChurnSeasonTable,4,FALSE)),0)+AOE20*(AnnualChurn*VLOOKUP(ANR44,ChurnSeasonTable,4,FALSE))*POWER(1-(AnnualChurn*VLOOKUP(ANR44,ChurnSeasonTable,4,FALSE)),1)+AOE8*(AnnualChurn*VLOOKUP(ANR44,ChurnSeasonTable,4,FALSE))*POWER(1-(AnnualChurn*VLOOKUP(ANR44,ChurnSeasonTable,4,FALSE)),2)</f>
        <v/>
      </c>
      <c r="AOJ44" s="12">
        <f>AOJ43+AOF44-AOF32*(AnnualChurn*VLOOKUP(ANR44,ChurnSeasonTable,4,FALSE))*POWER(1-(AnnualChurn*VLOOKUP(ANR44,ChurnSeasonTable,4,FALSE)),0)+AOF20*(AnnualChurn*VLOOKUP(ANR44,ChurnSeasonTable,4,FALSE))*POWER(1-(AnnualChurn*VLOOKUP(ANR44,ChurnSeasonTable,4,FALSE)),1)+AOF8*(AnnualChurn*VLOOKUP(ANR44,ChurnSeasonTable,4,FALSE))*POWER(1-(AnnualChurn*VLOOKUP(ANR44,ChurnSeasonTable,4,FALSE)),2)</f>
        <v/>
      </c>
      <c r="AOK44" s="12">
        <f>AOG44+AOH44+AOI44+AOJ44</f>
        <v/>
      </c>
      <c r="AOL44" s="9">
        <f>AOG44*PriceEssMonthly*ANU44+AOH44*PricePremMonthly*ANU44+AOI44*PriceEssAnnual*ANU44/12+AOJ44*PricePremAnnual*ANU44/12</f>
        <v/>
      </c>
      <c r="AOM44" s="9">
        <f>AOL44*12</f>
        <v/>
      </c>
      <c r="AON44" s="12">
        <f>AOG44*PriceEssMonthly*ANU44+AOH44*PricePremMonthly*ANU44</f>
        <v/>
      </c>
      <c r="AOO44" s="12">
        <f>AOE44*PriceEssAnnual*ANU44+AOF44*PricePremAnnual*ANU44</f>
        <v/>
      </c>
      <c r="AOP44" s="12">
        <f>AOE32*POWER(1-(AnnualChurn*VLOOKUP(ANR44,ChurnSeasonTable,4,FALSE)),1)*PriceEssAnnual*ANU44+AOE20*POWER(1-(AnnualChurn*VLOOKUP(ANR44,ChurnSeasonTable,4,FALSE)),2)*PriceEssAnnual*ANU44+AOE8*POWER(1-(AnnualChurn*VLOOKUP(ANR44,ChurnSeasonTable,4,FALSE)),3)*PriceEssAnnual*ANU44+AOF32*POWER(1-(AnnualChurn*VLOOKUP(ANR44,ChurnSeasonTable,4,FALSE)),1)*PricePremAnnual*ANU44+AOF20*POWER(1-(AnnualChurn*VLOOKUP(ANR44,ChurnSeasonTable,4,FALSE)),2)*PricePremAnnual*ANU44+AOF8*POWER(1-(AnnualChurn*VLOOKUP(ANR44,ChurnSeasonTable,4,FALSE)),3)*PricePremAnnual*ANU44</f>
        <v/>
      </c>
      <c r="AOQ44" s="9">
        <f>AON44+AOO44+AOP44</f>
        <v/>
      </c>
      <c r="AOR44" s="12">
        <f>SUM(AOQ33:AOQ44)</f>
        <v/>
      </c>
      <c r="AOS44" s="12">
        <f>OR(AOS43,AOR44&gt;=VATThreshold)</f>
        <v/>
      </c>
      <c r="AOT44" s="9">
        <f>IF(AOS44,AOQ44/(1+VATRate),AOQ44)</f>
        <v/>
      </c>
      <c r="AOU44" s="12">
        <f>AOQ44-AOT44</f>
        <v/>
      </c>
      <c r="AOV44" s="12">
        <f>IF(AOS44=0,0,IF(ANR44=1,SUMPRODUCT(--(($ANS$5:$ANS44=$ANS44-1)*($ANR$5:$ANR44&gt;=10)*($ANR$5:$ANR44&lt;=12)),$AOU$5:$AOU44),IF(ANR44=4,SUMPRODUCT(--(($ANS$5:$ANS44=$ANS44)*($ANR$5:$ANR44&gt;=1)*($ANR$5:$ANR44&lt;=3)),$AOU$5:$AOU44),IF(ANR44=7,SUMPRODUCT(--(($ANS$5:$ANS44=$ANS44)*($ANR$5:$ANR44&gt;=4)*($ANR$5:$ANR44&lt;=6)),$AOU$5:$AOU44),IF(ANR44=10,SUMPRODUCT(--(($ANS$5:$ANS44=$ANS44)*($ANR$5:$ANR44&gt;=7)*($ANR$5:$ANR44&lt;=9)),$AOU$5:$AOU44),0)))))</f>
        <v/>
      </c>
      <c r="AOW44" s="12">
        <f>AOW43+AOU44-AOV44</f>
        <v/>
      </c>
      <c r="AOX44" s="12">
        <f>IF(ProviderDelay&gt;=1,AOT43*ProviderShare,AOT44*ProviderShare)</f>
        <v/>
      </c>
      <c r="AOY44" s="12">
        <f>AOQ44*PaymentFee</f>
        <v/>
      </c>
      <c r="AOZ44" s="12">
        <f>AOK44*OpsAI</f>
        <v/>
      </c>
      <c r="APA44" s="12">
        <f>MonthlyFixed</f>
        <v/>
      </c>
      <c r="APB44" s="12">
        <f>ANY44*ReferralReward</f>
        <v/>
      </c>
      <c r="APC44" s="12">
        <f>ANW44</f>
        <v/>
      </c>
      <c r="APD44" s="9">
        <f>AOT44-AOX44-AOY44-AOZ44-APA44-APB44-APC44</f>
        <v/>
      </c>
      <c r="APE44" s="9">
        <f>APE43+AOQ44-(AOX44+AOY44+AOZ44+APA44+APB44+APC44+AOV44)</f>
        <v/>
      </c>
      <c r="APF44" s="12">
        <f>IF(AOK44&gt;0,AOL44/AOK44,0)</f>
        <v/>
      </c>
      <c r="APG44" s="11">
        <f>IF(AOK43&gt;0,MAX(0,(AOK43+ANZ44-AOK44)/AOK43),0)</f>
        <v/>
      </c>
      <c r="API44" s="12" t="n">
        <v>40</v>
      </c>
      <c r="APJ44" s="12">
        <f>MOD(API44-1+LaunchMonth-1,12)+1</f>
        <v/>
      </c>
      <c r="APK44" s="12">
        <f>INT((API44-1+LaunchMonth-1)/12)+1</f>
        <v/>
      </c>
      <c r="APL44" s="12">
        <f>VLOOKUP(APJ44,SeasonTable,2,FALSE)</f>
        <v/>
      </c>
      <c r="APM44" s="12">
        <f>(1+InflationRate)^INT((API44-1)/12)</f>
        <v/>
      </c>
      <c r="APN44" s="11">
        <f>MonthlyChurn*VLOOKUP(APJ44,ChurnSeasonTable,4,FALSE)</f>
        <v/>
      </c>
      <c r="APO44" s="12">
        <f>MIN(MAX(MktMin19plus,AQI43*MktPct19plus),MAX(0,AQW43-CashBuffer))</f>
        <v/>
      </c>
      <c r="APP44" s="12">
        <f>IF(APO44&gt;0,MAX(1,ROUND(APO44/'Sens - CAC &amp; Marketing'!$A$15*APL44,0)),0)</f>
        <v/>
      </c>
      <c r="APQ44" s="12">
        <f>IF(APP44&gt;0,ROUND(APP44*ReferralMix/(1-ReferralMix),0),0)</f>
        <v/>
      </c>
      <c r="APR44" s="12">
        <f>APP44+APQ44</f>
        <v/>
      </c>
      <c r="APS44" s="12">
        <f>ROUND(APR44*(1-AnnualMix),0)</f>
        <v/>
      </c>
      <c r="APT44" s="12">
        <f>APR44-APS44</f>
        <v/>
      </c>
      <c r="APU44" s="12">
        <f>ROUND(APS44*EssentialMix,0)</f>
        <v/>
      </c>
      <c r="APV44" s="12">
        <f>APS44-APU44</f>
        <v/>
      </c>
      <c r="APW44" s="12">
        <f>ROUND(APT44*EssentialMix,0)</f>
        <v/>
      </c>
      <c r="APX44" s="12">
        <f>APT44-APW44</f>
        <v/>
      </c>
      <c r="APY44" s="12">
        <f>APU44+APU43+APU42+MAX(0,APY43-APU43-APU42)*(1-APN44)</f>
        <v/>
      </c>
      <c r="APZ44" s="12">
        <f>APV44+APV43+APV42+MAX(0,APZ43-APV43-APV42)*(1-APN44)</f>
        <v/>
      </c>
      <c r="AQA44" s="12">
        <f>AQA43+APW44-APW32*(AnnualChurn*VLOOKUP(APJ44,ChurnSeasonTable,4,FALSE))*POWER(1-(AnnualChurn*VLOOKUP(APJ44,ChurnSeasonTable,4,FALSE)),0)+APW20*(AnnualChurn*VLOOKUP(APJ44,ChurnSeasonTable,4,FALSE))*POWER(1-(AnnualChurn*VLOOKUP(APJ44,ChurnSeasonTable,4,FALSE)),1)+APW8*(AnnualChurn*VLOOKUP(APJ44,ChurnSeasonTable,4,FALSE))*POWER(1-(AnnualChurn*VLOOKUP(APJ44,ChurnSeasonTable,4,FALSE)),2)</f>
        <v/>
      </c>
      <c r="AQB44" s="12">
        <f>AQB43+APX44-APX32*(AnnualChurn*VLOOKUP(APJ44,ChurnSeasonTable,4,FALSE))*POWER(1-(AnnualChurn*VLOOKUP(APJ44,ChurnSeasonTable,4,FALSE)),0)+APX20*(AnnualChurn*VLOOKUP(APJ44,ChurnSeasonTable,4,FALSE))*POWER(1-(AnnualChurn*VLOOKUP(APJ44,ChurnSeasonTable,4,FALSE)),1)+APX8*(AnnualChurn*VLOOKUP(APJ44,ChurnSeasonTable,4,FALSE))*POWER(1-(AnnualChurn*VLOOKUP(APJ44,ChurnSeasonTable,4,FALSE)),2)</f>
        <v/>
      </c>
      <c r="AQC44" s="12">
        <f>APY44+APZ44+AQA44+AQB44</f>
        <v/>
      </c>
      <c r="AQD44" s="9">
        <f>APY44*PriceEssMonthly*APM44+APZ44*PricePremMonthly*APM44+AQA44*PriceEssAnnual*APM44/12+AQB44*PricePremAnnual*APM44/12</f>
        <v/>
      </c>
      <c r="AQE44" s="9">
        <f>AQD44*12</f>
        <v/>
      </c>
      <c r="AQF44" s="12">
        <f>APY44*PriceEssMonthly*APM44+APZ44*PricePremMonthly*APM44</f>
        <v/>
      </c>
      <c r="AQG44" s="12">
        <f>APW44*PriceEssAnnual*APM44+APX44*PricePremAnnual*APM44</f>
        <v/>
      </c>
      <c r="AQH44" s="12">
        <f>APW32*POWER(1-(AnnualChurn*VLOOKUP(APJ44,ChurnSeasonTable,4,FALSE)),1)*PriceEssAnnual*APM44+APW20*POWER(1-(AnnualChurn*VLOOKUP(APJ44,ChurnSeasonTable,4,FALSE)),2)*PriceEssAnnual*APM44+APW8*POWER(1-(AnnualChurn*VLOOKUP(APJ44,ChurnSeasonTable,4,FALSE)),3)*PriceEssAnnual*APM44+APX32*POWER(1-(AnnualChurn*VLOOKUP(APJ44,ChurnSeasonTable,4,FALSE)),1)*PricePremAnnual*APM44+APX20*POWER(1-(AnnualChurn*VLOOKUP(APJ44,ChurnSeasonTable,4,FALSE)),2)*PricePremAnnual*APM44+APX8*POWER(1-(AnnualChurn*VLOOKUP(APJ44,ChurnSeasonTable,4,FALSE)),3)*PricePremAnnual*APM44</f>
        <v/>
      </c>
      <c r="AQI44" s="9">
        <f>AQF44+AQG44+AQH44</f>
        <v/>
      </c>
      <c r="AQJ44" s="12">
        <f>SUM(AQI33:AQI44)</f>
        <v/>
      </c>
      <c r="AQK44" s="12">
        <f>OR(AQK43,AQJ44&gt;=VATThreshold)</f>
        <v/>
      </c>
      <c r="AQL44" s="9">
        <f>IF(AQK44,AQI44/(1+VATRate),AQI44)</f>
        <v/>
      </c>
      <c r="AQM44" s="12">
        <f>AQI44-AQL44</f>
        <v/>
      </c>
      <c r="AQN44" s="12">
        <f>IF(AQK44=0,0,IF(APJ44=1,SUMPRODUCT(--(($APK$5:$APK44=$APK44-1)*($APJ$5:$APJ44&gt;=10)*($APJ$5:$APJ44&lt;=12)),$AQM$5:$AQM44),IF(APJ44=4,SUMPRODUCT(--(($APK$5:$APK44=$APK44)*($APJ$5:$APJ44&gt;=1)*($APJ$5:$APJ44&lt;=3)),$AQM$5:$AQM44),IF(APJ44=7,SUMPRODUCT(--(($APK$5:$APK44=$APK44)*($APJ$5:$APJ44&gt;=4)*($APJ$5:$APJ44&lt;=6)),$AQM$5:$AQM44),IF(APJ44=10,SUMPRODUCT(--(($APK$5:$APK44=$APK44)*($APJ$5:$APJ44&gt;=7)*($APJ$5:$APJ44&lt;=9)),$AQM$5:$AQM44),0)))))</f>
        <v/>
      </c>
      <c r="AQO44" s="12">
        <f>AQO43+AQM44-AQN44</f>
        <v/>
      </c>
      <c r="AQP44" s="12">
        <f>IF(ProviderDelay&gt;=1,AQL43*ProviderShare,AQL44*ProviderShare)</f>
        <v/>
      </c>
      <c r="AQQ44" s="12">
        <f>AQI44*PaymentFee</f>
        <v/>
      </c>
      <c r="AQR44" s="12">
        <f>AQC44*OpsAI</f>
        <v/>
      </c>
      <c r="AQS44" s="12">
        <f>MonthlyFixed</f>
        <v/>
      </c>
      <c r="AQT44" s="12">
        <f>APQ44*ReferralReward</f>
        <v/>
      </c>
      <c r="AQU44" s="12">
        <f>APO44</f>
        <v/>
      </c>
      <c r="AQV44" s="9">
        <f>AQL44-AQP44-AQQ44-AQR44-AQS44-AQT44-AQU44</f>
        <v/>
      </c>
      <c r="AQW44" s="9">
        <f>AQW43+AQI44-(AQP44+AQQ44+AQR44+AQS44+AQT44+AQU44+AQN44)</f>
        <v/>
      </c>
      <c r="AQX44" s="12">
        <f>IF(AQC44&gt;0,AQD44/AQC44,0)</f>
        <v/>
      </c>
      <c r="AQY44" s="11">
        <f>IF(AQC43&gt;0,MAX(0,(AQC43+APR44-AQC44)/AQC43),0)</f>
        <v/>
      </c>
      <c r="ARA44" s="12" t="n">
        <v>40</v>
      </c>
      <c r="ARB44" s="12">
        <f>MOD(ARA44-1+LaunchMonth-1,12)+1</f>
        <v/>
      </c>
      <c r="ARC44" s="12">
        <f>INT((ARA44-1+LaunchMonth-1)/12)+1</f>
        <v/>
      </c>
      <c r="ARD44" s="12">
        <f>VLOOKUP(ARB44,WinterPivotSeasonTable,5,FALSE)</f>
        <v/>
      </c>
      <c r="ARE44" s="12">
        <f>(1+InflationRate)^INT((ARA44-1)/12)</f>
        <v/>
      </c>
      <c r="ARF44" s="11">
        <f>MonthlyChurn*VLOOKUP(ARB44,WinterPivotChurnTable,6,FALSE)</f>
        <v/>
      </c>
      <c r="ARG44" s="12">
        <f>MIN(MAX(MktMin19plus,ASA43*MktPct19plus),MAX(0,ASO43-CashBuffer))</f>
        <v/>
      </c>
      <c r="ARH44" s="12">
        <f>IF(ARG44&gt;0,MAX(1,ROUND(ARG44/CAC*ARD44,0)),0)</f>
        <v/>
      </c>
      <c r="ARI44" s="12">
        <f>IF(ARH44&gt;0,ROUND(ARH44*ReferralMix/(1-ReferralMix),0),0)</f>
        <v/>
      </c>
      <c r="ARJ44" s="12">
        <f>ARH44+ARI44</f>
        <v/>
      </c>
      <c r="ARK44" s="12">
        <f>ROUND(ARJ44*(1-AnnualMix),0)</f>
        <v/>
      </c>
      <c r="ARL44" s="12">
        <f>ARJ44-ARK44</f>
        <v/>
      </c>
      <c r="ARM44" s="12">
        <f>ROUND(ARK44*'Sens - Winter Pivot'!$B$6,0)</f>
        <v/>
      </c>
      <c r="ARN44" s="12">
        <f>ARK44-ARM44</f>
        <v/>
      </c>
      <c r="ARO44" s="12">
        <f>ROUND(ARL44*'Sens - Winter Pivot'!$B$6,0)</f>
        <v/>
      </c>
      <c r="ARP44" s="12">
        <f>ARL44-ARO44</f>
        <v/>
      </c>
      <c r="ARQ44" s="12">
        <f>ARM44+ARM43+ARM42+MAX(0,ARQ43-ARM43-ARM42)*(1-ARF44)</f>
        <v/>
      </c>
      <c r="ARR44" s="12">
        <f>ARN44+ARN43+ARN42+MAX(0,ARR43-ARN43-ARN42)*(1-ARF44)</f>
        <v/>
      </c>
      <c r="ARS44" s="12">
        <f>ARS43+ARO44-ARO32*(AnnualChurn*VLOOKUP(ARB44,WinterPivotChurnTable,6,FALSE))*POWER(1-(AnnualChurn*VLOOKUP(ARB44,WinterPivotChurnTable,6,FALSE)),0)+ARO20*(AnnualChurn*VLOOKUP(ARB44,WinterPivotChurnTable,6,FALSE))*POWER(1-(AnnualChurn*VLOOKUP(ARB44,WinterPivotChurnTable,6,FALSE)),1)+ARO8*(AnnualChurn*VLOOKUP(ARB44,WinterPivotChurnTable,6,FALSE))*POWER(1-(AnnualChurn*VLOOKUP(ARB44,WinterPivotChurnTable,6,FALSE)),2)</f>
        <v/>
      </c>
      <c r="ART44" s="12">
        <f>ART43+ARP44-ARP32*(AnnualChurn*VLOOKUP(ARB44,WinterPivotChurnTable,6,FALSE))*POWER(1-(AnnualChurn*VLOOKUP(ARB44,WinterPivotChurnTable,6,FALSE)),0)+ARP20*(AnnualChurn*VLOOKUP(ARB44,WinterPivotChurnTable,6,FALSE))*POWER(1-(AnnualChurn*VLOOKUP(ARB44,WinterPivotChurnTable,6,FALSE)),1)+ARP8*(AnnualChurn*VLOOKUP(ARB44,WinterPivotChurnTable,6,FALSE))*POWER(1-(AnnualChurn*VLOOKUP(ARB44,WinterPivotChurnTable,6,FALSE)),2)</f>
        <v/>
      </c>
      <c r="ARU44" s="12">
        <f>ARQ44+ARR44+ARS44+ART44</f>
        <v/>
      </c>
      <c r="ARV44" s="9">
        <f>ARQ44*PriceEssMonthly*ARE44+ARR44*(PricePremMonthly+'Sens - Winter Pivot'!$B$7)*ARE44+ARS44*PriceEssAnnual*ARE44/12+ART44*(PricePremAnnual+'Sens - Winter Pivot'!$B$7*12)*ARE44/12</f>
        <v/>
      </c>
      <c r="ARW44" s="9">
        <f>ARV44*12</f>
        <v/>
      </c>
      <c r="ARX44" s="12">
        <f>ARQ44*PriceEssMonthly*ARE44+ARR44*(PricePremMonthly+'Sens - Winter Pivot'!$B$7)*ARE44</f>
        <v/>
      </c>
      <c r="ARY44" s="12">
        <f>ARO44*PriceEssAnnual*ARE44+ARP44*(PricePremAnnual+'Sens - Winter Pivot'!$B$7*12)*ARE44</f>
        <v/>
      </c>
      <c r="ARZ44" s="12">
        <f>ARO32*POWER(1-(AnnualChurn*VLOOKUP(ARB44,WinterPivotChurnTable,6,FALSE)),1)*PriceEssAnnual*ARE44+ARO20*POWER(1-(AnnualChurn*VLOOKUP(ARB44,WinterPivotChurnTable,6,FALSE)),2)*PriceEssAnnual*ARE44+ARO8*POWER(1-(AnnualChurn*VLOOKUP(ARB44,WinterPivotChurnTable,6,FALSE)),3)*PriceEssAnnual*ARE44+ARP32*POWER(1-(AnnualChurn*VLOOKUP(ARB44,WinterPivotChurnTable,6,FALSE)),1)*PricePremAnnual*ARE44+ARP20*POWER(1-(AnnualChurn*VLOOKUP(ARB44,WinterPivotChurnTable,6,FALSE)),2)*PricePremAnnual*ARE44+ARP8*POWER(1-(AnnualChurn*VLOOKUP(ARB44,WinterPivotChurnTable,6,FALSE)),3)*PricePremAnnual*ARE44</f>
        <v/>
      </c>
      <c r="ASA44" s="9">
        <f>ARX44+ARY44+ARZ44</f>
        <v/>
      </c>
      <c r="ASB44" s="12">
        <f>SUM(ASA33:ASA44)</f>
        <v/>
      </c>
      <c r="ASC44" s="12">
        <f>OR(ASC43,ASB44&gt;=VATThreshold)</f>
        <v/>
      </c>
      <c r="ASD44" s="9">
        <f>IF(ASC44,ASA44/(1+VATRate),ASA44)</f>
        <v/>
      </c>
      <c r="ASE44" s="12">
        <f>ASA44-ASD44</f>
        <v/>
      </c>
      <c r="ASF44" s="12">
        <f>IF(ASC44=0,0,IF(ARB44=1,SUMPRODUCT(--(($ARC$5:$ARC44=$ARC44-1)*($ARB$5:$ARB44&gt;=10)*($ARB$5:$ARB44&lt;=12)),$ASE$5:$ASE44),IF(ARB44=4,SUMPRODUCT(--(($ARC$5:$ARC44=$ARC44)*($ARB$5:$ARB44&gt;=1)*($ARB$5:$ARB44&lt;=3)),$ASE$5:$ASE44),IF(ARB44=7,SUMPRODUCT(--(($ARC$5:$ARC44=$ARC44)*($ARB$5:$ARB44&gt;=4)*($ARB$5:$ARB44&lt;=6)),$ASE$5:$ASE44),IF(ARB44=10,SUMPRODUCT(--(($ARC$5:$ARC44=$ARC44)*($ARB$5:$ARB44&gt;=7)*($ARB$5:$ARB44&lt;=9)),$ASE$5:$ASE44),0)))))</f>
        <v/>
      </c>
      <c r="ASG44" s="12">
        <f>ASG43+ASE44-ASF44</f>
        <v/>
      </c>
      <c r="ASH44" s="12">
        <f>IF(ProviderDelay&gt;=1,ASD43*ProviderShare,ASD44*ProviderShare)</f>
        <v/>
      </c>
      <c r="ASI44" s="12">
        <f>ASA44*PaymentFee</f>
        <v/>
      </c>
      <c r="ASJ44" s="12">
        <f>ARU44*OpsAI</f>
        <v/>
      </c>
      <c r="ASK44" s="12">
        <f>MonthlyFixed</f>
        <v/>
      </c>
      <c r="ASL44" s="12">
        <f>ARI44*ReferralReward</f>
        <v/>
      </c>
      <c r="ASM44" s="12">
        <f>ARG44</f>
        <v/>
      </c>
      <c r="ASN44" s="9">
        <f>ASD44-ASH44-ASI44-ASJ44-ASK44-ASL44-ASM44</f>
        <v/>
      </c>
      <c r="ASO44" s="9">
        <f>ASO43+ASA44-(ASH44+ASI44+ASJ44+ASK44+ASL44+ASM44+ASF44)</f>
        <v/>
      </c>
      <c r="ASP44" s="12">
        <f>IF(ARU44&gt;0,ARV44/ARU44,0)</f>
        <v/>
      </c>
      <c r="ASQ44" s="11">
        <f>IF(ARU43&gt;0,MAX(0,(ARU43+ARJ44-ARU44)/ARU43),0)</f>
        <v/>
      </c>
    </row>
    <row r="45">
      <c r="A45" s="12" t="n">
        <v>41</v>
      </c>
      <c r="B45" s="12">
        <f>MOD(A45-1+LaunchMonth-1,12)+1</f>
        <v/>
      </c>
      <c r="C45" s="12">
        <f>INT((A45-1+LaunchMonth-1)/12)+1</f>
        <v/>
      </c>
      <c r="D45" s="12">
        <f>VLOOKUP(B45,SeasonTable,2,FALSE)</f>
        <v/>
      </c>
      <c r="E45" s="12">
        <f>(1+InflationRate)^INT((A45-1)/12)</f>
        <v/>
      </c>
      <c r="F45" s="11">
        <f>'Sens - Scenarios'!$B$5*VLOOKUP(B45,ChurnSeasonTable,4,FALSE)</f>
        <v/>
      </c>
      <c r="G45" s="12">
        <f>MIN(MAX(MktMin19plus,AA44*MktPct19plus),MAX(0,AO44-CashBuffer))</f>
        <v/>
      </c>
      <c r="H45" s="12">
        <f>IF(G45&gt;0,MAX(1,ROUND(G45/'Sens - Scenarios'!$B$8*D45,0)),0)</f>
        <v/>
      </c>
      <c r="I45" s="12">
        <f>IF(H45&gt;0,ROUND(H45*ReferralMix/(1-ReferralMix),0),0)</f>
        <v/>
      </c>
      <c r="J45" s="12">
        <f>H45+I45</f>
        <v/>
      </c>
      <c r="K45" s="12">
        <f>ROUND(J45*(1-'Sens - Scenarios'!$B$7),0)</f>
        <v/>
      </c>
      <c r="L45" s="12">
        <f>J45-K45</f>
        <v/>
      </c>
      <c r="M45" s="12">
        <f>ROUND(K45*EssentialMix,0)</f>
        <v/>
      </c>
      <c r="N45" s="12">
        <f>K45-M45</f>
        <v/>
      </c>
      <c r="O45" s="12">
        <f>ROUND(L45*EssentialMix,0)</f>
        <v/>
      </c>
      <c r="P45" s="12">
        <f>L45-O45</f>
        <v/>
      </c>
      <c r="Q45" s="12">
        <f>M45+M44+M43+MAX(0,Q44-M44-M43)*(1-F45)</f>
        <v/>
      </c>
      <c r="R45" s="12">
        <f>N45+N44+N43+MAX(0,R44-N44-N43)*(1-F45)</f>
        <v/>
      </c>
      <c r="S45" s="12">
        <f>S44+O45-O33*('Sens - Scenarios'!$B$6*VLOOKUP(B45,ChurnSeasonTable,4,FALSE))*POWER(1-('Sens - Scenarios'!$B$6*VLOOKUP(B45,ChurnSeasonTable,4,FALSE)),0)+O21*('Sens - Scenarios'!$B$6*VLOOKUP(B45,ChurnSeasonTable,4,FALSE))*POWER(1-('Sens - Scenarios'!$B$6*VLOOKUP(B45,ChurnSeasonTable,4,FALSE)),1)+O9*('Sens - Scenarios'!$B$6*VLOOKUP(B45,ChurnSeasonTable,4,FALSE))*POWER(1-('Sens - Scenarios'!$B$6*VLOOKUP(B45,ChurnSeasonTable,4,FALSE)),2)</f>
        <v/>
      </c>
      <c r="T45" s="12">
        <f>T44+P45-P33*('Sens - Scenarios'!$B$6*VLOOKUP(B45,ChurnSeasonTable,4,FALSE))*POWER(1-('Sens - Scenarios'!$B$6*VLOOKUP(B45,ChurnSeasonTable,4,FALSE)),0)+P21*('Sens - Scenarios'!$B$6*VLOOKUP(B45,ChurnSeasonTable,4,FALSE))*POWER(1-('Sens - Scenarios'!$B$6*VLOOKUP(B45,ChurnSeasonTable,4,FALSE)),1)+P9*('Sens - Scenarios'!$B$6*VLOOKUP(B45,ChurnSeasonTable,4,FALSE))*POWER(1-('Sens - Scenarios'!$B$6*VLOOKUP(B45,ChurnSeasonTable,4,FALSE)),2)</f>
        <v/>
      </c>
      <c r="U45" s="12">
        <f>Q45+R45+S45+T45</f>
        <v/>
      </c>
      <c r="V45" s="9">
        <f>Q45*PriceEssMonthly*E45+R45*PricePremMonthly*E45+S45*PriceEssAnnual*E45/12+T45*PricePremAnnual*E45/12</f>
        <v/>
      </c>
      <c r="W45" s="9">
        <f>V45*12</f>
        <v/>
      </c>
      <c r="X45" s="12">
        <f>Q45*PriceEssMonthly*E45+R45*PricePremMonthly*E45</f>
        <v/>
      </c>
      <c r="Y45" s="12">
        <f>O45*PriceEssAnnual*E45+P45*PricePremAnnual*E45</f>
        <v/>
      </c>
      <c r="Z45" s="12">
        <f>O33*POWER(1-('Sens - Scenarios'!$B$6*VLOOKUP(B45,ChurnSeasonTable,4,FALSE)),1)*PriceEssAnnual*E45+O21*POWER(1-('Sens - Scenarios'!$B$6*VLOOKUP(B45,ChurnSeasonTable,4,FALSE)),2)*PriceEssAnnual*E45+O9*POWER(1-('Sens - Scenarios'!$B$6*VLOOKUP(B45,ChurnSeasonTable,4,FALSE)),3)*PriceEssAnnual*E45+P33*POWER(1-('Sens - Scenarios'!$B$6*VLOOKUP(B45,ChurnSeasonTable,4,FALSE)),1)*PricePremAnnual*E45+P21*POWER(1-('Sens - Scenarios'!$B$6*VLOOKUP(B45,ChurnSeasonTable,4,FALSE)),2)*PricePremAnnual*E45+P9*POWER(1-('Sens - Scenarios'!$B$6*VLOOKUP(B45,ChurnSeasonTable,4,FALSE)),3)*PricePremAnnual*E45</f>
        <v/>
      </c>
      <c r="AA45" s="9">
        <f>X45+Y45+Z45</f>
        <v/>
      </c>
      <c r="AB45" s="12">
        <f>SUM(AA34:AA45)</f>
        <v/>
      </c>
      <c r="AC45" s="12">
        <f>OR(AC44,AB45&gt;=VATThreshold)</f>
        <v/>
      </c>
      <c r="AD45" s="9">
        <f>IF(AC45,AA45/(1+VATRate),AA45)</f>
        <v/>
      </c>
      <c r="AE45" s="12">
        <f>AA45-AD45</f>
        <v/>
      </c>
      <c r="AF45" s="12">
        <f>IF(AC45=0,0,IF(B45=1,SUMPRODUCT(--(($C$5:$C45=$C45-1)*($B$5:$B45&gt;=10)*($B$5:$B45&lt;=12)),$AE$5:$AE45),IF(B45=4,SUMPRODUCT(--(($C$5:$C45=$C45)*($B$5:$B45&gt;=1)*($B$5:$B45&lt;=3)),$AE$5:$AE45),IF(B45=7,SUMPRODUCT(--(($C$5:$C45=$C45)*($B$5:$B45&gt;=4)*($B$5:$B45&lt;=6)),$AE$5:$AE45),IF(B45=10,SUMPRODUCT(--(($C$5:$C45=$C45)*($B$5:$B45&gt;=7)*($B$5:$B45&lt;=9)),$AE$5:$AE45),0)))))</f>
        <v/>
      </c>
      <c r="AG45" s="12">
        <f>AG44+AE45-AF45</f>
        <v/>
      </c>
      <c r="AH45" s="12">
        <f>IF(ProviderDelay&gt;=1,AD44*ProviderShare,AD45*ProviderShare)</f>
        <v/>
      </c>
      <c r="AI45" s="12">
        <f>AA45*PaymentFee</f>
        <v/>
      </c>
      <c r="AJ45" s="12">
        <f>U45*OpsAI</f>
        <v/>
      </c>
      <c r="AK45" s="12">
        <f>MonthlyFixed</f>
        <v/>
      </c>
      <c r="AL45" s="12">
        <f>I45*ReferralReward</f>
        <v/>
      </c>
      <c r="AM45" s="12">
        <f>G45</f>
        <v/>
      </c>
      <c r="AN45" s="9">
        <f>AD45-AH45-AI45-AJ45-AK45-AL45-AM45</f>
        <v/>
      </c>
      <c r="AO45" s="9">
        <f>AO44+AA45-(AH45+AI45+AJ45+AK45+AL45+AM45+AF45)</f>
        <v/>
      </c>
      <c r="AP45" s="12">
        <f>IF(U45&gt;0,V45/U45,0)</f>
        <v/>
      </c>
      <c r="AQ45" s="11">
        <f>IF(U44&gt;0,MAX(0,(U44+J45-U45)/U44),0)</f>
        <v/>
      </c>
      <c r="AS45" s="12" t="n">
        <v>41</v>
      </c>
      <c r="AT45" s="12">
        <f>MOD(AS45-1+LaunchMonth-1,12)+1</f>
        <v/>
      </c>
      <c r="AU45" s="12">
        <f>INT((AS45-1+LaunchMonth-1)/12)+1</f>
        <v/>
      </c>
      <c r="AV45" s="12">
        <f>VLOOKUP(AT45,SeasonTable,2,FALSE)</f>
        <v/>
      </c>
      <c r="AW45" s="12">
        <f>(1+InflationRate)^INT((AS45-1)/12)</f>
        <v/>
      </c>
      <c r="AX45" s="11">
        <f>MonthlyChurn*VLOOKUP(AT45,ChurnSeasonTable,4,FALSE)</f>
        <v/>
      </c>
      <c r="AY45" s="12">
        <f>MIN(MAX(MktMin19plus,BS44*MktPct19plus),MAX(0,CG44-CashBuffer))</f>
        <v/>
      </c>
      <c r="AZ45" s="12">
        <f>IF(AY45&gt;0,MAX(1,ROUND(AY45/CAC*AV45,0)),0)</f>
        <v/>
      </c>
      <c r="BA45" s="12">
        <f>IF(AZ45&gt;0,ROUND(AZ45*ReferralMix/(1-ReferralMix),0),0)</f>
        <v/>
      </c>
      <c r="BB45" s="12">
        <f>AZ45+BA45</f>
        <v/>
      </c>
      <c r="BC45" s="12">
        <f>ROUND(BB45*(1-AnnualMix),0)</f>
        <v/>
      </c>
      <c r="BD45" s="12">
        <f>BB45-BC45</f>
        <v/>
      </c>
      <c r="BE45" s="12">
        <f>ROUND(BC45*EssentialMix,0)</f>
        <v/>
      </c>
      <c r="BF45" s="12">
        <f>BC45-BE45</f>
        <v/>
      </c>
      <c r="BG45" s="12">
        <f>ROUND(BD45*EssentialMix,0)</f>
        <v/>
      </c>
      <c r="BH45" s="12">
        <f>BD45-BG45</f>
        <v/>
      </c>
      <c r="BI45" s="12">
        <f>BE45+BE44+BE43+MAX(0,BI44-BE44-BE43)*(1-AX45)</f>
        <v/>
      </c>
      <c r="BJ45" s="12">
        <f>BF45+BF44+BF43+MAX(0,BJ44-BF44-BF43)*(1-AX45)</f>
        <v/>
      </c>
      <c r="BK45" s="12">
        <f>BK44+BG45-BG33*(AnnualChurn*VLOOKUP(AT45,ChurnSeasonTable,4,FALSE))*POWER(1-(AnnualChurn*VLOOKUP(AT45,ChurnSeasonTable,4,FALSE)),0)+BG21*(AnnualChurn*VLOOKUP(AT45,ChurnSeasonTable,4,FALSE))*POWER(1-(AnnualChurn*VLOOKUP(AT45,ChurnSeasonTable,4,FALSE)),1)+BG9*(AnnualChurn*VLOOKUP(AT45,ChurnSeasonTable,4,FALSE))*POWER(1-(AnnualChurn*VLOOKUP(AT45,ChurnSeasonTable,4,FALSE)),2)</f>
        <v/>
      </c>
      <c r="BL45" s="12">
        <f>BL44+BH45-BH33*(AnnualChurn*VLOOKUP(AT45,ChurnSeasonTable,4,FALSE))*POWER(1-(AnnualChurn*VLOOKUP(AT45,ChurnSeasonTable,4,FALSE)),0)+BH21*(AnnualChurn*VLOOKUP(AT45,ChurnSeasonTable,4,FALSE))*POWER(1-(AnnualChurn*VLOOKUP(AT45,ChurnSeasonTable,4,FALSE)),1)+BH9*(AnnualChurn*VLOOKUP(AT45,ChurnSeasonTable,4,FALSE))*POWER(1-(AnnualChurn*VLOOKUP(AT45,ChurnSeasonTable,4,FALSE)),2)</f>
        <v/>
      </c>
      <c r="BM45" s="12">
        <f>BI45+BJ45+BK45+BL45</f>
        <v/>
      </c>
      <c r="BN45" s="9">
        <f>BI45*PriceEssMonthly*AW45+BJ45*PricePremMonthly*AW45+BK45*PriceEssAnnual*AW45/12+BL45*PricePremAnnual*AW45/12</f>
        <v/>
      </c>
      <c r="BO45" s="9">
        <f>BN45*12</f>
        <v/>
      </c>
      <c r="BP45" s="12">
        <f>BI45*PriceEssMonthly*AW45+BJ45*PricePremMonthly*AW45</f>
        <v/>
      </c>
      <c r="BQ45" s="12">
        <f>BG45*PriceEssAnnual*AW45+BH45*PricePremAnnual*AW45</f>
        <v/>
      </c>
      <c r="BR45" s="12">
        <f>BG33*POWER(1-(AnnualChurn*VLOOKUP(AT45,ChurnSeasonTable,4,FALSE)),1)*PriceEssAnnual*AW45+BG21*POWER(1-(AnnualChurn*VLOOKUP(AT45,ChurnSeasonTable,4,FALSE)),2)*PriceEssAnnual*AW45+BG9*POWER(1-(AnnualChurn*VLOOKUP(AT45,ChurnSeasonTable,4,FALSE)),3)*PriceEssAnnual*AW45+BH33*POWER(1-(AnnualChurn*VLOOKUP(AT45,ChurnSeasonTable,4,FALSE)),1)*PricePremAnnual*AW45+BH21*POWER(1-(AnnualChurn*VLOOKUP(AT45,ChurnSeasonTable,4,FALSE)),2)*PricePremAnnual*AW45+BH9*POWER(1-(AnnualChurn*VLOOKUP(AT45,ChurnSeasonTable,4,FALSE)),3)*PricePremAnnual*AW45</f>
        <v/>
      </c>
      <c r="BS45" s="9">
        <f>BP45+BQ45+BR45</f>
        <v/>
      </c>
      <c r="BT45" s="12">
        <f>SUM(BS34:BS45)</f>
        <v/>
      </c>
      <c r="BU45" s="12">
        <f>OR(BU44,BT45&gt;=VATThreshold)</f>
        <v/>
      </c>
      <c r="BV45" s="9">
        <f>IF(BU45,BS45/(1+VATRate),BS45)</f>
        <v/>
      </c>
      <c r="BW45" s="12">
        <f>BS45-BV45</f>
        <v/>
      </c>
      <c r="BX45" s="12">
        <f>IF(BU45=0,0,IF(AT45=1,SUMPRODUCT(--(($AU$5:$AU45=$AU45-1)*($AT$5:$AT45&gt;=10)*($AT$5:$AT45&lt;=12)),$BW$5:$BW45),IF(AT45=4,SUMPRODUCT(--(($AU$5:$AU45=$AU45)*($AT$5:$AT45&gt;=1)*($AT$5:$AT45&lt;=3)),$BW$5:$BW45),IF(AT45=7,SUMPRODUCT(--(($AU$5:$AU45=$AU45)*($AT$5:$AT45&gt;=4)*($AT$5:$AT45&lt;=6)),$BW$5:$BW45),IF(AT45=10,SUMPRODUCT(--(($AU$5:$AU45=$AU45)*($AT$5:$AT45&gt;=7)*($AT$5:$AT45&lt;=9)),$BW$5:$BW45),0)))))</f>
        <v/>
      </c>
      <c r="BY45" s="12">
        <f>BY44+BW45-BX45</f>
        <v/>
      </c>
      <c r="BZ45" s="12">
        <f>IF(ProviderDelay&gt;=1,BV44*ProviderShare,BV45*ProviderShare)</f>
        <v/>
      </c>
      <c r="CA45" s="12">
        <f>BS45*PaymentFee</f>
        <v/>
      </c>
      <c r="CB45" s="12">
        <f>BM45*OpsAI</f>
        <v/>
      </c>
      <c r="CC45" s="12">
        <f>MonthlyFixed</f>
        <v/>
      </c>
      <c r="CD45" s="12">
        <f>BA45*ReferralReward</f>
        <v/>
      </c>
      <c r="CE45" s="12">
        <f>AY45</f>
        <v/>
      </c>
      <c r="CF45" s="9">
        <f>BV45-BZ45-CA45-CB45-CC45-CD45-CE45</f>
        <v/>
      </c>
      <c r="CG45" s="9">
        <f>CG44+BS45-(BZ45+CA45+CB45+CC45+CD45+CE45+BX45)</f>
        <v/>
      </c>
      <c r="CH45" s="12">
        <f>IF(BM45&gt;0,BN45/BM45,0)</f>
        <v/>
      </c>
      <c r="CI45" s="11">
        <f>IF(BM44&gt;0,MAX(0,(BM44+BB45-BM45)/BM44),0)</f>
        <v/>
      </c>
      <c r="CK45" s="12" t="n">
        <v>41</v>
      </c>
      <c r="CL45" s="12">
        <f>MOD(CK45-1+LaunchMonth-1,12)+1</f>
        <v/>
      </c>
      <c r="CM45" s="12">
        <f>INT((CK45-1+LaunchMonth-1)/12)+1</f>
        <v/>
      </c>
      <c r="CN45" s="12">
        <f>VLOOKUP(CL45,SeasonTable,2,FALSE)</f>
        <v/>
      </c>
      <c r="CO45" s="12">
        <f>(1+InflationRate)^INT((CK45-1)/12)</f>
        <v/>
      </c>
      <c r="CP45" s="11">
        <f>'Sens - Scenarios'!$D$5*VLOOKUP(CL45,ChurnSeasonTable,4,FALSE)</f>
        <v/>
      </c>
      <c r="CQ45" s="12">
        <f>MIN(MAX(MktMin19plus,DK44*MktPct19plus),MAX(0,DY44-CashBuffer))</f>
        <v/>
      </c>
      <c r="CR45" s="12">
        <f>IF(CQ45&gt;0,MAX(1,ROUND(CQ45/'Sens - Scenarios'!$D$8*CN45,0)),0)</f>
        <v/>
      </c>
      <c r="CS45" s="12">
        <f>IF(CR45&gt;0,ROUND(CR45*ReferralMix/(1-ReferralMix),0),0)</f>
        <v/>
      </c>
      <c r="CT45" s="12">
        <f>CR45+CS45</f>
        <v/>
      </c>
      <c r="CU45" s="12">
        <f>ROUND(CT45*(1-'Sens - Scenarios'!$D$7),0)</f>
        <v/>
      </c>
      <c r="CV45" s="12">
        <f>CT45-CU45</f>
        <v/>
      </c>
      <c r="CW45" s="12">
        <f>ROUND(CU45*EssentialMix,0)</f>
        <v/>
      </c>
      <c r="CX45" s="12">
        <f>CU45-CW45</f>
        <v/>
      </c>
      <c r="CY45" s="12">
        <f>ROUND(CV45*EssentialMix,0)</f>
        <v/>
      </c>
      <c r="CZ45" s="12">
        <f>CV45-CY45</f>
        <v/>
      </c>
      <c r="DA45" s="12">
        <f>CW45+CW44+CW43+MAX(0,DA44-CW44-CW43)*(1-CP45)</f>
        <v/>
      </c>
      <c r="DB45" s="12">
        <f>CX45+CX44+CX43+MAX(0,DB44-CX44-CX43)*(1-CP45)</f>
        <v/>
      </c>
      <c r="DC45" s="12">
        <f>DC44+CY45-CY33*('Sens - Scenarios'!$D$6*VLOOKUP(CL45,ChurnSeasonTable,4,FALSE))*POWER(1-('Sens - Scenarios'!$D$6*VLOOKUP(CL45,ChurnSeasonTable,4,FALSE)),0)+CY21*('Sens - Scenarios'!$D$6*VLOOKUP(CL45,ChurnSeasonTable,4,FALSE))*POWER(1-('Sens - Scenarios'!$D$6*VLOOKUP(CL45,ChurnSeasonTable,4,FALSE)),1)+CY9*('Sens - Scenarios'!$D$6*VLOOKUP(CL45,ChurnSeasonTable,4,FALSE))*POWER(1-('Sens - Scenarios'!$D$6*VLOOKUP(CL45,ChurnSeasonTable,4,FALSE)),2)</f>
        <v/>
      </c>
      <c r="DD45" s="12">
        <f>DD44+CZ45-CZ33*('Sens - Scenarios'!$D$6*VLOOKUP(CL45,ChurnSeasonTable,4,FALSE))*POWER(1-('Sens - Scenarios'!$D$6*VLOOKUP(CL45,ChurnSeasonTable,4,FALSE)),0)+CZ21*('Sens - Scenarios'!$D$6*VLOOKUP(CL45,ChurnSeasonTable,4,FALSE))*POWER(1-('Sens - Scenarios'!$D$6*VLOOKUP(CL45,ChurnSeasonTable,4,FALSE)),1)+CZ9*('Sens - Scenarios'!$D$6*VLOOKUP(CL45,ChurnSeasonTable,4,FALSE))*POWER(1-('Sens - Scenarios'!$D$6*VLOOKUP(CL45,ChurnSeasonTable,4,FALSE)),2)</f>
        <v/>
      </c>
      <c r="DE45" s="12">
        <f>DA45+DB45+DC45+DD45</f>
        <v/>
      </c>
      <c r="DF45" s="9">
        <f>DA45*PriceEssMonthly*CO45+DB45*PricePremMonthly*CO45+DC45*PriceEssAnnual*CO45/12+DD45*PricePremAnnual*CO45/12</f>
        <v/>
      </c>
      <c r="DG45" s="9">
        <f>DF45*12</f>
        <v/>
      </c>
      <c r="DH45" s="12">
        <f>DA45*PriceEssMonthly*CO45+DB45*PricePremMonthly*CO45</f>
        <v/>
      </c>
      <c r="DI45" s="12">
        <f>CY45*PriceEssAnnual*CO45+CZ45*PricePremAnnual*CO45</f>
        <v/>
      </c>
      <c r="DJ45" s="12">
        <f>CY33*POWER(1-('Sens - Scenarios'!$D$6*VLOOKUP(CL45,ChurnSeasonTable,4,FALSE)),1)*PriceEssAnnual*CO45+CY21*POWER(1-('Sens - Scenarios'!$D$6*VLOOKUP(CL45,ChurnSeasonTable,4,FALSE)),2)*PriceEssAnnual*CO45+CY9*POWER(1-('Sens - Scenarios'!$D$6*VLOOKUP(CL45,ChurnSeasonTable,4,FALSE)),3)*PriceEssAnnual*CO45+CZ33*POWER(1-('Sens - Scenarios'!$D$6*VLOOKUP(CL45,ChurnSeasonTable,4,FALSE)),1)*PricePremAnnual*CO45+CZ21*POWER(1-('Sens - Scenarios'!$D$6*VLOOKUP(CL45,ChurnSeasonTable,4,FALSE)),2)*PricePremAnnual*CO45+CZ9*POWER(1-('Sens - Scenarios'!$D$6*VLOOKUP(CL45,ChurnSeasonTable,4,FALSE)),3)*PricePremAnnual*CO45</f>
        <v/>
      </c>
      <c r="DK45" s="9">
        <f>DH45+DI45+DJ45</f>
        <v/>
      </c>
      <c r="DL45" s="12">
        <f>SUM(DK34:DK45)</f>
        <v/>
      </c>
      <c r="DM45" s="12">
        <f>OR(DM44,DL45&gt;=VATThreshold)</f>
        <v/>
      </c>
      <c r="DN45" s="9">
        <f>IF(DM45,DK45/(1+VATRate),DK45)</f>
        <v/>
      </c>
      <c r="DO45" s="12">
        <f>DK45-DN45</f>
        <v/>
      </c>
      <c r="DP45" s="12">
        <f>IF(DM45=0,0,IF(CL45=1,SUMPRODUCT(--(($CM$5:$CM45=$CM45-1)*($CL$5:$CL45&gt;=10)*($CL$5:$CL45&lt;=12)),$DO$5:$DO45),IF(CL45=4,SUMPRODUCT(--(($CM$5:$CM45=$CM45)*($CL$5:$CL45&gt;=1)*($CL$5:$CL45&lt;=3)),$DO$5:$DO45),IF(CL45=7,SUMPRODUCT(--(($CM$5:$CM45=$CM45)*($CL$5:$CL45&gt;=4)*($CL$5:$CL45&lt;=6)),$DO$5:$DO45),IF(CL45=10,SUMPRODUCT(--(($CM$5:$CM45=$CM45)*($CL$5:$CL45&gt;=7)*($CL$5:$CL45&lt;=9)),$DO$5:$DO45),0)))))</f>
        <v/>
      </c>
      <c r="DQ45" s="12">
        <f>DQ44+DO45-DP45</f>
        <v/>
      </c>
      <c r="DR45" s="12">
        <f>IF(ProviderDelay&gt;=1,DN44*ProviderShare,DN45*ProviderShare)</f>
        <v/>
      </c>
      <c r="DS45" s="12">
        <f>DK45*PaymentFee</f>
        <v/>
      </c>
      <c r="DT45" s="12">
        <f>DE45*OpsAI</f>
        <v/>
      </c>
      <c r="DU45" s="12">
        <f>MonthlyFixed</f>
        <v/>
      </c>
      <c r="DV45" s="12">
        <f>CS45*ReferralReward</f>
        <v/>
      </c>
      <c r="DW45" s="12">
        <f>CQ45</f>
        <v/>
      </c>
      <c r="DX45" s="9">
        <f>DN45-DR45-DS45-DT45-DU45-DV45-DW45</f>
        <v/>
      </c>
      <c r="DY45" s="9">
        <f>DY44+DK45-(DR45+DS45+DT45+DU45+DV45+DW45+DP45)</f>
        <v/>
      </c>
      <c r="DZ45" s="12">
        <f>IF(DE45&gt;0,DF45/DE45,0)</f>
        <v/>
      </c>
      <c r="EA45" s="11">
        <f>IF(DE44&gt;0,MAX(0,(DE44+CT45-DE45)/DE44),0)</f>
        <v/>
      </c>
      <c r="EC45" s="12" t="n">
        <v>41</v>
      </c>
      <c r="ED45" s="12">
        <f>MOD(EC45-1+LaunchMonth-1,12)+1</f>
        <v/>
      </c>
      <c r="EE45" s="12">
        <f>INT((EC45-1+LaunchMonth-1)/12)+1</f>
        <v/>
      </c>
      <c r="EF45" s="12">
        <f>VLOOKUP(ED45,SeasonTable,2,FALSE)</f>
        <v/>
      </c>
      <c r="EG45" s="12">
        <f>(1+InflationRate)^INT((EC45-1)/12)</f>
        <v/>
      </c>
      <c r="EH45" s="11">
        <f>'Sens - Churn'!$A$13*VLOOKUP(ED45,ChurnSeasonTable,4,FALSE)</f>
        <v/>
      </c>
      <c r="EI45" s="12">
        <f>MIN(MAX(MktMin19plus,FC44*MktPct19plus),MAX(0,FQ44-CashBuffer))</f>
        <v/>
      </c>
      <c r="EJ45" s="12">
        <f>IF(EI45&gt;0,MAX(1,ROUND(EI45/CAC*EF45,0)),0)</f>
        <v/>
      </c>
      <c r="EK45" s="12">
        <f>IF(EJ45&gt;0,ROUND(EJ45*ReferralMix/(1-ReferralMix),0),0)</f>
        <v/>
      </c>
      <c r="EL45" s="12">
        <f>EJ45+EK45</f>
        <v/>
      </c>
      <c r="EM45" s="12">
        <f>ROUND(EL45*(1-AnnualMix),0)</f>
        <v/>
      </c>
      <c r="EN45" s="12">
        <f>EL45-EM45</f>
        <v/>
      </c>
      <c r="EO45" s="12">
        <f>ROUND(EM45*EssentialMix,0)</f>
        <v/>
      </c>
      <c r="EP45" s="12">
        <f>EM45-EO45</f>
        <v/>
      </c>
      <c r="EQ45" s="12">
        <f>ROUND(EN45*EssentialMix,0)</f>
        <v/>
      </c>
      <c r="ER45" s="12">
        <f>EN45-EQ45</f>
        <v/>
      </c>
      <c r="ES45" s="12">
        <f>EO45+EO44+EO43+MAX(0,ES44-EO44-EO43)*(1-EH45)</f>
        <v/>
      </c>
      <c r="ET45" s="12">
        <f>EP45+EP44+EP43+MAX(0,ET44-EP44-EP43)*(1-EH45)</f>
        <v/>
      </c>
      <c r="EU45" s="12">
        <f>EU44+EQ45-EQ33*(AnnualChurn*VLOOKUP(ED45,ChurnSeasonTable,4,FALSE))*POWER(1-(AnnualChurn*VLOOKUP(ED45,ChurnSeasonTable,4,FALSE)),0)+EQ21*(AnnualChurn*VLOOKUP(ED45,ChurnSeasonTable,4,FALSE))*POWER(1-(AnnualChurn*VLOOKUP(ED45,ChurnSeasonTable,4,FALSE)),1)+EQ9*(AnnualChurn*VLOOKUP(ED45,ChurnSeasonTable,4,FALSE))*POWER(1-(AnnualChurn*VLOOKUP(ED45,ChurnSeasonTable,4,FALSE)),2)</f>
        <v/>
      </c>
      <c r="EV45" s="12">
        <f>EV44+ER45-ER33*(AnnualChurn*VLOOKUP(ED45,ChurnSeasonTable,4,FALSE))*POWER(1-(AnnualChurn*VLOOKUP(ED45,ChurnSeasonTable,4,FALSE)),0)+ER21*(AnnualChurn*VLOOKUP(ED45,ChurnSeasonTable,4,FALSE))*POWER(1-(AnnualChurn*VLOOKUP(ED45,ChurnSeasonTable,4,FALSE)),1)+ER9*(AnnualChurn*VLOOKUP(ED45,ChurnSeasonTable,4,FALSE))*POWER(1-(AnnualChurn*VLOOKUP(ED45,ChurnSeasonTable,4,FALSE)),2)</f>
        <v/>
      </c>
      <c r="EW45" s="12">
        <f>ES45+ET45+EU45+EV45</f>
        <v/>
      </c>
      <c r="EX45" s="9">
        <f>ES45*PriceEssMonthly*EG45+ET45*PricePremMonthly*EG45+EU45*PriceEssAnnual*EG45/12+EV45*PricePremAnnual*EG45/12</f>
        <v/>
      </c>
      <c r="EY45" s="9">
        <f>EX45*12</f>
        <v/>
      </c>
      <c r="EZ45" s="12">
        <f>ES45*PriceEssMonthly*EG45+ET45*PricePremMonthly*EG45</f>
        <v/>
      </c>
      <c r="FA45" s="12">
        <f>EQ45*PriceEssAnnual*EG45+ER45*PricePremAnnual*EG45</f>
        <v/>
      </c>
      <c r="FB45" s="12">
        <f>EQ33*POWER(1-(AnnualChurn*VLOOKUP(ED45,ChurnSeasonTable,4,FALSE)),1)*PriceEssAnnual*EG45+EQ21*POWER(1-(AnnualChurn*VLOOKUP(ED45,ChurnSeasonTable,4,FALSE)),2)*PriceEssAnnual*EG45+EQ9*POWER(1-(AnnualChurn*VLOOKUP(ED45,ChurnSeasonTable,4,FALSE)),3)*PriceEssAnnual*EG45+ER33*POWER(1-(AnnualChurn*VLOOKUP(ED45,ChurnSeasonTable,4,FALSE)),1)*PricePremAnnual*EG45+ER21*POWER(1-(AnnualChurn*VLOOKUP(ED45,ChurnSeasonTable,4,FALSE)),2)*PricePremAnnual*EG45+ER9*POWER(1-(AnnualChurn*VLOOKUP(ED45,ChurnSeasonTable,4,FALSE)),3)*PricePremAnnual*EG45</f>
        <v/>
      </c>
      <c r="FC45" s="9">
        <f>EZ45+FA45+FB45</f>
        <v/>
      </c>
      <c r="FD45" s="12">
        <f>SUM(FC34:FC45)</f>
        <v/>
      </c>
      <c r="FE45" s="12">
        <f>OR(FE44,FD45&gt;=VATThreshold)</f>
        <v/>
      </c>
      <c r="FF45" s="9">
        <f>IF(FE45,FC45/(1+VATRate),FC45)</f>
        <v/>
      </c>
      <c r="FG45" s="12">
        <f>FC45-FF45</f>
        <v/>
      </c>
      <c r="FH45" s="12">
        <f>IF(FE45=0,0,IF(ED45=1,SUMPRODUCT(--(($EE$5:$EE45=$EE45-1)*($ED$5:$ED45&gt;=10)*($ED$5:$ED45&lt;=12)),$FG$5:$FG45),IF(ED45=4,SUMPRODUCT(--(($EE$5:$EE45=$EE45)*($ED$5:$ED45&gt;=1)*($ED$5:$ED45&lt;=3)),$FG$5:$FG45),IF(ED45=7,SUMPRODUCT(--(($EE$5:$EE45=$EE45)*($ED$5:$ED45&gt;=4)*($ED$5:$ED45&lt;=6)),$FG$5:$FG45),IF(ED45=10,SUMPRODUCT(--(($EE$5:$EE45=$EE45)*($ED$5:$ED45&gt;=7)*($ED$5:$ED45&lt;=9)),$FG$5:$FG45),0)))))</f>
        <v/>
      </c>
      <c r="FI45" s="12">
        <f>FI44+FG45-FH45</f>
        <v/>
      </c>
      <c r="FJ45" s="12">
        <f>IF(ProviderDelay&gt;=1,FF44*ProviderShare,FF45*ProviderShare)</f>
        <v/>
      </c>
      <c r="FK45" s="12">
        <f>FC45*PaymentFee</f>
        <v/>
      </c>
      <c r="FL45" s="12">
        <f>EW45*OpsAI</f>
        <v/>
      </c>
      <c r="FM45" s="12">
        <f>MonthlyFixed</f>
        <v/>
      </c>
      <c r="FN45" s="12">
        <f>EK45*ReferralReward</f>
        <v/>
      </c>
      <c r="FO45" s="12">
        <f>EI45</f>
        <v/>
      </c>
      <c r="FP45" s="9">
        <f>FF45-FJ45-FK45-FL45-FM45-FN45-FO45</f>
        <v/>
      </c>
      <c r="FQ45" s="9">
        <f>FQ44+FC45-(FJ45+FK45+FL45+FM45+FN45+FO45+FH45)</f>
        <v/>
      </c>
      <c r="FR45" s="12">
        <f>IF(EW45&gt;0,EX45/EW45,0)</f>
        <v/>
      </c>
      <c r="FS45" s="11">
        <f>IF(EW44&gt;0,MAX(0,(EW44+EL45-EW45)/EW44),0)</f>
        <v/>
      </c>
      <c r="FU45" s="12" t="n">
        <v>41</v>
      </c>
      <c r="FV45" s="12">
        <f>MOD(FU45-1+LaunchMonth-1,12)+1</f>
        <v/>
      </c>
      <c r="FW45" s="12">
        <f>INT((FU45-1+LaunchMonth-1)/12)+1</f>
        <v/>
      </c>
      <c r="FX45" s="12">
        <f>VLOOKUP(FV45,SeasonTable,2,FALSE)</f>
        <v/>
      </c>
      <c r="FY45" s="12">
        <f>(1+InflationRate)^INT((FU45-1)/12)</f>
        <v/>
      </c>
      <c r="FZ45" s="11">
        <f>'Sens - Churn'!$A$14*VLOOKUP(FV45,ChurnSeasonTable,4,FALSE)</f>
        <v/>
      </c>
      <c r="GA45" s="12">
        <f>MIN(MAX(MktMin19plus,GU44*MktPct19plus),MAX(0,HI44-CashBuffer))</f>
        <v/>
      </c>
      <c r="GB45" s="12">
        <f>IF(GA45&gt;0,MAX(1,ROUND(GA45/CAC*FX45,0)),0)</f>
        <v/>
      </c>
      <c r="GC45" s="12">
        <f>IF(GB45&gt;0,ROUND(GB45*ReferralMix/(1-ReferralMix),0),0)</f>
        <v/>
      </c>
      <c r="GD45" s="12">
        <f>GB45+GC45</f>
        <v/>
      </c>
      <c r="GE45" s="12">
        <f>ROUND(GD45*(1-AnnualMix),0)</f>
        <v/>
      </c>
      <c r="GF45" s="12">
        <f>GD45-GE45</f>
        <v/>
      </c>
      <c r="GG45" s="12">
        <f>ROUND(GE45*EssentialMix,0)</f>
        <v/>
      </c>
      <c r="GH45" s="12">
        <f>GE45-GG45</f>
        <v/>
      </c>
      <c r="GI45" s="12">
        <f>ROUND(GF45*EssentialMix,0)</f>
        <v/>
      </c>
      <c r="GJ45" s="12">
        <f>GF45-GI45</f>
        <v/>
      </c>
      <c r="GK45" s="12">
        <f>GG45+GG44+GG43+MAX(0,GK44-GG44-GG43)*(1-FZ45)</f>
        <v/>
      </c>
      <c r="GL45" s="12">
        <f>GH45+GH44+GH43+MAX(0,GL44-GH44-GH43)*(1-FZ45)</f>
        <v/>
      </c>
      <c r="GM45" s="12">
        <f>GM44+GI45-GI33*(AnnualChurn*VLOOKUP(FV45,ChurnSeasonTable,4,FALSE))*POWER(1-(AnnualChurn*VLOOKUP(FV45,ChurnSeasonTable,4,FALSE)),0)+GI21*(AnnualChurn*VLOOKUP(FV45,ChurnSeasonTable,4,FALSE))*POWER(1-(AnnualChurn*VLOOKUP(FV45,ChurnSeasonTable,4,FALSE)),1)+GI9*(AnnualChurn*VLOOKUP(FV45,ChurnSeasonTable,4,FALSE))*POWER(1-(AnnualChurn*VLOOKUP(FV45,ChurnSeasonTable,4,FALSE)),2)</f>
        <v/>
      </c>
      <c r="GN45" s="12">
        <f>GN44+GJ45-GJ33*(AnnualChurn*VLOOKUP(FV45,ChurnSeasonTable,4,FALSE))*POWER(1-(AnnualChurn*VLOOKUP(FV45,ChurnSeasonTable,4,FALSE)),0)+GJ21*(AnnualChurn*VLOOKUP(FV45,ChurnSeasonTable,4,FALSE))*POWER(1-(AnnualChurn*VLOOKUP(FV45,ChurnSeasonTable,4,FALSE)),1)+GJ9*(AnnualChurn*VLOOKUP(FV45,ChurnSeasonTable,4,FALSE))*POWER(1-(AnnualChurn*VLOOKUP(FV45,ChurnSeasonTable,4,FALSE)),2)</f>
        <v/>
      </c>
      <c r="GO45" s="12">
        <f>GK45+GL45+GM45+GN45</f>
        <v/>
      </c>
      <c r="GP45" s="9">
        <f>GK45*PriceEssMonthly*FY45+GL45*PricePremMonthly*FY45+GM45*PriceEssAnnual*FY45/12+GN45*PricePremAnnual*FY45/12</f>
        <v/>
      </c>
      <c r="GQ45" s="9">
        <f>GP45*12</f>
        <v/>
      </c>
      <c r="GR45" s="12">
        <f>GK45*PriceEssMonthly*FY45+GL45*PricePremMonthly*FY45</f>
        <v/>
      </c>
      <c r="GS45" s="12">
        <f>GI45*PriceEssAnnual*FY45+GJ45*PricePremAnnual*FY45</f>
        <v/>
      </c>
      <c r="GT45" s="12">
        <f>GI33*POWER(1-(AnnualChurn*VLOOKUP(FV45,ChurnSeasonTable,4,FALSE)),1)*PriceEssAnnual*FY45+GI21*POWER(1-(AnnualChurn*VLOOKUP(FV45,ChurnSeasonTable,4,FALSE)),2)*PriceEssAnnual*FY45+GI9*POWER(1-(AnnualChurn*VLOOKUP(FV45,ChurnSeasonTable,4,FALSE)),3)*PriceEssAnnual*FY45+GJ33*POWER(1-(AnnualChurn*VLOOKUP(FV45,ChurnSeasonTable,4,FALSE)),1)*PricePremAnnual*FY45+GJ21*POWER(1-(AnnualChurn*VLOOKUP(FV45,ChurnSeasonTable,4,FALSE)),2)*PricePremAnnual*FY45+GJ9*POWER(1-(AnnualChurn*VLOOKUP(FV45,ChurnSeasonTable,4,FALSE)),3)*PricePremAnnual*FY45</f>
        <v/>
      </c>
      <c r="GU45" s="9">
        <f>GR45+GS45+GT45</f>
        <v/>
      </c>
      <c r="GV45" s="12">
        <f>SUM(GU34:GU45)</f>
        <v/>
      </c>
      <c r="GW45" s="12">
        <f>OR(GW44,GV45&gt;=VATThreshold)</f>
        <v/>
      </c>
      <c r="GX45" s="9">
        <f>IF(GW45,GU45/(1+VATRate),GU45)</f>
        <v/>
      </c>
      <c r="GY45" s="12">
        <f>GU45-GX45</f>
        <v/>
      </c>
      <c r="GZ45" s="12">
        <f>IF(GW45=0,0,IF(FV45=1,SUMPRODUCT(--(($FW$5:$FW45=$FW45-1)*($FV$5:$FV45&gt;=10)*($FV$5:$FV45&lt;=12)),$GY$5:$GY45),IF(FV45=4,SUMPRODUCT(--(($FW$5:$FW45=$FW45)*($FV$5:$FV45&gt;=1)*($FV$5:$FV45&lt;=3)),$GY$5:$GY45),IF(FV45=7,SUMPRODUCT(--(($FW$5:$FW45=$FW45)*($FV$5:$FV45&gt;=4)*($FV$5:$FV45&lt;=6)),$GY$5:$GY45),IF(FV45=10,SUMPRODUCT(--(($FW$5:$FW45=$FW45)*($FV$5:$FV45&gt;=7)*($FV$5:$FV45&lt;=9)),$GY$5:$GY45),0)))))</f>
        <v/>
      </c>
      <c r="HA45" s="12">
        <f>HA44+GY45-GZ45</f>
        <v/>
      </c>
      <c r="HB45" s="12">
        <f>IF(ProviderDelay&gt;=1,GX44*ProviderShare,GX45*ProviderShare)</f>
        <v/>
      </c>
      <c r="HC45" s="12">
        <f>GU45*PaymentFee</f>
        <v/>
      </c>
      <c r="HD45" s="12">
        <f>GO45*OpsAI</f>
        <v/>
      </c>
      <c r="HE45" s="12">
        <f>MonthlyFixed</f>
        <v/>
      </c>
      <c r="HF45" s="12">
        <f>GC45*ReferralReward</f>
        <v/>
      </c>
      <c r="HG45" s="12">
        <f>GA45</f>
        <v/>
      </c>
      <c r="HH45" s="9">
        <f>GX45-HB45-HC45-HD45-HE45-HF45-HG45</f>
        <v/>
      </c>
      <c r="HI45" s="9">
        <f>HI44+GU45-(HB45+HC45+HD45+HE45+HF45+HG45+GZ45)</f>
        <v/>
      </c>
      <c r="HJ45" s="12">
        <f>IF(GO45&gt;0,GP45/GO45,0)</f>
        <v/>
      </c>
      <c r="HK45" s="11">
        <f>IF(GO44&gt;0,MAX(0,(GO44+GD45-GO45)/GO44),0)</f>
        <v/>
      </c>
      <c r="HM45" s="12" t="n">
        <v>41</v>
      </c>
      <c r="HN45" s="12">
        <f>MOD(HM45-1+LaunchMonth-1,12)+1</f>
        <v/>
      </c>
      <c r="HO45" s="12">
        <f>INT((HM45-1+LaunchMonth-1)/12)+1</f>
        <v/>
      </c>
      <c r="HP45" s="12">
        <f>VLOOKUP(HN45,SeasonTable,2,FALSE)</f>
        <v/>
      </c>
      <c r="HQ45" s="12">
        <f>(1+InflationRate)^INT((HM45-1)/12)</f>
        <v/>
      </c>
      <c r="HR45" s="11">
        <f>'Sens - Churn'!$A$15*VLOOKUP(HN45,ChurnSeasonTable,4,FALSE)</f>
        <v/>
      </c>
      <c r="HS45" s="12">
        <f>MIN(MAX(MktMin19plus,IM44*MktPct19plus),MAX(0,JA44-CashBuffer))</f>
        <v/>
      </c>
      <c r="HT45" s="12">
        <f>IF(HS45&gt;0,MAX(1,ROUND(HS45/CAC*HP45,0)),0)</f>
        <v/>
      </c>
      <c r="HU45" s="12">
        <f>IF(HT45&gt;0,ROUND(HT45*ReferralMix/(1-ReferralMix),0),0)</f>
        <v/>
      </c>
      <c r="HV45" s="12">
        <f>HT45+HU45</f>
        <v/>
      </c>
      <c r="HW45" s="12">
        <f>ROUND(HV45*(1-AnnualMix),0)</f>
        <v/>
      </c>
      <c r="HX45" s="12">
        <f>HV45-HW45</f>
        <v/>
      </c>
      <c r="HY45" s="12">
        <f>ROUND(HW45*EssentialMix,0)</f>
        <v/>
      </c>
      <c r="HZ45" s="12">
        <f>HW45-HY45</f>
        <v/>
      </c>
      <c r="IA45" s="12">
        <f>ROUND(HX45*EssentialMix,0)</f>
        <v/>
      </c>
      <c r="IB45" s="12">
        <f>HX45-IA45</f>
        <v/>
      </c>
      <c r="IC45" s="12">
        <f>HY45+HY44+HY43+MAX(0,IC44-HY44-HY43)*(1-HR45)</f>
        <v/>
      </c>
      <c r="ID45" s="12">
        <f>HZ45+HZ44+HZ43+MAX(0,ID44-HZ44-HZ43)*(1-HR45)</f>
        <v/>
      </c>
      <c r="IE45" s="12">
        <f>IE44+IA45-IA33*(AnnualChurn*VLOOKUP(HN45,ChurnSeasonTable,4,FALSE))*POWER(1-(AnnualChurn*VLOOKUP(HN45,ChurnSeasonTable,4,FALSE)),0)+IA21*(AnnualChurn*VLOOKUP(HN45,ChurnSeasonTable,4,FALSE))*POWER(1-(AnnualChurn*VLOOKUP(HN45,ChurnSeasonTable,4,FALSE)),1)+IA9*(AnnualChurn*VLOOKUP(HN45,ChurnSeasonTable,4,FALSE))*POWER(1-(AnnualChurn*VLOOKUP(HN45,ChurnSeasonTable,4,FALSE)),2)</f>
        <v/>
      </c>
      <c r="IF45" s="12">
        <f>IF44+IB45-IB33*(AnnualChurn*VLOOKUP(HN45,ChurnSeasonTable,4,FALSE))*POWER(1-(AnnualChurn*VLOOKUP(HN45,ChurnSeasonTable,4,FALSE)),0)+IB21*(AnnualChurn*VLOOKUP(HN45,ChurnSeasonTable,4,FALSE))*POWER(1-(AnnualChurn*VLOOKUP(HN45,ChurnSeasonTable,4,FALSE)),1)+IB9*(AnnualChurn*VLOOKUP(HN45,ChurnSeasonTable,4,FALSE))*POWER(1-(AnnualChurn*VLOOKUP(HN45,ChurnSeasonTable,4,FALSE)),2)</f>
        <v/>
      </c>
      <c r="IG45" s="12">
        <f>IC45+ID45+IE45+IF45</f>
        <v/>
      </c>
      <c r="IH45" s="9">
        <f>IC45*PriceEssMonthly*HQ45+ID45*PricePremMonthly*HQ45+IE45*PriceEssAnnual*HQ45/12+IF45*PricePremAnnual*HQ45/12</f>
        <v/>
      </c>
      <c r="II45" s="9">
        <f>IH45*12</f>
        <v/>
      </c>
      <c r="IJ45" s="12">
        <f>IC45*PriceEssMonthly*HQ45+ID45*PricePremMonthly*HQ45</f>
        <v/>
      </c>
      <c r="IK45" s="12">
        <f>IA45*PriceEssAnnual*HQ45+IB45*PricePremAnnual*HQ45</f>
        <v/>
      </c>
      <c r="IL45" s="12">
        <f>IA33*POWER(1-(AnnualChurn*VLOOKUP(HN45,ChurnSeasonTable,4,FALSE)),1)*PriceEssAnnual*HQ45+IA21*POWER(1-(AnnualChurn*VLOOKUP(HN45,ChurnSeasonTable,4,FALSE)),2)*PriceEssAnnual*HQ45+IA9*POWER(1-(AnnualChurn*VLOOKUP(HN45,ChurnSeasonTable,4,FALSE)),3)*PriceEssAnnual*HQ45+IB33*POWER(1-(AnnualChurn*VLOOKUP(HN45,ChurnSeasonTable,4,FALSE)),1)*PricePremAnnual*HQ45+IB21*POWER(1-(AnnualChurn*VLOOKUP(HN45,ChurnSeasonTable,4,FALSE)),2)*PricePremAnnual*HQ45+IB9*POWER(1-(AnnualChurn*VLOOKUP(HN45,ChurnSeasonTable,4,FALSE)),3)*PricePremAnnual*HQ45</f>
        <v/>
      </c>
      <c r="IM45" s="9">
        <f>IJ45+IK45+IL45</f>
        <v/>
      </c>
      <c r="IN45" s="12">
        <f>SUM(IM34:IM45)</f>
        <v/>
      </c>
      <c r="IO45" s="12">
        <f>OR(IO44,IN45&gt;=VATThreshold)</f>
        <v/>
      </c>
      <c r="IP45" s="9">
        <f>IF(IO45,IM45/(1+VATRate),IM45)</f>
        <v/>
      </c>
      <c r="IQ45" s="12">
        <f>IM45-IP45</f>
        <v/>
      </c>
      <c r="IR45" s="12">
        <f>IF(IO45=0,0,IF(HN45=1,SUMPRODUCT(--(($HO$5:$HO45=$HO45-1)*($HN$5:$HN45&gt;=10)*($HN$5:$HN45&lt;=12)),$IQ$5:$IQ45),IF(HN45=4,SUMPRODUCT(--(($HO$5:$HO45=$HO45)*($HN$5:$HN45&gt;=1)*($HN$5:$HN45&lt;=3)),$IQ$5:$IQ45),IF(HN45=7,SUMPRODUCT(--(($HO$5:$HO45=$HO45)*($HN$5:$HN45&gt;=4)*($HN$5:$HN45&lt;=6)),$IQ$5:$IQ45),IF(HN45=10,SUMPRODUCT(--(($HO$5:$HO45=$HO45)*($HN$5:$HN45&gt;=7)*($HN$5:$HN45&lt;=9)),$IQ$5:$IQ45),0)))))</f>
        <v/>
      </c>
      <c r="IS45" s="12">
        <f>IS44+IQ45-IR45</f>
        <v/>
      </c>
      <c r="IT45" s="12">
        <f>IF(ProviderDelay&gt;=1,IP44*ProviderShare,IP45*ProviderShare)</f>
        <v/>
      </c>
      <c r="IU45" s="12">
        <f>IM45*PaymentFee</f>
        <v/>
      </c>
      <c r="IV45" s="12">
        <f>IG45*OpsAI</f>
        <v/>
      </c>
      <c r="IW45" s="12">
        <f>MonthlyFixed</f>
        <v/>
      </c>
      <c r="IX45" s="12">
        <f>HU45*ReferralReward</f>
        <v/>
      </c>
      <c r="IY45" s="12">
        <f>HS45</f>
        <v/>
      </c>
      <c r="IZ45" s="9">
        <f>IP45-IT45-IU45-IV45-IW45-IX45-IY45</f>
        <v/>
      </c>
      <c r="JA45" s="9">
        <f>JA44+IM45-(IT45+IU45+IV45+IW45+IX45+IY45+IR45)</f>
        <v/>
      </c>
      <c r="JB45" s="12">
        <f>IF(IG45&gt;0,IH45/IG45,0)</f>
        <v/>
      </c>
      <c r="JC45" s="11">
        <f>IF(IG44&gt;0,MAX(0,(IG44+HV45-IG45)/IG44),0)</f>
        <v/>
      </c>
      <c r="JE45" s="12" t="n">
        <v>41</v>
      </c>
      <c r="JF45" s="12">
        <f>MOD(JE45-1+LaunchMonth-1,12)+1</f>
        <v/>
      </c>
      <c r="JG45" s="12">
        <f>INT((JE45-1+LaunchMonth-1)/12)+1</f>
        <v/>
      </c>
      <c r="JH45" s="12">
        <f>VLOOKUP(JF45,SeasonTable,2,FALSE)</f>
        <v/>
      </c>
      <c r="JI45" s="12">
        <f>(1+InflationRate)^INT((JE45-1)/12)</f>
        <v/>
      </c>
      <c r="JJ45" s="11">
        <f>'Sens - Churn'!$A$16*VLOOKUP(JF45,ChurnSeasonTable,4,FALSE)</f>
        <v/>
      </c>
      <c r="JK45" s="12">
        <f>MIN(MAX(MktMin19plus,KE44*MktPct19plus),MAX(0,KS44-CashBuffer))</f>
        <v/>
      </c>
      <c r="JL45" s="12">
        <f>IF(JK45&gt;0,MAX(1,ROUND(JK45/CAC*JH45,0)),0)</f>
        <v/>
      </c>
      <c r="JM45" s="12">
        <f>IF(JL45&gt;0,ROUND(JL45*ReferralMix/(1-ReferralMix),0),0)</f>
        <v/>
      </c>
      <c r="JN45" s="12">
        <f>JL45+JM45</f>
        <v/>
      </c>
      <c r="JO45" s="12">
        <f>ROUND(JN45*(1-AnnualMix),0)</f>
        <v/>
      </c>
      <c r="JP45" s="12">
        <f>JN45-JO45</f>
        <v/>
      </c>
      <c r="JQ45" s="12">
        <f>ROUND(JO45*EssentialMix,0)</f>
        <v/>
      </c>
      <c r="JR45" s="12">
        <f>JO45-JQ45</f>
        <v/>
      </c>
      <c r="JS45" s="12">
        <f>ROUND(JP45*EssentialMix,0)</f>
        <v/>
      </c>
      <c r="JT45" s="12">
        <f>JP45-JS45</f>
        <v/>
      </c>
      <c r="JU45" s="12">
        <f>JQ45+JQ44+JQ43+MAX(0,JU44-JQ44-JQ43)*(1-JJ45)</f>
        <v/>
      </c>
      <c r="JV45" s="12">
        <f>JR45+JR44+JR43+MAX(0,JV44-JR44-JR43)*(1-JJ45)</f>
        <v/>
      </c>
      <c r="JW45" s="12">
        <f>JW44+JS45-JS33*(AnnualChurn*VLOOKUP(JF45,ChurnSeasonTable,4,FALSE))*POWER(1-(AnnualChurn*VLOOKUP(JF45,ChurnSeasonTable,4,FALSE)),0)+JS21*(AnnualChurn*VLOOKUP(JF45,ChurnSeasonTable,4,FALSE))*POWER(1-(AnnualChurn*VLOOKUP(JF45,ChurnSeasonTable,4,FALSE)),1)+JS9*(AnnualChurn*VLOOKUP(JF45,ChurnSeasonTable,4,FALSE))*POWER(1-(AnnualChurn*VLOOKUP(JF45,ChurnSeasonTable,4,FALSE)),2)</f>
        <v/>
      </c>
      <c r="JX45" s="12">
        <f>JX44+JT45-JT33*(AnnualChurn*VLOOKUP(JF45,ChurnSeasonTable,4,FALSE))*POWER(1-(AnnualChurn*VLOOKUP(JF45,ChurnSeasonTable,4,FALSE)),0)+JT21*(AnnualChurn*VLOOKUP(JF45,ChurnSeasonTable,4,FALSE))*POWER(1-(AnnualChurn*VLOOKUP(JF45,ChurnSeasonTable,4,FALSE)),1)+JT9*(AnnualChurn*VLOOKUP(JF45,ChurnSeasonTable,4,FALSE))*POWER(1-(AnnualChurn*VLOOKUP(JF45,ChurnSeasonTable,4,FALSE)),2)</f>
        <v/>
      </c>
      <c r="JY45" s="12">
        <f>JU45+JV45+JW45+JX45</f>
        <v/>
      </c>
      <c r="JZ45" s="9">
        <f>JU45*PriceEssMonthly*JI45+JV45*PricePremMonthly*JI45+JW45*PriceEssAnnual*JI45/12+JX45*PricePremAnnual*JI45/12</f>
        <v/>
      </c>
      <c r="KA45" s="9">
        <f>JZ45*12</f>
        <v/>
      </c>
      <c r="KB45" s="12">
        <f>JU45*PriceEssMonthly*JI45+JV45*PricePremMonthly*JI45</f>
        <v/>
      </c>
      <c r="KC45" s="12">
        <f>JS45*PriceEssAnnual*JI45+JT45*PricePremAnnual*JI45</f>
        <v/>
      </c>
      <c r="KD45" s="12">
        <f>JS33*POWER(1-(AnnualChurn*VLOOKUP(JF45,ChurnSeasonTable,4,FALSE)),1)*PriceEssAnnual*JI45+JS21*POWER(1-(AnnualChurn*VLOOKUP(JF45,ChurnSeasonTable,4,FALSE)),2)*PriceEssAnnual*JI45+JS9*POWER(1-(AnnualChurn*VLOOKUP(JF45,ChurnSeasonTable,4,FALSE)),3)*PriceEssAnnual*JI45+JT33*POWER(1-(AnnualChurn*VLOOKUP(JF45,ChurnSeasonTable,4,FALSE)),1)*PricePremAnnual*JI45+JT21*POWER(1-(AnnualChurn*VLOOKUP(JF45,ChurnSeasonTable,4,FALSE)),2)*PricePremAnnual*JI45+JT9*POWER(1-(AnnualChurn*VLOOKUP(JF45,ChurnSeasonTable,4,FALSE)),3)*PricePremAnnual*JI45</f>
        <v/>
      </c>
      <c r="KE45" s="9">
        <f>KB45+KC45+KD45</f>
        <v/>
      </c>
      <c r="KF45" s="12">
        <f>SUM(KE34:KE45)</f>
        <v/>
      </c>
      <c r="KG45" s="12">
        <f>OR(KG44,KF45&gt;=VATThreshold)</f>
        <v/>
      </c>
      <c r="KH45" s="9">
        <f>IF(KG45,KE45/(1+VATRate),KE45)</f>
        <v/>
      </c>
      <c r="KI45" s="12">
        <f>KE45-KH45</f>
        <v/>
      </c>
      <c r="KJ45" s="12">
        <f>IF(KG45=0,0,IF(JF45=1,SUMPRODUCT(--(($JG$5:$JG45=$JG45-1)*($JF$5:$JF45&gt;=10)*($JF$5:$JF45&lt;=12)),$KI$5:$KI45),IF(JF45=4,SUMPRODUCT(--(($JG$5:$JG45=$JG45)*($JF$5:$JF45&gt;=1)*($JF$5:$JF45&lt;=3)),$KI$5:$KI45),IF(JF45=7,SUMPRODUCT(--(($JG$5:$JG45=$JG45)*($JF$5:$JF45&gt;=4)*($JF$5:$JF45&lt;=6)),$KI$5:$KI45),IF(JF45=10,SUMPRODUCT(--(($JG$5:$JG45=$JG45)*($JF$5:$JF45&gt;=7)*($JF$5:$JF45&lt;=9)),$KI$5:$KI45),0)))))</f>
        <v/>
      </c>
      <c r="KK45" s="12">
        <f>KK44+KI45-KJ45</f>
        <v/>
      </c>
      <c r="KL45" s="12">
        <f>IF(ProviderDelay&gt;=1,KH44*ProviderShare,KH45*ProviderShare)</f>
        <v/>
      </c>
      <c r="KM45" s="12">
        <f>KE45*PaymentFee</f>
        <v/>
      </c>
      <c r="KN45" s="12">
        <f>JY45*OpsAI</f>
        <v/>
      </c>
      <c r="KO45" s="12">
        <f>MonthlyFixed</f>
        <v/>
      </c>
      <c r="KP45" s="12">
        <f>JM45*ReferralReward</f>
        <v/>
      </c>
      <c r="KQ45" s="12">
        <f>JK45</f>
        <v/>
      </c>
      <c r="KR45" s="9">
        <f>KH45-KL45-KM45-KN45-KO45-KP45-KQ45</f>
        <v/>
      </c>
      <c r="KS45" s="9">
        <f>KS44+KE45-(KL45+KM45+KN45+KO45+KP45+KQ45+KJ45)</f>
        <v/>
      </c>
      <c r="KT45" s="12">
        <f>IF(JY45&gt;0,JZ45/JY45,0)</f>
        <v/>
      </c>
      <c r="KU45" s="11">
        <f>IF(JY44&gt;0,MAX(0,(JY44+JN45-JY45)/JY44),0)</f>
        <v/>
      </c>
      <c r="KW45" s="12" t="n">
        <v>41</v>
      </c>
      <c r="KX45" s="12">
        <f>MOD(KW45-1+LaunchMonth-1,12)+1</f>
        <v/>
      </c>
      <c r="KY45" s="12">
        <f>INT((KW45-1+LaunchMonth-1)/12)+1</f>
        <v/>
      </c>
      <c r="KZ45" s="12">
        <f>VLOOKUP(KX45,SeasonTable,2,FALSE)</f>
        <v/>
      </c>
      <c r="LA45" s="12">
        <f>(1+InflationRate)^INT((KW45-1)/12)</f>
        <v/>
      </c>
      <c r="LB45" s="11">
        <f>'Sens - Churn'!$A$17*VLOOKUP(KX45,ChurnSeasonTable,4,FALSE)</f>
        <v/>
      </c>
      <c r="LC45" s="12">
        <f>MIN(MAX(MktMin19plus,LW44*MktPct19plus),MAX(0,MK44-CashBuffer))</f>
        <v/>
      </c>
      <c r="LD45" s="12">
        <f>IF(LC45&gt;0,MAX(1,ROUND(LC45/CAC*KZ45,0)),0)</f>
        <v/>
      </c>
      <c r="LE45" s="12">
        <f>IF(LD45&gt;0,ROUND(LD45*ReferralMix/(1-ReferralMix),0),0)</f>
        <v/>
      </c>
      <c r="LF45" s="12">
        <f>LD45+LE45</f>
        <v/>
      </c>
      <c r="LG45" s="12">
        <f>ROUND(LF45*(1-AnnualMix),0)</f>
        <v/>
      </c>
      <c r="LH45" s="12">
        <f>LF45-LG45</f>
        <v/>
      </c>
      <c r="LI45" s="12">
        <f>ROUND(LG45*EssentialMix,0)</f>
        <v/>
      </c>
      <c r="LJ45" s="12">
        <f>LG45-LI45</f>
        <v/>
      </c>
      <c r="LK45" s="12">
        <f>ROUND(LH45*EssentialMix,0)</f>
        <v/>
      </c>
      <c r="LL45" s="12">
        <f>LH45-LK45</f>
        <v/>
      </c>
      <c r="LM45" s="12">
        <f>LI45+LI44+LI43+MAX(0,LM44-LI44-LI43)*(1-LB45)</f>
        <v/>
      </c>
      <c r="LN45" s="12">
        <f>LJ45+LJ44+LJ43+MAX(0,LN44-LJ44-LJ43)*(1-LB45)</f>
        <v/>
      </c>
      <c r="LO45" s="12">
        <f>LO44+LK45-LK33*(AnnualChurn*VLOOKUP(KX45,ChurnSeasonTable,4,FALSE))*POWER(1-(AnnualChurn*VLOOKUP(KX45,ChurnSeasonTable,4,FALSE)),0)+LK21*(AnnualChurn*VLOOKUP(KX45,ChurnSeasonTable,4,FALSE))*POWER(1-(AnnualChurn*VLOOKUP(KX45,ChurnSeasonTable,4,FALSE)),1)+LK9*(AnnualChurn*VLOOKUP(KX45,ChurnSeasonTable,4,FALSE))*POWER(1-(AnnualChurn*VLOOKUP(KX45,ChurnSeasonTable,4,FALSE)),2)</f>
        <v/>
      </c>
      <c r="LP45" s="12">
        <f>LP44+LL45-LL33*(AnnualChurn*VLOOKUP(KX45,ChurnSeasonTable,4,FALSE))*POWER(1-(AnnualChurn*VLOOKUP(KX45,ChurnSeasonTable,4,FALSE)),0)+LL21*(AnnualChurn*VLOOKUP(KX45,ChurnSeasonTable,4,FALSE))*POWER(1-(AnnualChurn*VLOOKUP(KX45,ChurnSeasonTable,4,FALSE)),1)+LL9*(AnnualChurn*VLOOKUP(KX45,ChurnSeasonTable,4,FALSE))*POWER(1-(AnnualChurn*VLOOKUP(KX45,ChurnSeasonTable,4,FALSE)),2)</f>
        <v/>
      </c>
      <c r="LQ45" s="12">
        <f>LM45+LN45+LO45+LP45</f>
        <v/>
      </c>
      <c r="LR45" s="9">
        <f>LM45*PriceEssMonthly*LA45+LN45*PricePremMonthly*LA45+LO45*PriceEssAnnual*LA45/12+LP45*PricePremAnnual*LA45/12</f>
        <v/>
      </c>
      <c r="LS45" s="9">
        <f>LR45*12</f>
        <v/>
      </c>
      <c r="LT45" s="12">
        <f>LM45*PriceEssMonthly*LA45+LN45*PricePremMonthly*LA45</f>
        <v/>
      </c>
      <c r="LU45" s="12">
        <f>LK45*PriceEssAnnual*LA45+LL45*PricePremAnnual*LA45</f>
        <v/>
      </c>
      <c r="LV45" s="12">
        <f>LK33*POWER(1-(AnnualChurn*VLOOKUP(KX45,ChurnSeasonTable,4,FALSE)),1)*PriceEssAnnual*LA45+LK21*POWER(1-(AnnualChurn*VLOOKUP(KX45,ChurnSeasonTable,4,FALSE)),2)*PriceEssAnnual*LA45+LK9*POWER(1-(AnnualChurn*VLOOKUP(KX45,ChurnSeasonTable,4,FALSE)),3)*PriceEssAnnual*LA45+LL33*POWER(1-(AnnualChurn*VLOOKUP(KX45,ChurnSeasonTable,4,FALSE)),1)*PricePremAnnual*LA45+LL21*POWER(1-(AnnualChurn*VLOOKUP(KX45,ChurnSeasonTable,4,FALSE)),2)*PricePremAnnual*LA45+LL9*POWER(1-(AnnualChurn*VLOOKUP(KX45,ChurnSeasonTable,4,FALSE)),3)*PricePremAnnual*LA45</f>
        <v/>
      </c>
      <c r="LW45" s="9">
        <f>LT45+LU45+LV45</f>
        <v/>
      </c>
      <c r="LX45" s="12">
        <f>SUM(LW34:LW45)</f>
        <v/>
      </c>
      <c r="LY45" s="12">
        <f>OR(LY44,LX45&gt;=VATThreshold)</f>
        <v/>
      </c>
      <c r="LZ45" s="9">
        <f>IF(LY45,LW45/(1+VATRate),LW45)</f>
        <v/>
      </c>
      <c r="MA45" s="12">
        <f>LW45-LZ45</f>
        <v/>
      </c>
      <c r="MB45" s="12">
        <f>IF(LY45=0,0,IF(KX45=1,SUMPRODUCT(--(($KY$5:$KY45=$KY45-1)*($KX$5:$KX45&gt;=10)*($KX$5:$KX45&lt;=12)),$MA$5:$MA45),IF(KX45=4,SUMPRODUCT(--(($KY$5:$KY45=$KY45)*($KX$5:$KX45&gt;=1)*($KX$5:$KX45&lt;=3)),$MA$5:$MA45),IF(KX45=7,SUMPRODUCT(--(($KY$5:$KY45=$KY45)*($KX$5:$KX45&gt;=4)*($KX$5:$KX45&lt;=6)),$MA$5:$MA45),IF(KX45=10,SUMPRODUCT(--(($KY$5:$KY45=$KY45)*($KX$5:$KX45&gt;=7)*($KX$5:$KX45&lt;=9)),$MA$5:$MA45),0)))))</f>
        <v/>
      </c>
      <c r="MC45" s="12">
        <f>MC44+MA45-MB45</f>
        <v/>
      </c>
      <c r="MD45" s="12">
        <f>IF(ProviderDelay&gt;=1,LZ44*ProviderShare,LZ45*ProviderShare)</f>
        <v/>
      </c>
      <c r="ME45" s="12">
        <f>LW45*PaymentFee</f>
        <v/>
      </c>
      <c r="MF45" s="12">
        <f>LQ45*OpsAI</f>
        <v/>
      </c>
      <c r="MG45" s="12">
        <f>MonthlyFixed</f>
        <v/>
      </c>
      <c r="MH45" s="12">
        <f>LE45*ReferralReward</f>
        <v/>
      </c>
      <c r="MI45" s="12">
        <f>LC45</f>
        <v/>
      </c>
      <c r="MJ45" s="9">
        <f>LZ45-MD45-ME45-MF45-MG45-MH45-MI45</f>
        <v/>
      </c>
      <c r="MK45" s="9">
        <f>MK44+LW45-(MD45+ME45+MF45+MG45+MH45+MI45+MB45)</f>
        <v/>
      </c>
      <c r="ML45" s="12">
        <f>IF(LQ45&gt;0,LR45/LQ45,0)</f>
        <v/>
      </c>
      <c r="MM45" s="11">
        <f>IF(LQ44&gt;0,MAX(0,(LQ44+LF45-LQ45)/LQ44),0)</f>
        <v/>
      </c>
      <c r="MO45" s="12" t="n">
        <v>41</v>
      </c>
      <c r="MP45" s="12">
        <f>MOD(MO45-1+LaunchMonth-1,12)+1</f>
        <v/>
      </c>
      <c r="MQ45" s="12">
        <f>INT((MO45-1+LaunchMonth-1)/12)+1</f>
        <v/>
      </c>
      <c r="MR45" s="12">
        <f>VLOOKUP(MP45,SeasonTable,2,FALSE)</f>
        <v/>
      </c>
      <c r="MS45" s="12">
        <f>(1+InflationRate)^INT((MO45-1)/12)</f>
        <v/>
      </c>
      <c r="MT45" s="11">
        <f>'Sens - Churn'!$A$18*VLOOKUP(MP45,ChurnSeasonTable,4,FALSE)</f>
        <v/>
      </c>
      <c r="MU45" s="12">
        <f>MIN(MAX(MktMin19plus,NO44*MktPct19plus),MAX(0,OC44-CashBuffer))</f>
        <v/>
      </c>
      <c r="MV45" s="12">
        <f>IF(MU45&gt;0,MAX(1,ROUND(MU45/CAC*MR45,0)),0)</f>
        <v/>
      </c>
      <c r="MW45" s="12">
        <f>IF(MV45&gt;0,ROUND(MV45*ReferralMix/(1-ReferralMix),0),0)</f>
        <v/>
      </c>
      <c r="MX45" s="12">
        <f>MV45+MW45</f>
        <v/>
      </c>
      <c r="MY45" s="12">
        <f>ROUND(MX45*(1-AnnualMix),0)</f>
        <v/>
      </c>
      <c r="MZ45" s="12">
        <f>MX45-MY45</f>
        <v/>
      </c>
      <c r="NA45" s="12">
        <f>ROUND(MY45*EssentialMix,0)</f>
        <v/>
      </c>
      <c r="NB45" s="12">
        <f>MY45-NA45</f>
        <v/>
      </c>
      <c r="NC45" s="12">
        <f>ROUND(MZ45*EssentialMix,0)</f>
        <v/>
      </c>
      <c r="ND45" s="12">
        <f>MZ45-NC45</f>
        <v/>
      </c>
      <c r="NE45" s="12">
        <f>NA45+NA44+NA43+MAX(0,NE44-NA44-NA43)*(1-MT45)</f>
        <v/>
      </c>
      <c r="NF45" s="12">
        <f>NB45+NB44+NB43+MAX(0,NF44-NB44-NB43)*(1-MT45)</f>
        <v/>
      </c>
      <c r="NG45" s="12">
        <f>NG44+NC45-NC33*(AnnualChurn*VLOOKUP(MP45,ChurnSeasonTable,4,FALSE))*POWER(1-(AnnualChurn*VLOOKUP(MP45,ChurnSeasonTable,4,FALSE)),0)+NC21*(AnnualChurn*VLOOKUP(MP45,ChurnSeasonTable,4,FALSE))*POWER(1-(AnnualChurn*VLOOKUP(MP45,ChurnSeasonTable,4,FALSE)),1)+NC9*(AnnualChurn*VLOOKUP(MP45,ChurnSeasonTable,4,FALSE))*POWER(1-(AnnualChurn*VLOOKUP(MP45,ChurnSeasonTable,4,FALSE)),2)</f>
        <v/>
      </c>
      <c r="NH45" s="12">
        <f>NH44+ND45-ND33*(AnnualChurn*VLOOKUP(MP45,ChurnSeasonTable,4,FALSE))*POWER(1-(AnnualChurn*VLOOKUP(MP45,ChurnSeasonTable,4,FALSE)),0)+ND21*(AnnualChurn*VLOOKUP(MP45,ChurnSeasonTable,4,FALSE))*POWER(1-(AnnualChurn*VLOOKUP(MP45,ChurnSeasonTable,4,FALSE)),1)+ND9*(AnnualChurn*VLOOKUP(MP45,ChurnSeasonTable,4,FALSE))*POWER(1-(AnnualChurn*VLOOKUP(MP45,ChurnSeasonTable,4,FALSE)),2)</f>
        <v/>
      </c>
      <c r="NI45" s="12">
        <f>NE45+NF45+NG45+NH45</f>
        <v/>
      </c>
      <c r="NJ45" s="9">
        <f>NE45*PriceEssMonthly*MS45+NF45*PricePremMonthly*MS45+NG45*PriceEssAnnual*MS45/12+NH45*PricePremAnnual*MS45/12</f>
        <v/>
      </c>
      <c r="NK45" s="9">
        <f>NJ45*12</f>
        <v/>
      </c>
      <c r="NL45" s="12">
        <f>NE45*PriceEssMonthly*MS45+NF45*PricePremMonthly*MS45</f>
        <v/>
      </c>
      <c r="NM45" s="12">
        <f>NC45*PriceEssAnnual*MS45+ND45*PricePremAnnual*MS45</f>
        <v/>
      </c>
      <c r="NN45" s="12">
        <f>NC33*POWER(1-(AnnualChurn*VLOOKUP(MP45,ChurnSeasonTable,4,FALSE)),1)*PriceEssAnnual*MS45+NC21*POWER(1-(AnnualChurn*VLOOKUP(MP45,ChurnSeasonTable,4,FALSE)),2)*PriceEssAnnual*MS45+NC9*POWER(1-(AnnualChurn*VLOOKUP(MP45,ChurnSeasonTable,4,FALSE)),3)*PriceEssAnnual*MS45+ND33*POWER(1-(AnnualChurn*VLOOKUP(MP45,ChurnSeasonTable,4,FALSE)),1)*PricePremAnnual*MS45+ND21*POWER(1-(AnnualChurn*VLOOKUP(MP45,ChurnSeasonTable,4,FALSE)),2)*PricePremAnnual*MS45+ND9*POWER(1-(AnnualChurn*VLOOKUP(MP45,ChurnSeasonTable,4,FALSE)),3)*PricePremAnnual*MS45</f>
        <v/>
      </c>
      <c r="NO45" s="9">
        <f>NL45+NM45+NN45</f>
        <v/>
      </c>
      <c r="NP45" s="12">
        <f>SUM(NO34:NO45)</f>
        <v/>
      </c>
      <c r="NQ45" s="12">
        <f>OR(NQ44,NP45&gt;=VATThreshold)</f>
        <v/>
      </c>
      <c r="NR45" s="9">
        <f>IF(NQ45,NO45/(1+VATRate),NO45)</f>
        <v/>
      </c>
      <c r="NS45" s="12">
        <f>NO45-NR45</f>
        <v/>
      </c>
      <c r="NT45" s="12">
        <f>IF(NQ45=0,0,IF(MP45=1,SUMPRODUCT(--(($MQ$5:$MQ45=$MQ45-1)*($MP$5:$MP45&gt;=10)*($MP$5:$MP45&lt;=12)),$NS$5:$NS45),IF(MP45=4,SUMPRODUCT(--(($MQ$5:$MQ45=$MQ45)*($MP$5:$MP45&gt;=1)*($MP$5:$MP45&lt;=3)),$NS$5:$NS45),IF(MP45=7,SUMPRODUCT(--(($MQ$5:$MQ45=$MQ45)*($MP$5:$MP45&gt;=4)*($MP$5:$MP45&lt;=6)),$NS$5:$NS45),IF(MP45=10,SUMPRODUCT(--(($MQ$5:$MQ45=$MQ45)*($MP$5:$MP45&gt;=7)*($MP$5:$MP45&lt;=9)),$NS$5:$NS45),0)))))</f>
        <v/>
      </c>
      <c r="NU45" s="12">
        <f>NU44+NS45-NT45</f>
        <v/>
      </c>
      <c r="NV45" s="12">
        <f>IF(ProviderDelay&gt;=1,NR44*ProviderShare,NR45*ProviderShare)</f>
        <v/>
      </c>
      <c r="NW45" s="12">
        <f>NO45*PaymentFee</f>
        <v/>
      </c>
      <c r="NX45" s="12">
        <f>NI45*OpsAI</f>
        <v/>
      </c>
      <c r="NY45" s="12">
        <f>MonthlyFixed</f>
        <v/>
      </c>
      <c r="NZ45" s="12">
        <f>MW45*ReferralReward</f>
        <v/>
      </c>
      <c r="OA45" s="12">
        <f>MU45</f>
        <v/>
      </c>
      <c r="OB45" s="9">
        <f>NR45-NV45-NW45-NX45-NY45-NZ45-OA45</f>
        <v/>
      </c>
      <c r="OC45" s="9">
        <f>OC44+NO45-(NV45+NW45+NX45+NY45+NZ45+OA45+NT45)</f>
        <v/>
      </c>
      <c r="OD45" s="12">
        <f>IF(NI45&gt;0,NJ45/NI45,0)</f>
        <v/>
      </c>
      <c r="OE45" s="11">
        <f>IF(NI44&gt;0,MAX(0,(NI44+MX45-NI45)/NI44),0)</f>
        <v/>
      </c>
      <c r="OG45" s="12" t="n">
        <v>41</v>
      </c>
      <c r="OH45" s="12">
        <f>MOD(OG45-1+LaunchMonth-1,12)+1</f>
        <v/>
      </c>
      <c r="OI45" s="12">
        <f>INT((OG45-1+LaunchMonth-1)/12)+1</f>
        <v/>
      </c>
      <c r="OJ45" s="12">
        <f>VLOOKUP(OH45,SeasonTable,2,FALSE)</f>
        <v/>
      </c>
      <c r="OK45" s="12">
        <f>(1+InflationRate)^INT((OG45-1)/12)</f>
        <v/>
      </c>
      <c r="OL45" s="11">
        <f>'Sens - Churn'!$A$19*VLOOKUP(OH45,ChurnSeasonTable,4,FALSE)</f>
        <v/>
      </c>
      <c r="OM45" s="12">
        <f>MIN(MAX(MktMin19plus,PG44*MktPct19plus),MAX(0,PU44-CashBuffer))</f>
        <v/>
      </c>
      <c r="ON45" s="12">
        <f>IF(OM45&gt;0,MAX(1,ROUND(OM45/CAC*OJ45,0)),0)</f>
        <v/>
      </c>
      <c r="OO45" s="12">
        <f>IF(ON45&gt;0,ROUND(ON45*ReferralMix/(1-ReferralMix),0),0)</f>
        <v/>
      </c>
      <c r="OP45" s="12">
        <f>ON45+OO45</f>
        <v/>
      </c>
      <c r="OQ45" s="12">
        <f>ROUND(OP45*(1-AnnualMix),0)</f>
        <v/>
      </c>
      <c r="OR45" s="12">
        <f>OP45-OQ45</f>
        <v/>
      </c>
      <c r="OS45" s="12">
        <f>ROUND(OQ45*EssentialMix,0)</f>
        <v/>
      </c>
      <c r="OT45" s="12">
        <f>OQ45-OS45</f>
        <v/>
      </c>
      <c r="OU45" s="12">
        <f>ROUND(OR45*EssentialMix,0)</f>
        <v/>
      </c>
      <c r="OV45" s="12">
        <f>OR45-OU45</f>
        <v/>
      </c>
      <c r="OW45" s="12">
        <f>OS45+OS44+OS43+MAX(0,OW44-OS44-OS43)*(1-OL45)</f>
        <v/>
      </c>
      <c r="OX45" s="12">
        <f>OT45+OT44+OT43+MAX(0,OX44-OT44-OT43)*(1-OL45)</f>
        <v/>
      </c>
      <c r="OY45" s="12">
        <f>OY44+OU45-OU33*(AnnualChurn*VLOOKUP(OH45,ChurnSeasonTable,4,FALSE))*POWER(1-(AnnualChurn*VLOOKUP(OH45,ChurnSeasonTable,4,FALSE)),0)+OU21*(AnnualChurn*VLOOKUP(OH45,ChurnSeasonTable,4,FALSE))*POWER(1-(AnnualChurn*VLOOKUP(OH45,ChurnSeasonTable,4,FALSE)),1)+OU9*(AnnualChurn*VLOOKUP(OH45,ChurnSeasonTable,4,FALSE))*POWER(1-(AnnualChurn*VLOOKUP(OH45,ChurnSeasonTable,4,FALSE)),2)</f>
        <v/>
      </c>
      <c r="OZ45" s="12">
        <f>OZ44+OV45-OV33*(AnnualChurn*VLOOKUP(OH45,ChurnSeasonTable,4,FALSE))*POWER(1-(AnnualChurn*VLOOKUP(OH45,ChurnSeasonTable,4,FALSE)),0)+OV21*(AnnualChurn*VLOOKUP(OH45,ChurnSeasonTable,4,FALSE))*POWER(1-(AnnualChurn*VLOOKUP(OH45,ChurnSeasonTable,4,FALSE)),1)+OV9*(AnnualChurn*VLOOKUP(OH45,ChurnSeasonTable,4,FALSE))*POWER(1-(AnnualChurn*VLOOKUP(OH45,ChurnSeasonTable,4,FALSE)),2)</f>
        <v/>
      </c>
      <c r="PA45" s="12">
        <f>OW45+OX45+OY45+OZ45</f>
        <v/>
      </c>
      <c r="PB45" s="9">
        <f>OW45*PriceEssMonthly*OK45+OX45*PricePremMonthly*OK45+OY45*PriceEssAnnual*OK45/12+OZ45*PricePremAnnual*OK45/12</f>
        <v/>
      </c>
      <c r="PC45" s="9">
        <f>PB45*12</f>
        <v/>
      </c>
      <c r="PD45" s="12">
        <f>OW45*PriceEssMonthly*OK45+OX45*PricePremMonthly*OK45</f>
        <v/>
      </c>
      <c r="PE45" s="12">
        <f>OU45*PriceEssAnnual*OK45+OV45*PricePremAnnual*OK45</f>
        <v/>
      </c>
      <c r="PF45" s="12">
        <f>OU33*POWER(1-(AnnualChurn*VLOOKUP(OH45,ChurnSeasonTable,4,FALSE)),1)*PriceEssAnnual*OK45+OU21*POWER(1-(AnnualChurn*VLOOKUP(OH45,ChurnSeasonTable,4,FALSE)),2)*PriceEssAnnual*OK45+OU9*POWER(1-(AnnualChurn*VLOOKUP(OH45,ChurnSeasonTable,4,FALSE)),3)*PriceEssAnnual*OK45+OV33*POWER(1-(AnnualChurn*VLOOKUP(OH45,ChurnSeasonTable,4,FALSE)),1)*PricePremAnnual*OK45+OV21*POWER(1-(AnnualChurn*VLOOKUP(OH45,ChurnSeasonTable,4,FALSE)),2)*PricePremAnnual*OK45+OV9*POWER(1-(AnnualChurn*VLOOKUP(OH45,ChurnSeasonTable,4,FALSE)),3)*PricePremAnnual*OK45</f>
        <v/>
      </c>
      <c r="PG45" s="9">
        <f>PD45+PE45+PF45</f>
        <v/>
      </c>
      <c r="PH45" s="12">
        <f>SUM(PG34:PG45)</f>
        <v/>
      </c>
      <c r="PI45" s="12">
        <f>OR(PI44,PH45&gt;=VATThreshold)</f>
        <v/>
      </c>
      <c r="PJ45" s="9">
        <f>IF(PI45,PG45/(1+VATRate),PG45)</f>
        <v/>
      </c>
      <c r="PK45" s="12">
        <f>PG45-PJ45</f>
        <v/>
      </c>
      <c r="PL45" s="12">
        <f>IF(PI45=0,0,IF(OH45=1,SUMPRODUCT(--(($OI$5:$OI45=$OI45-1)*($OH$5:$OH45&gt;=10)*($OH$5:$OH45&lt;=12)),$PK$5:$PK45),IF(OH45=4,SUMPRODUCT(--(($OI$5:$OI45=$OI45)*($OH$5:$OH45&gt;=1)*($OH$5:$OH45&lt;=3)),$PK$5:$PK45),IF(OH45=7,SUMPRODUCT(--(($OI$5:$OI45=$OI45)*($OH$5:$OH45&gt;=4)*($OH$5:$OH45&lt;=6)),$PK$5:$PK45),IF(OH45=10,SUMPRODUCT(--(($OI$5:$OI45=$OI45)*($OH$5:$OH45&gt;=7)*($OH$5:$OH45&lt;=9)),$PK$5:$PK45),0)))))</f>
        <v/>
      </c>
      <c r="PM45" s="12">
        <f>PM44+PK45-PL45</f>
        <v/>
      </c>
      <c r="PN45" s="12">
        <f>IF(ProviderDelay&gt;=1,PJ44*ProviderShare,PJ45*ProviderShare)</f>
        <v/>
      </c>
      <c r="PO45" s="12">
        <f>PG45*PaymentFee</f>
        <v/>
      </c>
      <c r="PP45" s="12">
        <f>PA45*OpsAI</f>
        <v/>
      </c>
      <c r="PQ45" s="12">
        <f>MonthlyFixed</f>
        <v/>
      </c>
      <c r="PR45" s="12">
        <f>OO45*ReferralReward</f>
        <v/>
      </c>
      <c r="PS45" s="12">
        <f>OM45</f>
        <v/>
      </c>
      <c r="PT45" s="9">
        <f>PJ45-PN45-PO45-PP45-PQ45-PR45-PS45</f>
        <v/>
      </c>
      <c r="PU45" s="9">
        <f>PU44+PG45-(PN45+PO45+PP45+PQ45+PR45+PS45+PL45)</f>
        <v/>
      </c>
      <c r="PV45" s="12">
        <f>IF(PA45&gt;0,PB45/PA45,0)</f>
        <v/>
      </c>
      <c r="PW45" s="11">
        <f>IF(PA44&gt;0,MAX(0,(PA44+OP45-PA45)/PA44),0)</f>
        <v/>
      </c>
      <c r="PY45" s="12" t="n">
        <v>41</v>
      </c>
      <c r="PZ45" s="12">
        <f>MOD(PY45-1+LaunchMonth-1,12)+1</f>
        <v/>
      </c>
      <c r="QA45" s="12">
        <f>INT((PY45-1+LaunchMonth-1)/12)+1</f>
        <v/>
      </c>
      <c r="QB45" s="12">
        <f>VLOOKUP(PZ45,SeasonTable,2,FALSE)</f>
        <v/>
      </c>
      <c r="QC45" s="12">
        <f>(1+InflationRate)^INT((PY45-1)/12)</f>
        <v/>
      </c>
      <c r="QD45" s="11">
        <f>'Sens - Churn'!$A$20*VLOOKUP(PZ45,ChurnSeasonTable,4,FALSE)</f>
        <v/>
      </c>
      <c r="QE45" s="12">
        <f>MIN(MAX(MktMin19plus,QY44*MktPct19plus),MAX(0,RM44-CashBuffer))</f>
        <v/>
      </c>
      <c r="QF45" s="12">
        <f>IF(QE45&gt;0,MAX(1,ROUND(QE45/CAC*QB45,0)),0)</f>
        <v/>
      </c>
      <c r="QG45" s="12">
        <f>IF(QF45&gt;0,ROUND(QF45*ReferralMix/(1-ReferralMix),0),0)</f>
        <v/>
      </c>
      <c r="QH45" s="12">
        <f>QF45+QG45</f>
        <v/>
      </c>
      <c r="QI45" s="12">
        <f>ROUND(QH45*(1-AnnualMix),0)</f>
        <v/>
      </c>
      <c r="QJ45" s="12">
        <f>QH45-QI45</f>
        <v/>
      </c>
      <c r="QK45" s="12">
        <f>ROUND(QI45*EssentialMix,0)</f>
        <v/>
      </c>
      <c r="QL45" s="12">
        <f>QI45-QK45</f>
        <v/>
      </c>
      <c r="QM45" s="12">
        <f>ROUND(QJ45*EssentialMix,0)</f>
        <v/>
      </c>
      <c r="QN45" s="12">
        <f>QJ45-QM45</f>
        <v/>
      </c>
      <c r="QO45" s="12">
        <f>QK45+QK44+QK43+MAX(0,QO44-QK44-QK43)*(1-QD45)</f>
        <v/>
      </c>
      <c r="QP45" s="12">
        <f>QL45+QL44+QL43+MAX(0,QP44-QL44-QL43)*(1-QD45)</f>
        <v/>
      </c>
      <c r="QQ45" s="12">
        <f>QQ44+QM45-QM33*(AnnualChurn*VLOOKUP(PZ45,ChurnSeasonTable,4,FALSE))*POWER(1-(AnnualChurn*VLOOKUP(PZ45,ChurnSeasonTable,4,FALSE)),0)+QM21*(AnnualChurn*VLOOKUP(PZ45,ChurnSeasonTable,4,FALSE))*POWER(1-(AnnualChurn*VLOOKUP(PZ45,ChurnSeasonTable,4,FALSE)),1)+QM9*(AnnualChurn*VLOOKUP(PZ45,ChurnSeasonTable,4,FALSE))*POWER(1-(AnnualChurn*VLOOKUP(PZ45,ChurnSeasonTable,4,FALSE)),2)</f>
        <v/>
      </c>
      <c r="QR45" s="12">
        <f>QR44+QN45-QN33*(AnnualChurn*VLOOKUP(PZ45,ChurnSeasonTable,4,FALSE))*POWER(1-(AnnualChurn*VLOOKUP(PZ45,ChurnSeasonTable,4,FALSE)),0)+QN21*(AnnualChurn*VLOOKUP(PZ45,ChurnSeasonTable,4,FALSE))*POWER(1-(AnnualChurn*VLOOKUP(PZ45,ChurnSeasonTable,4,FALSE)),1)+QN9*(AnnualChurn*VLOOKUP(PZ45,ChurnSeasonTable,4,FALSE))*POWER(1-(AnnualChurn*VLOOKUP(PZ45,ChurnSeasonTable,4,FALSE)),2)</f>
        <v/>
      </c>
      <c r="QS45" s="12">
        <f>QO45+QP45+QQ45+QR45</f>
        <v/>
      </c>
      <c r="QT45" s="9">
        <f>QO45*PriceEssMonthly*QC45+QP45*PricePremMonthly*QC45+QQ45*PriceEssAnnual*QC45/12+QR45*PricePremAnnual*QC45/12</f>
        <v/>
      </c>
      <c r="QU45" s="9">
        <f>QT45*12</f>
        <v/>
      </c>
      <c r="QV45" s="12">
        <f>QO45*PriceEssMonthly*QC45+QP45*PricePremMonthly*QC45</f>
        <v/>
      </c>
      <c r="QW45" s="12">
        <f>QM45*PriceEssAnnual*QC45+QN45*PricePremAnnual*QC45</f>
        <v/>
      </c>
      <c r="QX45" s="12">
        <f>QM33*POWER(1-(AnnualChurn*VLOOKUP(PZ45,ChurnSeasonTable,4,FALSE)),1)*PriceEssAnnual*QC45+QM21*POWER(1-(AnnualChurn*VLOOKUP(PZ45,ChurnSeasonTable,4,FALSE)),2)*PriceEssAnnual*QC45+QM9*POWER(1-(AnnualChurn*VLOOKUP(PZ45,ChurnSeasonTable,4,FALSE)),3)*PriceEssAnnual*QC45+QN33*POWER(1-(AnnualChurn*VLOOKUP(PZ45,ChurnSeasonTable,4,FALSE)),1)*PricePremAnnual*QC45+QN21*POWER(1-(AnnualChurn*VLOOKUP(PZ45,ChurnSeasonTable,4,FALSE)),2)*PricePremAnnual*QC45+QN9*POWER(1-(AnnualChurn*VLOOKUP(PZ45,ChurnSeasonTable,4,FALSE)),3)*PricePremAnnual*QC45</f>
        <v/>
      </c>
      <c r="QY45" s="9">
        <f>QV45+QW45+QX45</f>
        <v/>
      </c>
      <c r="QZ45" s="12">
        <f>SUM(QY34:QY45)</f>
        <v/>
      </c>
      <c r="RA45" s="12">
        <f>OR(RA44,QZ45&gt;=VATThreshold)</f>
        <v/>
      </c>
      <c r="RB45" s="9">
        <f>IF(RA45,QY45/(1+VATRate),QY45)</f>
        <v/>
      </c>
      <c r="RC45" s="12">
        <f>QY45-RB45</f>
        <v/>
      </c>
      <c r="RD45" s="12">
        <f>IF(RA45=0,0,IF(PZ45=1,SUMPRODUCT(--(($QA$5:$QA45=$QA45-1)*($PZ$5:$PZ45&gt;=10)*($PZ$5:$PZ45&lt;=12)),$RC$5:$RC45),IF(PZ45=4,SUMPRODUCT(--(($QA$5:$QA45=$QA45)*($PZ$5:$PZ45&gt;=1)*($PZ$5:$PZ45&lt;=3)),$RC$5:$RC45),IF(PZ45=7,SUMPRODUCT(--(($QA$5:$QA45=$QA45)*($PZ$5:$PZ45&gt;=4)*($PZ$5:$PZ45&lt;=6)),$RC$5:$RC45),IF(PZ45=10,SUMPRODUCT(--(($QA$5:$QA45=$QA45)*($PZ$5:$PZ45&gt;=7)*($PZ$5:$PZ45&lt;=9)),$RC$5:$RC45),0)))))</f>
        <v/>
      </c>
      <c r="RE45" s="12">
        <f>RE44+RC45-RD45</f>
        <v/>
      </c>
      <c r="RF45" s="12">
        <f>IF(ProviderDelay&gt;=1,RB44*ProviderShare,RB45*ProviderShare)</f>
        <v/>
      </c>
      <c r="RG45" s="12">
        <f>QY45*PaymentFee</f>
        <v/>
      </c>
      <c r="RH45" s="12">
        <f>QS45*OpsAI</f>
        <v/>
      </c>
      <c r="RI45" s="12">
        <f>MonthlyFixed</f>
        <v/>
      </c>
      <c r="RJ45" s="12">
        <f>QG45*ReferralReward</f>
        <v/>
      </c>
      <c r="RK45" s="12">
        <f>QE45</f>
        <v/>
      </c>
      <c r="RL45" s="9">
        <f>RB45-RF45-RG45-RH45-RI45-RJ45-RK45</f>
        <v/>
      </c>
      <c r="RM45" s="9">
        <f>RM44+QY45-(RF45+RG45+RH45+RI45+RJ45+RK45+RD45)</f>
        <v/>
      </c>
      <c r="RN45" s="12">
        <f>IF(QS45&gt;0,QT45/QS45,0)</f>
        <v/>
      </c>
      <c r="RO45" s="11">
        <f>IF(QS44&gt;0,MAX(0,(QS44+QH45-QS45)/QS44),0)</f>
        <v/>
      </c>
      <c r="RQ45" s="12" t="n">
        <v>41</v>
      </c>
      <c r="RR45" s="12">
        <f>MOD(RQ45-1+LaunchMonth-1,12)+1</f>
        <v/>
      </c>
      <c r="RS45" s="12">
        <f>INT((RQ45-1+LaunchMonth-1)/12)+1</f>
        <v/>
      </c>
      <c r="RT45" s="12">
        <f>VLOOKUP(RR45,SeasonTable,2,FALSE)</f>
        <v/>
      </c>
      <c r="RU45" s="12">
        <f>(1+InflationRate)^INT((RQ45-1)/12)</f>
        <v/>
      </c>
      <c r="RV45" s="11">
        <f>'Sens - Churn'!$A$21*VLOOKUP(RR45,ChurnSeasonTable,4,FALSE)</f>
        <v/>
      </c>
      <c r="RW45" s="12">
        <f>MIN(MAX(MktMin19plus,SQ44*MktPct19plus),MAX(0,TE44-CashBuffer))</f>
        <v/>
      </c>
      <c r="RX45" s="12">
        <f>IF(RW45&gt;0,MAX(1,ROUND(RW45/CAC*RT45,0)),0)</f>
        <v/>
      </c>
      <c r="RY45" s="12">
        <f>IF(RX45&gt;0,ROUND(RX45*ReferralMix/(1-ReferralMix),0),0)</f>
        <v/>
      </c>
      <c r="RZ45" s="12">
        <f>RX45+RY45</f>
        <v/>
      </c>
      <c r="SA45" s="12">
        <f>ROUND(RZ45*(1-AnnualMix),0)</f>
        <v/>
      </c>
      <c r="SB45" s="12">
        <f>RZ45-SA45</f>
        <v/>
      </c>
      <c r="SC45" s="12">
        <f>ROUND(SA45*EssentialMix,0)</f>
        <v/>
      </c>
      <c r="SD45" s="12">
        <f>SA45-SC45</f>
        <v/>
      </c>
      <c r="SE45" s="12">
        <f>ROUND(SB45*EssentialMix,0)</f>
        <v/>
      </c>
      <c r="SF45" s="12">
        <f>SB45-SE45</f>
        <v/>
      </c>
      <c r="SG45" s="12">
        <f>SC45+SC44+SC43+MAX(0,SG44-SC44-SC43)*(1-RV45)</f>
        <v/>
      </c>
      <c r="SH45" s="12">
        <f>SD45+SD44+SD43+MAX(0,SH44-SD44-SD43)*(1-RV45)</f>
        <v/>
      </c>
      <c r="SI45" s="12">
        <f>SI44+SE45-SE33*(AnnualChurn*VLOOKUP(RR45,ChurnSeasonTable,4,FALSE))*POWER(1-(AnnualChurn*VLOOKUP(RR45,ChurnSeasonTable,4,FALSE)),0)+SE21*(AnnualChurn*VLOOKUP(RR45,ChurnSeasonTable,4,FALSE))*POWER(1-(AnnualChurn*VLOOKUP(RR45,ChurnSeasonTable,4,FALSE)),1)+SE9*(AnnualChurn*VLOOKUP(RR45,ChurnSeasonTable,4,FALSE))*POWER(1-(AnnualChurn*VLOOKUP(RR45,ChurnSeasonTable,4,FALSE)),2)</f>
        <v/>
      </c>
      <c r="SJ45" s="12">
        <f>SJ44+SF45-SF33*(AnnualChurn*VLOOKUP(RR45,ChurnSeasonTable,4,FALSE))*POWER(1-(AnnualChurn*VLOOKUP(RR45,ChurnSeasonTable,4,FALSE)),0)+SF21*(AnnualChurn*VLOOKUP(RR45,ChurnSeasonTable,4,FALSE))*POWER(1-(AnnualChurn*VLOOKUP(RR45,ChurnSeasonTable,4,FALSE)),1)+SF9*(AnnualChurn*VLOOKUP(RR45,ChurnSeasonTable,4,FALSE))*POWER(1-(AnnualChurn*VLOOKUP(RR45,ChurnSeasonTable,4,FALSE)),2)</f>
        <v/>
      </c>
      <c r="SK45" s="12">
        <f>SG45+SH45+SI45+SJ45</f>
        <v/>
      </c>
      <c r="SL45" s="9">
        <f>SG45*PriceEssMonthly*RU45+SH45*PricePremMonthly*RU45+SI45*PriceEssAnnual*RU45/12+SJ45*PricePremAnnual*RU45/12</f>
        <v/>
      </c>
      <c r="SM45" s="9">
        <f>SL45*12</f>
        <v/>
      </c>
      <c r="SN45" s="12">
        <f>SG45*PriceEssMonthly*RU45+SH45*PricePremMonthly*RU45</f>
        <v/>
      </c>
      <c r="SO45" s="12">
        <f>SE45*PriceEssAnnual*RU45+SF45*PricePremAnnual*RU45</f>
        <v/>
      </c>
      <c r="SP45" s="12">
        <f>SE33*POWER(1-(AnnualChurn*VLOOKUP(RR45,ChurnSeasonTable,4,FALSE)),1)*PriceEssAnnual*RU45+SE21*POWER(1-(AnnualChurn*VLOOKUP(RR45,ChurnSeasonTable,4,FALSE)),2)*PriceEssAnnual*RU45+SE9*POWER(1-(AnnualChurn*VLOOKUP(RR45,ChurnSeasonTable,4,FALSE)),3)*PriceEssAnnual*RU45+SF33*POWER(1-(AnnualChurn*VLOOKUP(RR45,ChurnSeasonTable,4,FALSE)),1)*PricePremAnnual*RU45+SF21*POWER(1-(AnnualChurn*VLOOKUP(RR45,ChurnSeasonTable,4,FALSE)),2)*PricePremAnnual*RU45+SF9*POWER(1-(AnnualChurn*VLOOKUP(RR45,ChurnSeasonTable,4,FALSE)),3)*PricePremAnnual*RU45</f>
        <v/>
      </c>
      <c r="SQ45" s="9">
        <f>SN45+SO45+SP45</f>
        <v/>
      </c>
      <c r="SR45" s="12">
        <f>SUM(SQ34:SQ45)</f>
        <v/>
      </c>
      <c r="SS45" s="12">
        <f>OR(SS44,SR45&gt;=VATThreshold)</f>
        <v/>
      </c>
      <c r="ST45" s="9">
        <f>IF(SS45,SQ45/(1+VATRate),SQ45)</f>
        <v/>
      </c>
      <c r="SU45" s="12">
        <f>SQ45-ST45</f>
        <v/>
      </c>
      <c r="SV45" s="12">
        <f>IF(SS45=0,0,IF(RR45=1,SUMPRODUCT(--(($RS$5:$RS45=$RS45-1)*($RR$5:$RR45&gt;=10)*($RR$5:$RR45&lt;=12)),$SU$5:$SU45),IF(RR45=4,SUMPRODUCT(--(($RS$5:$RS45=$RS45)*($RR$5:$RR45&gt;=1)*($RR$5:$RR45&lt;=3)),$SU$5:$SU45),IF(RR45=7,SUMPRODUCT(--(($RS$5:$RS45=$RS45)*($RR$5:$RR45&gt;=4)*($RR$5:$RR45&lt;=6)),$SU$5:$SU45),IF(RR45=10,SUMPRODUCT(--(($RS$5:$RS45=$RS45)*($RR$5:$RR45&gt;=7)*($RR$5:$RR45&lt;=9)),$SU$5:$SU45),0)))))</f>
        <v/>
      </c>
      <c r="SW45" s="12">
        <f>SW44+SU45-SV45</f>
        <v/>
      </c>
      <c r="SX45" s="12">
        <f>IF(ProviderDelay&gt;=1,ST44*ProviderShare,ST45*ProviderShare)</f>
        <v/>
      </c>
      <c r="SY45" s="12">
        <f>SQ45*PaymentFee</f>
        <v/>
      </c>
      <c r="SZ45" s="12">
        <f>SK45*OpsAI</f>
        <v/>
      </c>
      <c r="TA45" s="12">
        <f>MonthlyFixed</f>
        <v/>
      </c>
      <c r="TB45" s="12">
        <f>RY45*ReferralReward</f>
        <v/>
      </c>
      <c r="TC45" s="12">
        <f>RW45</f>
        <v/>
      </c>
      <c r="TD45" s="9">
        <f>ST45-SX45-SY45-SZ45-TA45-TB45-TC45</f>
        <v/>
      </c>
      <c r="TE45" s="9">
        <f>TE44+SQ45-(SX45+SY45+SZ45+TA45+TB45+TC45+SV45)</f>
        <v/>
      </c>
      <c r="TF45" s="12">
        <f>IF(SK45&gt;0,SL45/SK45,0)</f>
        <v/>
      </c>
      <c r="TG45" s="11">
        <f>IF(SK44&gt;0,MAX(0,(SK44+RZ45-SK45)/SK44),0)</f>
        <v/>
      </c>
      <c r="TI45" s="12" t="n">
        <v>41</v>
      </c>
      <c r="TJ45" s="12">
        <f>MOD(TI45-1+LaunchMonth-1,12)+1</f>
        <v/>
      </c>
      <c r="TK45" s="12">
        <f>INT((TI45-1+LaunchMonth-1)/12)+1</f>
        <v/>
      </c>
      <c r="TL45" s="12">
        <f>VLOOKUP(TJ45,SeasonTable,2,FALSE)</f>
        <v/>
      </c>
      <c r="TM45" s="12">
        <f>(1+InflationRate)^INT((TI45-1)/12)</f>
        <v/>
      </c>
      <c r="TN45" s="11">
        <f>MonthlyChurn*VLOOKUP(TJ45,ChurnSeasonTable,4,FALSE)</f>
        <v/>
      </c>
      <c r="TO45" s="12">
        <f>MIN(MAX(MktMin19plus,UI44*MktPct19plus),MAX(0,UW44-CashBuffer))</f>
        <v/>
      </c>
      <c r="TP45" s="12">
        <f>IF(TO45&gt;0,MAX(1,ROUND(TO45/CAC*TL45,0)),0)</f>
        <v/>
      </c>
      <c r="TQ45" s="12">
        <f>IF(TP45&gt;0,ROUND(TP45*ReferralMix/(1-ReferralMix),0),0)</f>
        <v/>
      </c>
      <c r="TR45" s="12">
        <f>TP45+TQ45</f>
        <v/>
      </c>
      <c r="TS45" s="12">
        <f>ROUND(TR45*(1-'Sens - Annual Mix'!$A$9),0)</f>
        <v/>
      </c>
      <c r="TT45" s="12">
        <f>TR45-TS45</f>
        <v/>
      </c>
      <c r="TU45" s="12">
        <f>ROUND(TS45*EssentialMix,0)</f>
        <v/>
      </c>
      <c r="TV45" s="12">
        <f>TS45-TU45</f>
        <v/>
      </c>
      <c r="TW45" s="12">
        <f>ROUND(TT45*EssentialMix,0)</f>
        <v/>
      </c>
      <c r="TX45" s="12">
        <f>TT45-TW45</f>
        <v/>
      </c>
      <c r="TY45" s="12">
        <f>TU45+TU44+TU43+MAX(0,TY44-TU44-TU43)*(1-TN45)</f>
        <v/>
      </c>
      <c r="TZ45" s="12">
        <f>TV45+TV44+TV43+MAX(0,TZ44-TV44-TV43)*(1-TN45)</f>
        <v/>
      </c>
      <c r="UA45" s="12">
        <f>UA44+TW45-TW33*(AnnualChurn*VLOOKUP(TJ45,ChurnSeasonTable,4,FALSE))*POWER(1-(AnnualChurn*VLOOKUP(TJ45,ChurnSeasonTable,4,FALSE)),0)+TW21*(AnnualChurn*VLOOKUP(TJ45,ChurnSeasonTable,4,FALSE))*POWER(1-(AnnualChurn*VLOOKUP(TJ45,ChurnSeasonTable,4,FALSE)),1)+TW9*(AnnualChurn*VLOOKUP(TJ45,ChurnSeasonTable,4,FALSE))*POWER(1-(AnnualChurn*VLOOKUP(TJ45,ChurnSeasonTable,4,FALSE)),2)</f>
        <v/>
      </c>
      <c r="UB45" s="12">
        <f>UB44+TX45-TX33*(AnnualChurn*VLOOKUP(TJ45,ChurnSeasonTable,4,FALSE))*POWER(1-(AnnualChurn*VLOOKUP(TJ45,ChurnSeasonTable,4,FALSE)),0)+TX21*(AnnualChurn*VLOOKUP(TJ45,ChurnSeasonTable,4,FALSE))*POWER(1-(AnnualChurn*VLOOKUP(TJ45,ChurnSeasonTable,4,FALSE)),1)+TX9*(AnnualChurn*VLOOKUP(TJ45,ChurnSeasonTable,4,FALSE))*POWER(1-(AnnualChurn*VLOOKUP(TJ45,ChurnSeasonTable,4,FALSE)),2)</f>
        <v/>
      </c>
      <c r="UC45" s="12">
        <f>TY45+TZ45+UA45+UB45</f>
        <v/>
      </c>
      <c r="UD45" s="9">
        <f>TY45*PriceEssMonthly*TM45+TZ45*PricePremMonthly*TM45+UA45*PriceEssAnnual*TM45/12+UB45*PricePremAnnual*TM45/12</f>
        <v/>
      </c>
      <c r="UE45" s="9">
        <f>UD45*12</f>
        <v/>
      </c>
      <c r="UF45" s="12">
        <f>TY45*PriceEssMonthly*TM45+TZ45*PricePremMonthly*TM45</f>
        <v/>
      </c>
      <c r="UG45" s="12">
        <f>TW45*PriceEssAnnual*TM45+TX45*PricePremAnnual*TM45</f>
        <v/>
      </c>
      <c r="UH45" s="12">
        <f>TW33*POWER(1-(AnnualChurn*VLOOKUP(TJ45,ChurnSeasonTable,4,FALSE)),1)*PriceEssAnnual*TM45+TW21*POWER(1-(AnnualChurn*VLOOKUP(TJ45,ChurnSeasonTable,4,FALSE)),2)*PriceEssAnnual*TM45+TW9*POWER(1-(AnnualChurn*VLOOKUP(TJ45,ChurnSeasonTable,4,FALSE)),3)*PriceEssAnnual*TM45+TX33*POWER(1-(AnnualChurn*VLOOKUP(TJ45,ChurnSeasonTable,4,FALSE)),1)*PricePremAnnual*TM45+TX21*POWER(1-(AnnualChurn*VLOOKUP(TJ45,ChurnSeasonTable,4,FALSE)),2)*PricePremAnnual*TM45+TX9*POWER(1-(AnnualChurn*VLOOKUP(TJ45,ChurnSeasonTable,4,FALSE)),3)*PricePremAnnual*TM45</f>
        <v/>
      </c>
      <c r="UI45" s="9">
        <f>UF45+UG45+UH45</f>
        <v/>
      </c>
      <c r="UJ45" s="12">
        <f>SUM(UI34:UI45)</f>
        <v/>
      </c>
      <c r="UK45" s="12">
        <f>OR(UK44,UJ45&gt;=VATThreshold)</f>
        <v/>
      </c>
      <c r="UL45" s="9">
        <f>IF(UK45,UI45/(1+VATRate),UI45)</f>
        <v/>
      </c>
      <c r="UM45" s="12">
        <f>UI45-UL45</f>
        <v/>
      </c>
      <c r="UN45" s="12">
        <f>IF(UK45=0,0,IF(TJ45=1,SUMPRODUCT(--(($TK$5:$TK45=$TK45-1)*($TJ$5:$TJ45&gt;=10)*($TJ$5:$TJ45&lt;=12)),$UM$5:$UM45),IF(TJ45=4,SUMPRODUCT(--(($TK$5:$TK45=$TK45)*($TJ$5:$TJ45&gt;=1)*($TJ$5:$TJ45&lt;=3)),$UM$5:$UM45),IF(TJ45=7,SUMPRODUCT(--(($TK$5:$TK45=$TK45)*($TJ$5:$TJ45&gt;=4)*($TJ$5:$TJ45&lt;=6)),$UM$5:$UM45),IF(TJ45=10,SUMPRODUCT(--(($TK$5:$TK45=$TK45)*($TJ$5:$TJ45&gt;=7)*($TJ$5:$TJ45&lt;=9)),$UM$5:$UM45),0)))))</f>
        <v/>
      </c>
      <c r="UO45" s="12">
        <f>UO44+UM45-UN45</f>
        <v/>
      </c>
      <c r="UP45" s="12">
        <f>IF(ProviderDelay&gt;=1,UL44*ProviderShare,UL45*ProviderShare)</f>
        <v/>
      </c>
      <c r="UQ45" s="12">
        <f>UI45*PaymentFee</f>
        <v/>
      </c>
      <c r="UR45" s="12">
        <f>UC45*OpsAI</f>
        <v/>
      </c>
      <c r="US45" s="12">
        <f>MonthlyFixed</f>
        <v/>
      </c>
      <c r="UT45" s="12">
        <f>TQ45*ReferralReward</f>
        <v/>
      </c>
      <c r="UU45" s="12">
        <f>TO45</f>
        <v/>
      </c>
      <c r="UV45" s="9">
        <f>UL45-UP45-UQ45-UR45-US45-UT45-UU45</f>
        <v/>
      </c>
      <c r="UW45" s="9">
        <f>UW44+UI45-(UP45+UQ45+UR45+US45+UT45+UU45+UN45)</f>
        <v/>
      </c>
      <c r="UX45" s="12">
        <f>IF(UC45&gt;0,UD45/UC45,0)</f>
        <v/>
      </c>
      <c r="UY45" s="11">
        <f>IF(UC44&gt;0,MAX(0,(UC44+TR45-UC45)/UC44),0)</f>
        <v/>
      </c>
      <c r="VA45" s="12" t="n">
        <v>41</v>
      </c>
      <c r="VB45" s="12">
        <f>MOD(VA45-1+LaunchMonth-1,12)+1</f>
        <v/>
      </c>
      <c r="VC45" s="12">
        <f>INT((VA45-1+LaunchMonth-1)/12)+1</f>
        <v/>
      </c>
      <c r="VD45" s="12">
        <f>VLOOKUP(VB45,SeasonTable,2,FALSE)</f>
        <v/>
      </c>
      <c r="VE45" s="12">
        <f>(1+InflationRate)^INT((VA45-1)/12)</f>
        <v/>
      </c>
      <c r="VF45" s="11">
        <f>MonthlyChurn*VLOOKUP(VB45,ChurnSeasonTable,4,FALSE)</f>
        <v/>
      </c>
      <c r="VG45" s="12">
        <f>MIN(MAX(MktMin19plus,WA44*MktPct19plus),MAX(0,WO44-CashBuffer))</f>
        <v/>
      </c>
      <c r="VH45" s="12">
        <f>IF(VG45&gt;0,MAX(1,ROUND(VG45/CAC*VD45,0)),0)</f>
        <v/>
      </c>
      <c r="VI45" s="12">
        <f>IF(VH45&gt;0,ROUND(VH45*ReferralMix/(1-ReferralMix),0),0)</f>
        <v/>
      </c>
      <c r="VJ45" s="12">
        <f>VH45+VI45</f>
        <v/>
      </c>
      <c r="VK45" s="12">
        <f>ROUND(VJ45*(1-'Sens - Annual Mix'!$A$10),0)</f>
        <v/>
      </c>
      <c r="VL45" s="12">
        <f>VJ45-VK45</f>
        <v/>
      </c>
      <c r="VM45" s="12">
        <f>ROUND(VK45*EssentialMix,0)</f>
        <v/>
      </c>
      <c r="VN45" s="12">
        <f>VK45-VM45</f>
        <v/>
      </c>
      <c r="VO45" s="12">
        <f>ROUND(VL45*EssentialMix,0)</f>
        <v/>
      </c>
      <c r="VP45" s="12">
        <f>VL45-VO45</f>
        <v/>
      </c>
      <c r="VQ45" s="12">
        <f>VM45+VM44+VM43+MAX(0,VQ44-VM44-VM43)*(1-VF45)</f>
        <v/>
      </c>
      <c r="VR45" s="12">
        <f>VN45+VN44+VN43+MAX(0,VR44-VN44-VN43)*(1-VF45)</f>
        <v/>
      </c>
      <c r="VS45" s="12">
        <f>VS44+VO45-VO33*(AnnualChurn*VLOOKUP(VB45,ChurnSeasonTable,4,FALSE))*POWER(1-(AnnualChurn*VLOOKUP(VB45,ChurnSeasonTable,4,FALSE)),0)+VO21*(AnnualChurn*VLOOKUP(VB45,ChurnSeasonTable,4,FALSE))*POWER(1-(AnnualChurn*VLOOKUP(VB45,ChurnSeasonTable,4,FALSE)),1)+VO9*(AnnualChurn*VLOOKUP(VB45,ChurnSeasonTable,4,FALSE))*POWER(1-(AnnualChurn*VLOOKUP(VB45,ChurnSeasonTable,4,FALSE)),2)</f>
        <v/>
      </c>
      <c r="VT45" s="12">
        <f>VT44+VP45-VP33*(AnnualChurn*VLOOKUP(VB45,ChurnSeasonTable,4,FALSE))*POWER(1-(AnnualChurn*VLOOKUP(VB45,ChurnSeasonTable,4,FALSE)),0)+VP21*(AnnualChurn*VLOOKUP(VB45,ChurnSeasonTable,4,FALSE))*POWER(1-(AnnualChurn*VLOOKUP(VB45,ChurnSeasonTable,4,FALSE)),1)+VP9*(AnnualChurn*VLOOKUP(VB45,ChurnSeasonTable,4,FALSE))*POWER(1-(AnnualChurn*VLOOKUP(VB45,ChurnSeasonTable,4,FALSE)),2)</f>
        <v/>
      </c>
      <c r="VU45" s="12">
        <f>VQ45+VR45+VS45+VT45</f>
        <v/>
      </c>
      <c r="VV45" s="9">
        <f>VQ45*PriceEssMonthly*VE45+VR45*PricePremMonthly*VE45+VS45*PriceEssAnnual*VE45/12+VT45*PricePremAnnual*VE45/12</f>
        <v/>
      </c>
      <c r="VW45" s="9">
        <f>VV45*12</f>
        <v/>
      </c>
      <c r="VX45" s="12">
        <f>VQ45*PriceEssMonthly*VE45+VR45*PricePremMonthly*VE45</f>
        <v/>
      </c>
      <c r="VY45" s="12">
        <f>VO45*PriceEssAnnual*VE45+VP45*PricePremAnnual*VE45</f>
        <v/>
      </c>
      <c r="VZ45" s="12">
        <f>VO33*POWER(1-(AnnualChurn*VLOOKUP(VB45,ChurnSeasonTable,4,FALSE)),1)*PriceEssAnnual*VE45+VO21*POWER(1-(AnnualChurn*VLOOKUP(VB45,ChurnSeasonTable,4,FALSE)),2)*PriceEssAnnual*VE45+VO9*POWER(1-(AnnualChurn*VLOOKUP(VB45,ChurnSeasonTable,4,FALSE)),3)*PriceEssAnnual*VE45+VP33*POWER(1-(AnnualChurn*VLOOKUP(VB45,ChurnSeasonTable,4,FALSE)),1)*PricePremAnnual*VE45+VP21*POWER(1-(AnnualChurn*VLOOKUP(VB45,ChurnSeasonTable,4,FALSE)),2)*PricePremAnnual*VE45+VP9*POWER(1-(AnnualChurn*VLOOKUP(VB45,ChurnSeasonTable,4,FALSE)),3)*PricePremAnnual*VE45</f>
        <v/>
      </c>
      <c r="WA45" s="9">
        <f>VX45+VY45+VZ45</f>
        <v/>
      </c>
      <c r="WB45" s="12">
        <f>SUM(WA34:WA45)</f>
        <v/>
      </c>
      <c r="WC45" s="12">
        <f>OR(WC44,WB45&gt;=VATThreshold)</f>
        <v/>
      </c>
      <c r="WD45" s="9">
        <f>IF(WC45,WA45/(1+VATRate),WA45)</f>
        <v/>
      </c>
      <c r="WE45" s="12">
        <f>WA45-WD45</f>
        <v/>
      </c>
      <c r="WF45" s="12">
        <f>IF(WC45=0,0,IF(VB45=1,SUMPRODUCT(--(($VC$5:$VC45=$VC45-1)*($VB$5:$VB45&gt;=10)*($VB$5:$VB45&lt;=12)),$WE$5:$WE45),IF(VB45=4,SUMPRODUCT(--(($VC$5:$VC45=$VC45)*($VB$5:$VB45&gt;=1)*($VB$5:$VB45&lt;=3)),$WE$5:$WE45),IF(VB45=7,SUMPRODUCT(--(($VC$5:$VC45=$VC45)*($VB$5:$VB45&gt;=4)*($VB$5:$VB45&lt;=6)),$WE$5:$WE45),IF(VB45=10,SUMPRODUCT(--(($VC$5:$VC45=$VC45)*($VB$5:$VB45&gt;=7)*($VB$5:$VB45&lt;=9)),$WE$5:$WE45),0)))))</f>
        <v/>
      </c>
      <c r="WG45" s="12">
        <f>WG44+WE45-WF45</f>
        <v/>
      </c>
      <c r="WH45" s="12">
        <f>IF(ProviderDelay&gt;=1,WD44*ProviderShare,WD45*ProviderShare)</f>
        <v/>
      </c>
      <c r="WI45" s="12">
        <f>WA45*PaymentFee</f>
        <v/>
      </c>
      <c r="WJ45" s="12">
        <f>VU45*OpsAI</f>
        <v/>
      </c>
      <c r="WK45" s="12">
        <f>MonthlyFixed</f>
        <v/>
      </c>
      <c r="WL45" s="12">
        <f>VI45*ReferralReward</f>
        <v/>
      </c>
      <c r="WM45" s="12">
        <f>VG45</f>
        <v/>
      </c>
      <c r="WN45" s="9">
        <f>WD45-WH45-WI45-WJ45-WK45-WL45-WM45</f>
        <v/>
      </c>
      <c r="WO45" s="9">
        <f>WO44+WA45-(WH45+WI45+WJ45+WK45+WL45+WM45+WF45)</f>
        <v/>
      </c>
      <c r="WP45" s="12">
        <f>IF(VU45&gt;0,VV45/VU45,0)</f>
        <v/>
      </c>
      <c r="WQ45" s="11">
        <f>IF(VU44&gt;0,MAX(0,(VU44+VJ45-VU45)/VU44),0)</f>
        <v/>
      </c>
      <c r="WS45" s="12" t="n">
        <v>41</v>
      </c>
      <c r="WT45" s="12">
        <f>MOD(WS45-1+LaunchMonth-1,12)+1</f>
        <v/>
      </c>
      <c r="WU45" s="12">
        <f>INT((WS45-1+LaunchMonth-1)/12)+1</f>
        <v/>
      </c>
      <c r="WV45" s="12">
        <f>VLOOKUP(WT45,SeasonTable,2,FALSE)</f>
        <v/>
      </c>
      <c r="WW45" s="12">
        <f>(1+InflationRate)^INT((WS45-1)/12)</f>
        <v/>
      </c>
      <c r="WX45" s="11">
        <f>MonthlyChurn*VLOOKUP(WT45,ChurnSeasonTable,4,FALSE)</f>
        <v/>
      </c>
      <c r="WY45" s="12">
        <f>MIN(MAX(MktMin19plus,XS44*MktPct19plus),MAX(0,YG44-CashBuffer))</f>
        <v/>
      </c>
      <c r="WZ45" s="12">
        <f>IF(WY45&gt;0,MAX(1,ROUND(WY45/CAC*WV45,0)),0)</f>
        <v/>
      </c>
      <c r="XA45" s="12">
        <f>IF(WZ45&gt;0,ROUND(WZ45*ReferralMix/(1-ReferralMix),0),0)</f>
        <v/>
      </c>
      <c r="XB45" s="12">
        <f>WZ45+XA45</f>
        <v/>
      </c>
      <c r="XC45" s="12">
        <f>ROUND(XB45*(1-'Sens - Annual Mix'!$A$11),0)</f>
        <v/>
      </c>
      <c r="XD45" s="12">
        <f>XB45-XC45</f>
        <v/>
      </c>
      <c r="XE45" s="12">
        <f>ROUND(XC45*EssentialMix,0)</f>
        <v/>
      </c>
      <c r="XF45" s="12">
        <f>XC45-XE45</f>
        <v/>
      </c>
      <c r="XG45" s="12">
        <f>ROUND(XD45*EssentialMix,0)</f>
        <v/>
      </c>
      <c r="XH45" s="12">
        <f>XD45-XG45</f>
        <v/>
      </c>
      <c r="XI45" s="12">
        <f>XE45+XE44+XE43+MAX(0,XI44-XE44-XE43)*(1-WX45)</f>
        <v/>
      </c>
      <c r="XJ45" s="12">
        <f>XF45+XF44+XF43+MAX(0,XJ44-XF44-XF43)*(1-WX45)</f>
        <v/>
      </c>
      <c r="XK45" s="12">
        <f>XK44+XG45-XG33*(AnnualChurn*VLOOKUP(WT45,ChurnSeasonTable,4,FALSE))*POWER(1-(AnnualChurn*VLOOKUP(WT45,ChurnSeasonTable,4,FALSE)),0)+XG21*(AnnualChurn*VLOOKUP(WT45,ChurnSeasonTable,4,FALSE))*POWER(1-(AnnualChurn*VLOOKUP(WT45,ChurnSeasonTable,4,FALSE)),1)+XG9*(AnnualChurn*VLOOKUP(WT45,ChurnSeasonTable,4,FALSE))*POWER(1-(AnnualChurn*VLOOKUP(WT45,ChurnSeasonTable,4,FALSE)),2)</f>
        <v/>
      </c>
      <c r="XL45" s="12">
        <f>XL44+XH45-XH33*(AnnualChurn*VLOOKUP(WT45,ChurnSeasonTable,4,FALSE))*POWER(1-(AnnualChurn*VLOOKUP(WT45,ChurnSeasonTable,4,FALSE)),0)+XH21*(AnnualChurn*VLOOKUP(WT45,ChurnSeasonTable,4,FALSE))*POWER(1-(AnnualChurn*VLOOKUP(WT45,ChurnSeasonTable,4,FALSE)),1)+XH9*(AnnualChurn*VLOOKUP(WT45,ChurnSeasonTable,4,FALSE))*POWER(1-(AnnualChurn*VLOOKUP(WT45,ChurnSeasonTable,4,FALSE)),2)</f>
        <v/>
      </c>
      <c r="XM45" s="12">
        <f>XI45+XJ45+XK45+XL45</f>
        <v/>
      </c>
      <c r="XN45" s="9">
        <f>XI45*PriceEssMonthly*WW45+XJ45*PricePremMonthly*WW45+XK45*PriceEssAnnual*WW45/12+XL45*PricePremAnnual*WW45/12</f>
        <v/>
      </c>
      <c r="XO45" s="9">
        <f>XN45*12</f>
        <v/>
      </c>
      <c r="XP45" s="12">
        <f>XI45*PriceEssMonthly*WW45+XJ45*PricePremMonthly*WW45</f>
        <v/>
      </c>
      <c r="XQ45" s="12">
        <f>XG45*PriceEssAnnual*WW45+XH45*PricePremAnnual*WW45</f>
        <v/>
      </c>
      <c r="XR45" s="12">
        <f>XG33*POWER(1-(AnnualChurn*VLOOKUP(WT45,ChurnSeasonTable,4,FALSE)),1)*PriceEssAnnual*WW45+XG21*POWER(1-(AnnualChurn*VLOOKUP(WT45,ChurnSeasonTable,4,FALSE)),2)*PriceEssAnnual*WW45+XG9*POWER(1-(AnnualChurn*VLOOKUP(WT45,ChurnSeasonTable,4,FALSE)),3)*PriceEssAnnual*WW45+XH33*POWER(1-(AnnualChurn*VLOOKUP(WT45,ChurnSeasonTable,4,FALSE)),1)*PricePremAnnual*WW45+XH21*POWER(1-(AnnualChurn*VLOOKUP(WT45,ChurnSeasonTable,4,FALSE)),2)*PricePremAnnual*WW45+XH9*POWER(1-(AnnualChurn*VLOOKUP(WT45,ChurnSeasonTable,4,FALSE)),3)*PricePremAnnual*WW45</f>
        <v/>
      </c>
      <c r="XS45" s="9">
        <f>XP45+XQ45+XR45</f>
        <v/>
      </c>
      <c r="XT45" s="12">
        <f>SUM(XS34:XS45)</f>
        <v/>
      </c>
      <c r="XU45" s="12">
        <f>OR(XU44,XT45&gt;=VATThreshold)</f>
        <v/>
      </c>
      <c r="XV45" s="9">
        <f>IF(XU45,XS45/(1+VATRate),XS45)</f>
        <v/>
      </c>
      <c r="XW45" s="12">
        <f>XS45-XV45</f>
        <v/>
      </c>
      <c r="XX45" s="12">
        <f>IF(XU45=0,0,IF(WT45=1,SUMPRODUCT(--(($WU$5:$WU45=$WU45-1)*($WT$5:$WT45&gt;=10)*($WT$5:$WT45&lt;=12)),$XW$5:$XW45),IF(WT45=4,SUMPRODUCT(--(($WU$5:$WU45=$WU45)*($WT$5:$WT45&gt;=1)*($WT$5:$WT45&lt;=3)),$XW$5:$XW45),IF(WT45=7,SUMPRODUCT(--(($WU$5:$WU45=$WU45)*($WT$5:$WT45&gt;=4)*($WT$5:$WT45&lt;=6)),$XW$5:$XW45),IF(WT45=10,SUMPRODUCT(--(($WU$5:$WU45=$WU45)*($WT$5:$WT45&gt;=7)*($WT$5:$WT45&lt;=9)),$XW$5:$XW45),0)))))</f>
        <v/>
      </c>
      <c r="XY45" s="12">
        <f>XY44+XW45-XX45</f>
        <v/>
      </c>
      <c r="XZ45" s="12">
        <f>IF(ProviderDelay&gt;=1,XV44*ProviderShare,XV45*ProviderShare)</f>
        <v/>
      </c>
      <c r="YA45" s="12">
        <f>XS45*PaymentFee</f>
        <v/>
      </c>
      <c r="YB45" s="12">
        <f>XM45*OpsAI</f>
        <v/>
      </c>
      <c r="YC45" s="12">
        <f>MonthlyFixed</f>
        <v/>
      </c>
      <c r="YD45" s="12">
        <f>XA45*ReferralReward</f>
        <v/>
      </c>
      <c r="YE45" s="12">
        <f>WY45</f>
        <v/>
      </c>
      <c r="YF45" s="9">
        <f>XV45-XZ45-YA45-YB45-YC45-YD45-YE45</f>
        <v/>
      </c>
      <c r="YG45" s="9">
        <f>YG44+XS45-(XZ45+YA45+YB45+YC45+YD45+YE45+XX45)</f>
        <v/>
      </c>
      <c r="YH45" s="12">
        <f>IF(XM45&gt;0,XN45/XM45,0)</f>
        <v/>
      </c>
      <c r="YI45" s="11">
        <f>IF(XM44&gt;0,MAX(0,(XM44+XB45-XM45)/XM44),0)</f>
        <v/>
      </c>
      <c r="YK45" s="12" t="n">
        <v>41</v>
      </c>
      <c r="YL45" s="12">
        <f>MOD(YK45-1+LaunchMonth-1,12)+1</f>
        <v/>
      </c>
      <c r="YM45" s="12">
        <f>INT((YK45-1+LaunchMonth-1)/12)+1</f>
        <v/>
      </c>
      <c r="YN45" s="12">
        <f>VLOOKUP(YL45,SeasonTable,2,FALSE)</f>
        <v/>
      </c>
      <c r="YO45" s="12">
        <f>(1+InflationRate)^INT((YK45-1)/12)</f>
        <v/>
      </c>
      <c r="YP45" s="11">
        <f>MonthlyChurn*VLOOKUP(YL45,ChurnSeasonTable,4,FALSE)</f>
        <v/>
      </c>
      <c r="YQ45" s="12">
        <f>MIN(MAX(MktMin19plus,ZK44*MktPct19plus),MAX(0,ZY44-CashBuffer))</f>
        <v/>
      </c>
      <c r="YR45" s="12">
        <f>IF(YQ45&gt;0,MAX(1,ROUND(YQ45/CAC*YN45,0)),0)</f>
        <v/>
      </c>
      <c r="YS45" s="12">
        <f>IF(YR45&gt;0,ROUND(YR45*ReferralMix/(1-ReferralMix),0),0)</f>
        <v/>
      </c>
      <c r="YT45" s="12">
        <f>YR45+YS45</f>
        <v/>
      </c>
      <c r="YU45" s="12">
        <f>ROUND(YT45*(1-'Sens - Annual Mix'!$A$12),0)</f>
        <v/>
      </c>
      <c r="YV45" s="12">
        <f>YT45-YU45</f>
        <v/>
      </c>
      <c r="YW45" s="12">
        <f>ROUND(YU45*EssentialMix,0)</f>
        <v/>
      </c>
      <c r="YX45" s="12">
        <f>YU45-YW45</f>
        <v/>
      </c>
      <c r="YY45" s="12">
        <f>ROUND(YV45*EssentialMix,0)</f>
        <v/>
      </c>
      <c r="YZ45" s="12">
        <f>YV45-YY45</f>
        <v/>
      </c>
      <c r="ZA45" s="12">
        <f>YW45+YW44+YW43+MAX(0,ZA44-YW44-YW43)*(1-YP45)</f>
        <v/>
      </c>
      <c r="ZB45" s="12">
        <f>YX45+YX44+YX43+MAX(0,ZB44-YX44-YX43)*(1-YP45)</f>
        <v/>
      </c>
      <c r="ZC45" s="12">
        <f>ZC44+YY45-YY33*(AnnualChurn*VLOOKUP(YL45,ChurnSeasonTable,4,FALSE))*POWER(1-(AnnualChurn*VLOOKUP(YL45,ChurnSeasonTable,4,FALSE)),0)+YY21*(AnnualChurn*VLOOKUP(YL45,ChurnSeasonTable,4,FALSE))*POWER(1-(AnnualChurn*VLOOKUP(YL45,ChurnSeasonTable,4,FALSE)),1)+YY9*(AnnualChurn*VLOOKUP(YL45,ChurnSeasonTable,4,FALSE))*POWER(1-(AnnualChurn*VLOOKUP(YL45,ChurnSeasonTable,4,FALSE)),2)</f>
        <v/>
      </c>
      <c r="ZD45" s="12">
        <f>ZD44+YZ45-YZ33*(AnnualChurn*VLOOKUP(YL45,ChurnSeasonTable,4,FALSE))*POWER(1-(AnnualChurn*VLOOKUP(YL45,ChurnSeasonTable,4,FALSE)),0)+YZ21*(AnnualChurn*VLOOKUP(YL45,ChurnSeasonTable,4,FALSE))*POWER(1-(AnnualChurn*VLOOKUP(YL45,ChurnSeasonTable,4,FALSE)),1)+YZ9*(AnnualChurn*VLOOKUP(YL45,ChurnSeasonTable,4,FALSE))*POWER(1-(AnnualChurn*VLOOKUP(YL45,ChurnSeasonTable,4,FALSE)),2)</f>
        <v/>
      </c>
      <c r="ZE45" s="12">
        <f>ZA45+ZB45+ZC45+ZD45</f>
        <v/>
      </c>
      <c r="ZF45" s="9">
        <f>ZA45*PriceEssMonthly*YO45+ZB45*PricePremMonthly*YO45+ZC45*PriceEssAnnual*YO45/12+ZD45*PricePremAnnual*YO45/12</f>
        <v/>
      </c>
      <c r="ZG45" s="9">
        <f>ZF45*12</f>
        <v/>
      </c>
      <c r="ZH45" s="12">
        <f>ZA45*PriceEssMonthly*YO45+ZB45*PricePremMonthly*YO45</f>
        <v/>
      </c>
      <c r="ZI45" s="12">
        <f>YY45*PriceEssAnnual*YO45+YZ45*PricePremAnnual*YO45</f>
        <v/>
      </c>
      <c r="ZJ45" s="12">
        <f>YY33*POWER(1-(AnnualChurn*VLOOKUP(YL45,ChurnSeasonTable,4,FALSE)),1)*PriceEssAnnual*YO45+YY21*POWER(1-(AnnualChurn*VLOOKUP(YL45,ChurnSeasonTable,4,FALSE)),2)*PriceEssAnnual*YO45+YY9*POWER(1-(AnnualChurn*VLOOKUP(YL45,ChurnSeasonTable,4,FALSE)),3)*PriceEssAnnual*YO45+YZ33*POWER(1-(AnnualChurn*VLOOKUP(YL45,ChurnSeasonTable,4,FALSE)),1)*PricePremAnnual*YO45+YZ21*POWER(1-(AnnualChurn*VLOOKUP(YL45,ChurnSeasonTable,4,FALSE)),2)*PricePremAnnual*YO45+YZ9*POWER(1-(AnnualChurn*VLOOKUP(YL45,ChurnSeasonTable,4,FALSE)),3)*PricePremAnnual*YO45</f>
        <v/>
      </c>
      <c r="ZK45" s="9">
        <f>ZH45+ZI45+ZJ45</f>
        <v/>
      </c>
      <c r="ZL45" s="12">
        <f>SUM(ZK34:ZK45)</f>
        <v/>
      </c>
      <c r="ZM45" s="12">
        <f>OR(ZM44,ZL45&gt;=VATThreshold)</f>
        <v/>
      </c>
      <c r="ZN45" s="9">
        <f>IF(ZM45,ZK45/(1+VATRate),ZK45)</f>
        <v/>
      </c>
      <c r="ZO45" s="12">
        <f>ZK45-ZN45</f>
        <v/>
      </c>
      <c r="ZP45" s="12">
        <f>IF(ZM45=0,0,IF(YL45=1,SUMPRODUCT(--(($YM$5:$YM45=$YM45-1)*($YL$5:$YL45&gt;=10)*($YL$5:$YL45&lt;=12)),$ZO$5:$ZO45),IF(YL45=4,SUMPRODUCT(--(($YM$5:$YM45=$YM45)*($YL$5:$YL45&gt;=1)*($YL$5:$YL45&lt;=3)),$ZO$5:$ZO45),IF(YL45=7,SUMPRODUCT(--(($YM$5:$YM45=$YM45)*($YL$5:$YL45&gt;=4)*($YL$5:$YL45&lt;=6)),$ZO$5:$ZO45),IF(YL45=10,SUMPRODUCT(--(($YM$5:$YM45=$YM45)*($YL$5:$YL45&gt;=7)*($YL$5:$YL45&lt;=9)),$ZO$5:$ZO45),0)))))</f>
        <v/>
      </c>
      <c r="ZQ45" s="12">
        <f>ZQ44+ZO45-ZP45</f>
        <v/>
      </c>
      <c r="ZR45" s="12">
        <f>IF(ProviderDelay&gt;=1,ZN44*ProviderShare,ZN45*ProviderShare)</f>
        <v/>
      </c>
      <c r="ZS45" s="12">
        <f>ZK45*PaymentFee</f>
        <v/>
      </c>
      <c r="ZT45" s="12">
        <f>ZE45*OpsAI</f>
        <v/>
      </c>
      <c r="ZU45" s="12">
        <f>MonthlyFixed</f>
        <v/>
      </c>
      <c r="ZV45" s="12">
        <f>YS45*ReferralReward</f>
        <v/>
      </c>
      <c r="ZW45" s="12">
        <f>YQ45</f>
        <v/>
      </c>
      <c r="ZX45" s="9">
        <f>ZN45-ZR45-ZS45-ZT45-ZU45-ZV45-ZW45</f>
        <v/>
      </c>
      <c r="ZY45" s="9">
        <f>ZY44+ZK45-(ZR45+ZS45+ZT45+ZU45+ZV45+ZW45+ZP45)</f>
        <v/>
      </c>
      <c r="ZZ45" s="12">
        <f>IF(ZE45&gt;0,ZF45/ZE45,0)</f>
        <v/>
      </c>
      <c r="AAA45" s="11">
        <f>IF(ZE44&gt;0,MAX(0,(ZE44+YT45-ZE45)/ZE44),0)</f>
        <v/>
      </c>
      <c r="AAC45" s="12" t="n">
        <v>41</v>
      </c>
      <c r="AAD45" s="12">
        <f>MOD(AAC45-1+LaunchMonth-1,12)+1</f>
        <v/>
      </c>
      <c r="AAE45" s="12">
        <f>INT((AAC45-1+LaunchMonth-1)/12)+1</f>
        <v/>
      </c>
      <c r="AAF45" s="12">
        <f>VLOOKUP(AAD45,SeasonTable,2,FALSE)</f>
        <v/>
      </c>
      <c r="AAG45" s="12">
        <f>(1+InflationRate)^INT((AAC45-1)/12)</f>
        <v/>
      </c>
      <c r="AAH45" s="11">
        <f>MonthlyChurn*VLOOKUP(AAD45,ChurnSeasonTable,4,FALSE)</f>
        <v/>
      </c>
      <c r="AAI45" s="12">
        <f>MIN(MAX(MktMin19plus,ABC44*MktPct19plus),MAX(0,ABQ44-CashBuffer))</f>
        <v/>
      </c>
      <c r="AAJ45" s="12">
        <f>IF(AAI45&gt;0,MAX(1,ROUND(AAI45/CAC*AAF45,0)),0)</f>
        <v/>
      </c>
      <c r="AAK45" s="12">
        <f>IF(AAJ45&gt;0,ROUND(AAJ45*ReferralMix/(1-ReferralMix),0),0)</f>
        <v/>
      </c>
      <c r="AAL45" s="12">
        <f>AAJ45+AAK45</f>
        <v/>
      </c>
      <c r="AAM45" s="12">
        <f>ROUND(AAL45*(1-'Sens - Annual Mix'!$A$13),0)</f>
        <v/>
      </c>
      <c r="AAN45" s="12">
        <f>AAL45-AAM45</f>
        <v/>
      </c>
      <c r="AAO45" s="12">
        <f>ROUND(AAM45*EssentialMix,0)</f>
        <v/>
      </c>
      <c r="AAP45" s="12">
        <f>AAM45-AAO45</f>
        <v/>
      </c>
      <c r="AAQ45" s="12">
        <f>ROUND(AAN45*EssentialMix,0)</f>
        <v/>
      </c>
      <c r="AAR45" s="12">
        <f>AAN45-AAQ45</f>
        <v/>
      </c>
      <c r="AAS45" s="12">
        <f>AAO45+AAO44+AAO43+MAX(0,AAS44-AAO44-AAO43)*(1-AAH45)</f>
        <v/>
      </c>
      <c r="AAT45" s="12">
        <f>AAP45+AAP44+AAP43+MAX(0,AAT44-AAP44-AAP43)*(1-AAH45)</f>
        <v/>
      </c>
      <c r="AAU45" s="12">
        <f>AAU44+AAQ45-AAQ33*(AnnualChurn*VLOOKUP(AAD45,ChurnSeasonTable,4,FALSE))*POWER(1-(AnnualChurn*VLOOKUP(AAD45,ChurnSeasonTable,4,FALSE)),0)+AAQ21*(AnnualChurn*VLOOKUP(AAD45,ChurnSeasonTable,4,FALSE))*POWER(1-(AnnualChurn*VLOOKUP(AAD45,ChurnSeasonTable,4,FALSE)),1)+AAQ9*(AnnualChurn*VLOOKUP(AAD45,ChurnSeasonTable,4,FALSE))*POWER(1-(AnnualChurn*VLOOKUP(AAD45,ChurnSeasonTable,4,FALSE)),2)</f>
        <v/>
      </c>
      <c r="AAV45" s="12">
        <f>AAV44+AAR45-AAR33*(AnnualChurn*VLOOKUP(AAD45,ChurnSeasonTable,4,FALSE))*POWER(1-(AnnualChurn*VLOOKUP(AAD45,ChurnSeasonTable,4,FALSE)),0)+AAR21*(AnnualChurn*VLOOKUP(AAD45,ChurnSeasonTable,4,FALSE))*POWER(1-(AnnualChurn*VLOOKUP(AAD45,ChurnSeasonTable,4,FALSE)),1)+AAR9*(AnnualChurn*VLOOKUP(AAD45,ChurnSeasonTable,4,FALSE))*POWER(1-(AnnualChurn*VLOOKUP(AAD45,ChurnSeasonTable,4,FALSE)),2)</f>
        <v/>
      </c>
      <c r="AAW45" s="12">
        <f>AAS45+AAT45+AAU45+AAV45</f>
        <v/>
      </c>
      <c r="AAX45" s="9">
        <f>AAS45*PriceEssMonthly*AAG45+AAT45*PricePremMonthly*AAG45+AAU45*PriceEssAnnual*AAG45/12+AAV45*PricePremAnnual*AAG45/12</f>
        <v/>
      </c>
      <c r="AAY45" s="9">
        <f>AAX45*12</f>
        <v/>
      </c>
      <c r="AAZ45" s="12">
        <f>AAS45*PriceEssMonthly*AAG45+AAT45*PricePremMonthly*AAG45</f>
        <v/>
      </c>
      <c r="ABA45" s="12">
        <f>AAQ45*PriceEssAnnual*AAG45+AAR45*PricePremAnnual*AAG45</f>
        <v/>
      </c>
      <c r="ABB45" s="12">
        <f>AAQ33*POWER(1-(AnnualChurn*VLOOKUP(AAD45,ChurnSeasonTable,4,FALSE)),1)*PriceEssAnnual*AAG45+AAQ21*POWER(1-(AnnualChurn*VLOOKUP(AAD45,ChurnSeasonTable,4,FALSE)),2)*PriceEssAnnual*AAG45+AAQ9*POWER(1-(AnnualChurn*VLOOKUP(AAD45,ChurnSeasonTable,4,FALSE)),3)*PriceEssAnnual*AAG45+AAR33*POWER(1-(AnnualChurn*VLOOKUP(AAD45,ChurnSeasonTable,4,FALSE)),1)*PricePremAnnual*AAG45+AAR21*POWER(1-(AnnualChurn*VLOOKUP(AAD45,ChurnSeasonTable,4,FALSE)),2)*PricePremAnnual*AAG45+AAR9*POWER(1-(AnnualChurn*VLOOKUP(AAD45,ChurnSeasonTable,4,FALSE)),3)*PricePremAnnual*AAG45</f>
        <v/>
      </c>
      <c r="ABC45" s="9">
        <f>AAZ45+ABA45+ABB45</f>
        <v/>
      </c>
      <c r="ABD45" s="12">
        <f>SUM(ABC34:ABC45)</f>
        <v/>
      </c>
      <c r="ABE45" s="12">
        <f>OR(ABE44,ABD45&gt;=VATThreshold)</f>
        <v/>
      </c>
      <c r="ABF45" s="9">
        <f>IF(ABE45,ABC45/(1+VATRate),ABC45)</f>
        <v/>
      </c>
      <c r="ABG45" s="12">
        <f>ABC45-ABF45</f>
        <v/>
      </c>
      <c r="ABH45" s="12">
        <f>IF(ABE45=0,0,IF(AAD45=1,SUMPRODUCT(--(($AAE$5:$AAE45=$AAE45-1)*($AAD$5:$AAD45&gt;=10)*($AAD$5:$AAD45&lt;=12)),$ABG$5:$ABG45),IF(AAD45=4,SUMPRODUCT(--(($AAE$5:$AAE45=$AAE45)*($AAD$5:$AAD45&gt;=1)*($AAD$5:$AAD45&lt;=3)),$ABG$5:$ABG45),IF(AAD45=7,SUMPRODUCT(--(($AAE$5:$AAE45=$AAE45)*($AAD$5:$AAD45&gt;=4)*($AAD$5:$AAD45&lt;=6)),$ABG$5:$ABG45),IF(AAD45=10,SUMPRODUCT(--(($AAE$5:$AAE45=$AAE45)*($AAD$5:$AAD45&gt;=7)*($AAD$5:$AAD45&lt;=9)),$ABG$5:$ABG45),0)))))</f>
        <v/>
      </c>
      <c r="ABI45" s="12">
        <f>ABI44+ABG45-ABH45</f>
        <v/>
      </c>
      <c r="ABJ45" s="12">
        <f>IF(ProviderDelay&gt;=1,ABF44*ProviderShare,ABF45*ProviderShare)</f>
        <v/>
      </c>
      <c r="ABK45" s="12">
        <f>ABC45*PaymentFee</f>
        <v/>
      </c>
      <c r="ABL45" s="12">
        <f>AAW45*OpsAI</f>
        <v/>
      </c>
      <c r="ABM45" s="12">
        <f>MonthlyFixed</f>
        <v/>
      </c>
      <c r="ABN45" s="12">
        <f>AAK45*ReferralReward</f>
        <v/>
      </c>
      <c r="ABO45" s="12">
        <f>AAI45</f>
        <v/>
      </c>
      <c r="ABP45" s="9">
        <f>ABF45-ABJ45-ABK45-ABL45-ABM45-ABN45-ABO45</f>
        <v/>
      </c>
      <c r="ABQ45" s="9">
        <f>ABQ44+ABC45-(ABJ45+ABK45+ABL45+ABM45+ABN45+ABO45+ABH45)</f>
        <v/>
      </c>
      <c r="ABR45" s="12">
        <f>IF(AAW45&gt;0,AAX45/AAW45,0)</f>
        <v/>
      </c>
      <c r="ABS45" s="11">
        <f>IF(AAW44&gt;0,MAX(0,(AAW44+AAL45-AAW45)/AAW44),0)</f>
        <v/>
      </c>
      <c r="ABU45" s="12" t="n">
        <v>41</v>
      </c>
      <c r="ABV45" s="12">
        <f>MOD(ABU45-1+LaunchMonth-1,12)+1</f>
        <v/>
      </c>
      <c r="ABW45" s="12">
        <f>INT((ABU45-1+LaunchMonth-1)/12)+1</f>
        <v/>
      </c>
      <c r="ABX45" s="12">
        <f>VLOOKUP(ABV45,SeasonTable,2,FALSE)</f>
        <v/>
      </c>
      <c r="ABY45" s="12">
        <f>(1+InflationRate)^INT((ABU45-1)/12)</f>
        <v/>
      </c>
      <c r="ABZ45" s="11">
        <f>MonthlyChurn*VLOOKUP(ABV45,ChurnSeasonTable,4,FALSE)</f>
        <v/>
      </c>
      <c r="ACA45" s="12">
        <f>MIN(MAX(MktMin19plus,ACU44*MktPct19plus),MAX(0,ADI44-CashBuffer))</f>
        <v/>
      </c>
      <c r="ACB45" s="12">
        <f>IF(ACA45&gt;0,MAX(1,ROUND(ACA45/CAC*ABX45,0)),0)</f>
        <v/>
      </c>
      <c r="ACC45" s="12">
        <f>IF(ACB45&gt;0,ROUND(ACB45*ReferralMix/(1-ReferralMix),0),0)</f>
        <v/>
      </c>
      <c r="ACD45" s="12">
        <f>ACB45+ACC45</f>
        <v/>
      </c>
      <c r="ACE45" s="12">
        <f>ROUND(ACD45*(1-'Sens - Annual Mix'!$A$14),0)</f>
        <v/>
      </c>
      <c r="ACF45" s="12">
        <f>ACD45-ACE45</f>
        <v/>
      </c>
      <c r="ACG45" s="12">
        <f>ROUND(ACE45*EssentialMix,0)</f>
        <v/>
      </c>
      <c r="ACH45" s="12">
        <f>ACE45-ACG45</f>
        <v/>
      </c>
      <c r="ACI45" s="12">
        <f>ROUND(ACF45*EssentialMix,0)</f>
        <v/>
      </c>
      <c r="ACJ45" s="12">
        <f>ACF45-ACI45</f>
        <v/>
      </c>
      <c r="ACK45" s="12">
        <f>ACG45+ACG44+ACG43+MAX(0,ACK44-ACG44-ACG43)*(1-ABZ45)</f>
        <v/>
      </c>
      <c r="ACL45" s="12">
        <f>ACH45+ACH44+ACH43+MAX(0,ACL44-ACH44-ACH43)*(1-ABZ45)</f>
        <v/>
      </c>
      <c r="ACM45" s="12">
        <f>ACM44+ACI45-ACI33*(AnnualChurn*VLOOKUP(ABV45,ChurnSeasonTable,4,FALSE))*POWER(1-(AnnualChurn*VLOOKUP(ABV45,ChurnSeasonTable,4,FALSE)),0)+ACI21*(AnnualChurn*VLOOKUP(ABV45,ChurnSeasonTable,4,FALSE))*POWER(1-(AnnualChurn*VLOOKUP(ABV45,ChurnSeasonTable,4,FALSE)),1)+ACI9*(AnnualChurn*VLOOKUP(ABV45,ChurnSeasonTable,4,FALSE))*POWER(1-(AnnualChurn*VLOOKUP(ABV45,ChurnSeasonTable,4,FALSE)),2)</f>
        <v/>
      </c>
      <c r="ACN45" s="12">
        <f>ACN44+ACJ45-ACJ33*(AnnualChurn*VLOOKUP(ABV45,ChurnSeasonTable,4,FALSE))*POWER(1-(AnnualChurn*VLOOKUP(ABV45,ChurnSeasonTable,4,FALSE)),0)+ACJ21*(AnnualChurn*VLOOKUP(ABV45,ChurnSeasonTable,4,FALSE))*POWER(1-(AnnualChurn*VLOOKUP(ABV45,ChurnSeasonTable,4,FALSE)),1)+ACJ9*(AnnualChurn*VLOOKUP(ABV45,ChurnSeasonTable,4,FALSE))*POWER(1-(AnnualChurn*VLOOKUP(ABV45,ChurnSeasonTable,4,FALSE)),2)</f>
        <v/>
      </c>
      <c r="ACO45" s="12">
        <f>ACK45+ACL45+ACM45+ACN45</f>
        <v/>
      </c>
      <c r="ACP45" s="9">
        <f>ACK45*PriceEssMonthly*ABY45+ACL45*PricePremMonthly*ABY45+ACM45*PriceEssAnnual*ABY45/12+ACN45*PricePremAnnual*ABY45/12</f>
        <v/>
      </c>
      <c r="ACQ45" s="9">
        <f>ACP45*12</f>
        <v/>
      </c>
      <c r="ACR45" s="12">
        <f>ACK45*PriceEssMonthly*ABY45+ACL45*PricePremMonthly*ABY45</f>
        <v/>
      </c>
      <c r="ACS45" s="12">
        <f>ACI45*PriceEssAnnual*ABY45+ACJ45*PricePremAnnual*ABY45</f>
        <v/>
      </c>
      <c r="ACT45" s="12">
        <f>ACI33*POWER(1-(AnnualChurn*VLOOKUP(ABV45,ChurnSeasonTable,4,FALSE)),1)*PriceEssAnnual*ABY45+ACI21*POWER(1-(AnnualChurn*VLOOKUP(ABV45,ChurnSeasonTable,4,FALSE)),2)*PriceEssAnnual*ABY45+ACI9*POWER(1-(AnnualChurn*VLOOKUP(ABV45,ChurnSeasonTable,4,FALSE)),3)*PriceEssAnnual*ABY45+ACJ33*POWER(1-(AnnualChurn*VLOOKUP(ABV45,ChurnSeasonTable,4,FALSE)),1)*PricePremAnnual*ABY45+ACJ21*POWER(1-(AnnualChurn*VLOOKUP(ABV45,ChurnSeasonTable,4,FALSE)),2)*PricePremAnnual*ABY45+ACJ9*POWER(1-(AnnualChurn*VLOOKUP(ABV45,ChurnSeasonTable,4,FALSE)),3)*PricePremAnnual*ABY45</f>
        <v/>
      </c>
      <c r="ACU45" s="9">
        <f>ACR45+ACS45+ACT45</f>
        <v/>
      </c>
      <c r="ACV45" s="12">
        <f>SUM(ACU34:ACU45)</f>
        <v/>
      </c>
      <c r="ACW45" s="12">
        <f>OR(ACW44,ACV45&gt;=VATThreshold)</f>
        <v/>
      </c>
      <c r="ACX45" s="9">
        <f>IF(ACW45,ACU45/(1+VATRate),ACU45)</f>
        <v/>
      </c>
      <c r="ACY45" s="12">
        <f>ACU45-ACX45</f>
        <v/>
      </c>
      <c r="ACZ45" s="12">
        <f>IF(ACW45=0,0,IF(ABV45=1,SUMPRODUCT(--(($ABW$5:$ABW45=$ABW45-1)*($ABV$5:$ABV45&gt;=10)*($ABV$5:$ABV45&lt;=12)),$ACY$5:$ACY45),IF(ABV45=4,SUMPRODUCT(--(($ABW$5:$ABW45=$ABW45)*($ABV$5:$ABV45&gt;=1)*($ABV$5:$ABV45&lt;=3)),$ACY$5:$ACY45),IF(ABV45=7,SUMPRODUCT(--(($ABW$5:$ABW45=$ABW45)*($ABV$5:$ABV45&gt;=4)*($ABV$5:$ABV45&lt;=6)),$ACY$5:$ACY45),IF(ABV45=10,SUMPRODUCT(--(($ABW$5:$ABW45=$ABW45)*($ABV$5:$ABV45&gt;=7)*($ABV$5:$ABV45&lt;=9)),$ACY$5:$ACY45),0)))))</f>
        <v/>
      </c>
      <c r="ADA45" s="12">
        <f>ADA44+ACY45-ACZ45</f>
        <v/>
      </c>
      <c r="ADB45" s="12">
        <f>IF(ProviderDelay&gt;=1,ACX44*ProviderShare,ACX45*ProviderShare)</f>
        <v/>
      </c>
      <c r="ADC45" s="12">
        <f>ACU45*PaymentFee</f>
        <v/>
      </c>
      <c r="ADD45" s="12">
        <f>ACO45*OpsAI</f>
        <v/>
      </c>
      <c r="ADE45" s="12">
        <f>MonthlyFixed</f>
        <v/>
      </c>
      <c r="ADF45" s="12">
        <f>ACC45*ReferralReward</f>
        <v/>
      </c>
      <c r="ADG45" s="12">
        <f>ACA45</f>
        <v/>
      </c>
      <c r="ADH45" s="9">
        <f>ACX45-ADB45-ADC45-ADD45-ADE45-ADF45-ADG45</f>
        <v/>
      </c>
      <c r="ADI45" s="9">
        <f>ADI44+ACU45-(ADB45+ADC45+ADD45+ADE45+ADF45+ADG45+ACZ45)</f>
        <v/>
      </c>
      <c r="ADJ45" s="12">
        <f>IF(ACO45&gt;0,ACP45/ACO45,0)</f>
        <v/>
      </c>
      <c r="ADK45" s="11">
        <f>IF(ACO44&gt;0,MAX(0,(ACO44+ACD45-ACO45)/ACO44),0)</f>
        <v/>
      </c>
      <c r="ADM45" s="12" t="n">
        <v>41</v>
      </c>
      <c r="ADN45" s="12">
        <f>MOD(ADM45-1+LaunchMonth-1,12)+1</f>
        <v/>
      </c>
      <c r="ADO45" s="12">
        <f>INT((ADM45-1+LaunchMonth-1)/12)+1</f>
        <v/>
      </c>
      <c r="ADP45" s="12">
        <f>VLOOKUP(ADN45,SeasonTable,2,FALSE)</f>
        <v/>
      </c>
      <c r="ADQ45" s="12">
        <f>(1+InflationRate)^INT((ADM45-1)/12)</f>
        <v/>
      </c>
      <c r="ADR45" s="11">
        <f>MonthlyChurn*VLOOKUP(ADN45,ChurnSeasonTable,4,FALSE)</f>
        <v/>
      </c>
      <c r="ADS45" s="12">
        <f>MIN(MAX(MktMin19plus,AEM44*MktPct19plus),MAX(0,AFA44-CashBuffer))</f>
        <v/>
      </c>
      <c r="ADT45" s="12">
        <f>IF(ADS45&gt;0,MAX(1,ROUND(ADS45/CAC*ADP45,0)),0)</f>
        <v/>
      </c>
      <c r="ADU45" s="12">
        <f>IF(ADT45&gt;0,ROUND(ADT45*ReferralMix/(1-ReferralMix),0),0)</f>
        <v/>
      </c>
      <c r="ADV45" s="12">
        <f>ADT45+ADU45</f>
        <v/>
      </c>
      <c r="ADW45" s="12">
        <f>ROUND(ADV45*(1-'Sens - Annual Mix'!$A$15),0)</f>
        <v/>
      </c>
      <c r="ADX45" s="12">
        <f>ADV45-ADW45</f>
        <v/>
      </c>
      <c r="ADY45" s="12">
        <f>ROUND(ADW45*EssentialMix,0)</f>
        <v/>
      </c>
      <c r="ADZ45" s="12">
        <f>ADW45-ADY45</f>
        <v/>
      </c>
      <c r="AEA45" s="12">
        <f>ROUND(ADX45*EssentialMix,0)</f>
        <v/>
      </c>
      <c r="AEB45" s="12">
        <f>ADX45-AEA45</f>
        <v/>
      </c>
      <c r="AEC45" s="12">
        <f>ADY45+ADY44+ADY43+MAX(0,AEC44-ADY44-ADY43)*(1-ADR45)</f>
        <v/>
      </c>
      <c r="AED45" s="12">
        <f>ADZ45+ADZ44+ADZ43+MAX(0,AED44-ADZ44-ADZ43)*(1-ADR45)</f>
        <v/>
      </c>
      <c r="AEE45" s="12">
        <f>AEE44+AEA45-AEA33*(AnnualChurn*VLOOKUP(ADN45,ChurnSeasonTable,4,FALSE))*POWER(1-(AnnualChurn*VLOOKUP(ADN45,ChurnSeasonTable,4,FALSE)),0)+AEA21*(AnnualChurn*VLOOKUP(ADN45,ChurnSeasonTable,4,FALSE))*POWER(1-(AnnualChurn*VLOOKUP(ADN45,ChurnSeasonTable,4,FALSE)),1)+AEA9*(AnnualChurn*VLOOKUP(ADN45,ChurnSeasonTable,4,FALSE))*POWER(1-(AnnualChurn*VLOOKUP(ADN45,ChurnSeasonTable,4,FALSE)),2)</f>
        <v/>
      </c>
      <c r="AEF45" s="12">
        <f>AEF44+AEB45-AEB33*(AnnualChurn*VLOOKUP(ADN45,ChurnSeasonTable,4,FALSE))*POWER(1-(AnnualChurn*VLOOKUP(ADN45,ChurnSeasonTable,4,FALSE)),0)+AEB21*(AnnualChurn*VLOOKUP(ADN45,ChurnSeasonTable,4,FALSE))*POWER(1-(AnnualChurn*VLOOKUP(ADN45,ChurnSeasonTable,4,FALSE)),1)+AEB9*(AnnualChurn*VLOOKUP(ADN45,ChurnSeasonTable,4,FALSE))*POWER(1-(AnnualChurn*VLOOKUP(ADN45,ChurnSeasonTable,4,FALSE)),2)</f>
        <v/>
      </c>
      <c r="AEG45" s="12">
        <f>AEC45+AED45+AEE45+AEF45</f>
        <v/>
      </c>
      <c r="AEH45" s="9">
        <f>AEC45*PriceEssMonthly*ADQ45+AED45*PricePremMonthly*ADQ45+AEE45*PriceEssAnnual*ADQ45/12+AEF45*PricePremAnnual*ADQ45/12</f>
        <v/>
      </c>
      <c r="AEI45" s="9">
        <f>AEH45*12</f>
        <v/>
      </c>
      <c r="AEJ45" s="12">
        <f>AEC45*PriceEssMonthly*ADQ45+AED45*PricePremMonthly*ADQ45</f>
        <v/>
      </c>
      <c r="AEK45" s="12">
        <f>AEA45*PriceEssAnnual*ADQ45+AEB45*PricePremAnnual*ADQ45</f>
        <v/>
      </c>
      <c r="AEL45" s="12">
        <f>AEA33*POWER(1-(AnnualChurn*VLOOKUP(ADN45,ChurnSeasonTable,4,FALSE)),1)*PriceEssAnnual*ADQ45+AEA21*POWER(1-(AnnualChurn*VLOOKUP(ADN45,ChurnSeasonTable,4,FALSE)),2)*PriceEssAnnual*ADQ45+AEA9*POWER(1-(AnnualChurn*VLOOKUP(ADN45,ChurnSeasonTable,4,FALSE)),3)*PriceEssAnnual*ADQ45+AEB33*POWER(1-(AnnualChurn*VLOOKUP(ADN45,ChurnSeasonTable,4,FALSE)),1)*PricePremAnnual*ADQ45+AEB21*POWER(1-(AnnualChurn*VLOOKUP(ADN45,ChurnSeasonTable,4,FALSE)),2)*PricePremAnnual*ADQ45+AEB9*POWER(1-(AnnualChurn*VLOOKUP(ADN45,ChurnSeasonTable,4,FALSE)),3)*PricePremAnnual*ADQ45</f>
        <v/>
      </c>
      <c r="AEM45" s="9">
        <f>AEJ45+AEK45+AEL45</f>
        <v/>
      </c>
      <c r="AEN45" s="12">
        <f>SUM(AEM34:AEM45)</f>
        <v/>
      </c>
      <c r="AEO45" s="12">
        <f>OR(AEO44,AEN45&gt;=VATThreshold)</f>
        <v/>
      </c>
      <c r="AEP45" s="9">
        <f>IF(AEO45,AEM45/(1+VATRate),AEM45)</f>
        <v/>
      </c>
      <c r="AEQ45" s="12">
        <f>AEM45-AEP45</f>
        <v/>
      </c>
      <c r="AER45" s="12">
        <f>IF(AEO45=0,0,IF(ADN45=1,SUMPRODUCT(--(($ADO$5:$ADO45=$ADO45-1)*($ADN$5:$ADN45&gt;=10)*($ADN$5:$ADN45&lt;=12)),$AEQ$5:$AEQ45),IF(ADN45=4,SUMPRODUCT(--(($ADO$5:$ADO45=$ADO45)*($ADN$5:$ADN45&gt;=1)*($ADN$5:$ADN45&lt;=3)),$AEQ$5:$AEQ45),IF(ADN45=7,SUMPRODUCT(--(($ADO$5:$ADO45=$ADO45)*($ADN$5:$ADN45&gt;=4)*($ADN$5:$ADN45&lt;=6)),$AEQ$5:$AEQ45),IF(ADN45=10,SUMPRODUCT(--(($ADO$5:$ADO45=$ADO45)*($ADN$5:$ADN45&gt;=7)*($ADN$5:$ADN45&lt;=9)),$AEQ$5:$AEQ45),0)))))</f>
        <v/>
      </c>
      <c r="AES45" s="12">
        <f>AES44+AEQ45-AER45</f>
        <v/>
      </c>
      <c r="AET45" s="12">
        <f>IF(ProviderDelay&gt;=1,AEP44*ProviderShare,AEP45*ProviderShare)</f>
        <v/>
      </c>
      <c r="AEU45" s="12">
        <f>AEM45*PaymentFee</f>
        <v/>
      </c>
      <c r="AEV45" s="12">
        <f>AEG45*OpsAI</f>
        <v/>
      </c>
      <c r="AEW45" s="12">
        <f>MonthlyFixed</f>
        <v/>
      </c>
      <c r="AEX45" s="12">
        <f>ADU45*ReferralReward</f>
        <v/>
      </c>
      <c r="AEY45" s="12">
        <f>ADS45</f>
        <v/>
      </c>
      <c r="AEZ45" s="9">
        <f>AEP45-AET45-AEU45-AEV45-AEW45-AEX45-AEY45</f>
        <v/>
      </c>
      <c r="AFA45" s="9">
        <f>AFA44+AEM45-(AET45+AEU45+AEV45+AEW45+AEX45+AEY45+AER45)</f>
        <v/>
      </c>
      <c r="AFB45" s="12">
        <f>IF(AEG45&gt;0,AEH45/AEG45,0)</f>
        <v/>
      </c>
      <c r="AFC45" s="11">
        <f>IF(AEG44&gt;0,MAX(0,(AEG44+ADV45-AEG45)/AEG44),0)</f>
        <v/>
      </c>
      <c r="AFE45" s="12" t="n">
        <v>41</v>
      </c>
      <c r="AFF45" s="12">
        <f>MOD(AFE45-1+LaunchMonth-1,12)+1</f>
        <v/>
      </c>
      <c r="AFG45" s="12">
        <f>INT((AFE45-1+LaunchMonth-1)/12)+1</f>
        <v/>
      </c>
      <c r="AFH45" s="12">
        <f>VLOOKUP(AFF45,SeasonTable,2,FALSE)</f>
        <v/>
      </c>
      <c r="AFI45" s="12">
        <f>(1+InflationRate)^INT((AFE45-1)/12)</f>
        <v/>
      </c>
      <c r="AFJ45" s="11">
        <f>MonthlyChurn*VLOOKUP(AFF45,ChurnSeasonTable,4,FALSE)</f>
        <v/>
      </c>
      <c r="AFK45" s="12">
        <f>MIN(MAX(MktMin19plus,AGE44*MktPct19plus),MAX(0,AGS44-CashBuffer))</f>
        <v/>
      </c>
      <c r="AFL45" s="12">
        <f>IF(AFK45&gt;0,MAX(1,ROUND(AFK45/'Sens - CAC &amp; Marketing'!$A$9*AFH45,0)),0)</f>
        <v/>
      </c>
      <c r="AFM45" s="12">
        <f>IF(AFL45&gt;0,ROUND(AFL45*ReferralMix/(1-ReferralMix),0),0)</f>
        <v/>
      </c>
      <c r="AFN45" s="12">
        <f>AFL45+AFM45</f>
        <v/>
      </c>
      <c r="AFO45" s="12">
        <f>ROUND(AFN45*(1-AnnualMix),0)</f>
        <v/>
      </c>
      <c r="AFP45" s="12">
        <f>AFN45-AFO45</f>
        <v/>
      </c>
      <c r="AFQ45" s="12">
        <f>ROUND(AFO45*EssentialMix,0)</f>
        <v/>
      </c>
      <c r="AFR45" s="12">
        <f>AFO45-AFQ45</f>
        <v/>
      </c>
      <c r="AFS45" s="12">
        <f>ROUND(AFP45*EssentialMix,0)</f>
        <v/>
      </c>
      <c r="AFT45" s="12">
        <f>AFP45-AFS45</f>
        <v/>
      </c>
      <c r="AFU45" s="12">
        <f>AFQ45+AFQ44+AFQ43+MAX(0,AFU44-AFQ44-AFQ43)*(1-AFJ45)</f>
        <v/>
      </c>
      <c r="AFV45" s="12">
        <f>AFR45+AFR44+AFR43+MAX(0,AFV44-AFR44-AFR43)*(1-AFJ45)</f>
        <v/>
      </c>
      <c r="AFW45" s="12">
        <f>AFW44+AFS45-AFS33*(AnnualChurn*VLOOKUP(AFF45,ChurnSeasonTable,4,FALSE))*POWER(1-(AnnualChurn*VLOOKUP(AFF45,ChurnSeasonTable,4,FALSE)),0)+AFS21*(AnnualChurn*VLOOKUP(AFF45,ChurnSeasonTable,4,FALSE))*POWER(1-(AnnualChurn*VLOOKUP(AFF45,ChurnSeasonTable,4,FALSE)),1)+AFS9*(AnnualChurn*VLOOKUP(AFF45,ChurnSeasonTable,4,FALSE))*POWER(1-(AnnualChurn*VLOOKUP(AFF45,ChurnSeasonTable,4,FALSE)),2)</f>
        <v/>
      </c>
      <c r="AFX45" s="12">
        <f>AFX44+AFT45-AFT33*(AnnualChurn*VLOOKUP(AFF45,ChurnSeasonTable,4,FALSE))*POWER(1-(AnnualChurn*VLOOKUP(AFF45,ChurnSeasonTable,4,FALSE)),0)+AFT21*(AnnualChurn*VLOOKUP(AFF45,ChurnSeasonTable,4,FALSE))*POWER(1-(AnnualChurn*VLOOKUP(AFF45,ChurnSeasonTable,4,FALSE)),1)+AFT9*(AnnualChurn*VLOOKUP(AFF45,ChurnSeasonTable,4,FALSE))*POWER(1-(AnnualChurn*VLOOKUP(AFF45,ChurnSeasonTable,4,FALSE)),2)</f>
        <v/>
      </c>
      <c r="AFY45" s="12">
        <f>AFU45+AFV45+AFW45+AFX45</f>
        <v/>
      </c>
      <c r="AFZ45" s="9">
        <f>AFU45*PriceEssMonthly*AFI45+AFV45*PricePremMonthly*AFI45+AFW45*PriceEssAnnual*AFI45/12+AFX45*PricePremAnnual*AFI45/12</f>
        <v/>
      </c>
      <c r="AGA45" s="9">
        <f>AFZ45*12</f>
        <v/>
      </c>
      <c r="AGB45" s="12">
        <f>AFU45*PriceEssMonthly*AFI45+AFV45*PricePremMonthly*AFI45</f>
        <v/>
      </c>
      <c r="AGC45" s="12">
        <f>AFS45*PriceEssAnnual*AFI45+AFT45*PricePremAnnual*AFI45</f>
        <v/>
      </c>
      <c r="AGD45" s="12">
        <f>AFS33*POWER(1-(AnnualChurn*VLOOKUP(AFF45,ChurnSeasonTable,4,FALSE)),1)*PriceEssAnnual*AFI45+AFS21*POWER(1-(AnnualChurn*VLOOKUP(AFF45,ChurnSeasonTable,4,FALSE)),2)*PriceEssAnnual*AFI45+AFS9*POWER(1-(AnnualChurn*VLOOKUP(AFF45,ChurnSeasonTable,4,FALSE)),3)*PriceEssAnnual*AFI45+AFT33*POWER(1-(AnnualChurn*VLOOKUP(AFF45,ChurnSeasonTable,4,FALSE)),1)*PricePremAnnual*AFI45+AFT21*POWER(1-(AnnualChurn*VLOOKUP(AFF45,ChurnSeasonTable,4,FALSE)),2)*PricePremAnnual*AFI45+AFT9*POWER(1-(AnnualChurn*VLOOKUP(AFF45,ChurnSeasonTable,4,FALSE)),3)*PricePremAnnual*AFI45</f>
        <v/>
      </c>
      <c r="AGE45" s="9">
        <f>AGB45+AGC45+AGD45</f>
        <v/>
      </c>
      <c r="AGF45" s="12">
        <f>SUM(AGE34:AGE45)</f>
        <v/>
      </c>
      <c r="AGG45" s="12">
        <f>OR(AGG44,AGF45&gt;=VATThreshold)</f>
        <v/>
      </c>
      <c r="AGH45" s="9">
        <f>IF(AGG45,AGE45/(1+VATRate),AGE45)</f>
        <v/>
      </c>
      <c r="AGI45" s="12">
        <f>AGE45-AGH45</f>
        <v/>
      </c>
      <c r="AGJ45" s="12">
        <f>IF(AGG45=0,0,IF(AFF45=1,SUMPRODUCT(--(($AFG$5:$AFG45=$AFG45-1)*($AFF$5:$AFF45&gt;=10)*($AFF$5:$AFF45&lt;=12)),$AGI$5:$AGI45),IF(AFF45=4,SUMPRODUCT(--(($AFG$5:$AFG45=$AFG45)*($AFF$5:$AFF45&gt;=1)*($AFF$5:$AFF45&lt;=3)),$AGI$5:$AGI45),IF(AFF45=7,SUMPRODUCT(--(($AFG$5:$AFG45=$AFG45)*($AFF$5:$AFF45&gt;=4)*($AFF$5:$AFF45&lt;=6)),$AGI$5:$AGI45),IF(AFF45=10,SUMPRODUCT(--(($AFG$5:$AFG45=$AFG45)*($AFF$5:$AFF45&gt;=7)*($AFF$5:$AFF45&lt;=9)),$AGI$5:$AGI45),0)))))</f>
        <v/>
      </c>
      <c r="AGK45" s="12">
        <f>AGK44+AGI45-AGJ45</f>
        <v/>
      </c>
      <c r="AGL45" s="12">
        <f>IF(ProviderDelay&gt;=1,AGH44*ProviderShare,AGH45*ProviderShare)</f>
        <v/>
      </c>
      <c r="AGM45" s="12">
        <f>AGE45*PaymentFee</f>
        <v/>
      </c>
      <c r="AGN45" s="12">
        <f>AFY45*OpsAI</f>
        <v/>
      </c>
      <c r="AGO45" s="12">
        <f>MonthlyFixed</f>
        <v/>
      </c>
      <c r="AGP45" s="12">
        <f>AFM45*ReferralReward</f>
        <v/>
      </c>
      <c r="AGQ45" s="12">
        <f>AFK45</f>
        <v/>
      </c>
      <c r="AGR45" s="9">
        <f>AGH45-AGL45-AGM45-AGN45-AGO45-AGP45-AGQ45</f>
        <v/>
      </c>
      <c r="AGS45" s="9">
        <f>AGS44+AGE45-(AGL45+AGM45+AGN45+AGO45+AGP45+AGQ45+AGJ45)</f>
        <v/>
      </c>
      <c r="AGT45" s="12">
        <f>IF(AFY45&gt;0,AFZ45/AFY45,0)</f>
        <v/>
      </c>
      <c r="AGU45" s="11">
        <f>IF(AFY44&gt;0,MAX(0,(AFY44+AFN45-AFY45)/AFY44),0)</f>
        <v/>
      </c>
      <c r="AGW45" s="12" t="n">
        <v>41</v>
      </c>
      <c r="AGX45" s="12">
        <f>MOD(AGW45-1+LaunchMonth-1,12)+1</f>
        <v/>
      </c>
      <c r="AGY45" s="12">
        <f>INT((AGW45-1+LaunchMonth-1)/12)+1</f>
        <v/>
      </c>
      <c r="AGZ45" s="12">
        <f>VLOOKUP(AGX45,SeasonTable,2,FALSE)</f>
        <v/>
      </c>
      <c r="AHA45" s="12">
        <f>(1+InflationRate)^INT((AGW45-1)/12)</f>
        <v/>
      </c>
      <c r="AHB45" s="11">
        <f>MonthlyChurn*VLOOKUP(AGX45,ChurnSeasonTable,4,FALSE)</f>
        <v/>
      </c>
      <c r="AHC45" s="12">
        <f>MIN(MAX(MktMin19plus,AHW44*MktPct19plus),MAX(0,AIK44-CashBuffer))</f>
        <v/>
      </c>
      <c r="AHD45" s="12">
        <f>IF(AHC45&gt;0,MAX(1,ROUND(AHC45/'Sens - CAC &amp; Marketing'!$A$10*AGZ45,0)),0)</f>
        <v/>
      </c>
      <c r="AHE45" s="12">
        <f>IF(AHD45&gt;0,ROUND(AHD45*ReferralMix/(1-ReferralMix),0),0)</f>
        <v/>
      </c>
      <c r="AHF45" s="12">
        <f>AHD45+AHE45</f>
        <v/>
      </c>
      <c r="AHG45" s="12">
        <f>ROUND(AHF45*(1-AnnualMix),0)</f>
        <v/>
      </c>
      <c r="AHH45" s="12">
        <f>AHF45-AHG45</f>
        <v/>
      </c>
      <c r="AHI45" s="12">
        <f>ROUND(AHG45*EssentialMix,0)</f>
        <v/>
      </c>
      <c r="AHJ45" s="12">
        <f>AHG45-AHI45</f>
        <v/>
      </c>
      <c r="AHK45" s="12">
        <f>ROUND(AHH45*EssentialMix,0)</f>
        <v/>
      </c>
      <c r="AHL45" s="12">
        <f>AHH45-AHK45</f>
        <v/>
      </c>
      <c r="AHM45" s="12">
        <f>AHI45+AHI44+AHI43+MAX(0,AHM44-AHI44-AHI43)*(1-AHB45)</f>
        <v/>
      </c>
      <c r="AHN45" s="12">
        <f>AHJ45+AHJ44+AHJ43+MAX(0,AHN44-AHJ44-AHJ43)*(1-AHB45)</f>
        <v/>
      </c>
      <c r="AHO45" s="12">
        <f>AHO44+AHK45-AHK33*(AnnualChurn*VLOOKUP(AGX45,ChurnSeasonTable,4,FALSE))*POWER(1-(AnnualChurn*VLOOKUP(AGX45,ChurnSeasonTable,4,FALSE)),0)+AHK21*(AnnualChurn*VLOOKUP(AGX45,ChurnSeasonTable,4,FALSE))*POWER(1-(AnnualChurn*VLOOKUP(AGX45,ChurnSeasonTable,4,FALSE)),1)+AHK9*(AnnualChurn*VLOOKUP(AGX45,ChurnSeasonTable,4,FALSE))*POWER(1-(AnnualChurn*VLOOKUP(AGX45,ChurnSeasonTable,4,FALSE)),2)</f>
        <v/>
      </c>
      <c r="AHP45" s="12">
        <f>AHP44+AHL45-AHL33*(AnnualChurn*VLOOKUP(AGX45,ChurnSeasonTable,4,FALSE))*POWER(1-(AnnualChurn*VLOOKUP(AGX45,ChurnSeasonTable,4,FALSE)),0)+AHL21*(AnnualChurn*VLOOKUP(AGX45,ChurnSeasonTable,4,FALSE))*POWER(1-(AnnualChurn*VLOOKUP(AGX45,ChurnSeasonTable,4,FALSE)),1)+AHL9*(AnnualChurn*VLOOKUP(AGX45,ChurnSeasonTable,4,FALSE))*POWER(1-(AnnualChurn*VLOOKUP(AGX45,ChurnSeasonTable,4,FALSE)),2)</f>
        <v/>
      </c>
      <c r="AHQ45" s="12">
        <f>AHM45+AHN45+AHO45+AHP45</f>
        <v/>
      </c>
      <c r="AHR45" s="9">
        <f>AHM45*PriceEssMonthly*AHA45+AHN45*PricePremMonthly*AHA45+AHO45*PriceEssAnnual*AHA45/12+AHP45*PricePremAnnual*AHA45/12</f>
        <v/>
      </c>
      <c r="AHS45" s="9">
        <f>AHR45*12</f>
        <v/>
      </c>
      <c r="AHT45" s="12">
        <f>AHM45*PriceEssMonthly*AHA45+AHN45*PricePremMonthly*AHA45</f>
        <v/>
      </c>
      <c r="AHU45" s="12">
        <f>AHK45*PriceEssAnnual*AHA45+AHL45*PricePremAnnual*AHA45</f>
        <v/>
      </c>
      <c r="AHV45" s="12">
        <f>AHK33*POWER(1-(AnnualChurn*VLOOKUP(AGX45,ChurnSeasonTable,4,FALSE)),1)*PriceEssAnnual*AHA45+AHK21*POWER(1-(AnnualChurn*VLOOKUP(AGX45,ChurnSeasonTable,4,FALSE)),2)*PriceEssAnnual*AHA45+AHK9*POWER(1-(AnnualChurn*VLOOKUP(AGX45,ChurnSeasonTable,4,FALSE)),3)*PriceEssAnnual*AHA45+AHL33*POWER(1-(AnnualChurn*VLOOKUP(AGX45,ChurnSeasonTable,4,FALSE)),1)*PricePremAnnual*AHA45+AHL21*POWER(1-(AnnualChurn*VLOOKUP(AGX45,ChurnSeasonTable,4,FALSE)),2)*PricePremAnnual*AHA45+AHL9*POWER(1-(AnnualChurn*VLOOKUP(AGX45,ChurnSeasonTable,4,FALSE)),3)*PricePremAnnual*AHA45</f>
        <v/>
      </c>
      <c r="AHW45" s="9">
        <f>AHT45+AHU45+AHV45</f>
        <v/>
      </c>
      <c r="AHX45" s="12">
        <f>SUM(AHW34:AHW45)</f>
        <v/>
      </c>
      <c r="AHY45" s="12">
        <f>OR(AHY44,AHX45&gt;=VATThreshold)</f>
        <v/>
      </c>
      <c r="AHZ45" s="9">
        <f>IF(AHY45,AHW45/(1+VATRate),AHW45)</f>
        <v/>
      </c>
      <c r="AIA45" s="12">
        <f>AHW45-AHZ45</f>
        <v/>
      </c>
      <c r="AIB45" s="12">
        <f>IF(AHY45=0,0,IF(AGX45=1,SUMPRODUCT(--(($AGY$5:$AGY45=$AGY45-1)*($AGX$5:$AGX45&gt;=10)*($AGX$5:$AGX45&lt;=12)),$AIA$5:$AIA45),IF(AGX45=4,SUMPRODUCT(--(($AGY$5:$AGY45=$AGY45)*($AGX$5:$AGX45&gt;=1)*($AGX$5:$AGX45&lt;=3)),$AIA$5:$AIA45),IF(AGX45=7,SUMPRODUCT(--(($AGY$5:$AGY45=$AGY45)*($AGX$5:$AGX45&gt;=4)*($AGX$5:$AGX45&lt;=6)),$AIA$5:$AIA45),IF(AGX45=10,SUMPRODUCT(--(($AGY$5:$AGY45=$AGY45)*($AGX$5:$AGX45&gt;=7)*($AGX$5:$AGX45&lt;=9)),$AIA$5:$AIA45),0)))))</f>
        <v/>
      </c>
      <c r="AIC45" s="12">
        <f>AIC44+AIA45-AIB45</f>
        <v/>
      </c>
      <c r="AID45" s="12">
        <f>IF(ProviderDelay&gt;=1,AHZ44*ProviderShare,AHZ45*ProviderShare)</f>
        <v/>
      </c>
      <c r="AIE45" s="12">
        <f>AHW45*PaymentFee</f>
        <v/>
      </c>
      <c r="AIF45" s="12">
        <f>AHQ45*OpsAI</f>
        <v/>
      </c>
      <c r="AIG45" s="12">
        <f>MonthlyFixed</f>
        <v/>
      </c>
      <c r="AIH45" s="12">
        <f>AHE45*ReferralReward</f>
        <v/>
      </c>
      <c r="AII45" s="12">
        <f>AHC45</f>
        <v/>
      </c>
      <c r="AIJ45" s="9">
        <f>AHZ45-AID45-AIE45-AIF45-AIG45-AIH45-AII45</f>
        <v/>
      </c>
      <c r="AIK45" s="9">
        <f>AIK44+AHW45-(AID45+AIE45+AIF45+AIG45+AIH45+AII45+AIB45)</f>
        <v/>
      </c>
      <c r="AIL45" s="12">
        <f>IF(AHQ45&gt;0,AHR45/AHQ45,0)</f>
        <v/>
      </c>
      <c r="AIM45" s="11">
        <f>IF(AHQ44&gt;0,MAX(0,(AHQ44+AHF45-AHQ45)/AHQ44),0)</f>
        <v/>
      </c>
      <c r="AIO45" s="12" t="n">
        <v>41</v>
      </c>
      <c r="AIP45" s="12">
        <f>MOD(AIO45-1+LaunchMonth-1,12)+1</f>
        <v/>
      </c>
      <c r="AIQ45" s="12">
        <f>INT((AIO45-1+LaunchMonth-1)/12)+1</f>
        <v/>
      </c>
      <c r="AIR45" s="12">
        <f>VLOOKUP(AIP45,SeasonTable,2,FALSE)</f>
        <v/>
      </c>
      <c r="AIS45" s="12">
        <f>(1+InflationRate)^INT((AIO45-1)/12)</f>
        <v/>
      </c>
      <c r="AIT45" s="11">
        <f>MonthlyChurn*VLOOKUP(AIP45,ChurnSeasonTable,4,FALSE)</f>
        <v/>
      </c>
      <c r="AIU45" s="12">
        <f>MIN(MAX(MktMin19plus,AJO44*MktPct19plus),MAX(0,AKC44-CashBuffer))</f>
        <v/>
      </c>
      <c r="AIV45" s="12">
        <f>IF(AIU45&gt;0,MAX(1,ROUND(AIU45/'Sens - CAC &amp; Marketing'!$A$11*AIR45,0)),0)</f>
        <v/>
      </c>
      <c r="AIW45" s="12">
        <f>IF(AIV45&gt;0,ROUND(AIV45*ReferralMix/(1-ReferralMix),0),0)</f>
        <v/>
      </c>
      <c r="AIX45" s="12">
        <f>AIV45+AIW45</f>
        <v/>
      </c>
      <c r="AIY45" s="12">
        <f>ROUND(AIX45*(1-AnnualMix),0)</f>
        <v/>
      </c>
      <c r="AIZ45" s="12">
        <f>AIX45-AIY45</f>
        <v/>
      </c>
      <c r="AJA45" s="12">
        <f>ROUND(AIY45*EssentialMix,0)</f>
        <v/>
      </c>
      <c r="AJB45" s="12">
        <f>AIY45-AJA45</f>
        <v/>
      </c>
      <c r="AJC45" s="12">
        <f>ROUND(AIZ45*EssentialMix,0)</f>
        <v/>
      </c>
      <c r="AJD45" s="12">
        <f>AIZ45-AJC45</f>
        <v/>
      </c>
      <c r="AJE45" s="12">
        <f>AJA45+AJA44+AJA43+MAX(0,AJE44-AJA44-AJA43)*(1-AIT45)</f>
        <v/>
      </c>
      <c r="AJF45" s="12">
        <f>AJB45+AJB44+AJB43+MAX(0,AJF44-AJB44-AJB43)*(1-AIT45)</f>
        <v/>
      </c>
      <c r="AJG45" s="12">
        <f>AJG44+AJC45-AJC33*(AnnualChurn*VLOOKUP(AIP45,ChurnSeasonTable,4,FALSE))*POWER(1-(AnnualChurn*VLOOKUP(AIP45,ChurnSeasonTable,4,FALSE)),0)+AJC21*(AnnualChurn*VLOOKUP(AIP45,ChurnSeasonTable,4,FALSE))*POWER(1-(AnnualChurn*VLOOKUP(AIP45,ChurnSeasonTable,4,FALSE)),1)+AJC9*(AnnualChurn*VLOOKUP(AIP45,ChurnSeasonTable,4,FALSE))*POWER(1-(AnnualChurn*VLOOKUP(AIP45,ChurnSeasonTable,4,FALSE)),2)</f>
        <v/>
      </c>
      <c r="AJH45" s="12">
        <f>AJH44+AJD45-AJD33*(AnnualChurn*VLOOKUP(AIP45,ChurnSeasonTable,4,FALSE))*POWER(1-(AnnualChurn*VLOOKUP(AIP45,ChurnSeasonTable,4,FALSE)),0)+AJD21*(AnnualChurn*VLOOKUP(AIP45,ChurnSeasonTable,4,FALSE))*POWER(1-(AnnualChurn*VLOOKUP(AIP45,ChurnSeasonTable,4,FALSE)),1)+AJD9*(AnnualChurn*VLOOKUP(AIP45,ChurnSeasonTable,4,FALSE))*POWER(1-(AnnualChurn*VLOOKUP(AIP45,ChurnSeasonTable,4,FALSE)),2)</f>
        <v/>
      </c>
      <c r="AJI45" s="12">
        <f>AJE45+AJF45+AJG45+AJH45</f>
        <v/>
      </c>
      <c r="AJJ45" s="9">
        <f>AJE45*PriceEssMonthly*AIS45+AJF45*PricePremMonthly*AIS45+AJG45*PriceEssAnnual*AIS45/12+AJH45*PricePremAnnual*AIS45/12</f>
        <v/>
      </c>
      <c r="AJK45" s="9">
        <f>AJJ45*12</f>
        <v/>
      </c>
      <c r="AJL45" s="12">
        <f>AJE45*PriceEssMonthly*AIS45+AJF45*PricePremMonthly*AIS45</f>
        <v/>
      </c>
      <c r="AJM45" s="12">
        <f>AJC45*PriceEssAnnual*AIS45+AJD45*PricePremAnnual*AIS45</f>
        <v/>
      </c>
      <c r="AJN45" s="12">
        <f>AJC33*POWER(1-(AnnualChurn*VLOOKUP(AIP45,ChurnSeasonTable,4,FALSE)),1)*PriceEssAnnual*AIS45+AJC21*POWER(1-(AnnualChurn*VLOOKUP(AIP45,ChurnSeasonTable,4,FALSE)),2)*PriceEssAnnual*AIS45+AJC9*POWER(1-(AnnualChurn*VLOOKUP(AIP45,ChurnSeasonTable,4,FALSE)),3)*PriceEssAnnual*AIS45+AJD33*POWER(1-(AnnualChurn*VLOOKUP(AIP45,ChurnSeasonTable,4,FALSE)),1)*PricePremAnnual*AIS45+AJD21*POWER(1-(AnnualChurn*VLOOKUP(AIP45,ChurnSeasonTable,4,FALSE)),2)*PricePremAnnual*AIS45+AJD9*POWER(1-(AnnualChurn*VLOOKUP(AIP45,ChurnSeasonTable,4,FALSE)),3)*PricePremAnnual*AIS45</f>
        <v/>
      </c>
      <c r="AJO45" s="9">
        <f>AJL45+AJM45+AJN45</f>
        <v/>
      </c>
      <c r="AJP45" s="12">
        <f>SUM(AJO34:AJO45)</f>
        <v/>
      </c>
      <c r="AJQ45" s="12">
        <f>OR(AJQ44,AJP45&gt;=VATThreshold)</f>
        <v/>
      </c>
      <c r="AJR45" s="9">
        <f>IF(AJQ45,AJO45/(1+VATRate),AJO45)</f>
        <v/>
      </c>
      <c r="AJS45" s="12">
        <f>AJO45-AJR45</f>
        <v/>
      </c>
      <c r="AJT45" s="12">
        <f>IF(AJQ45=0,0,IF(AIP45=1,SUMPRODUCT(--(($AIQ$5:$AIQ45=$AIQ45-1)*($AIP$5:$AIP45&gt;=10)*($AIP$5:$AIP45&lt;=12)),$AJS$5:$AJS45),IF(AIP45=4,SUMPRODUCT(--(($AIQ$5:$AIQ45=$AIQ45)*($AIP$5:$AIP45&gt;=1)*($AIP$5:$AIP45&lt;=3)),$AJS$5:$AJS45),IF(AIP45=7,SUMPRODUCT(--(($AIQ$5:$AIQ45=$AIQ45)*($AIP$5:$AIP45&gt;=4)*($AIP$5:$AIP45&lt;=6)),$AJS$5:$AJS45),IF(AIP45=10,SUMPRODUCT(--(($AIQ$5:$AIQ45=$AIQ45)*($AIP$5:$AIP45&gt;=7)*($AIP$5:$AIP45&lt;=9)),$AJS$5:$AJS45),0)))))</f>
        <v/>
      </c>
      <c r="AJU45" s="12">
        <f>AJU44+AJS45-AJT45</f>
        <v/>
      </c>
      <c r="AJV45" s="12">
        <f>IF(ProviderDelay&gt;=1,AJR44*ProviderShare,AJR45*ProviderShare)</f>
        <v/>
      </c>
      <c r="AJW45" s="12">
        <f>AJO45*PaymentFee</f>
        <v/>
      </c>
      <c r="AJX45" s="12">
        <f>AJI45*OpsAI</f>
        <v/>
      </c>
      <c r="AJY45" s="12">
        <f>MonthlyFixed</f>
        <v/>
      </c>
      <c r="AJZ45" s="12">
        <f>AIW45*ReferralReward</f>
        <v/>
      </c>
      <c r="AKA45" s="12">
        <f>AIU45</f>
        <v/>
      </c>
      <c r="AKB45" s="9">
        <f>AJR45-AJV45-AJW45-AJX45-AJY45-AJZ45-AKA45</f>
        <v/>
      </c>
      <c r="AKC45" s="9">
        <f>AKC44+AJO45-(AJV45+AJW45+AJX45+AJY45+AJZ45+AKA45+AJT45)</f>
        <v/>
      </c>
      <c r="AKD45" s="12">
        <f>IF(AJI45&gt;0,AJJ45/AJI45,0)</f>
        <v/>
      </c>
      <c r="AKE45" s="11">
        <f>IF(AJI44&gt;0,MAX(0,(AJI44+AIX45-AJI45)/AJI44),0)</f>
        <v/>
      </c>
      <c r="AKG45" s="12" t="n">
        <v>41</v>
      </c>
      <c r="AKH45" s="12">
        <f>MOD(AKG45-1+LaunchMonth-1,12)+1</f>
        <v/>
      </c>
      <c r="AKI45" s="12">
        <f>INT((AKG45-1+LaunchMonth-1)/12)+1</f>
        <v/>
      </c>
      <c r="AKJ45" s="12">
        <f>VLOOKUP(AKH45,SeasonTable,2,FALSE)</f>
        <v/>
      </c>
      <c r="AKK45" s="12">
        <f>(1+InflationRate)^INT((AKG45-1)/12)</f>
        <v/>
      </c>
      <c r="AKL45" s="11">
        <f>MonthlyChurn*VLOOKUP(AKH45,ChurnSeasonTable,4,FALSE)</f>
        <v/>
      </c>
      <c r="AKM45" s="12">
        <f>MIN(MAX(MktMin19plus,ALG44*MktPct19plus),MAX(0,ALU44-CashBuffer))</f>
        <v/>
      </c>
      <c r="AKN45" s="12">
        <f>IF(AKM45&gt;0,MAX(1,ROUND(AKM45/'Sens - CAC &amp; Marketing'!$A$12*AKJ45,0)),0)</f>
        <v/>
      </c>
      <c r="AKO45" s="12">
        <f>IF(AKN45&gt;0,ROUND(AKN45*ReferralMix/(1-ReferralMix),0),0)</f>
        <v/>
      </c>
      <c r="AKP45" s="12">
        <f>AKN45+AKO45</f>
        <v/>
      </c>
      <c r="AKQ45" s="12">
        <f>ROUND(AKP45*(1-AnnualMix),0)</f>
        <v/>
      </c>
      <c r="AKR45" s="12">
        <f>AKP45-AKQ45</f>
        <v/>
      </c>
      <c r="AKS45" s="12">
        <f>ROUND(AKQ45*EssentialMix,0)</f>
        <v/>
      </c>
      <c r="AKT45" s="12">
        <f>AKQ45-AKS45</f>
        <v/>
      </c>
      <c r="AKU45" s="12">
        <f>ROUND(AKR45*EssentialMix,0)</f>
        <v/>
      </c>
      <c r="AKV45" s="12">
        <f>AKR45-AKU45</f>
        <v/>
      </c>
      <c r="AKW45" s="12">
        <f>AKS45+AKS44+AKS43+MAX(0,AKW44-AKS44-AKS43)*(1-AKL45)</f>
        <v/>
      </c>
      <c r="AKX45" s="12">
        <f>AKT45+AKT44+AKT43+MAX(0,AKX44-AKT44-AKT43)*(1-AKL45)</f>
        <v/>
      </c>
      <c r="AKY45" s="12">
        <f>AKY44+AKU45-AKU33*(AnnualChurn*VLOOKUP(AKH45,ChurnSeasonTable,4,FALSE))*POWER(1-(AnnualChurn*VLOOKUP(AKH45,ChurnSeasonTable,4,FALSE)),0)+AKU21*(AnnualChurn*VLOOKUP(AKH45,ChurnSeasonTable,4,FALSE))*POWER(1-(AnnualChurn*VLOOKUP(AKH45,ChurnSeasonTable,4,FALSE)),1)+AKU9*(AnnualChurn*VLOOKUP(AKH45,ChurnSeasonTable,4,FALSE))*POWER(1-(AnnualChurn*VLOOKUP(AKH45,ChurnSeasonTable,4,FALSE)),2)</f>
        <v/>
      </c>
      <c r="AKZ45" s="12">
        <f>AKZ44+AKV45-AKV33*(AnnualChurn*VLOOKUP(AKH45,ChurnSeasonTable,4,FALSE))*POWER(1-(AnnualChurn*VLOOKUP(AKH45,ChurnSeasonTable,4,FALSE)),0)+AKV21*(AnnualChurn*VLOOKUP(AKH45,ChurnSeasonTable,4,FALSE))*POWER(1-(AnnualChurn*VLOOKUP(AKH45,ChurnSeasonTable,4,FALSE)),1)+AKV9*(AnnualChurn*VLOOKUP(AKH45,ChurnSeasonTable,4,FALSE))*POWER(1-(AnnualChurn*VLOOKUP(AKH45,ChurnSeasonTable,4,FALSE)),2)</f>
        <v/>
      </c>
      <c r="ALA45" s="12">
        <f>AKW45+AKX45+AKY45+AKZ45</f>
        <v/>
      </c>
      <c r="ALB45" s="9">
        <f>AKW45*PriceEssMonthly*AKK45+AKX45*PricePremMonthly*AKK45+AKY45*PriceEssAnnual*AKK45/12+AKZ45*PricePremAnnual*AKK45/12</f>
        <v/>
      </c>
      <c r="ALC45" s="9">
        <f>ALB45*12</f>
        <v/>
      </c>
      <c r="ALD45" s="12">
        <f>AKW45*PriceEssMonthly*AKK45+AKX45*PricePremMonthly*AKK45</f>
        <v/>
      </c>
      <c r="ALE45" s="12">
        <f>AKU45*PriceEssAnnual*AKK45+AKV45*PricePremAnnual*AKK45</f>
        <v/>
      </c>
      <c r="ALF45" s="12">
        <f>AKU33*POWER(1-(AnnualChurn*VLOOKUP(AKH45,ChurnSeasonTable,4,FALSE)),1)*PriceEssAnnual*AKK45+AKU21*POWER(1-(AnnualChurn*VLOOKUP(AKH45,ChurnSeasonTable,4,FALSE)),2)*PriceEssAnnual*AKK45+AKU9*POWER(1-(AnnualChurn*VLOOKUP(AKH45,ChurnSeasonTable,4,FALSE)),3)*PriceEssAnnual*AKK45+AKV33*POWER(1-(AnnualChurn*VLOOKUP(AKH45,ChurnSeasonTable,4,FALSE)),1)*PricePremAnnual*AKK45+AKV21*POWER(1-(AnnualChurn*VLOOKUP(AKH45,ChurnSeasonTable,4,FALSE)),2)*PricePremAnnual*AKK45+AKV9*POWER(1-(AnnualChurn*VLOOKUP(AKH45,ChurnSeasonTable,4,FALSE)),3)*PricePremAnnual*AKK45</f>
        <v/>
      </c>
      <c r="ALG45" s="9">
        <f>ALD45+ALE45+ALF45</f>
        <v/>
      </c>
      <c r="ALH45" s="12">
        <f>SUM(ALG34:ALG45)</f>
        <v/>
      </c>
      <c r="ALI45" s="12">
        <f>OR(ALI44,ALH45&gt;=VATThreshold)</f>
        <v/>
      </c>
      <c r="ALJ45" s="9">
        <f>IF(ALI45,ALG45/(1+VATRate),ALG45)</f>
        <v/>
      </c>
      <c r="ALK45" s="12">
        <f>ALG45-ALJ45</f>
        <v/>
      </c>
      <c r="ALL45" s="12">
        <f>IF(ALI45=0,0,IF(AKH45=1,SUMPRODUCT(--(($AKI$5:$AKI45=$AKI45-1)*($AKH$5:$AKH45&gt;=10)*($AKH$5:$AKH45&lt;=12)),$ALK$5:$ALK45),IF(AKH45=4,SUMPRODUCT(--(($AKI$5:$AKI45=$AKI45)*($AKH$5:$AKH45&gt;=1)*($AKH$5:$AKH45&lt;=3)),$ALK$5:$ALK45),IF(AKH45=7,SUMPRODUCT(--(($AKI$5:$AKI45=$AKI45)*($AKH$5:$AKH45&gt;=4)*($AKH$5:$AKH45&lt;=6)),$ALK$5:$ALK45),IF(AKH45=10,SUMPRODUCT(--(($AKI$5:$AKI45=$AKI45)*($AKH$5:$AKH45&gt;=7)*($AKH$5:$AKH45&lt;=9)),$ALK$5:$ALK45),0)))))</f>
        <v/>
      </c>
      <c r="ALM45" s="12">
        <f>ALM44+ALK45-ALL45</f>
        <v/>
      </c>
      <c r="ALN45" s="12">
        <f>IF(ProviderDelay&gt;=1,ALJ44*ProviderShare,ALJ45*ProviderShare)</f>
        <v/>
      </c>
      <c r="ALO45" s="12">
        <f>ALG45*PaymentFee</f>
        <v/>
      </c>
      <c r="ALP45" s="12">
        <f>ALA45*OpsAI</f>
        <v/>
      </c>
      <c r="ALQ45" s="12">
        <f>MonthlyFixed</f>
        <v/>
      </c>
      <c r="ALR45" s="12">
        <f>AKO45*ReferralReward</f>
        <v/>
      </c>
      <c r="ALS45" s="12">
        <f>AKM45</f>
        <v/>
      </c>
      <c r="ALT45" s="9">
        <f>ALJ45-ALN45-ALO45-ALP45-ALQ45-ALR45-ALS45</f>
        <v/>
      </c>
      <c r="ALU45" s="9">
        <f>ALU44+ALG45-(ALN45+ALO45+ALP45+ALQ45+ALR45+ALS45+ALL45)</f>
        <v/>
      </c>
      <c r="ALV45" s="12">
        <f>IF(ALA45&gt;0,ALB45/ALA45,0)</f>
        <v/>
      </c>
      <c r="ALW45" s="11">
        <f>IF(ALA44&gt;0,MAX(0,(ALA44+AKP45-ALA45)/ALA44),0)</f>
        <v/>
      </c>
      <c r="ALY45" s="12" t="n">
        <v>41</v>
      </c>
      <c r="ALZ45" s="12">
        <f>MOD(ALY45-1+LaunchMonth-1,12)+1</f>
        <v/>
      </c>
      <c r="AMA45" s="12">
        <f>INT((ALY45-1+LaunchMonth-1)/12)+1</f>
        <v/>
      </c>
      <c r="AMB45" s="12">
        <f>VLOOKUP(ALZ45,SeasonTable,2,FALSE)</f>
        <v/>
      </c>
      <c r="AMC45" s="12">
        <f>(1+InflationRate)^INT((ALY45-1)/12)</f>
        <v/>
      </c>
      <c r="AMD45" s="11">
        <f>MonthlyChurn*VLOOKUP(ALZ45,ChurnSeasonTable,4,FALSE)</f>
        <v/>
      </c>
      <c r="AME45" s="12">
        <f>MIN(MAX(MktMin19plus,AMY44*MktPct19plus),MAX(0,ANM44-CashBuffer))</f>
        <v/>
      </c>
      <c r="AMF45" s="12">
        <f>IF(AME45&gt;0,MAX(1,ROUND(AME45/'Sens - CAC &amp; Marketing'!$A$13*AMB45,0)),0)</f>
        <v/>
      </c>
      <c r="AMG45" s="12">
        <f>IF(AMF45&gt;0,ROUND(AMF45*ReferralMix/(1-ReferralMix),0),0)</f>
        <v/>
      </c>
      <c r="AMH45" s="12">
        <f>AMF45+AMG45</f>
        <v/>
      </c>
      <c r="AMI45" s="12">
        <f>ROUND(AMH45*(1-AnnualMix),0)</f>
        <v/>
      </c>
      <c r="AMJ45" s="12">
        <f>AMH45-AMI45</f>
        <v/>
      </c>
      <c r="AMK45" s="12">
        <f>ROUND(AMI45*EssentialMix,0)</f>
        <v/>
      </c>
      <c r="AML45" s="12">
        <f>AMI45-AMK45</f>
        <v/>
      </c>
      <c r="AMM45" s="12">
        <f>ROUND(AMJ45*EssentialMix,0)</f>
        <v/>
      </c>
      <c r="AMN45" s="12">
        <f>AMJ45-AMM45</f>
        <v/>
      </c>
      <c r="AMO45" s="12">
        <f>AMK45+AMK44+AMK43+MAX(0,AMO44-AMK44-AMK43)*(1-AMD45)</f>
        <v/>
      </c>
      <c r="AMP45" s="12">
        <f>AML45+AML44+AML43+MAX(0,AMP44-AML44-AML43)*(1-AMD45)</f>
        <v/>
      </c>
      <c r="AMQ45" s="12">
        <f>AMQ44+AMM45-AMM33*(AnnualChurn*VLOOKUP(ALZ45,ChurnSeasonTable,4,FALSE))*POWER(1-(AnnualChurn*VLOOKUP(ALZ45,ChurnSeasonTable,4,FALSE)),0)+AMM21*(AnnualChurn*VLOOKUP(ALZ45,ChurnSeasonTable,4,FALSE))*POWER(1-(AnnualChurn*VLOOKUP(ALZ45,ChurnSeasonTable,4,FALSE)),1)+AMM9*(AnnualChurn*VLOOKUP(ALZ45,ChurnSeasonTable,4,FALSE))*POWER(1-(AnnualChurn*VLOOKUP(ALZ45,ChurnSeasonTable,4,FALSE)),2)</f>
        <v/>
      </c>
      <c r="AMR45" s="12">
        <f>AMR44+AMN45-AMN33*(AnnualChurn*VLOOKUP(ALZ45,ChurnSeasonTable,4,FALSE))*POWER(1-(AnnualChurn*VLOOKUP(ALZ45,ChurnSeasonTable,4,FALSE)),0)+AMN21*(AnnualChurn*VLOOKUP(ALZ45,ChurnSeasonTable,4,FALSE))*POWER(1-(AnnualChurn*VLOOKUP(ALZ45,ChurnSeasonTable,4,FALSE)),1)+AMN9*(AnnualChurn*VLOOKUP(ALZ45,ChurnSeasonTable,4,FALSE))*POWER(1-(AnnualChurn*VLOOKUP(ALZ45,ChurnSeasonTable,4,FALSE)),2)</f>
        <v/>
      </c>
      <c r="AMS45" s="12">
        <f>AMO45+AMP45+AMQ45+AMR45</f>
        <v/>
      </c>
      <c r="AMT45" s="9">
        <f>AMO45*PriceEssMonthly*AMC45+AMP45*PricePremMonthly*AMC45+AMQ45*PriceEssAnnual*AMC45/12+AMR45*PricePremAnnual*AMC45/12</f>
        <v/>
      </c>
      <c r="AMU45" s="9">
        <f>AMT45*12</f>
        <v/>
      </c>
      <c r="AMV45" s="12">
        <f>AMO45*PriceEssMonthly*AMC45+AMP45*PricePremMonthly*AMC45</f>
        <v/>
      </c>
      <c r="AMW45" s="12">
        <f>AMM45*PriceEssAnnual*AMC45+AMN45*PricePremAnnual*AMC45</f>
        <v/>
      </c>
      <c r="AMX45" s="12">
        <f>AMM33*POWER(1-(AnnualChurn*VLOOKUP(ALZ45,ChurnSeasonTable,4,FALSE)),1)*PriceEssAnnual*AMC45+AMM21*POWER(1-(AnnualChurn*VLOOKUP(ALZ45,ChurnSeasonTable,4,FALSE)),2)*PriceEssAnnual*AMC45+AMM9*POWER(1-(AnnualChurn*VLOOKUP(ALZ45,ChurnSeasonTable,4,FALSE)),3)*PriceEssAnnual*AMC45+AMN33*POWER(1-(AnnualChurn*VLOOKUP(ALZ45,ChurnSeasonTable,4,FALSE)),1)*PricePremAnnual*AMC45+AMN21*POWER(1-(AnnualChurn*VLOOKUP(ALZ45,ChurnSeasonTable,4,FALSE)),2)*PricePremAnnual*AMC45+AMN9*POWER(1-(AnnualChurn*VLOOKUP(ALZ45,ChurnSeasonTable,4,FALSE)),3)*PricePremAnnual*AMC45</f>
        <v/>
      </c>
      <c r="AMY45" s="9">
        <f>AMV45+AMW45+AMX45</f>
        <v/>
      </c>
      <c r="AMZ45" s="12">
        <f>SUM(AMY34:AMY45)</f>
        <v/>
      </c>
      <c r="ANA45" s="12">
        <f>OR(ANA44,AMZ45&gt;=VATThreshold)</f>
        <v/>
      </c>
      <c r="ANB45" s="9">
        <f>IF(ANA45,AMY45/(1+VATRate),AMY45)</f>
        <v/>
      </c>
      <c r="ANC45" s="12">
        <f>AMY45-ANB45</f>
        <v/>
      </c>
      <c r="AND45" s="12">
        <f>IF(ANA45=0,0,IF(ALZ45=1,SUMPRODUCT(--(($AMA$5:$AMA45=$AMA45-1)*($ALZ$5:$ALZ45&gt;=10)*($ALZ$5:$ALZ45&lt;=12)),$ANC$5:$ANC45),IF(ALZ45=4,SUMPRODUCT(--(($AMA$5:$AMA45=$AMA45)*($ALZ$5:$ALZ45&gt;=1)*($ALZ$5:$ALZ45&lt;=3)),$ANC$5:$ANC45),IF(ALZ45=7,SUMPRODUCT(--(($AMA$5:$AMA45=$AMA45)*($ALZ$5:$ALZ45&gt;=4)*($ALZ$5:$ALZ45&lt;=6)),$ANC$5:$ANC45),IF(ALZ45=10,SUMPRODUCT(--(($AMA$5:$AMA45=$AMA45)*($ALZ$5:$ALZ45&gt;=7)*($ALZ$5:$ALZ45&lt;=9)),$ANC$5:$ANC45),0)))))</f>
        <v/>
      </c>
      <c r="ANE45" s="12">
        <f>ANE44+ANC45-AND45</f>
        <v/>
      </c>
      <c r="ANF45" s="12">
        <f>IF(ProviderDelay&gt;=1,ANB44*ProviderShare,ANB45*ProviderShare)</f>
        <v/>
      </c>
      <c r="ANG45" s="12">
        <f>AMY45*PaymentFee</f>
        <v/>
      </c>
      <c r="ANH45" s="12">
        <f>AMS45*OpsAI</f>
        <v/>
      </c>
      <c r="ANI45" s="12">
        <f>MonthlyFixed</f>
        <v/>
      </c>
      <c r="ANJ45" s="12">
        <f>AMG45*ReferralReward</f>
        <v/>
      </c>
      <c r="ANK45" s="12">
        <f>AME45</f>
        <v/>
      </c>
      <c r="ANL45" s="9">
        <f>ANB45-ANF45-ANG45-ANH45-ANI45-ANJ45-ANK45</f>
        <v/>
      </c>
      <c r="ANM45" s="9">
        <f>ANM44+AMY45-(ANF45+ANG45+ANH45+ANI45+ANJ45+ANK45+AND45)</f>
        <v/>
      </c>
      <c r="ANN45" s="12">
        <f>IF(AMS45&gt;0,AMT45/AMS45,0)</f>
        <v/>
      </c>
      <c r="ANO45" s="11">
        <f>IF(AMS44&gt;0,MAX(0,(AMS44+AMH45-AMS45)/AMS44),0)</f>
        <v/>
      </c>
      <c r="ANQ45" s="12" t="n">
        <v>41</v>
      </c>
      <c r="ANR45" s="12">
        <f>MOD(ANQ45-1+LaunchMonth-1,12)+1</f>
        <v/>
      </c>
      <c r="ANS45" s="12">
        <f>INT((ANQ45-1+LaunchMonth-1)/12)+1</f>
        <v/>
      </c>
      <c r="ANT45" s="12">
        <f>VLOOKUP(ANR45,SeasonTable,2,FALSE)</f>
        <v/>
      </c>
      <c r="ANU45" s="12">
        <f>(1+InflationRate)^INT((ANQ45-1)/12)</f>
        <v/>
      </c>
      <c r="ANV45" s="11">
        <f>MonthlyChurn*VLOOKUP(ANR45,ChurnSeasonTable,4,FALSE)</f>
        <v/>
      </c>
      <c r="ANW45" s="12">
        <f>MIN(MAX(MktMin19plus,AOQ44*MktPct19plus),MAX(0,APE44-CashBuffer))</f>
        <v/>
      </c>
      <c r="ANX45" s="12">
        <f>IF(ANW45&gt;0,MAX(1,ROUND(ANW45/'Sens - CAC &amp; Marketing'!$A$14*ANT45,0)),0)</f>
        <v/>
      </c>
      <c r="ANY45" s="12">
        <f>IF(ANX45&gt;0,ROUND(ANX45*ReferralMix/(1-ReferralMix),0),0)</f>
        <v/>
      </c>
      <c r="ANZ45" s="12">
        <f>ANX45+ANY45</f>
        <v/>
      </c>
      <c r="AOA45" s="12">
        <f>ROUND(ANZ45*(1-AnnualMix),0)</f>
        <v/>
      </c>
      <c r="AOB45" s="12">
        <f>ANZ45-AOA45</f>
        <v/>
      </c>
      <c r="AOC45" s="12">
        <f>ROUND(AOA45*EssentialMix,0)</f>
        <v/>
      </c>
      <c r="AOD45" s="12">
        <f>AOA45-AOC45</f>
        <v/>
      </c>
      <c r="AOE45" s="12">
        <f>ROUND(AOB45*EssentialMix,0)</f>
        <v/>
      </c>
      <c r="AOF45" s="12">
        <f>AOB45-AOE45</f>
        <v/>
      </c>
      <c r="AOG45" s="12">
        <f>AOC45+AOC44+AOC43+MAX(0,AOG44-AOC44-AOC43)*(1-ANV45)</f>
        <v/>
      </c>
      <c r="AOH45" s="12">
        <f>AOD45+AOD44+AOD43+MAX(0,AOH44-AOD44-AOD43)*(1-ANV45)</f>
        <v/>
      </c>
      <c r="AOI45" s="12">
        <f>AOI44+AOE45-AOE33*(AnnualChurn*VLOOKUP(ANR45,ChurnSeasonTable,4,FALSE))*POWER(1-(AnnualChurn*VLOOKUP(ANR45,ChurnSeasonTable,4,FALSE)),0)+AOE21*(AnnualChurn*VLOOKUP(ANR45,ChurnSeasonTable,4,FALSE))*POWER(1-(AnnualChurn*VLOOKUP(ANR45,ChurnSeasonTable,4,FALSE)),1)+AOE9*(AnnualChurn*VLOOKUP(ANR45,ChurnSeasonTable,4,FALSE))*POWER(1-(AnnualChurn*VLOOKUP(ANR45,ChurnSeasonTable,4,FALSE)),2)</f>
        <v/>
      </c>
      <c r="AOJ45" s="12">
        <f>AOJ44+AOF45-AOF33*(AnnualChurn*VLOOKUP(ANR45,ChurnSeasonTable,4,FALSE))*POWER(1-(AnnualChurn*VLOOKUP(ANR45,ChurnSeasonTable,4,FALSE)),0)+AOF21*(AnnualChurn*VLOOKUP(ANR45,ChurnSeasonTable,4,FALSE))*POWER(1-(AnnualChurn*VLOOKUP(ANR45,ChurnSeasonTable,4,FALSE)),1)+AOF9*(AnnualChurn*VLOOKUP(ANR45,ChurnSeasonTable,4,FALSE))*POWER(1-(AnnualChurn*VLOOKUP(ANR45,ChurnSeasonTable,4,FALSE)),2)</f>
        <v/>
      </c>
      <c r="AOK45" s="12">
        <f>AOG45+AOH45+AOI45+AOJ45</f>
        <v/>
      </c>
      <c r="AOL45" s="9">
        <f>AOG45*PriceEssMonthly*ANU45+AOH45*PricePremMonthly*ANU45+AOI45*PriceEssAnnual*ANU45/12+AOJ45*PricePremAnnual*ANU45/12</f>
        <v/>
      </c>
      <c r="AOM45" s="9">
        <f>AOL45*12</f>
        <v/>
      </c>
      <c r="AON45" s="12">
        <f>AOG45*PriceEssMonthly*ANU45+AOH45*PricePremMonthly*ANU45</f>
        <v/>
      </c>
      <c r="AOO45" s="12">
        <f>AOE45*PriceEssAnnual*ANU45+AOF45*PricePremAnnual*ANU45</f>
        <v/>
      </c>
      <c r="AOP45" s="12">
        <f>AOE33*POWER(1-(AnnualChurn*VLOOKUP(ANR45,ChurnSeasonTable,4,FALSE)),1)*PriceEssAnnual*ANU45+AOE21*POWER(1-(AnnualChurn*VLOOKUP(ANR45,ChurnSeasonTable,4,FALSE)),2)*PriceEssAnnual*ANU45+AOE9*POWER(1-(AnnualChurn*VLOOKUP(ANR45,ChurnSeasonTable,4,FALSE)),3)*PriceEssAnnual*ANU45+AOF33*POWER(1-(AnnualChurn*VLOOKUP(ANR45,ChurnSeasonTable,4,FALSE)),1)*PricePremAnnual*ANU45+AOF21*POWER(1-(AnnualChurn*VLOOKUP(ANR45,ChurnSeasonTable,4,FALSE)),2)*PricePremAnnual*ANU45+AOF9*POWER(1-(AnnualChurn*VLOOKUP(ANR45,ChurnSeasonTable,4,FALSE)),3)*PricePremAnnual*ANU45</f>
        <v/>
      </c>
      <c r="AOQ45" s="9">
        <f>AON45+AOO45+AOP45</f>
        <v/>
      </c>
      <c r="AOR45" s="12">
        <f>SUM(AOQ34:AOQ45)</f>
        <v/>
      </c>
      <c r="AOS45" s="12">
        <f>OR(AOS44,AOR45&gt;=VATThreshold)</f>
        <v/>
      </c>
      <c r="AOT45" s="9">
        <f>IF(AOS45,AOQ45/(1+VATRate),AOQ45)</f>
        <v/>
      </c>
      <c r="AOU45" s="12">
        <f>AOQ45-AOT45</f>
        <v/>
      </c>
      <c r="AOV45" s="12">
        <f>IF(AOS45=0,0,IF(ANR45=1,SUMPRODUCT(--(($ANS$5:$ANS45=$ANS45-1)*($ANR$5:$ANR45&gt;=10)*($ANR$5:$ANR45&lt;=12)),$AOU$5:$AOU45),IF(ANR45=4,SUMPRODUCT(--(($ANS$5:$ANS45=$ANS45)*($ANR$5:$ANR45&gt;=1)*($ANR$5:$ANR45&lt;=3)),$AOU$5:$AOU45),IF(ANR45=7,SUMPRODUCT(--(($ANS$5:$ANS45=$ANS45)*($ANR$5:$ANR45&gt;=4)*($ANR$5:$ANR45&lt;=6)),$AOU$5:$AOU45),IF(ANR45=10,SUMPRODUCT(--(($ANS$5:$ANS45=$ANS45)*($ANR$5:$ANR45&gt;=7)*($ANR$5:$ANR45&lt;=9)),$AOU$5:$AOU45),0)))))</f>
        <v/>
      </c>
      <c r="AOW45" s="12">
        <f>AOW44+AOU45-AOV45</f>
        <v/>
      </c>
      <c r="AOX45" s="12">
        <f>IF(ProviderDelay&gt;=1,AOT44*ProviderShare,AOT45*ProviderShare)</f>
        <v/>
      </c>
      <c r="AOY45" s="12">
        <f>AOQ45*PaymentFee</f>
        <v/>
      </c>
      <c r="AOZ45" s="12">
        <f>AOK45*OpsAI</f>
        <v/>
      </c>
      <c r="APA45" s="12">
        <f>MonthlyFixed</f>
        <v/>
      </c>
      <c r="APB45" s="12">
        <f>ANY45*ReferralReward</f>
        <v/>
      </c>
      <c r="APC45" s="12">
        <f>ANW45</f>
        <v/>
      </c>
      <c r="APD45" s="9">
        <f>AOT45-AOX45-AOY45-AOZ45-APA45-APB45-APC45</f>
        <v/>
      </c>
      <c r="APE45" s="9">
        <f>APE44+AOQ45-(AOX45+AOY45+AOZ45+APA45+APB45+APC45+AOV45)</f>
        <v/>
      </c>
      <c r="APF45" s="12">
        <f>IF(AOK45&gt;0,AOL45/AOK45,0)</f>
        <v/>
      </c>
      <c r="APG45" s="11">
        <f>IF(AOK44&gt;0,MAX(0,(AOK44+ANZ45-AOK45)/AOK44),0)</f>
        <v/>
      </c>
      <c r="API45" s="12" t="n">
        <v>41</v>
      </c>
      <c r="APJ45" s="12">
        <f>MOD(API45-1+LaunchMonth-1,12)+1</f>
        <v/>
      </c>
      <c r="APK45" s="12">
        <f>INT((API45-1+LaunchMonth-1)/12)+1</f>
        <v/>
      </c>
      <c r="APL45" s="12">
        <f>VLOOKUP(APJ45,SeasonTable,2,FALSE)</f>
        <v/>
      </c>
      <c r="APM45" s="12">
        <f>(1+InflationRate)^INT((API45-1)/12)</f>
        <v/>
      </c>
      <c r="APN45" s="11">
        <f>MonthlyChurn*VLOOKUP(APJ45,ChurnSeasonTable,4,FALSE)</f>
        <v/>
      </c>
      <c r="APO45" s="12">
        <f>MIN(MAX(MktMin19plus,AQI44*MktPct19plus),MAX(0,AQW44-CashBuffer))</f>
        <v/>
      </c>
      <c r="APP45" s="12">
        <f>IF(APO45&gt;0,MAX(1,ROUND(APO45/'Sens - CAC &amp; Marketing'!$A$15*APL45,0)),0)</f>
        <v/>
      </c>
      <c r="APQ45" s="12">
        <f>IF(APP45&gt;0,ROUND(APP45*ReferralMix/(1-ReferralMix),0),0)</f>
        <v/>
      </c>
      <c r="APR45" s="12">
        <f>APP45+APQ45</f>
        <v/>
      </c>
      <c r="APS45" s="12">
        <f>ROUND(APR45*(1-AnnualMix),0)</f>
        <v/>
      </c>
      <c r="APT45" s="12">
        <f>APR45-APS45</f>
        <v/>
      </c>
      <c r="APU45" s="12">
        <f>ROUND(APS45*EssentialMix,0)</f>
        <v/>
      </c>
      <c r="APV45" s="12">
        <f>APS45-APU45</f>
        <v/>
      </c>
      <c r="APW45" s="12">
        <f>ROUND(APT45*EssentialMix,0)</f>
        <v/>
      </c>
      <c r="APX45" s="12">
        <f>APT45-APW45</f>
        <v/>
      </c>
      <c r="APY45" s="12">
        <f>APU45+APU44+APU43+MAX(0,APY44-APU44-APU43)*(1-APN45)</f>
        <v/>
      </c>
      <c r="APZ45" s="12">
        <f>APV45+APV44+APV43+MAX(0,APZ44-APV44-APV43)*(1-APN45)</f>
        <v/>
      </c>
      <c r="AQA45" s="12">
        <f>AQA44+APW45-APW33*(AnnualChurn*VLOOKUP(APJ45,ChurnSeasonTable,4,FALSE))*POWER(1-(AnnualChurn*VLOOKUP(APJ45,ChurnSeasonTable,4,FALSE)),0)+APW21*(AnnualChurn*VLOOKUP(APJ45,ChurnSeasonTable,4,FALSE))*POWER(1-(AnnualChurn*VLOOKUP(APJ45,ChurnSeasonTable,4,FALSE)),1)+APW9*(AnnualChurn*VLOOKUP(APJ45,ChurnSeasonTable,4,FALSE))*POWER(1-(AnnualChurn*VLOOKUP(APJ45,ChurnSeasonTable,4,FALSE)),2)</f>
        <v/>
      </c>
      <c r="AQB45" s="12">
        <f>AQB44+APX45-APX33*(AnnualChurn*VLOOKUP(APJ45,ChurnSeasonTable,4,FALSE))*POWER(1-(AnnualChurn*VLOOKUP(APJ45,ChurnSeasonTable,4,FALSE)),0)+APX21*(AnnualChurn*VLOOKUP(APJ45,ChurnSeasonTable,4,FALSE))*POWER(1-(AnnualChurn*VLOOKUP(APJ45,ChurnSeasonTable,4,FALSE)),1)+APX9*(AnnualChurn*VLOOKUP(APJ45,ChurnSeasonTable,4,FALSE))*POWER(1-(AnnualChurn*VLOOKUP(APJ45,ChurnSeasonTable,4,FALSE)),2)</f>
        <v/>
      </c>
      <c r="AQC45" s="12">
        <f>APY45+APZ45+AQA45+AQB45</f>
        <v/>
      </c>
      <c r="AQD45" s="9">
        <f>APY45*PriceEssMonthly*APM45+APZ45*PricePremMonthly*APM45+AQA45*PriceEssAnnual*APM45/12+AQB45*PricePremAnnual*APM45/12</f>
        <v/>
      </c>
      <c r="AQE45" s="9">
        <f>AQD45*12</f>
        <v/>
      </c>
      <c r="AQF45" s="12">
        <f>APY45*PriceEssMonthly*APM45+APZ45*PricePremMonthly*APM45</f>
        <v/>
      </c>
      <c r="AQG45" s="12">
        <f>APW45*PriceEssAnnual*APM45+APX45*PricePremAnnual*APM45</f>
        <v/>
      </c>
      <c r="AQH45" s="12">
        <f>APW33*POWER(1-(AnnualChurn*VLOOKUP(APJ45,ChurnSeasonTable,4,FALSE)),1)*PriceEssAnnual*APM45+APW21*POWER(1-(AnnualChurn*VLOOKUP(APJ45,ChurnSeasonTable,4,FALSE)),2)*PriceEssAnnual*APM45+APW9*POWER(1-(AnnualChurn*VLOOKUP(APJ45,ChurnSeasonTable,4,FALSE)),3)*PriceEssAnnual*APM45+APX33*POWER(1-(AnnualChurn*VLOOKUP(APJ45,ChurnSeasonTable,4,FALSE)),1)*PricePremAnnual*APM45+APX21*POWER(1-(AnnualChurn*VLOOKUP(APJ45,ChurnSeasonTable,4,FALSE)),2)*PricePremAnnual*APM45+APX9*POWER(1-(AnnualChurn*VLOOKUP(APJ45,ChurnSeasonTable,4,FALSE)),3)*PricePremAnnual*APM45</f>
        <v/>
      </c>
      <c r="AQI45" s="9">
        <f>AQF45+AQG45+AQH45</f>
        <v/>
      </c>
      <c r="AQJ45" s="12">
        <f>SUM(AQI34:AQI45)</f>
        <v/>
      </c>
      <c r="AQK45" s="12">
        <f>OR(AQK44,AQJ45&gt;=VATThreshold)</f>
        <v/>
      </c>
      <c r="AQL45" s="9">
        <f>IF(AQK45,AQI45/(1+VATRate),AQI45)</f>
        <v/>
      </c>
      <c r="AQM45" s="12">
        <f>AQI45-AQL45</f>
        <v/>
      </c>
      <c r="AQN45" s="12">
        <f>IF(AQK45=0,0,IF(APJ45=1,SUMPRODUCT(--(($APK$5:$APK45=$APK45-1)*($APJ$5:$APJ45&gt;=10)*($APJ$5:$APJ45&lt;=12)),$AQM$5:$AQM45),IF(APJ45=4,SUMPRODUCT(--(($APK$5:$APK45=$APK45)*($APJ$5:$APJ45&gt;=1)*($APJ$5:$APJ45&lt;=3)),$AQM$5:$AQM45),IF(APJ45=7,SUMPRODUCT(--(($APK$5:$APK45=$APK45)*($APJ$5:$APJ45&gt;=4)*($APJ$5:$APJ45&lt;=6)),$AQM$5:$AQM45),IF(APJ45=10,SUMPRODUCT(--(($APK$5:$APK45=$APK45)*($APJ$5:$APJ45&gt;=7)*($APJ$5:$APJ45&lt;=9)),$AQM$5:$AQM45),0)))))</f>
        <v/>
      </c>
      <c r="AQO45" s="12">
        <f>AQO44+AQM45-AQN45</f>
        <v/>
      </c>
      <c r="AQP45" s="12">
        <f>IF(ProviderDelay&gt;=1,AQL44*ProviderShare,AQL45*ProviderShare)</f>
        <v/>
      </c>
      <c r="AQQ45" s="12">
        <f>AQI45*PaymentFee</f>
        <v/>
      </c>
      <c r="AQR45" s="12">
        <f>AQC45*OpsAI</f>
        <v/>
      </c>
      <c r="AQS45" s="12">
        <f>MonthlyFixed</f>
        <v/>
      </c>
      <c r="AQT45" s="12">
        <f>APQ45*ReferralReward</f>
        <v/>
      </c>
      <c r="AQU45" s="12">
        <f>APO45</f>
        <v/>
      </c>
      <c r="AQV45" s="9">
        <f>AQL45-AQP45-AQQ45-AQR45-AQS45-AQT45-AQU45</f>
        <v/>
      </c>
      <c r="AQW45" s="9">
        <f>AQW44+AQI45-(AQP45+AQQ45+AQR45+AQS45+AQT45+AQU45+AQN45)</f>
        <v/>
      </c>
      <c r="AQX45" s="12">
        <f>IF(AQC45&gt;0,AQD45/AQC45,0)</f>
        <v/>
      </c>
      <c r="AQY45" s="11">
        <f>IF(AQC44&gt;0,MAX(0,(AQC44+APR45-AQC45)/AQC44),0)</f>
        <v/>
      </c>
      <c r="ARA45" s="12" t="n">
        <v>41</v>
      </c>
      <c r="ARB45" s="12">
        <f>MOD(ARA45-1+LaunchMonth-1,12)+1</f>
        <v/>
      </c>
      <c r="ARC45" s="12">
        <f>INT((ARA45-1+LaunchMonth-1)/12)+1</f>
        <v/>
      </c>
      <c r="ARD45" s="12">
        <f>VLOOKUP(ARB45,WinterPivotSeasonTable,5,FALSE)</f>
        <v/>
      </c>
      <c r="ARE45" s="12">
        <f>(1+InflationRate)^INT((ARA45-1)/12)</f>
        <v/>
      </c>
      <c r="ARF45" s="11">
        <f>MonthlyChurn*VLOOKUP(ARB45,WinterPivotChurnTable,6,FALSE)</f>
        <v/>
      </c>
      <c r="ARG45" s="12">
        <f>MIN(MAX(MktMin19plus,ASA44*MktPct19plus),MAX(0,ASO44-CashBuffer))</f>
        <v/>
      </c>
      <c r="ARH45" s="12">
        <f>IF(ARG45&gt;0,MAX(1,ROUND(ARG45/CAC*ARD45,0)),0)</f>
        <v/>
      </c>
      <c r="ARI45" s="12">
        <f>IF(ARH45&gt;0,ROUND(ARH45*ReferralMix/(1-ReferralMix),0),0)</f>
        <v/>
      </c>
      <c r="ARJ45" s="12">
        <f>ARH45+ARI45</f>
        <v/>
      </c>
      <c r="ARK45" s="12">
        <f>ROUND(ARJ45*(1-AnnualMix),0)</f>
        <v/>
      </c>
      <c r="ARL45" s="12">
        <f>ARJ45-ARK45</f>
        <v/>
      </c>
      <c r="ARM45" s="12">
        <f>ROUND(ARK45*'Sens - Winter Pivot'!$B$6,0)</f>
        <v/>
      </c>
      <c r="ARN45" s="12">
        <f>ARK45-ARM45</f>
        <v/>
      </c>
      <c r="ARO45" s="12">
        <f>ROUND(ARL45*'Sens - Winter Pivot'!$B$6,0)</f>
        <v/>
      </c>
      <c r="ARP45" s="12">
        <f>ARL45-ARO45</f>
        <v/>
      </c>
      <c r="ARQ45" s="12">
        <f>ARM45+ARM44+ARM43+MAX(0,ARQ44-ARM44-ARM43)*(1-ARF45)</f>
        <v/>
      </c>
      <c r="ARR45" s="12">
        <f>ARN45+ARN44+ARN43+MAX(0,ARR44-ARN44-ARN43)*(1-ARF45)</f>
        <v/>
      </c>
      <c r="ARS45" s="12">
        <f>ARS44+ARO45-ARO33*(AnnualChurn*VLOOKUP(ARB45,WinterPivotChurnTable,6,FALSE))*POWER(1-(AnnualChurn*VLOOKUP(ARB45,WinterPivotChurnTable,6,FALSE)),0)+ARO21*(AnnualChurn*VLOOKUP(ARB45,WinterPivotChurnTable,6,FALSE))*POWER(1-(AnnualChurn*VLOOKUP(ARB45,WinterPivotChurnTable,6,FALSE)),1)+ARO9*(AnnualChurn*VLOOKUP(ARB45,WinterPivotChurnTable,6,FALSE))*POWER(1-(AnnualChurn*VLOOKUP(ARB45,WinterPivotChurnTable,6,FALSE)),2)</f>
        <v/>
      </c>
      <c r="ART45" s="12">
        <f>ART44+ARP45-ARP33*(AnnualChurn*VLOOKUP(ARB45,WinterPivotChurnTable,6,FALSE))*POWER(1-(AnnualChurn*VLOOKUP(ARB45,WinterPivotChurnTable,6,FALSE)),0)+ARP21*(AnnualChurn*VLOOKUP(ARB45,WinterPivotChurnTable,6,FALSE))*POWER(1-(AnnualChurn*VLOOKUP(ARB45,WinterPivotChurnTable,6,FALSE)),1)+ARP9*(AnnualChurn*VLOOKUP(ARB45,WinterPivotChurnTable,6,FALSE))*POWER(1-(AnnualChurn*VLOOKUP(ARB45,WinterPivotChurnTable,6,FALSE)),2)</f>
        <v/>
      </c>
      <c r="ARU45" s="12">
        <f>ARQ45+ARR45+ARS45+ART45</f>
        <v/>
      </c>
      <c r="ARV45" s="9">
        <f>ARQ45*PriceEssMonthly*ARE45+ARR45*(PricePremMonthly+'Sens - Winter Pivot'!$B$7)*ARE45+ARS45*PriceEssAnnual*ARE45/12+ART45*(PricePremAnnual+'Sens - Winter Pivot'!$B$7*12)*ARE45/12</f>
        <v/>
      </c>
      <c r="ARW45" s="9">
        <f>ARV45*12</f>
        <v/>
      </c>
      <c r="ARX45" s="12">
        <f>ARQ45*PriceEssMonthly*ARE45+ARR45*(PricePremMonthly+'Sens - Winter Pivot'!$B$7)*ARE45</f>
        <v/>
      </c>
      <c r="ARY45" s="12">
        <f>ARO45*PriceEssAnnual*ARE45+ARP45*(PricePremAnnual+'Sens - Winter Pivot'!$B$7*12)*ARE45</f>
        <v/>
      </c>
      <c r="ARZ45" s="12">
        <f>ARO33*POWER(1-(AnnualChurn*VLOOKUP(ARB45,WinterPivotChurnTable,6,FALSE)),1)*PriceEssAnnual*ARE45+ARO21*POWER(1-(AnnualChurn*VLOOKUP(ARB45,WinterPivotChurnTable,6,FALSE)),2)*PriceEssAnnual*ARE45+ARO9*POWER(1-(AnnualChurn*VLOOKUP(ARB45,WinterPivotChurnTable,6,FALSE)),3)*PriceEssAnnual*ARE45+ARP33*POWER(1-(AnnualChurn*VLOOKUP(ARB45,WinterPivotChurnTable,6,FALSE)),1)*PricePremAnnual*ARE45+ARP21*POWER(1-(AnnualChurn*VLOOKUP(ARB45,WinterPivotChurnTable,6,FALSE)),2)*PricePremAnnual*ARE45+ARP9*POWER(1-(AnnualChurn*VLOOKUP(ARB45,WinterPivotChurnTable,6,FALSE)),3)*PricePremAnnual*ARE45</f>
        <v/>
      </c>
      <c r="ASA45" s="9">
        <f>ARX45+ARY45+ARZ45</f>
        <v/>
      </c>
      <c r="ASB45" s="12">
        <f>SUM(ASA34:ASA45)</f>
        <v/>
      </c>
      <c r="ASC45" s="12">
        <f>OR(ASC44,ASB45&gt;=VATThreshold)</f>
        <v/>
      </c>
      <c r="ASD45" s="9">
        <f>IF(ASC45,ASA45/(1+VATRate),ASA45)</f>
        <v/>
      </c>
      <c r="ASE45" s="12">
        <f>ASA45-ASD45</f>
        <v/>
      </c>
      <c r="ASF45" s="12">
        <f>IF(ASC45=0,0,IF(ARB45=1,SUMPRODUCT(--(($ARC$5:$ARC45=$ARC45-1)*($ARB$5:$ARB45&gt;=10)*($ARB$5:$ARB45&lt;=12)),$ASE$5:$ASE45),IF(ARB45=4,SUMPRODUCT(--(($ARC$5:$ARC45=$ARC45)*($ARB$5:$ARB45&gt;=1)*($ARB$5:$ARB45&lt;=3)),$ASE$5:$ASE45),IF(ARB45=7,SUMPRODUCT(--(($ARC$5:$ARC45=$ARC45)*($ARB$5:$ARB45&gt;=4)*($ARB$5:$ARB45&lt;=6)),$ASE$5:$ASE45),IF(ARB45=10,SUMPRODUCT(--(($ARC$5:$ARC45=$ARC45)*($ARB$5:$ARB45&gt;=7)*($ARB$5:$ARB45&lt;=9)),$ASE$5:$ASE45),0)))))</f>
        <v/>
      </c>
      <c r="ASG45" s="12">
        <f>ASG44+ASE45-ASF45</f>
        <v/>
      </c>
      <c r="ASH45" s="12">
        <f>IF(ProviderDelay&gt;=1,ASD44*ProviderShare,ASD45*ProviderShare)</f>
        <v/>
      </c>
      <c r="ASI45" s="12">
        <f>ASA45*PaymentFee</f>
        <v/>
      </c>
      <c r="ASJ45" s="12">
        <f>ARU45*OpsAI</f>
        <v/>
      </c>
      <c r="ASK45" s="12">
        <f>MonthlyFixed</f>
        <v/>
      </c>
      <c r="ASL45" s="12">
        <f>ARI45*ReferralReward</f>
        <v/>
      </c>
      <c r="ASM45" s="12">
        <f>ARG45</f>
        <v/>
      </c>
      <c r="ASN45" s="9">
        <f>ASD45-ASH45-ASI45-ASJ45-ASK45-ASL45-ASM45</f>
        <v/>
      </c>
      <c r="ASO45" s="9">
        <f>ASO44+ASA45-(ASH45+ASI45+ASJ45+ASK45+ASL45+ASM45+ASF45)</f>
        <v/>
      </c>
      <c r="ASP45" s="12">
        <f>IF(ARU45&gt;0,ARV45/ARU45,0)</f>
        <v/>
      </c>
      <c r="ASQ45" s="11">
        <f>IF(ARU44&gt;0,MAX(0,(ARU44+ARJ45-ARU45)/ARU44),0)</f>
        <v/>
      </c>
    </row>
    <row r="46">
      <c r="A46" s="12" t="n">
        <v>42</v>
      </c>
      <c r="B46" s="12">
        <f>MOD(A46-1+LaunchMonth-1,12)+1</f>
        <v/>
      </c>
      <c r="C46" s="12">
        <f>INT((A46-1+LaunchMonth-1)/12)+1</f>
        <v/>
      </c>
      <c r="D46" s="12">
        <f>VLOOKUP(B46,SeasonTable,2,FALSE)</f>
        <v/>
      </c>
      <c r="E46" s="12">
        <f>(1+InflationRate)^INT((A46-1)/12)</f>
        <v/>
      </c>
      <c r="F46" s="11">
        <f>'Sens - Scenarios'!$B$5*VLOOKUP(B46,ChurnSeasonTable,4,FALSE)</f>
        <v/>
      </c>
      <c r="G46" s="12">
        <f>MIN(MAX(MktMin19plus,AA45*MktPct19plus),MAX(0,AO45-CashBuffer))</f>
        <v/>
      </c>
      <c r="H46" s="12">
        <f>IF(G46&gt;0,MAX(1,ROUND(G46/'Sens - Scenarios'!$B$8*D46,0)),0)</f>
        <v/>
      </c>
      <c r="I46" s="12">
        <f>IF(H46&gt;0,ROUND(H46*ReferralMix/(1-ReferralMix),0),0)</f>
        <v/>
      </c>
      <c r="J46" s="12">
        <f>H46+I46</f>
        <v/>
      </c>
      <c r="K46" s="12">
        <f>ROUND(J46*(1-'Sens - Scenarios'!$B$7),0)</f>
        <v/>
      </c>
      <c r="L46" s="12">
        <f>J46-K46</f>
        <v/>
      </c>
      <c r="M46" s="12">
        <f>ROUND(K46*EssentialMix,0)</f>
        <v/>
      </c>
      <c r="N46" s="12">
        <f>K46-M46</f>
        <v/>
      </c>
      <c r="O46" s="12">
        <f>ROUND(L46*EssentialMix,0)</f>
        <v/>
      </c>
      <c r="P46" s="12">
        <f>L46-O46</f>
        <v/>
      </c>
      <c r="Q46" s="12">
        <f>M46+M45+M44+MAX(0,Q45-M45-M44)*(1-F46)</f>
        <v/>
      </c>
      <c r="R46" s="12">
        <f>N46+N45+N44+MAX(0,R45-N45-N44)*(1-F46)</f>
        <v/>
      </c>
      <c r="S46" s="12">
        <f>S45+O46-O34*('Sens - Scenarios'!$B$6*VLOOKUP(B46,ChurnSeasonTable,4,FALSE))*POWER(1-('Sens - Scenarios'!$B$6*VLOOKUP(B46,ChurnSeasonTable,4,FALSE)),0)+O22*('Sens - Scenarios'!$B$6*VLOOKUP(B46,ChurnSeasonTable,4,FALSE))*POWER(1-('Sens - Scenarios'!$B$6*VLOOKUP(B46,ChurnSeasonTable,4,FALSE)),1)+O10*('Sens - Scenarios'!$B$6*VLOOKUP(B46,ChurnSeasonTable,4,FALSE))*POWER(1-('Sens - Scenarios'!$B$6*VLOOKUP(B46,ChurnSeasonTable,4,FALSE)),2)</f>
        <v/>
      </c>
      <c r="T46" s="12">
        <f>T45+P46-P34*('Sens - Scenarios'!$B$6*VLOOKUP(B46,ChurnSeasonTable,4,FALSE))*POWER(1-('Sens - Scenarios'!$B$6*VLOOKUP(B46,ChurnSeasonTable,4,FALSE)),0)+P22*('Sens - Scenarios'!$B$6*VLOOKUP(B46,ChurnSeasonTable,4,FALSE))*POWER(1-('Sens - Scenarios'!$B$6*VLOOKUP(B46,ChurnSeasonTable,4,FALSE)),1)+P10*('Sens - Scenarios'!$B$6*VLOOKUP(B46,ChurnSeasonTable,4,FALSE))*POWER(1-('Sens - Scenarios'!$B$6*VLOOKUP(B46,ChurnSeasonTable,4,FALSE)),2)</f>
        <v/>
      </c>
      <c r="U46" s="12">
        <f>Q46+R46+S46+T46</f>
        <v/>
      </c>
      <c r="V46" s="9">
        <f>Q46*PriceEssMonthly*E46+R46*PricePremMonthly*E46+S46*PriceEssAnnual*E46/12+T46*PricePremAnnual*E46/12</f>
        <v/>
      </c>
      <c r="W46" s="9">
        <f>V46*12</f>
        <v/>
      </c>
      <c r="X46" s="12">
        <f>Q46*PriceEssMonthly*E46+R46*PricePremMonthly*E46</f>
        <v/>
      </c>
      <c r="Y46" s="12">
        <f>O46*PriceEssAnnual*E46+P46*PricePremAnnual*E46</f>
        <v/>
      </c>
      <c r="Z46" s="12">
        <f>O34*POWER(1-('Sens - Scenarios'!$B$6*VLOOKUP(B46,ChurnSeasonTable,4,FALSE)),1)*PriceEssAnnual*E46+O22*POWER(1-('Sens - Scenarios'!$B$6*VLOOKUP(B46,ChurnSeasonTable,4,FALSE)),2)*PriceEssAnnual*E46+O10*POWER(1-('Sens - Scenarios'!$B$6*VLOOKUP(B46,ChurnSeasonTable,4,FALSE)),3)*PriceEssAnnual*E46+P34*POWER(1-('Sens - Scenarios'!$B$6*VLOOKUP(B46,ChurnSeasonTable,4,FALSE)),1)*PricePremAnnual*E46+P22*POWER(1-('Sens - Scenarios'!$B$6*VLOOKUP(B46,ChurnSeasonTable,4,FALSE)),2)*PricePremAnnual*E46+P10*POWER(1-('Sens - Scenarios'!$B$6*VLOOKUP(B46,ChurnSeasonTable,4,FALSE)),3)*PricePremAnnual*E46</f>
        <v/>
      </c>
      <c r="AA46" s="9">
        <f>X46+Y46+Z46</f>
        <v/>
      </c>
      <c r="AB46" s="12">
        <f>SUM(AA35:AA46)</f>
        <v/>
      </c>
      <c r="AC46" s="12">
        <f>OR(AC45,AB46&gt;=VATThreshold)</f>
        <v/>
      </c>
      <c r="AD46" s="9">
        <f>IF(AC46,AA46/(1+VATRate),AA46)</f>
        <v/>
      </c>
      <c r="AE46" s="12">
        <f>AA46-AD46</f>
        <v/>
      </c>
      <c r="AF46" s="12">
        <f>IF(AC46=0,0,IF(B46=1,SUMPRODUCT(--(($C$5:$C46=$C46-1)*($B$5:$B46&gt;=10)*($B$5:$B46&lt;=12)),$AE$5:$AE46),IF(B46=4,SUMPRODUCT(--(($C$5:$C46=$C46)*($B$5:$B46&gt;=1)*($B$5:$B46&lt;=3)),$AE$5:$AE46),IF(B46=7,SUMPRODUCT(--(($C$5:$C46=$C46)*($B$5:$B46&gt;=4)*($B$5:$B46&lt;=6)),$AE$5:$AE46),IF(B46=10,SUMPRODUCT(--(($C$5:$C46=$C46)*($B$5:$B46&gt;=7)*($B$5:$B46&lt;=9)),$AE$5:$AE46),0)))))</f>
        <v/>
      </c>
      <c r="AG46" s="12">
        <f>AG45+AE46-AF46</f>
        <v/>
      </c>
      <c r="AH46" s="12">
        <f>IF(ProviderDelay&gt;=1,AD45*ProviderShare,AD46*ProviderShare)</f>
        <v/>
      </c>
      <c r="AI46" s="12">
        <f>AA46*PaymentFee</f>
        <v/>
      </c>
      <c r="AJ46" s="12">
        <f>U46*OpsAI</f>
        <v/>
      </c>
      <c r="AK46" s="12">
        <f>MonthlyFixed</f>
        <v/>
      </c>
      <c r="AL46" s="12">
        <f>I46*ReferralReward</f>
        <v/>
      </c>
      <c r="AM46" s="12">
        <f>G46</f>
        <v/>
      </c>
      <c r="AN46" s="9">
        <f>AD46-AH46-AI46-AJ46-AK46-AL46-AM46</f>
        <v/>
      </c>
      <c r="AO46" s="9">
        <f>AO45+AA46-(AH46+AI46+AJ46+AK46+AL46+AM46+AF46)</f>
        <v/>
      </c>
      <c r="AP46" s="12">
        <f>IF(U46&gt;0,V46/U46,0)</f>
        <v/>
      </c>
      <c r="AQ46" s="11">
        <f>IF(U45&gt;0,MAX(0,(U45+J46-U46)/U45),0)</f>
        <v/>
      </c>
      <c r="AS46" s="12" t="n">
        <v>42</v>
      </c>
      <c r="AT46" s="12">
        <f>MOD(AS46-1+LaunchMonth-1,12)+1</f>
        <v/>
      </c>
      <c r="AU46" s="12">
        <f>INT((AS46-1+LaunchMonth-1)/12)+1</f>
        <v/>
      </c>
      <c r="AV46" s="12">
        <f>VLOOKUP(AT46,SeasonTable,2,FALSE)</f>
        <v/>
      </c>
      <c r="AW46" s="12">
        <f>(1+InflationRate)^INT((AS46-1)/12)</f>
        <v/>
      </c>
      <c r="AX46" s="11">
        <f>MonthlyChurn*VLOOKUP(AT46,ChurnSeasonTable,4,FALSE)</f>
        <v/>
      </c>
      <c r="AY46" s="12">
        <f>MIN(MAX(MktMin19plus,BS45*MktPct19plus),MAX(0,CG45-CashBuffer))</f>
        <v/>
      </c>
      <c r="AZ46" s="12">
        <f>IF(AY46&gt;0,MAX(1,ROUND(AY46/CAC*AV46,0)),0)</f>
        <v/>
      </c>
      <c r="BA46" s="12">
        <f>IF(AZ46&gt;0,ROUND(AZ46*ReferralMix/(1-ReferralMix),0),0)</f>
        <v/>
      </c>
      <c r="BB46" s="12">
        <f>AZ46+BA46</f>
        <v/>
      </c>
      <c r="BC46" s="12">
        <f>ROUND(BB46*(1-AnnualMix),0)</f>
        <v/>
      </c>
      <c r="BD46" s="12">
        <f>BB46-BC46</f>
        <v/>
      </c>
      <c r="BE46" s="12">
        <f>ROUND(BC46*EssentialMix,0)</f>
        <v/>
      </c>
      <c r="BF46" s="12">
        <f>BC46-BE46</f>
        <v/>
      </c>
      <c r="BG46" s="12">
        <f>ROUND(BD46*EssentialMix,0)</f>
        <v/>
      </c>
      <c r="BH46" s="12">
        <f>BD46-BG46</f>
        <v/>
      </c>
      <c r="BI46" s="12">
        <f>BE46+BE45+BE44+MAX(0,BI45-BE45-BE44)*(1-AX46)</f>
        <v/>
      </c>
      <c r="BJ46" s="12">
        <f>BF46+BF45+BF44+MAX(0,BJ45-BF45-BF44)*(1-AX46)</f>
        <v/>
      </c>
      <c r="BK46" s="12">
        <f>BK45+BG46-BG34*(AnnualChurn*VLOOKUP(AT46,ChurnSeasonTable,4,FALSE))*POWER(1-(AnnualChurn*VLOOKUP(AT46,ChurnSeasonTable,4,FALSE)),0)+BG22*(AnnualChurn*VLOOKUP(AT46,ChurnSeasonTable,4,FALSE))*POWER(1-(AnnualChurn*VLOOKUP(AT46,ChurnSeasonTable,4,FALSE)),1)+BG10*(AnnualChurn*VLOOKUP(AT46,ChurnSeasonTable,4,FALSE))*POWER(1-(AnnualChurn*VLOOKUP(AT46,ChurnSeasonTable,4,FALSE)),2)</f>
        <v/>
      </c>
      <c r="BL46" s="12">
        <f>BL45+BH46-BH34*(AnnualChurn*VLOOKUP(AT46,ChurnSeasonTable,4,FALSE))*POWER(1-(AnnualChurn*VLOOKUP(AT46,ChurnSeasonTable,4,FALSE)),0)+BH22*(AnnualChurn*VLOOKUP(AT46,ChurnSeasonTable,4,FALSE))*POWER(1-(AnnualChurn*VLOOKUP(AT46,ChurnSeasonTable,4,FALSE)),1)+BH10*(AnnualChurn*VLOOKUP(AT46,ChurnSeasonTable,4,FALSE))*POWER(1-(AnnualChurn*VLOOKUP(AT46,ChurnSeasonTable,4,FALSE)),2)</f>
        <v/>
      </c>
      <c r="BM46" s="12">
        <f>BI46+BJ46+BK46+BL46</f>
        <v/>
      </c>
      <c r="BN46" s="9">
        <f>BI46*PriceEssMonthly*AW46+BJ46*PricePremMonthly*AW46+BK46*PriceEssAnnual*AW46/12+BL46*PricePremAnnual*AW46/12</f>
        <v/>
      </c>
      <c r="BO46" s="9">
        <f>BN46*12</f>
        <v/>
      </c>
      <c r="BP46" s="12">
        <f>BI46*PriceEssMonthly*AW46+BJ46*PricePremMonthly*AW46</f>
        <v/>
      </c>
      <c r="BQ46" s="12">
        <f>BG46*PriceEssAnnual*AW46+BH46*PricePremAnnual*AW46</f>
        <v/>
      </c>
      <c r="BR46" s="12">
        <f>BG34*POWER(1-(AnnualChurn*VLOOKUP(AT46,ChurnSeasonTable,4,FALSE)),1)*PriceEssAnnual*AW46+BG22*POWER(1-(AnnualChurn*VLOOKUP(AT46,ChurnSeasonTable,4,FALSE)),2)*PriceEssAnnual*AW46+BG10*POWER(1-(AnnualChurn*VLOOKUP(AT46,ChurnSeasonTable,4,FALSE)),3)*PriceEssAnnual*AW46+BH34*POWER(1-(AnnualChurn*VLOOKUP(AT46,ChurnSeasonTable,4,FALSE)),1)*PricePremAnnual*AW46+BH22*POWER(1-(AnnualChurn*VLOOKUP(AT46,ChurnSeasonTable,4,FALSE)),2)*PricePremAnnual*AW46+BH10*POWER(1-(AnnualChurn*VLOOKUP(AT46,ChurnSeasonTable,4,FALSE)),3)*PricePremAnnual*AW46</f>
        <v/>
      </c>
      <c r="BS46" s="9">
        <f>BP46+BQ46+BR46</f>
        <v/>
      </c>
      <c r="BT46" s="12">
        <f>SUM(BS35:BS46)</f>
        <v/>
      </c>
      <c r="BU46" s="12">
        <f>OR(BU45,BT46&gt;=VATThreshold)</f>
        <v/>
      </c>
      <c r="BV46" s="9">
        <f>IF(BU46,BS46/(1+VATRate),BS46)</f>
        <v/>
      </c>
      <c r="BW46" s="12">
        <f>BS46-BV46</f>
        <v/>
      </c>
      <c r="BX46" s="12">
        <f>IF(BU46=0,0,IF(AT46=1,SUMPRODUCT(--(($AU$5:$AU46=$AU46-1)*($AT$5:$AT46&gt;=10)*($AT$5:$AT46&lt;=12)),$BW$5:$BW46),IF(AT46=4,SUMPRODUCT(--(($AU$5:$AU46=$AU46)*($AT$5:$AT46&gt;=1)*($AT$5:$AT46&lt;=3)),$BW$5:$BW46),IF(AT46=7,SUMPRODUCT(--(($AU$5:$AU46=$AU46)*($AT$5:$AT46&gt;=4)*($AT$5:$AT46&lt;=6)),$BW$5:$BW46),IF(AT46=10,SUMPRODUCT(--(($AU$5:$AU46=$AU46)*($AT$5:$AT46&gt;=7)*($AT$5:$AT46&lt;=9)),$BW$5:$BW46),0)))))</f>
        <v/>
      </c>
      <c r="BY46" s="12">
        <f>BY45+BW46-BX46</f>
        <v/>
      </c>
      <c r="BZ46" s="12">
        <f>IF(ProviderDelay&gt;=1,BV45*ProviderShare,BV46*ProviderShare)</f>
        <v/>
      </c>
      <c r="CA46" s="12">
        <f>BS46*PaymentFee</f>
        <v/>
      </c>
      <c r="CB46" s="12">
        <f>BM46*OpsAI</f>
        <v/>
      </c>
      <c r="CC46" s="12">
        <f>MonthlyFixed</f>
        <v/>
      </c>
      <c r="CD46" s="12">
        <f>BA46*ReferralReward</f>
        <v/>
      </c>
      <c r="CE46" s="12">
        <f>AY46</f>
        <v/>
      </c>
      <c r="CF46" s="9">
        <f>BV46-BZ46-CA46-CB46-CC46-CD46-CE46</f>
        <v/>
      </c>
      <c r="CG46" s="9">
        <f>CG45+BS46-(BZ46+CA46+CB46+CC46+CD46+CE46+BX46)</f>
        <v/>
      </c>
      <c r="CH46" s="12">
        <f>IF(BM46&gt;0,BN46/BM46,0)</f>
        <v/>
      </c>
      <c r="CI46" s="11">
        <f>IF(BM45&gt;0,MAX(0,(BM45+BB46-BM46)/BM45),0)</f>
        <v/>
      </c>
      <c r="CK46" s="12" t="n">
        <v>42</v>
      </c>
      <c r="CL46" s="12">
        <f>MOD(CK46-1+LaunchMonth-1,12)+1</f>
        <v/>
      </c>
      <c r="CM46" s="12">
        <f>INT((CK46-1+LaunchMonth-1)/12)+1</f>
        <v/>
      </c>
      <c r="CN46" s="12">
        <f>VLOOKUP(CL46,SeasonTable,2,FALSE)</f>
        <v/>
      </c>
      <c r="CO46" s="12">
        <f>(1+InflationRate)^INT((CK46-1)/12)</f>
        <v/>
      </c>
      <c r="CP46" s="11">
        <f>'Sens - Scenarios'!$D$5*VLOOKUP(CL46,ChurnSeasonTable,4,FALSE)</f>
        <v/>
      </c>
      <c r="CQ46" s="12">
        <f>MIN(MAX(MktMin19plus,DK45*MktPct19plus),MAX(0,DY45-CashBuffer))</f>
        <v/>
      </c>
      <c r="CR46" s="12">
        <f>IF(CQ46&gt;0,MAX(1,ROUND(CQ46/'Sens - Scenarios'!$D$8*CN46,0)),0)</f>
        <v/>
      </c>
      <c r="CS46" s="12">
        <f>IF(CR46&gt;0,ROUND(CR46*ReferralMix/(1-ReferralMix),0),0)</f>
        <v/>
      </c>
      <c r="CT46" s="12">
        <f>CR46+CS46</f>
        <v/>
      </c>
      <c r="CU46" s="12">
        <f>ROUND(CT46*(1-'Sens - Scenarios'!$D$7),0)</f>
        <v/>
      </c>
      <c r="CV46" s="12">
        <f>CT46-CU46</f>
        <v/>
      </c>
      <c r="CW46" s="12">
        <f>ROUND(CU46*EssentialMix,0)</f>
        <v/>
      </c>
      <c r="CX46" s="12">
        <f>CU46-CW46</f>
        <v/>
      </c>
      <c r="CY46" s="12">
        <f>ROUND(CV46*EssentialMix,0)</f>
        <v/>
      </c>
      <c r="CZ46" s="12">
        <f>CV46-CY46</f>
        <v/>
      </c>
      <c r="DA46" s="12">
        <f>CW46+CW45+CW44+MAX(0,DA45-CW45-CW44)*(1-CP46)</f>
        <v/>
      </c>
      <c r="DB46" s="12">
        <f>CX46+CX45+CX44+MAX(0,DB45-CX45-CX44)*(1-CP46)</f>
        <v/>
      </c>
      <c r="DC46" s="12">
        <f>DC45+CY46-CY34*('Sens - Scenarios'!$D$6*VLOOKUP(CL46,ChurnSeasonTable,4,FALSE))*POWER(1-('Sens - Scenarios'!$D$6*VLOOKUP(CL46,ChurnSeasonTable,4,FALSE)),0)+CY22*('Sens - Scenarios'!$D$6*VLOOKUP(CL46,ChurnSeasonTable,4,FALSE))*POWER(1-('Sens - Scenarios'!$D$6*VLOOKUP(CL46,ChurnSeasonTable,4,FALSE)),1)+CY10*('Sens - Scenarios'!$D$6*VLOOKUP(CL46,ChurnSeasonTable,4,FALSE))*POWER(1-('Sens - Scenarios'!$D$6*VLOOKUP(CL46,ChurnSeasonTable,4,FALSE)),2)</f>
        <v/>
      </c>
      <c r="DD46" s="12">
        <f>DD45+CZ46-CZ34*('Sens - Scenarios'!$D$6*VLOOKUP(CL46,ChurnSeasonTable,4,FALSE))*POWER(1-('Sens - Scenarios'!$D$6*VLOOKUP(CL46,ChurnSeasonTable,4,FALSE)),0)+CZ22*('Sens - Scenarios'!$D$6*VLOOKUP(CL46,ChurnSeasonTable,4,FALSE))*POWER(1-('Sens - Scenarios'!$D$6*VLOOKUP(CL46,ChurnSeasonTable,4,FALSE)),1)+CZ10*('Sens - Scenarios'!$D$6*VLOOKUP(CL46,ChurnSeasonTable,4,FALSE))*POWER(1-('Sens - Scenarios'!$D$6*VLOOKUP(CL46,ChurnSeasonTable,4,FALSE)),2)</f>
        <v/>
      </c>
      <c r="DE46" s="12">
        <f>DA46+DB46+DC46+DD46</f>
        <v/>
      </c>
      <c r="DF46" s="9">
        <f>DA46*PriceEssMonthly*CO46+DB46*PricePremMonthly*CO46+DC46*PriceEssAnnual*CO46/12+DD46*PricePremAnnual*CO46/12</f>
        <v/>
      </c>
      <c r="DG46" s="9">
        <f>DF46*12</f>
        <v/>
      </c>
      <c r="DH46" s="12">
        <f>DA46*PriceEssMonthly*CO46+DB46*PricePremMonthly*CO46</f>
        <v/>
      </c>
      <c r="DI46" s="12">
        <f>CY46*PriceEssAnnual*CO46+CZ46*PricePremAnnual*CO46</f>
        <v/>
      </c>
      <c r="DJ46" s="12">
        <f>CY34*POWER(1-('Sens - Scenarios'!$D$6*VLOOKUP(CL46,ChurnSeasonTable,4,FALSE)),1)*PriceEssAnnual*CO46+CY22*POWER(1-('Sens - Scenarios'!$D$6*VLOOKUP(CL46,ChurnSeasonTable,4,FALSE)),2)*PriceEssAnnual*CO46+CY10*POWER(1-('Sens - Scenarios'!$D$6*VLOOKUP(CL46,ChurnSeasonTable,4,FALSE)),3)*PriceEssAnnual*CO46+CZ34*POWER(1-('Sens - Scenarios'!$D$6*VLOOKUP(CL46,ChurnSeasonTable,4,FALSE)),1)*PricePremAnnual*CO46+CZ22*POWER(1-('Sens - Scenarios'!$D$6*VLOOKUP(CL46,ChurnSeasonTable,4,FALSE)),2)*PricePremAnnual*CO46+CZ10*POWER(1-('Sens - Scenarios'!$D$6*VLOOKUP(CL46,ChurnSeasonTable,4,FALSE)),3)*PricePremAnnual*CO46</f>
        <v/>
      </c>
      <c r="DK46" s="9">
        <f>DH46+DI46+DJ46</f>
        <v/>
      </c>
      <c r="DL46" s="12">
        <f>SUM(DK35:DK46)</f>
        <v/>
      </c>
      <c r="DM46" s="12">
        <f>OR(DM45,DL46&gt;=VATThreshold)</f>
        <v/>
      </c>
      <c r="DN46" s="9">
        <f>IF(DM46,DK46/(1+VATRate),DK46)</f>
        <v/>
      </c>
      <c r="DO46" s="12">
        <f>DK46-DN46</f>
        <v/>
      </c>
      <c r="DP46" s="12">
        <f>IF(DM46=0,0,IF(CL46=1,SUMPRODUCT(--(($CM$5:$CM46=$CM46-1)*($CL$5:$CL46&gt;=10)*($CL$5:$CL46&lt;=12)),$DO$5:$DO46),IF(CL46=4,SUMPRODUCT(--(($CM$5:$CM46=$CM46)*($CL$5:$CL46&gt;=1)*($CL$5:$CL46&lt;=3)),$DO$5:$DO46),IF(CL46=7,SUMPRODUCT(--(($CM$5:$CM46=$CM46)*($CL$5:$CL46&gt;=4)*($CL$5:$CL46&lt;=6)),$DO$5:$DO46),IF(CL46=10,SUMPRODUCT(--(($CM$5:$CM46=$CM46)*($CL$5:$CL46&gt;=7)*($CL$5:$CL46&lt;=9)),$DO$5:$DO46),0)))))</f>
        <v/>
      </c>
      <c r="DQ46" s="12">
        <f>DQ45+DO46-DP46</f>
        <v/>
      </c>
      <c r="DR46" s="12">
        <f>IF(ProviderDelay&gt;=1,DN45*ProviderShare,DN46*ProviderShare)</f>
        <v/>
      </c>
      <c r="DS46" s="12">
        <f>DK46*PaymentFee</f>
        <v/>
      </c>
      <c r="DT46" s="12">
        <f>DE46*OpsAI</f>
        <v/>
      </c>
      <c r="DU46" s="12">
        <f>MonthlyFixed</f>
        <v/>
      </c>
      <c r="DV46" s="12">
        <f>CS46*ReferralReward</f>
        <v/>
      </c>
      <c r="DW46" s="12">
        <f>CQ46</f>
        <v/>
      </c>
      <c r="DX46" s="9">
        <f>DN46-DR46-DS46-DT46-DU46-DV46-DW46</f>
        <v/>
      </c>
      <c r="DY46" s="9">
        <f>DY45+DK46-(DR46+DS46+DT46+DU46+DV46+DW46+DP46)</f>
        <v/>
      </c>
      <c r="DZ46" s="12">
        <f>IF(DE46&gt;0,DF46/DE46,0)</f>
        <v/>
      </c>
      <c r="EA46" s="11">
        <f>IF(DE45&gt;0,MAX(0,(DE45+CT46-DE46)/DE45),0)</f>
        <v/>
      </c>
      <c r="EC46" s="12" t="n">
        <v>42</v>
      </c>
      <c r="ED46" s="12">
        <f>MOD(EC46-1+LaunchMonth-1,12)+1</f>
        <v/>
      </c>
      <c r="EE46" s="12">
        <f>INT((EC46-1+LaunchMonth-1)/12)+1</f>
        <v/>
      </c>
      <c r="EF46" s="12">
        <f>VLOOKUP(ED46,SeasonTable,2,FALSE)</f>
        <v/>
      </c>
      <c r="EG46" s="12">
        <f>(1+InflationRate)^INT((EC46-1)/12)</f>
        <v/>
      </c>
      <c r="EH46" s="11">
        <f>'Sens - Churn'!$A$13*VLOOKUP(ED46,ChurnSeasonTable,4,FALSE)</f>
        <v/>
      </c>
      <c r="EI46" s="12">
        <f>MIN(MAX(MktMin19plus,FC45*MktPct19plus),MAX(0,FQ45-CashBuffer))</f>
        <v/>
      </c>
      <c r="EJ46" s="12">
        <f>IF(EI46&gt;0,MAX(1,ROUND(EI46/CAC*EF46,0)),0)</f>
        <v/>
      </c>
      <c r="EK46" s="12">
        <f>IF(EJ46&gt;0,ROUND(EJ46*ReferralMix/(1-ReferralMix),0),0)</f>
        <v/>
      </c>
      <c r="EL46" s="12">
        <f>EJ46+EK46</f>
        <v/>
      </c>
      <c r="EM46" s="12">
        <f>ROUND(EL46*(1-AnnualMix),0)</f>
        <v/>
      </c>
      <c r="EN46" s="12">
        <f>EL46-EM46</f>
        <v/>
      </c>
      <c r="EO46" s="12">
        <f>ROUND(EM46*EssentialMix,0)</f>
        <v/>
      </c>
      <c r="EP46" s="12">
        <f>EM46-EO46</f>
        <v/>
      </c>
      <c r="EQ46" s="12">
        <f>ROUND(EN46*EssentialMix,0)</f>
        <v/>
      </c>
      <c r="ER46" s="12">
        <f>EN46-EQ46</f>
        <v/>
      </c>
      <c r="ES46" s="12">
        <f>EO46+EO45+EO44+MAX(0,ES45-EO45-EO44)*(1-EH46)</f>
        <v/>
      </c>
      <c r="ET46" s="12">
        <f>EP46+EP45+EP44+MAX(0,ET45-EP45-EP44)*(1-EH46)</f>
        <v/>
      </c>
      <c r="EU46" s="12">
        <f>EU45+EQ46-EQ34*(AnnualChurn*VLOOKUP(ED46,ChurnSeasonTable,4,FALSE))*POWER(1-(AnnualChurn*VLOOKUP(ED46,ChurnSeasonTable,4,FALSE)),0)+EQ22*(AnnualChurn*VLOOKUP(ED46,ChurnSeasonTable,4,FALSE))*POWER(1-(AnnualChurn*VLOOKUP(ED46,ChurnSeasonTable,4,FALSE)),1)+EQ10*(AnnualChurn*VLOOKUP(ED46,ChurnSeasonTable,4,FALSE))*POWER(1-(AnnualChurn*VLOOKUP(ED46,ChurnSeasonTable,4,FALSE)),2)</f>
        <v/>
      </c>
      <c r="EV46" s="12">
        <f>EV45+ER46-ER34*(AnnualChurn*VLOOKUP(ED46,ChurnSeasonTable,4,FALSE))*POWER(1-(AnnualChurn*VLOOKUP(ED46,ChurnSeasonTable,4,FALSE)),0)+ER22*(AnnualChurn*VLOOKUP(ED46,ChurnSeasonTable,4,FALSE))*POWER(1-(AnnualChurn*VLOOKUP(ED46,ChurnSeasonTable,4,FALSE)),1)+ER10*(AnnualChurn*VLOOKUP(ED46,ChurnSeasonTable,4,FALSE))*POWER(1-(AnnualChurn*VLOOKUP(ED46,ChurnSeasonTable,4,FALSE)),2)</f>
        <v/>
      </c>
      <c r="EW46" s="12">
        <f>ES46+ET46+EU46+EV46</f>
        <v/>
      </c>
      <c r="EX46" s="9">
        <f>ES46*PriceEssMonthly*EG46+ET46*PricePremMonthly*EG46+EU46*PriceEssAnnual*EG46/12+EV46*PricePremAnnual*EG46/12</f>
        <v/>
      </c>
      <c r="EY46" s="9">
        <f>EX46*12</f>
        <v/>
      </c>
      <c r="EZ46" s="12">
        <f>ES46*PriceEssMonthly*EG46+ET46*PricePremMonthly*EG46</f>
        <v/>
      </c>
      <c r="FA46" s="12">
        <f>EQ46*PriceEssAnnual*EG46+ER46*PricePremAnnual*EG46</f>
        <v/>
      </c>
      <c r="FB46" s="12">
        <f>EQ34*POWER(1-(AnnualChurn*VLOOKUP(ED46,ChurnSeasonTable,4,FALSE)),1)*PriceEssAnnual*EG46+EQ22*POWER(1-(AnnualChurn*VLOOKUP(ED46,ChurnSeasonTable,4,FALSE)),2)*PriceEssAnnual*EG46+EQ10*POWER(1-(AnnualChurn*VLOOKUP(ED46,ChurnSeasonTable,4,FALSE)),3)*PriceEssAnnual*EG46+ER34*POWER(1-(AnnualChurn*VLOOKUP(ED46,ChurnSeasonTable,4,FALSE)),1)*PricePremAnnual*EG46+ER22*POWER(1-(AnnualChurn*VLOOKUP(ED46,ChurnSeasonTable,4,FALSE)),2)*PricePremAnnual*EG46+ER10*POWER(1-(AnnualChurn*VLOOKUP(ED46,ChurnSeasonTable,4,FALSE)),3)*PricePremAnnual*EG46</f>
        <v/>
      </c>
      <c r="FC46" s="9">
        <f>EZ46+FA46+FB46</f>
        <v/>
      </c>
      <c r="FD46" s="12">
        <f>SUM(FC35:FC46)</f>
        <v/>
      </c>
      <c r="FE46" s="12">
        <f>OR(FE45,FD46&gt;=VATThreshold)</f>
        <v/>
      </c>
      <c r="FF46" s="9">
        <f>IF(FE46,FC46/(1+VATRate),FC46)</f>
        <v/>
      </c>
      <c r="FG46" s="12">
        <f>FC46-FF46</f>
        <v/>
      </c>
      <c r="FH46" s="12">
        <f>IF(FE46=0,0,IF(ED46=1,SUMPRODUCT(--(($EE$5:$EE46=$EE46-1)*($ED$5:$ED46&gt;=10)*($ED$5:$ED46&lt;=12)),$FG$5:$FG46),IF(ED46=4,SUMPRODUCT(--(($EE$5:$EE46=$EE46)*($ED$5:$ED46&gt;=1)*($ED$5:$ED46&lt;=3)),$FG$5:$FG46),IF(ED46=7,SUMPRODUCT(--(($EE$5:$EE46=$EE46)*($ED$5:$ED46&gt;=4)*($ED$5:$ED46&lt;=6)),$FG$5:$FG46),IF(ED46=10,SUMPRODUCT(--(($EE$5:$EE46=$EE46)*($ED$5:$ED46&gt;=7)*($ED$5:$ED46&lt;=9)),$FG$5:$FG46),0)))))</f>
        <v/>
      </c>
      <c r="FI46" s="12">
        <f>FI45+FG46-FH46</f>
        <v/>
      </c>
      <c r="FJ46" s="12">
        <f>IF(ProviderDelay&gt;=1,FF45*ProviderShare,FF46*ProviderShare)</f>
        <v/>
      </c>
      <c r="FK46" s="12">
        <f>FC46*PaymentFee</f>
        <v/>
      </c>
      <c r="FL46" s="12">
        <f>EW46*OpsAI</f>
        <v/>
      </c>
      <c r="FM46" s="12">
        <f>MonthlyFixed</f>
        <v/>
      </c>
      <c r="FN46" s="12">
        <f>EK46*ReferralReward</f>
        <v/>
      </c>
      <c r="FO46" s="12">
        <f>EI46</f>
        <v/>
      </c>
      <c r="FP46" s="9">
        <f>FF46-FJ46-FK46-FL46-FM46-FN46-FO46</f>
        <v/>
      </c>
      <c r="FQ46" s="9">
        <f>FQ45+FC46-(FJ46+FK46+FL46+FM46+FN46+FO46+FH46)</f>
        <v/>
      </c>
      <c r="FR46" s="12">
        <f>IF(EW46&gt;0,EX46/EW46,0)</f>
        <v/>
      </c>
      <c r="FS46" s="11">
        <f>IF(EW45&gt;0,MAX(0,(EW45+EL46-EW46)/EW45),0)</f>
        <v/>
      </c>
      <c r="FU46" s="12" t="n">
        <v>42</v>
      </c>
      <c r="FV46" s="12">
        <f>MOD(FU46-1+LaunchMonth-1,12)+1</f>
        <v/>
      </c>
      <c r="FW46" s="12">
        <f>INT((FU46-1+LaunchMonth-1)/12)+1</f>
        <v/>
      </c>
      <c r="FX46" s="12">
        <f>VLOOKUP(FV46,SeasonTable,2,FALSE)</f>
        <v/>
      </c>
      <c r="FY46" s="12">
        <f>(1+InflationRate)^INT((FU46-1)/12)</f>
        <v/>
      </c>
      <c r="FZ46" s="11">
        <f>'Sens - Churn'!$A$14*VLOOKUP(FV46,ChurnSeasonTable,4,FALSE)</f>
        <v/>
      </c>
      <c r="GA46" s="12">
        <f>MIN(MAX(MktMin19plus,GU45*MktPct19plus),MAX(0,HI45-CashBuffer))</f>
        <v/>
      </c>
      <c r="GB46" s="12">
        <f>IF(GA46&gt;0,MAX(1,ROUND(GA46/CAC*FX46,0)),0)</f>
        <v/>
      </c>
      <c r="GC46" s="12">
        <f>IF(GB46&gt;0,ROUND(GB46*ReferralMix/(1-ReferralMix),0),0)</f>
        <v/>
      </c>
      <c r="GD46" s="12">
        <f>GB46+GC46</f>
        <v/>
      </c>
      <c r="GE46" s="12">
        <f>ROUND(GD46*(1-AnnualMix),0)</f>
        <v/>
      </c>
      <c r="GF46" s="12">
        <f>GD46-GE46</f>
        <v/>
      </c>
      <c r="GG46" s="12">
        <f>ROUND(GE46*EssentialMix,0)</f>
        <v/>
      </c>
      <c r="GH46" s="12">
        <f>GE46-GG46</f>
        <v/>
      </c>
      <c r="GI46" s="12">
        <f>ROUND(GF46*EssentialMix,0)</f>
        <v/>
      </c>
      <c r="GJ46" s="12">
        <f>GF46-GI46</f>
        <v/>
      </c>
      <c r="GK46" s="12">
        <f>GG46+GG45+GG44+MAX(0,GK45-GG45-GG44)*(1-FZ46)</f>
        <v/>
      </c>
      <c r="GL46" s="12">
        <f>GH46+GH45+GH44+MAX(0,GL45-GH45-GH44)*(1-FZ46)</f>
        <v/>
      </c>
      <c r="GM46" s="12">
        <f>GM45+GI46-GI34*(AnnualChurn*VLOOKUP(FV46,ChurnSeasonTable,4,FALSE))*POWER(1-(AnnualChurn*VLOOKUP(FV46,ChurnSeasonTable,4,FALSE)),0)+GI22*(AnnualChurn*VLOOKUP(FV46,ChurnSeasonTable,4,FALSE))*POWER(1-(AnnualChurn*VLOOKUP(FV46,ChurnSeasonTable,4,FALSE)),1)+GI10*(AnnualChurn*VLOOKUP(FV46,ChurnSeasonTable,4,FALSE))*POWER(1-(AnnualChurn*VLOOKUP(FV46,ChurnSeasonTable,4,FALSE)),2)</f>
        <v/>
      </c>
      <c r="GN46" s="12">
        <f>GN45+GJ46-GJ34*(AnnualChurn*VLOOKUP(FV46,ChurnSeasonTable,4,FALSE))*POWER(1-(AnnualChurn*VLOOKUP(FV46,ChurnSeasonTable,4,FALSE)),0)+GJ22*(AnnualChurn*VLOOKUP(FV46,ChurnSeasonTable,4,FALSE))*POWER(1-(AnnualChurn*VLOOKUP(FV46,ChurnSeasonTable,4,FALSE)),1)+GJ10*(AnnualChurn*VLOOKUP(FV46,ChurnSeasonTable,4,FALSE))*POWER(1-(AnnualChurn*VLOOKUP(FV46,ChurnSeasonTable,4,FALSE)),2)</f>
        <v/>
      </c>
      <c r="GO46" s="12">
        <f>GK46+GL46+GM46+GN46</f>
        <v/>
      </c>
      <c r="GP46" s="9">
        <f>GK46*PriceEssMonthly*FY46+GL46*PricePremMonthly*FY46+GM46*PriceEssAnnual*FY46/12+GN46*PricePremAnnual*FY46/12</f>
        <v/>
      </c>
      <c r="GQ46" s="9">
        <f>GP46*12</f>
        <v/>
      </c>
      <c r="GR46" s="12">
        <f>GK46*PriceEssMonthly*FY46+GL46*PricePremMonthly*FY46</f>
        <v/>
      </c>
      <c r="GS46" s="12">
        <f>GI46*PriceEssAnnual*FY46+GJ46*PricePremAnnual*FY46</f>
        <v/>
      </c>
      <c r="GT46" s="12">
        <f>GI34*POWER(1-(AnnualChurn*VLOOKUP(FV46,ChurnSeasonTable,4,FALSE)),1)*PriceEssAnnual*FY46+GI22*POWER(1-(AnnualChurn*VLOOKUP(FV46,ChurnSeasonTable,4,FALSE)),2)*PriceEssAnnual*FY46+GI10*POWER(1-(AnnualChurn*VLOOKUP(FV46,ChurnSeasonTable,4,FALSE)),3)*PriceEssAnnual*FY46+GJ34*POWER(1-(AnnualChurn*VLOOKUP(FV46,ChurnSeasonTable,4,FALSE)),1)*PricePremAnnual*FY46+GJ22*POWER(1-(AnnualChurn*VLOOKUP(FV46,ChurnSeasonTable,4,FALSE)),2)*PricePremAnnual*FY46+GJ10*POWER(1-(AnnualChurn*VLOOKUP(FV46,ChurnSeasonTable,4,FALSE)),3)*PricePremAnnual*FY46</f>
        <v/>
      </c>
      <c r="GU46" s="9">
        <f>GR46+GS46+GT46</f>
        <v/>
      </c>
      <c r="GV46" s="12">
        <f>SUM(GU35:GU46)</f>
        <v/>
      </c>
      <c r="GW46" s="12">
        <f>OR(GW45,GV46&gt;=VATThreshold)</f>
        <v/>
      </c>
      <c r="GX46" s="9">
        <f>IF(GW46,GU46/(1+VATRate),GU46)</f>
        <v/>
      </c>
      <c r="GY46" s="12">
        <f>GU46-GX46</f>
        <v/>
      </c>
      <c r="GZ46" s="12">
        <f>IF(GW46=0,0,IF(FV46=1,SUMPRODUCT(--(($FW$5:$FW46=$FW46-1)*($FV$5:$FV46&gt;=10)*($FV$5:$FV46&lt;=12)),$GY$5:$GY46),IF(FV46=4,SUMPRODUCT(--(($FW$5:$FW46=$FW46)*($FV$5:$FV46&gt;=1)*($FV$5:$FV46&lt;=3)),$GY$5:$GY46),IF(FV46=7,SUMPRODUCT(--(($FW$5:$FW46=$FW46)*($FV$5:$FV46&gt;=4)*($FV$5:$FV46&lt;=6)),$GY$5:$GY46),IF(FV46=10,SUMPRODUCT(--(($FW$5:$FW46=$FW46)*($FV$5:$FV46&gt;=7)*($FV$5:$FV46&lt;=9)),$GY$5:$GY46),0)))))</f>
        <v/>
      </c>
      <c r="HA46" s="12">
        <f>HA45+GY46-GZ46</f>
        <v/>
      </c>
      <c r="HB46" s="12">
        <f>IF(ProviderDelay&gt;=1,GX45*ProviderShare,GX46*ProviderShare)</f>
        <v/>
      </c>
      <c r="HC46" s="12">
        <f>GU46*PaymentFee</f>
        <v/>
      </c>
      <c r="HD46" s="12">
        <f>GO46*OpsAI</f>
        <v/>
      </c>
      <c r="HE46" s="12">
        <f>MonthlyFixed</f>
        <v/>
      </c>
      <c r="HF46" s="12">
        <f>GC46*ReferralReward</f>
        <v/>
      </c>
      <c r="HG46" s="12">
        <f>GA46</f>
        <v/>
      </c>
      <c r="HH46" s="9">
        <f>GX46-HB46-HC46-HD46-HE46-HF46-HG46</f>
        <v/>
      </c>
      <c r="HI46" s="9">
        <f>HI45+GU46-(HB46+HC46+HD46+HE46+HF46+HG46+GZ46)</f>
        <v/>
      </c>
      <c r="HJ46" s="12">
        <f>IF(GO46&gt;0,GP46/GO46,0)</f>
        <v/>
      </c>
      <c r="HK46" s="11">
        <f>IF(GO45&gt;0,MAX(0,(GO45+GD46-GO46)/GO45),0)</f>
        <v/>
      </c>
      <c r="HM46" s="12" t="n">
        <v>42</v>
      </c>
      <c r="HN46" s="12">
        <f>MOD(HM46-1+LaunchMonth-1,12)+1</f>
        <v/>
      </c>
      <c r="HO46" s="12">
        <f>INT((HM46-1+LaunchMonth-1)/12)+1</f>
        <v/>
      </c>
      <c r="HP46" s="12">
        <f>VLOOKUP(HN46,SeasonTable,2,FALSE)</f>
        <v/>
      </c>
      <c r="HQ46" s="12">
        <f>(1+InflationRate)^INT((HM46-1)/12)</f>
        <v/>
      </c>
      <c r="HR46" s="11">
        <f>'Sens - Churn'!$A$15*VLOOKUP(HN46,ChurnSeasonTable,4,FALSE)</f>
        <v/>
      </c>
      <c r="HS46" s="12">
        <f>MIN(MAX(MktMin19plus,IM45*MktPct19plus),MAX(0,JA45-CashBuffer))</f>
        <v/>
      </c>
      <c r="HT46" s="12">
        <f>IF(HS46&gt;0,MAX(1,ROUND(HS46/CAC*HP46,0)),0)</f>
        <v/>
      </c>
      <c r="HU46" s="12">
        <f>IF(HT46&gt;0,ROUND(HT46*ReferralMix/(1-ReferralMix),0),0)</f>
        <v/>
      </c>
      <c r="HV46" s="12">
        <f>HT46+HU46</f>
        <v/>
      </c>
      <c r="HW46" s="12">
        <f>ROUND(HV46*(1-AnnualMix),0)</f>
        <v/>
      </c>
      <c r="HX46" s="12">
        <f>HV46-HW46</f>
        <v/>
      </c>
      <c r="HY46" s="12">
        <f>ROUND(HW46*EssentialMix,0)</f>
        <v/>
      </c>
      <c r="HZ46" s="12">
        <f>HW46-HY46</f>
        <v/>
      </c>
      <c r="IA46" s="12">
        <f>ROUND(HX46*EssentialMix,0)</f>
        <v/>
      </c>
      <c r="IB46" s="12">
        <f>HX46-IA46</f>
        <v/>
      </c>
      <c r="IC46" s="12">
        <f>HY46+HY45+HY44+MAX(0,IC45-HY45-HY44)*(1-HR46)</f>
        <v/>
      </c>
      <c r="ID46" s="12">
        <f>HZ46+HZ45+HZ44+MAX(0,ID45-HZ45-HZ44)*(1-HR46)</f>
        <v/>
      </c>
      <c r="IE46" s="12">
        <f>IE45+IA46-IA34*(AnnualChurn*VLOOKUP(HN46,ChurnSeasonTable,4,FALSE))*POWER(1-(AnnualChurn*VLOOKUP(HN46,ChurnSeasonTable,4,FALSE)),0)+IA22*(AnnualChurn*VLOOKUP(HN46,ChurnSeasonTable,4,FALSE))*POWER(1-(AnnualChurn*VLOOKUP(HN46,ChurnSeasonTable,4,FALSE)),1)+IA10*(AnnualChurn*VLOOKUP(HN46,ChurnSeasonTable,4,FALSE))*POWER(1-(AnnualChurn*VLOOKUP(HN46,ChurnSeasonTable,4,FALSE)),2)</f>
        <v/>
      </c>
      <c r="IF46" s="12">
        <f>IF45+IB46-IB34*(AnnualChurn*VLOOKUP(HN46,ChurnSeasonTable,4,FALSE))*POWER(1-(AnnualChurn*VLOOKUP(HN46,ChurnSeasonTable,4,FALSE)),0)+IB22*(AnnualChurn*VLOOKUP(HN46,ChurnSeasonTable,4,FALSE))*POWER(1-(AnnualChurn*VLOOKUP(HN46,ChurnSeasonTable,4,FALSE)),1)+IB10*(AnnualChurn*VLOOKUP(HN46,ChurnSeasonTable,4,FALSE))*POWER(1-(AnnualChurn*VLOOKUP(HN46,ChurnSeasonTable,4,FALSE)),2)</f>
        <v/>
      </c>
      <c r="IG46" s="12">
        <f>IC46+ID46+IE46+IF46</f>
        <v/>
      </c>
      <c r="IH46" s="9">
        <f>IC46*PriceEssMonthly*HQ46+ID46*PricePremMonthly*HQ46+IE46*PriceEssAnnual*HQ46/12+IF46*PricePremAnnual*HQ46/12</f>
        <v/>
      </c>
      <c r="II46" s="9">
        <f>IH46*12</f>
        <v/>
      </c>
      <c r="IJ46" s="12">
        <f>IC46*PriceEssMonthly*HQ46+ID46*PricePremMonthly*HQ46</f>
        <v/>
      </c>
      <c r="IK46" s="12">
        <f>IA46*PriceEssAnnual*HQ46+IB46*PricePremAnnual*HQ46</f>
        <v/>
      </c>
      <c r="IL46" s="12">
        <f>IA34*POWER(1-(AnnualChurn*VLOOKUP(HN46,ChurnSeasonTable,4,FALSE)),1)*PriceEssAnnual*HQ46+IA22*POWER(1-(AnnualChurn*VLOOKUP(HN46,ChurnSeasonTable,4,FALSE)),2)*PriceEssAnnual*HQ46+IA10*POWER(1-(AnnualChurn*VLOOKUP(HN46,ChurnSeasonTable,4,FALSE)),3)*PriceEssAnnual*HQ46+IB34*POWER(1-(AnnualChurn*VLOOKUP(HN46,ChurnSeasonTable,4,FALSE)),1)*PricePremAnnual*HQ46+IB22*POWER(1-(AnnualChurn*VLOOKUP(HN46,ChurnSeasonTable,4,FALSE)),2)*PricePremAnnual*HQ46+IB10*POWER(1-(AnnualChurn*VLOOKUP(HN46,ChurnSeasonTable,4,FALSE)),3)*PricePremAnnual*HQ46</f>
        <v/>
      </c>
      <c r="IM46" s="9">
        <f>IJ46+IK46+IL46</f>
        <v/>
      </c>
      <c r="IN46" s="12">
        <f>SUM(IM35:IM46)</f>
        <v/>
      </c>
      <c r="IO46" s="12">
        <f>OR(IO45,IN46&gt;=VATThreshold)</f>
        <v/>
      </c>
      <c r="IP46" s="9">
        <f>IF(IO46,IM46/(1+VATRate),IM46)</f>
        <v/>
      </c>
      <c r="IQ46" s="12">
        <f>IM46-IP46</f>
        <v/>
      </c>
      <c r="IR46" s="12">
        <f>IF(IO46=0,0,IF(HN46=1,SUMPRODUCT(--(($HO$5:$HO46=$HO46-1)*($HN$5:$HN46&gt;=10)*($HN$5:$HN46&lt;=12)),$IQ$5:$IQ46),IF(HN46=4,SUMPRODUCT(--(($HO$5:$HO46=$HO46)*($HN$5:$HN46&gt;=1)*($HN$5:$HN46&lt;=3)),$IQ$5:$IQ46),IF(HN46=7,SUMPRODUCT(--(($HO$5:$HO46=$HO46)*($HN$5:$HN46&gt;=4)*($HN$5:$HN46&lt;=6)),$IQ$5:$IQ46),IF(HN46=10,SUMPRODUCT(--(($HO$5:$HO46=$HO46)*($HN$5:$HN46&gt;=7)*($HN$5:$HN46&lt;=9)),$IQ$5:$IQ46),0)))))</f>
        <v/>
      </c>
      <c r="IS46" s="12">
        <f>IS45+IQ46-IR46</f>
        <v/>
      </c>
      <c r="IT46" s="12">
        <f>IF(ProviderDelay&gt;=1,IP45*ProviderShare,IP46*ProviderShare)</f>
        <v/>
      </c>
      <c r="IU46" s="12">
        <f>IM46*PaymentFee</f>
        <v/>
      </c>
      <c r="IV46" s="12">
        <f>IG46*OpsAI</f>
        <v/>
      </c>
      <c r="IW46" s="12">
        <f>MonthlyFixed</f>
        <v/>
      </c>
      <c r="IX46" s="12">
        <f>HU46*ReferralReward</f>
        <v/>
      </c>
      <c r="IY46" s="12">
        <f>HS46</f>
        <v/>
      </c>
      <c r="IZ46" s="9">
        <f>IP46-IT46-IU46-IV46-IW46-IX46-IY46</f>
        <v/>
      </c>
      <c r="JA46" s="9">
        <f>JA45+IM46-(IT46+IU46+IV46+IW46+IX46+IY46+IR46)</f>
        <v/>
      </c>
      <c r="JB46" s="12">
        <f>IF(IG46&gt;0,IH46/IG46,0)</f>
        <v/>
      </c>
      <c r="JC46" s="11">
        <f>IF(IG45&gt;0,MAX(0,(IG45+HV46-IG46)/IG45),0)</f>
        <v/>
      </c>
      <c r="JE46" s="12" t="n">
        <v>42</v>
      </c>
      <c r="JF46" s="12">
        <f>MOD(JE46-1+LaunchMonth-1,12)+1</f>
        <v/>
      </c>
      <c r="JG46" s="12">
        <f>INT((JE46-1+LaunchMonth-1)/12)+1</f>
        <v/>
      </c>
      <c r="JH46" s="12">
        <f>VLOOKUP(JF46,SeasonTable,2,FALSE)</f>
        <v/>
      </c>
      <c r="JI46" s="12">
        <f>(1+InflationRate)^INT((JE46-1)/12)</f>
        <v/>
      </c>
      <c r="JJ46" s="11">
        <f>'Sens - Churn'!$A$16*VLOOKUP(JF46,ChurnSeasonTable,4,FALSE)</f>
        <v/>
      </c>
      <c r="JK46" s="12">
        <f>MIN(MAX(MktMin19plus,KE45*MktPct19plus),MAX(0,KS45-CashBuffer))</f>
        <v/>
      </c>
      <c r="JL46" s="12">
        <f>IF(JK46&gt;0,MAX(1,ROUND(JK46/CAC*JH46,0)),0)</f>
        <v/>
      </c>
      <c r="JM46" s="12">
        <f>IF(JL46&gt;0,ROUND(JL46*ReferralMix/(1-ReferralMix),0),0)</f>
        <v/>
      </c>
      <c r="JN46" s="12">
        <f>JL46+JM46</f>
        <v/>
      </c>
      <c r="JO46" s="12">
        <f>ROUND(JN46*(1-AnnualMix),0)</f>
        <v/>
      </c>
      <c r="JP46" s="12">
        <f>JN46-JO46</f>
        <v/>
      </c>
      <c r="JQ46" s="12">
        <f>ROUND(JO46*EssentialMix,0)</f>
        <v/>
      </c>
      <c r="JR46" s="12">
        <f>JO46-JQ46</f>
        <v/>
      </c>
      <c r="JS46" s="12">
        <f>ROUND(JP46*EssentialMix,0)</f>
        <v/>
      </c>
      <c r="JT46" s="12">
        <f>JP46-JS46</f>
        <v/>
      </c>
      <c r="JU46" s="12">
        <f>JQ46+JQ45+JQ44+MAX(0,JU45-JQ45-JQ44)*(1-JJ46)</f>
        <v/>
      </c>
      <c r="JV46" s="12">
        <f>JR46+JR45+JR44+MAX(0,JV45-JR45-JR44)*(1-JJ46)</f>
        <v/>
      </c>
      <c r="JW46" s="12">
        <f>JW45+JS46-JS34*(AnnualChurn*VLOOKUP(JF46,ChurnSeasonTable,4,FALSE))*POWER(1-(AnnualChurn*VLOOKUP(JF46,ChurnSeasonTable,4,FALSE)),0)+JS22*(AnnualChurn*VLOOKUP(JF46,ChurnSeasonTable,4,FALSE))*POWER(1-(AnnualChurn*VLOOKUP(JF46,ChurnSeasonTable,4,FALSE)),1)+JS10*(AnnualChurn*VLOOKUP(JF46,ChurnSeasonTable,4,FALSE))*POWER(1-(AnnualChurn*VLOOKUP(JF46,ChurnSeasonTable,4,FALSE)),2)</f>
        <v/>
      </c>
      <c r="JX46" s="12">
        <f>JX45+JT46-JT34*(AnnualChurn*VLOOKUP(JF46,ChurnSeasonTable,4,FALSE))*POWER(1-(AnnualChurn*VLOOKUP(JF46,ChurnSeasonTable,4,FALSE)),0)+JT22*(AnnualChurn*VLOOKUP(JF46,ChurnSeasonTable,4,FALSE))*POWER(1-(AnnualChurn*VLOOKUP(JF46,ChurnSeasonTable,4,FALSE)),1)+JT10*(AnnualChurn*VLOOKUP(JF46,ChurnSeasonTable,4,FALSE))*POWER(1-(AnnualChurn*VLOOKUP(JF46,ChurnSeasonTable,4,FALSE)),2)</f>
        <v/>
      </c>
      <c r="JY46" s="12">
        <f>JU46+JV46+JW46+JX46</f>
        <v/>
      </c>
      <c r="JZ46" s="9">
        <f>JU46*PriceEssMonthly*JI46+JV46*PricePremMonthly*JI46+JW46*PriceEssAnnual*JI46/12+JX46*PricePremAnnual*JI46/12</f>
        <v/>
      </c>
      <c r="KA46" s="9">
        <f>JZ46*12</f>
        <v/>
      </c>
      <c r="KB46" s="12">
        <f>JU46*PriceEssMonthly*JI46+JV46*PricePremMonthly*JI46</f>
        <v/>
      </c>
      <c r="KC46" s="12">
        <f>JS46*PriceEssAnnual*JI46+JT46*PricePremAnnual*JI46</f>
        <v/>
      </c>
      <c r="KD46" s="12">
        <f>JS34*POWER(1-(AnnualChurn*VLOOKUP(JF46,ChurnSeasonTable,4,FALSE)),1)*PriceEssAnnual*JI46+JS22*POWER(1-(AnnualChurn*VLOOKUP(JF46,ChurnSeasonTable,4,FALSE)),2)*PriceEssAnnual*JI46+JS10*POWER(1-(AnnualChurn*VLOOKUP(JF46,ChurnSeasonTable,4,FALSE)),3)*PriceEssAnnual*JI46+JT34*POWER(1-(AnnualChurn*VLOOKUP(JF46,ChurnSeasonTable,4,FALSE)),1)*PricePremAnnual*JI46+JT22*POWER(1-(AnnualChurn*VLOOKUP(JF46,ChurnSeasonTable,4,FALSE)),2)*PricePremAnnual*JI46+JT10*POWER(1-(AnnualChurn*VLOOKUP(JF46,ChurnSeasonTable,4,FALSE)),3)*PricePremAnnual*JI46</f>
        <v/>
      </c>
      <c r="KE46" s="9">
        <f>KB46+KC46+KD46</f>
        <v/>
      </c>
      <c r="KF46" s="12">
        <f>SUM(KE35:KE46)</f>
        <v/>
      </c>
      <c r="KG46" s="12">
        <f>OR(KG45,KF46&gt;=VATThreshold)</f>
        <v/>
      </c>
      <c r="KH46" s="9">
        <f>IF(KG46,KE46/(1+VATRate),KE46)</f>
        <v/>
      </c>
      <c r="KI46" s="12">
        <f>KE46-KH46</f>
        <v/>
      </c>
      <c r="KJ46" s="12">
        <f>IF(KG46=0,0,IF(JF46=1,SUMPRODUCT(--(($JG$5:$JG46=$JG46-1)*($JF$5:$JF46&gt;=10)*($JF$5:$JF46&lt;=12)),$KI$5:$KI46),IF(JF46=4,SUMPRODUCT(--(($JG$5:$JG46=$JG46)*($JF$5:$JF46&gt;=1)*($JF$5:$JF46&lt;=3)),$KI$5:$KI46),IF(JF46=7,SUMPRODUCT(--(($JG$5:$JG46=$JG46)*($JF$5:$JF46&gt;=4)*($JF$5:$JF46&lt;=6)),$KI$5:$KI46),IF(JF46=10,SUMPRODUCT(--(($JG$5:$JG46=$JG46)*($JF$5:$JF46&gt;=7)*($JF$5:$JF46&lt;=9)),$KI$5:$KI46),0)))))</f>
        <v/>
      </c>
      <c r="KK46" s="12">
        <f>KK45+KI46-KJ46</f>
        <v/>
      </c>
      <c r="KL46" s="12">
        <f>IF(ProviderDelay&gt;=1,KH45*ProviderShare,KH46*ProviderShare)</f>
        <v/>
      </c>
      <c r="KM46" s="12">
        <f>KE46*PaymentFee</f>
        <v/>
      </c>
      <c r="KN46" s="12">
        <f>JY46*OpsAI</f>
        <v/>
      </c>
      <c r="KO46" s="12">
        <f>MonthlyFixed</f>
        <v/>
      </c>
      <c r="KP46" s="12">
        <f>JM46*ReferralReward</f>
        <v/>
      </c>
      <c r="KQ46" s="12">
        <f>JK46</f>
        <v/>
      </c>
      <c r="KR46" s="9">
        <f>KH46-KL46-KM46-KN46-KO46-KP46-KQ46</f>
        <v/>
      </c>
      <c r="KS46" s="9">
        <f>KS45+KE46-(KL46+KM46+KN46+KO46+KP46+KQ46+KJ46)</f>
        <v/>
      </c>
      <c r="KT46" s="12">
        <f>IF(JY46&gt;0,JZ46/JY46,0)</f>
        <v/>
      </c>
      <c r="KU46" s="11">
        <f>IF(JY45&gt;0,MAX(0,(JY45+JN46-JY46)/JY45),0)</f>
        <v/>
      </c>
      <c r="KW46" s="12" t="n">
        <v>42</v>
      </c>
      <c r="KX46" s="12">
        <f>MOD(KW46-1+LaunchMonth-1,12)+1</f>
        <v/>
      </c>
      <c r="KY46" s="12">
        <f>INT((KW46-1+LaunchMonth-1)/12)+1</f>
        <v/>
      </c>
      <c r="KZ46" s="12">
        <f>VLOOKUP(KX46,SeasonTable,2,FALSE)</f>
        <v/>
      </c>
      <c r="LA46" s="12">
        <f>(1+InflationRate)^INT((KW46-1)/12)</f>
        <v/>
      </c>
      <c r="LB46" s="11">
        <f>'Sens - Churn'!$A$17*VLOOKUP(KX46,ChurnSeasonTable,4,FALSE)</f>
        <v/>
      </c>
      <c r="LC46" s="12">
        <f>MIN(MAX(MktMin19plus,LW45*MktPct19plus),MAX(0,MK45-CashBuffer))</f>
        <v/>
      </c>
      <c r="LD46" s="12">
        <f>IF(LC46&gt;0,MAX(1,ROUND(LC46/CAC*KZ46,0)),0)</f>
        <v/>
      </c>
      <c r="LE46" s="12">
        <f>IF(LD46&gt;0,ROUND(LD46*ReferralMix/(1-ReferralMix),0),0)</f>
        <v/>
      </c>
      <c r="LF46" s="12">
        <f>LD46+LE46</f>
        <v/>
      </c>
      <c r="LG46" s="12">
        <f>ROUND(LF46*(1-AnnualMix),0)</f>
        <v/>
      </c>
      <c r="LH46" s="12">
        <f>LF46-LG46</f>
        <v/>
      </c>
      <c r="LI46" s="12">
        <f>ROUND(LG46*EssentialMix,0)</f>
        <v/>
      </c>
      <c r="LJ46" s="12">
        <f>LG46-LI46</f>
        <v/>
      </c>
      <c r="LK46" s="12">
        <f>ROUND(LH46*EssentialMix,0)</f>
        <v/>
      </c>
      <c r="LL46" s="12">
        <f>LH46-LK46</f>
        <v/>
      </c>
      <c r="LM46" s="12">
        <f>LI46+LI45+LI44+MAX(0,LM45-LI45-LI44)*(1-LB46)</f>
        <v/>
      </c>
      <c r="LN46" s="12">
        <f>LJ46+LJ45+LJ44+MAX(0,LN45-LJ45-LJ44)*(1-LB46)</f>
        <v/>
      </c>
      <c r="LO46" s="12">
        <f>LO45+LK46-LK34*(AnnualChurn*VLOOKUP(KX46,ChurnSeasonTable,4,FALSE))*POWER(1-(AnnualChurn*VLOOKUP(KX46,ChurnSeasonTable,4,FALSE)),0)+LK22*(AnnualChurn*VLOOKUP(KX46,ChurnSeasonTable,4,FALSE))*POWER(1-(AnnualChurn*VLOOKUP(KX46,ChurnSeasonTable,4,FALSE)),1)+LK10*(AnnualChurn*VLOOKUP(KX46,ChurnSeasonTable,4,FALSE))*POWER(1-(AnnualChurn*VLOOKUP(KX46,ChurnSeasonTable,4,FALSE)),2)</f>
        <v/>
      </c>
      <c r="LP46" s="12">
        <f>LP45+LL46-LL34*(AnnualChurn*VLOOKUP(KX46,ChurnSeasonTable,4,FALSE))*POWER(1-(AnnualChurn*VLOOKUP(KX46,ChurnSeasonTable,4,FALSE)),0)+LL22*(AnnualChurn*VLOOKUP(KX46,ChurnSeasonTable,4,FALSE))*POWER(1-(AnnualChurn*VLOOKUP(KX46,ChurnSeasonTable,4,FALSE)),1)+LL10*(AnnualChurn*VLOOKUP(KX46,ChurnSeasonTable,4,FALSE))*POWER(1-(AnnualChurn*VLOOKUP(KX46,ChurnSeasonTable,4,FALSE)),2)</f>
        <v/>
      </c>
      <c r="LQ46" s="12">
        <f>LM46+LN46+LO46+LP46</f>
        <v/>
      </c>
      <c r="LR46" s="9">
        <f>LM46*PriceEssMonthly*LA46+LN46*PricePremMonthly*LA46+LO46*PriceEssAnnual*LA46/12+LP46*PricePremAnnual*LA46/12</f>
        <v/>
      </c>
      <c r="LS46" s="9">
        <f>LR46*12</f>
        <v/>
      </c>
      <c r="LT46" s="12">
        <f>LM46*PriceEssMonthly*LA46+LN46*PricePremMonthly*LA46</f>
        <v/>
      </c>
      <c r="LU46" s="12">
        <f>LK46*PriceEssAnnual*LA46+LL46*PricePremAnnual*LA46</f>
        <v/>
      </c>
      <c r="LV46" s="12">
        <f>LK34*POWER(1-(AnnualChurn*VLOOKUP(KX46,ChurnSeasonTable,4,FALSE)),1)*PriceEssAnnual*LA46+LK22*POWER(1-(AnnualChurn*VLOOKUP(KX46,ChurnSeasonTable,4,FALSE)),2)*PriceEssAnnual*LA46+LK10*POWER(1-(AnnualChurn*VLOOKUP(KX46,ChurnSeasonTable,4,FALSE)),3)*PriceEssAnnual*LA46+LL34*POWER(1-(AnnualChurn*VLOOKUP(KX46,ChurnSeasonTable,4,FALSE)),1)*PricePremAnnual*LA46+LL22*POWER(1-(AnnualChurn*VLOOKUP(KX46,ChurnSeasonTable,4,FALSE)),2)*PricePremAnnual*LA46+LL10*POWER(1-(AnnualChurn*VLOOKUP(KX46,ChurnSeasonTable,4,FALSE)),3)*PricePremAnnual*LA46</f>
        <v/>
      </c>
      <c r="LW46" s="9">
        <f>LT46+LU46+LV46</f>
        <v/>
      </c>
      <c r="LX46" s="12">
        <f>SUM(LW35:LW46)</f>
        <v/>
      </c>
      <c r="LY46" s="12">
        <f>OR(LY45,LX46&gt;=VATThreshold)</f>
        <v/>
      </c>
      <c r="LZ46" s="9">
        <f>IF(LY46,LW46/(1+VATRate),LW46)</f>
        <v/>
      </c>
      <c r="MA46" s="12">
        <f>LW46-LZ46</f>
        <v/>
      </c>
      <c r="MB46" s="12">
        <f>IF(LY46=0,0,IF(KX46=1,SUMPRODUCT(--(($KY$5:$KY46=$KY46-1)*($KX$5:$KX46&gt;=10)*($KX$5:$KX46&lt;=12)),$MA$5:$MA46),IF(KX46=4,SUMPRODUCT(--(($KY$5:$KY46=$KY46)*($KX$5:$KX46&gt;=1)*($KX$5:$KX46&lt;=3)),$MA$5:$MA46),IF(KX46=7,SUMPRODUCT(--(($KY$5:$KY46=$KY46)*($KX$5:$KX46&gt;=4)*($KX$5:$KX46&lt;=6)),$MA$5:$MA46),IF(KX46=10,SUMPRODUCT(--(($KY$5:$KY46=$KY46)*($KX$5:$KX46&gt;=7)*($KX$5:$KX46&lt;=9)),$MA$5:$MA46),0)))))</f>
        <v/>
      </c>
      <c r="MC46" s="12">
        <f>MC45+MA46-MB46</f>
        <v/>
      </c>
      <c r="MD46" s="12">
        <f>IF(ProviderDelay&gt;=1,LZ45*ProviderShare,LZ46*ProviderShare)</f>
        <v/>
      </c>
      <c r="ME46" s="12">
        <f>LW46*PaymentFee</f>
        <v/>
      </c>
      <c r="MF46" s="12">
        <f>LQ46*OpsAI</f>
        <v/>
      </c>
      <c r="MG46" s="12">
        <f>MonthlyFixed</f>
        <v/>
      </c>
      <c r="MH46" s="12">
        <f>LE46*ReferralReward</f>
        <v/>
      </c>
      <c r="MI46" s="12">
        <f>LC46</f>
        <v/>
      </c>
      <c r="MJ46" s="9">
        <f>LZ46-MD46-ME46-MF46-MG46-MH46-MI46</f>
        <v/>
      </c>
      <c r="MK46" s="9">
        <f>MK45+LW46-(MD46+ME46+MF46+MG46+MH46+MI46+MB46)</f>
        <v/>
      </c>
      <c r="ML46" s="12">
        <f>IF(LQ46&gt;0,LR46/LQ46,0)</f>
        <v/>
      </c>
      <c r="MM46" s="11">
        <f>IF(LQ45&gt;0,MAX(0,(LQ45+LF46-LQ46)/LQ45),0)</f>
        <v/>
      </c>
      <c r="MO46" s="12" t="n">
        <v>42</v>
      </c>
      <c r="MP46" s="12">
        <f>MOD(MO46-1+LaunchMonth-1,12)+1</f>
        <v/>
      </c>
      <c r="MQ46" s="12">
        <f>INT((MO46-1+LaunchMonth-1)/12)+1</f>
        <v/>
      </c>
      <c r="MR46" s="12">
        <f>VLOOKUP(MP46,SeasonTable,2,FALSE)</f>
        <v/>
      </c>
      <c r="MS46" s="12">
        <f>(1+InflationRate)^INT((MO46-1)/12)</f>
        <v/>
      </c>
      <c r="MT46" s="11">
        <f>'Sens - Churn'!$A$18*VLOOKUP(MP46,ChurnSeasonTable,4,FALSE)</f>
        <v/>
      </c>
      <c r="MU46" s="12">
        <f>MIN(MAX(MktMin19plus,NO45*MktPct19plus),MAX(0,OC45-CashBuffer))</f>
        <v/>
      </c>
      <c r="MV46" s="12">
        <f>IF(MU46&gt;0,MAX(1,ROUND(MU46/CAC*MR46,0)),0)</f>
        <v/>
      </c>
      <c r="MW46" s="12">
        <f>IF(MV46&gt;0,ROUND(MV46*ReferralMix/(1-ReferralMix),0),0)</f>
        <v/>
      </c>
      <c r="MX46" s="12">
        <f>MV46+MW46</f>
        <v/>
      </c>
      <c r="MY46" s="12">
        <f>ROUND(MX46*(1-AnnualMix),0)</f>
        <v/>
      </c>
      <c r="MZ46" s="12">
        <f>MX46-MY46</f>
        <v/>
      </c>
      <c r="NA46" s="12">
        <f>ROUND(MY46*EssentialMix,0)</f>
        <v/>
      </c>
      <c r="NB46" s="12">
        <f>MY46-NA46</f>
        <v/>
      </c>
      <c r="NC46" s="12">
        <f>ROUND(MZ46*EssentialMix,0)</f>
        <v/>
      </c>
      <c r="ND46" s="12">
        <f>MZ46-NC46</f>
        <v/>
      </c>
      <c r="NE46" s="12">
        <f>NA46+NA45+NA44+MAX(0,NE45-NA45-NA44)*(1-MT46)</f>
        <v/>
      </c>
      <c r="NF46" s="12">
        <f>NB46+NB45+NB44+MAX(0,NF45-NB45-NB44)*(1-MT46)</f>
        <v/>
      </c>
      <c r="NG46" s="12">
        <f>NG45+NC46-NC34*(AnnualChurn*VLOOKUP(MP46,ChurnSeasonTable,4,FALSE))*POWER(1-(AnnualChurn*VLOOKUP(MP46,ChurnSeasonTable,4,FALSE)),0)+NC22*(AnnualChurn*VLOOKUP(MP46,ChurnSeasonTable,4,FALSE))*POWER(1-(AnnualChurn*VLOOKUP(MP46,ChurnSeasonTable,4,FALSE)),1)+NC10*(AnnualChurn*VLOOKUP(MP46,ChurnSeasonTable,4,FALSE))*POWER(1-(AnnualChurn*VLOOKUP(MP46,ChurnSeasonTable,4,FALSE)),2)</f>
        <v/>
      </c>
      <c r="NH46" s="12">
        <f>NH45+ND46-ND34*(AnnualChurn*VLOOKUP(MP46,ChurnSeasonTable,4,FALSE))*POWER(1-(AnnualChurn*VLOOKUP(MP46,ChurnSeasonTable,4,FALSE)),0)+ND22*(AnnualChurn*VLOOKUP(MP46,ChurnSeasonTable,4,FALSE))*POWER(1-(AnnualChurn*VLOOKUP(MP46,ChurnSeasonTable,4,FALSE)),1)+ND10*(AnnualChurn*VLOOKUP(MP46,ChurnSeasonTable,4,FALSE))*POWER(1-(AnnualChurn*VLOOKUP(MP46,ChurnSeasonTable,4,FALSE)),2)</f>
        <v/>
      </c>
      <c r="NI46" s="12">
        <f>NE46+NF46+NG46+NH46</f>
        <v/>
      </c>
      <c r="NJ46" s="9">
        <f>NE46*PriceEssMonthly*MS46+NF46*PricePremMonthly*MS46+NG46*PriceEssAnnual*MS46/12+NH46*PricePremAnnual*MS46/12</f>
        <v/>
      </c>
      <c r="NK46" s="9">
        <f>NJ46*12</f>
        <v/>
      </c>
      <c r="NL46" s="12">
        <f>NE46*PriceEssMonthly*MS46+NF46*PricePremMonthly*MS46</f>
        <v/>
      </c>
      <c r="NM46" s="12">
        <f>NC46*PriceEssAnnual*MS46+ND46*PricePremAnnual*MS46</f>
        <v/>
      </c>
      <c r="NN46" s="12">
        <f>NC34*POWER(1-(AnnualChurn*VLOOKUP(MP46,ChurnSeasonTable,4,FALSE)),1)*PriceEssAnnual*MS46+NC22*POWER(1-(AnnualChurn*VLOOKUP(MP46,ChurnSeasonTable,4,FALSE)),2)*PriceEssAnnual*MS46+NC10*POWER(1-(AnnualChurn*VLOOKUP(MP46,ChurnSeasonTable,4,FALSE)),3)*PriceEssAnnual*MS46+ND34*POWER(1-(AnnualChurn*VLOOKUP(MP46,ChurnSeasonTable,4,FALSE)),1)*PricePremAnnual*MS46+ND22*POWER(1-(AnnualChurn*VLOOKUP(MP46,ChurnSeasonTable,4,FALSE)),2)*PricePremAnnual*MS46+ND10*POWER(1-(AnnualChurn*VLOOKUP(MP46,ChurnSeasonTable,4,FALSE)),3)*PricePremAnnual*MS46</f>
        <v/>
      </c>
      <c r="NO46" s="9">
        <f>NL46+NM46+NN46</f>
        <v/>
      </c>
      <c r="NP46" s="12">
        <f>SUM(NO35:NO46)</f>
        <v/>
      </c>
      <c r="NQ46" s="12">
        <f>OR(NQ45,NP46&gt;=VATThreshold)</f>
        <v/>
      </c>
      <c r="NR46" s="9">
        <f>IF(NQ46,NO46/(1+VATRate),NO46)</f>
        <v/>
      </c>
      <c r="NS46" s="12">
        <f>NO46-NR46</f>
        <v/>
      </c>
      <c r="NT46" s="12">
        <f>IF(NQ46=0,0,IF(MP46=1,SUMPRODUCT(--(($MQ$5:$MQ46=$MQ46-1)*($MP$5:$MP46&gt;=10)*($MP$5:$MP46&lt;=12)),$NS$5:$NS46),IF(MP46=4,SUMPRODUCT(--(($MQ$5:$MQ46=$MQ46)*($MP$5:$MP46&gt;=1)*($MP$5:$MP46&lt;=3)),$NS$5:$NS46),IF(MP46=7,SUMPRODUCT(--(($MQ$5:$MQ46=$MQ46)*($MP$5:$MP46&gt;=4)*($MP$5:$MP46&lt;=6)),$NS$5:$NS46),IF(MP46=10,SUMPRODUCT(--(($MQ$5:$MQ46=$MQ46)*($MP$5:$MP46&gt;=7)*($MP$5:$MP46&lt;=9)),$NS$5:$NS46),0)))))</f>
        <v/>
      </c>
      <c r="NU46" s="12">
        <f>NU45+NS46-NT46</f>
        <v/>
      </c>
      <c r="NV46" s="12">
        <f>IF(ProviderDelay&gt;=1,NR45*ProviderShare,NR46*ProviderShare)</f>
        <v/>
      </c>
      <c r="NW46" s="12">
        <f>NO46*PaymentFee</f>
        <v/>
      </c>
      <c r="NX46" s="12">
        <f>NI46*OpsAI</f>
        <v/>
      </c>
      <c r="NY46" s="12">
        <f>MonthlyFixed</f>
        <v/>
      </c>
      <c r="NZ46" s="12">
        <f>MW46*ReferralReward</f>
        <v/>
      </c>
      <c r="OA46" s="12">
        <f>MU46</f>
        <v/>
      </c>
      <c r="OB46" s="9">
        <f>NR46-NV46-NW46-NX46-NY46-NZ46-OA46</f>
        <v/>
      </c>
      <c r="OC46" s="9">
        <f>OC45+NO46-(NV46+NW46+NX46+NY46+NZ46+OA46+NT46)</f>
        <v/>
      </c>
      <c r="OD46" s="12">
        <f>IF(NI46&gt;0,NJ46/NI46,0)</f>
        <v/>
      </c>
      <c r="OE46" s="11">
        <f>IF(NI45&gt;0,MAX(0,(NI45+MX46-NI46)/NI45),0)</f>
        <v/>
      </c>
      <c r="OG46" s="12" t="n">
        <v>42</v>
      </c>
      <c r="OH46" s="12">
        <f>MOD(OG46-1+LaunchMonth-1,12)+1</f>
        <v/>
      </c>
      <c r="OI46" s="12">
        <f>INT((OG46-1+LaunchMonth-1)/12)+1</f>
        <v/>
      </c>
      <c r="OJ46" s="12">
        <f>VLOOKUP(OH46,SeasonTable,2,FALSE)</f>
        <v/>
      </c>
      <c r="OK46" s="12">
        <f>(1+InflationRate)^INT((OG46-1)/12)</f>
        <v/>
      </c>
      <c r="OL46" s="11">
        <f>'Sens - Churn'!$A$19*VLOOKUP(OH46,ChurnSeasonTable,4,FALSE)</f>
        <v/>
      </c>
      <c r="OM46" s="12">
        <f>MIN(MAX(MktMin19plus,PG45*MktPct19plus),MAX(0,PU45-CashBuffer))</f>
        <v/>
      </c>
      <c r="ON46" s="12">
        <f>IF(OM46&gt;0,MAX(1,ROUND(OM46/CAC*OJ46,0)),0)</f>
        <v/>
      </c>
      <c r="OO46" s="12">
        <f>IF(ON46&gt;0,ROUND(ON46*ReferralMix/(1-ReferralMix),0),0)</f>
        <v/>
      </c>
      <c r="OP46" s="12">
        <f>ON46+OO46</f>
        <v/>
      </c>
      <c r="OQ46" s="12">
        <f>ROUND(OP46*(1-AnnualMix),0)</f>
        <v/>
      </c>
      <c r="OR46" s="12">
        <f>OP46-OQ46</f>
        <v/>
      </c>
      <c r="OS46" s="12">
        <f>ROUND(OQ46*EssentialMix,0)</f>
        <v/>
      </c>
      <c r="OT46" s="12">
        <f>OQ46-OS46</f>
        <v/>
      </c>
      <c r="OU46" s="12">
        <f>ROUND(OR46*EssentialMix,0)</f>
        <v/>
      </c>
      <c r="OV46" s="12">
        <f>OR46-OU46</f>
        <v/>
      </c>
      <c r="OW46" s="12">
        <f>OS46+OS45+OS44+MAX(0,OW45-OS45-OS44)*(1-OL46)</f>
        <v/>
      </c>
      <c r="OX46" s="12">
        <f>OT46+OT45+OT44+MAX(0,OX45-OT45-OT44)*(1-OL46)</f>
        <v/>
      </c>
      <c r="OY46" s="12">
        <f>OY45+OU46-OU34*(AnnualChurn*VLOOKUP(OH46,ChurnSeasonTable,4,FALSE))*POWER(1-(AnnualChurn*VLOOKUP(OH46,ChurnSeasonTable,4,FALSE)),0)+OU22*(AnnualChurn*VLOOKUP(OH46,ChurnSeasonTable,4,FALSE))*POWER(1-(AnnualChurn*VLOOKUP(OH46,ChurnSeasonTable,4,FALSE)),1)+OU10*(AnnualChurn*VLOOKUP(OH46,ChurnSeasonTable,4,FALSE))*POWER(1-(AnnualChurn*VLOOKUP(OH46,ChurnSeasonTable,4,FALSE)),2)</f>
        <v/>
      </c>
      <c r="OZ46" s="12">
        <f>OZ45+OV46-OV34*(AnnualChurn*VLOOKUP(OH46,ChurnSeasonTable,4,FALSE))*POWER(1-(AnnualChurn*VLOOKUP(OH46,ChurnSeasonTable,4,FALSE)),0)+OV22*(AnnualChurn*VLOOKUP(OH46,ChurnSeasonTable,4,FALSE))*POWER(1-(AnnualChurn*VLOOKUP(OH46,ChurnSeasonTable,4,FALSE)),1)+OV10*(AnnualChurn*VLOOKUP(OH46,ChurnSeasonTable,4,FALSE))*POWER(1-(AnnualChurn*VLOOKUP(OH46,ChurnSeasonTable,4,FALSE)),2)</f>
        <v/>
      </c>
      <c r="PA46" s="12">
        <f>OW46+OX46+OY46+OZ46</f>
        <v/>
      </c>
      <c r="PB46" s="9">
        <f>OW46*PriceEssMonthly*OK46+OX46*PricePremMonthly*OK46+OY46*PriceEssAnnual*OK46/12+OZ46*PricePremAnnual*OK46/12</f>
        <v/>
      </c>
      <c r="PC46" s="9">
        <f>PB46*12</f>
        <v/>
      </c>
      <c r="PD46" s="12">
        <f>OW46*PriceEssMonthly*OK46+OX46*PricePremMonthly*OK46</f>
        <v/>
      </c>
      <c r="PE46" s="12">
        <f>OU46*PriceEssAnnual*OK46+OV46*PricePremAnnual*OK46</f>
        <v/>
      </c>
      <c r="PF46" s="12">
        <f>OU34*POWER(1-(AnnualChurn*VLOOKUP(OH46,ChurnSeasonTable,4,FALSE)),1)*PriceEssAnnual*OK46+OU22*POWER(1-(AnnualChurn*VLOOKUP(OH46,ChurnSeasonTable,4,FALSE)),2)*PriceEssAnnual*OK46+OU10*POWER(1-(AnnualChurn*VLOOKUP(OH46,ChurnSeasonTable,4,FALSE)),3)*PriceEssAnnual*OK46+OV34*POWER(1-(AnnualChurn*VLOOKUP(OH46,ChurnSeasonTable,4,FALSE)),1)*PricePremAnnual*OK46+OV22*POWER(1-(AnnualChurn*VLOOKUP(OH46,ChurnSeasonTable,4,FALSE)),2)*PricePremAnnual*OK46+OV10*POWER(1-(AnnualChurn*VLOOKUP(OH46,ChurnSeasonTable,4,FALSE)),3)*PricePremAnnual*OK46</f>
        <v/>
      </c>
      <c r="PG46" s="9">
        <f>PD46+PE46+PF46</f>
        <v/>
      </c>
      <c r="PH46" s="12">
        <f>SUM(PG35:PG46)</f>
        <v/>
      </c>
      <c r="PI46" s="12">
        <f>OR(PI45,PH46&gt;=VATThreshold)</f>
        <v/>
      </c>
      <c r="PJ46" s="9">
        <f>IF(PI46,PG46/(1+VATRate),PG46)</f>
        <v/>
      </c>
      <c r="PK46" s="12">
        <f>PG46-PJ46</f>
        <v/>
      </c>
      <c r="PL46" s="12">
        <f>IF(PI46=0,0,IF(OH46=1,SUMPRODUCT(--(($OI$5:$OI46=$OI46-1)*($OH$5:$OH46&gt;=10)*($OH$5:$OH46&lt;=12)),$PK$5:$PK46),IF(OH46=4,SUMPRODUCT(--(($OI$5:$OI46=$OI46)*($OH$5:$OH46&gt;=1)*($OH$5:$OH46&lt;=3)),$PK$5:$PK46),IF(OH46=7,SUMPRODUCT(--(($OI$5:$OI46=$OI46)*($OH$5:$OH46&gt;=4)*($OH$5:$OH46&lt;=6)),$PK$5:$PK46),IF(OH46=10,SUMPRODUCT(--(($OI$5:$OI46=$OI46)*($OH$5:$OH46&gt;=7)*($OH$5:$OH46&lt;=9)),$PK$5:$PK46),0)))))</f>
        <v/>
      </c>
      <c r="PM46" s="12">
        <f>PM45+PK46-PL46</f>
        <v/>
      </c>
      <c r="PN46" s="12">
        <f>IF(ProviderDelay&gt;=1,PJ45*ProviderShare,PJ46*ProviderShare)</f>
        <v/>
      </c>
      <c r="PO46" s="12">
        <f>PG46*PaymentFee</f>
        <v/>
      </c>
      <c r="PP46" s="12">
        <f>PA46*OpsAI</f>
        <v/>
      </c>
      <c r="PQ46" s="12">
        <f>MonthlyFixed</f>
        <v/>
      </c>
      <c r="PR46" s="12">
        <f>OO46*ReferralReward</f>
        <v/>
      </c>
      <c r="PS46" s="12">
        <f>OM46</f>
        <v/>
      </c>
      <c r="PT46" s="9">
        <f>PJ46-PN46-PO46-PP46-PQ46-PR46-PS46</f>
        <v/>
      </c>
      <c r="PU46" s="9">
        <f>PU45+PG46-(PN46+PO46+PP46+PQ46+PR46+PS46+PL46)</f>
        <v/>
      </c>
      <c r="PV46" s="12">
        <f>IF(PA46&gt;0,PB46/PA46,0)</f>
        <v/>
      </c>
      <c r="PW46" s="11">
        <f>IF(PA45&gt;0,MAX(0,(PA45+OP46-PA46)/PA45),0)</f>
        <v/>
      </c>
      <c r="PY46" s="12" t="n">
        <v>42</v>
      </c>
      <c r="PZ46" s="12">
        <f>MOD(PY46-1+LaunchMonth-1,12)+1</f>
        <v/>
      </c>
      <c r="QA46" s="12">
        <f>INT((PY46-1+LaunchMonth-1)/12)+1</f>
        <v/>
      </c>
      <c r="QB46" s="12">
        <f>VLOOKUP(PZ46,SeasonTable,2,FALSE)</f>
        <v/>
      </c>
      <c r="QC46" s="12">
        <f>(1+InflationRate)^INT((PY46-1)/12)</f>
        <v/>
      </c>
      <c r="QD46" s="11">
        <f>'Sens - Churn'!$A$20*VLOOKUP(PZ46,ChurnSeasonTable,4,FALSE)</f>
        <v/>
      </c>
      <c r="QE46" s="12">
        <f>MIN(MAX(MktMin19plus,QY45*MktPct19plus),MAX(0,RM45-CashBuffer))</f>
        <v/>
      </c>
      <c r="QF46" s="12">
        <f>IF(QE46&gt;0,MAX(1,ROUND(QE46/CAC*QB46,0)),0)</f>
        <v/>
      </c>
      <c r="QG46" s="12">
        <f>IF(QF46&gt;0,ROUND(QF46*ReferralMix/(1-ReferralMix),0),0)</f>
        <v/>
      </c>
      <c r="QH46" s="12">
        <f>QF46+QG46</f>
        <v/>
      </c>
      <c r="QI46" s="12">
        <f>ROUND(QH46*(1-AnnualMix),0)</f>
        <v/>
      </c>
      <c r="QJ46" s="12">
        <f>QH46-QI46</f>
        <v/>
      </c>
      <c r="QK46" s="12">
        <f>ROUND(QI46*EssentialMix,0)</f>
        <v/>
      </c>
      <c r="QL46" s="12">
        <f>QI46-QK46</f>
        <v/>
      </c>
      <c r="QM46" s="12">
        <f>ROUND(QJ46*EssentialMix,0)</f>
        <v/>
      </c>
      <c r="QN46" s="12">
        <f>QJ46-QM46</f>
        <v/>
      </c>
      <c r="QO46" s="12">
        <f>QK46+QK45+QK44+MAX(0,QO45-QK45-QK44)*(1-QD46)</f>
        <v/>
      </c>
      <c r="QP46" s="12">
        <f>QL46+QL45+QL44+MAX(0,QP45-QL45-QL44)*(1-QD46)</f>
        <v/>
      </c>
      <c r="QQ46" s="12">
        <f>QQ45+QM46-QM34*(AnnualChurn*VLOOKUP(PZ46,ChurnSeasonTable,4,FALSE))*POWER(1-(AnnualChurn*VLOOKUP(PZ46,ChurnSeasonTable,4,FALSE)),0)+QM22*(AnnualChurn*VLOOKUP(PZ46,ChurnSeasonTable,4,FALSE))*POWER(1-(AnnualChurn*VLOOKUP(PZ46,ChurnSeasonTable,4,FALSE)),1)+QM10*(AnnualChurn*VLOOKUP(PZ46,ChurnSeasonTable,4,FALSE))*POWER(1-(AnnualChurn*VLOOKUP(PZ46,ChurnSeasonTable,4,FALSE)),2)</f>
        <v/>
      </c>
      <c r="QR46" s="12">
        <f>QR45+QN46-QN34*(AnnualChurn*VLOOKUP(PZ46,ChurnSeasonTable,4,FALSE))*POWER(1-(AnnualChurn*VLOOKUP(PZ46,ChurnSeasonTable,4,FALSE)),0)+QN22*(AnnualChurn*VLOOKUP(PZ46,ChurnSeasonTable,4,FALSE))*POWER(1-(AnnualChurn*VLOOKUP(PZ46,ChurnSeasonTable,4,FALSE)),1)+QN10*(AnnualChurn*VLOOKUP(PZ46,ChurnSeasonTable,4,FALSE))*POWER(1-(AnnualChurn*VLOOKUP(PZ46,ChurnSeasonTable,4,FALSE)),2)</f>
        <v/>
      </c>
      <c r="QS46" s="12">
        <f>QO46+QP46+QQ46+QR46</f>
        <v/>
      </c>
      <c r="QT46" s="9">
        <f>QO46*PriceEssMonthly*QC46+QP46*PricePremMonthly*QC46+QQ46*PriceEssAnnual*QC46/12+QR46*PricePremAnnual*QC46/12</f>
        <v/>
      </c>
      <c r="QU46" s="9">
        <f>QT46*12</f>
        <v/>
      </c>
      <c r="QV46" s="12">
        <f>QO46*PriceEssMonthly*QC46+QP46*PricePremMonthly*QC46</f>
        <v/>
      </c>
      <c r="QW46" s="12">
        <f>QM46*PriceEssAnnual*QC46+QN46*PricePremAnnual*QC46</f>
        <v/>
      </c>
      <c r="QX46" s="12">
        <f>QM34*POWER(1-(AnnualChurn*VLOOKUP(PZ46,ChurnSeasonTable,4,FALSE)),1)*PriceEssAnnual*QC46+QM22*POWER(1-(AnnualChurn*VLOOKUP(PZ46,ChurnSeasonTable,4,FALSE)),2)*PriceEssAnnual*QC46+QM10*POWER(1-(AnnualChurn*VLOOKUP(PZ46,ChurnSeasonTable,4,FALSE)),3)*PriceEssAnnual*QC46+QN34*POWER(1-(AnnualChurn*VLOOKUP(PZ46,ChurnSeasonTable,4,FALSE)),1)*PricePremAnnual*QC46+QN22*POWER(1-(AnnualChurn*VLOOKUP(PZ46,ChurnSeasonTable,4,FALSE)),2)*PricePremAnnual*QC46+QN10*POWER(1-(AnnualChurn*VLOOKUP(PZ46,ChurnSeasonTable,4,FALSE)),3)*PricePremAnnual*QC46</f>
        <v/>
      </c>
      <c r="QY46" s="9">
        <f>QV46+QW46+QX46</f>
        <v/>
      </c>
      <c r="QZ46" s="12">
        <f>SUM(QY35:QY46)</f>
        <v/>
      </c>
      <c r="RA46" s="12">
        <f>OR(RA45,QZ46&gt;=VATThreshold)</f>
        <v/>
      </c>
      <c r="RB46" s="9">
        <f>IF(RA46,QY46/(1+VATRate),QY46)</f>
        <v/>
      </c>
      <c r="RC46" s="12">
        <f>QY46-RB46</f>
        <v/>
      </c>
      <c r="RD46" s="12">
        <f>IF(RA46=0,0,IF(PZ46=1,SUMPRODUCT(--(($QA$5:$QA46=$QA46-1)*($PZ$5:$PZ46&gt;=10)*($PZ$5:$PZ46&lt;=12)),$RC$5:$RC46),IF(PZ46=4,SUMPRODUCT(--(($QA$5:$QA46=$QA46)*($PZ$5:$PZ46&gt;=1)*($PZ$5:$PZ46&lt;=3)),$RC$5:$RC46),IF(PZ46=7,SUMPRODUCT(--(($QA$5:$QA46=$QA46)*($PZ$5:$PZ46&gt;=4)*($PZ$5:$PZ46&lt;=6)),$RC$5:$RC46),IF(PZ46=10,SUMPRODUCT(--(($QA$5:$QA46=$QA46)*($PZ$5:$PZ46&gt;=7)*($PZ$5:$PZ46&lt;=9)),$RC$5:$RC46),0)))))</f>
        <v/>
      </c>
      <c r="RE46" s="12">
        <f>RE45+RC46-RD46</f>
        <v/>
      </c>
      <c r="RF46" s="12">
        <f>IF(ProviderDelay&gt;=1,RB45*ProviderShare,RB46*ProviderShare)</f>
        <v/>
      </c>
      <c r="RG46" s="12">
        <f>QY46*PaymentFee</f>
        <v/>
      </c>
      <c r="RH46" s="12">
        <f>QS46*OpsAI</f>
        <v/>
      </c>
      <c r="RI46" s="12">
        <f>MonthlyFixed</f>
        <v/>
      </c>
      <c r="RJ46" s="12">
        <f>QG46*ReferralReward</f>
        <v/>
      </c>
      <c r="RK46" s="12">
        <f>QE46</f>
        <v/>
      </c>
      <c r="RL46" s="9">
        <f>RB46-RF46-RG46-RH46-RI46-RJ46-RK46</f>
        <v/>
      </c>
      <c r="RM46" s="9">
        <f>RM45+QY46-(RF46+RG46+RH46+RI46+RJ46+RK46+RD46)</f>
        <v/>
      </c>
      <c r="RN46" s="12">
        <f>IF(QS46&gt;0,QT46/QS46,0)</f>
        <v/>
      </c>
      <c r="RO46" s="11">
        <f>IF(QS45&gt;0,MAX(0,(QS45+QH46-QS46)/QS45),0)</f>
        <v/>
      </c>
      <c r="RQ46" s="12" t="n">
        <v>42</v>
      </c>
      <c r="RR46" s="12">
        <f>MOD(RQ46-1+LaunchMonth-1,12)+1</f>
        <v/>
      </c>
      <c r="RS46" s="12">
        <f>INT((RQ46-1+LaunchMonth-1)/12)+1</f>
        <v/>
      </c>
      <c r="RT46" s="12">
        <f>VLOOKUP(RR46,SeasonTable,2,FALSE)</f>
        <v/>
      </c>
      <c r="RU46" s="12">
        <f>(1+InflationRate)^INT((RQ46-1)/12)</f>
        <v/>
      </c>
      <c r="RV46" s="11">
        <f>'Sens - Churn'!$A$21*VLOOKUP(RR46,ChurnSeasonTable,4,FALSE)</f>
        <v/>
      </c>
      <c r="RW46" s="12">
        <f>MIN(MAX(MktMin19plus,SQ45*MktPct19plus),MAX(0,TE45-CashBuffer))</f>
        <v/>
      </c>
      <c r="RX46" s="12">
        <f>IF(RW46&gt;0,MAX(1,ROUND(RW46/CAC*RT46,0)),0)</f>
        <v/>
      </c>
      <c r="RY46" s="12">
        <f>IF(RX46&gt;0,ROUND(RX46*ReferralMix/(1-ReferralMix),0),0)</f>
        <v/>
      </c>
      <c r="RZ46" s="12">
        <f>RX46+RY46</f>
        <v/>
      </c>
      <c r="SA46" s="12">
        <f>ROUND(RZ46*(1-AnnualMix),0)</f>
        <v/>
      </c>
      <c r="SB46" s="12">
        <f>RZ46-SA46</f>
        <v/>
      </c>
      <c r="SC46" s="12">
        <f>ROUND(SA46*EssentialMix,0)</f>
        <v/>
      </c>
      <c r="SD46" s="12">
        <f>SA46-SC46</f>
        <v/>
      </c>
      <c r="SE46" s="12">
        <f>ROUND(SB46*EssentialMix,0)</f>
        <v/>
      </c>
      <c r="SF46" s="12">
        <f>SB46-SE46</f>
        <v/>
      </c>
      <c r="SG46" s="12">
        <f>SC46+SC45+SC44+MAX(0,SG45-SC45-SC44)*(1-RV46)</f>
        <v/>
      </c>
      <c r="SH46" s="12">
        <f>SD46+SD45+SD44+MAX(0,SH45-SD45-SD44)*(1-RV46)</f>
        <v/>
      </c>
      <c r="SI46" s="12">
        <f>SI45+SE46-SE34*(AnnualChurn*VLOOKUP(RR46,ChurnSeasonTable,4,FALSE))*POWER(1-(AnnualChurn*VLOOKUP(RR46,ChurnSeasonTable,4,FALSE)),0)+SE22*(AnnualChurn*VLOOKUP(RR46,ChurnSeasonTable,4,FALSE))*POWER(1-(AnnualChurn*VLOOKUP(RR46,ChurnSeasonTable,4,FALSE)),1)+SE10*(AnnualChurn*VLOOKUP(RR46,ChurnSeasonTable,4,FALSE))*POWER(1-(AnnualChurn*VLOOKUP(RR46,ChurnSeasonTable,4,FALSE)),2)</f>
        <v/>
      </c>
      <c r="SJ46" s="12">
        <f>SJ45+SF46-SF34*(AnnualChurn*VLOOKUP(RR46,ChurnSeasonTable,4,FALSE))*POWER(1-(AnnualChurn*VLOOKUP(RR46,ChurnSeasonTable,4,FALSE)),0)+SF22*(AnnualChurn*VLOOKUP(RR46,ChurnSeasonTable,4,FALSE))*POWER(1-(AnnualChurn*VLOOKUP(RR46,ChurnSeasonTable,4,FALSE)),1)+SF10*(AnnualChurn*VLOOKUP(RR46,ChurnSeasonTable,4,FALSE))*POWER(1-(AnnualChurn*VLOOKUP(RR46,ChurnSeasonTable,4,FALSE)),2)</f>
        <v/>
      </c>
      <c r="SK46" s="12">
        <f>SG46+SH46+SI46+SJ46</f>
        <v/>
      </c>
      <c r="SL46" s="9">
        <f>SG46*PriceEssMonthly*RU46+SH46*PricePremMonthly*RU46+SI46*PriceEssAnnual*RU46/12+SJ46*PricePremAnnual*RU46/12</f>
        <v/>
      </c>
      <c r="SM46" s="9">
        <f>SL46*12</f>
        <v/>
      </c>
      <c r="SN46" s="12">
        <f>SG46*PriceEssMonthly*RU46+SH46*PricePremMonthly*RU46</f>
        <v/>
      </c>
      <c r="SO46" s="12">
        <f>SE46*PriceEssAnnual*RU46+SF46*PricePremAnnual*RU46</f>
        <v/>
      </c>
      <c r="SP46" s="12">
        <f>SE34*POWER(1-(AnnualChurn*VLOOKUP(RR46,ChurnSeasonTable,4,FALSE)),1)*PriceEssAnnual*RU46+SE22*POWER(1-(AnnualChurn*VLOOKUP(RR46,ChurnSeasonTable,4,FALSE)),2)*PriceEssAnnual*RU46+SE10*POWER(1-(AnnualChurn*VLOOKUP(RR46,ChurnSeasonTable,4,FALSE)),3)*PriceEssAnnual*RU46+SF34*POWER(1-(AnnualChurn*VLOOKUP(RR46,ChurnSeasonTable,4,FALSE)),1)*PricePremAnnual*RU46+SF22*POWER(1-(AnnualChurn*VLOOKUP(RR46,ChurnSeasonTable,4,FALSE)),2)*PricePremAnnual*RU46+SF10*POWER(1-(AnnualChurn*VLOOKUP(RR46,ChurnSeasonTable,4,FALSE)),3)*PricePremAnnual*RU46</f>
        <v/>
      </c>
      <c r="SQ46" s="9">
        <f>SN46+SO46+SP46</f>
        <v/>
      </c>
      <c r="SR46" s="12">
        <f>SUM(SQ35:SQ46)</f>
        <v/>
      </c>
      <c r="SS46" s="12">
        <f>OR(SS45,SR46&gt;=VATThreshold)</f>
        <v/>
      </c>
      <c r="ST46" s="9">
        <f>IF(SS46,SQ46/(1+VATRate),SQ46)</f>
        <v/>
      </c>
      <c r="SU46" s="12">
        <f>SQ46-ST46</f>
        <v/>
      </c>
      <c r="SV46" s="12">
        <f>IF(SS46=0,0,IF(RR46=1,SUMPRODUCT(--(($RS$5:$RS46=$RS46-1)*($RR$5:$RR46&gt;=10)*($RR$5:$RR46&lt;=12)),$SU$5:$SU46),IF(RR46=4,SUMPRODUCT(--(($RS$5:$RS46=$RS46)*($RR$5:$RR46&gt;=1)*($RR$5:$RR46&lt;=3)),$SU$5:$SU46),IF(RR46=7,SUMPRODUCT(--(($RS$5:$RS46=$RS46)*($RR$5:$RR46&gt;=4)*($RR$5:$RR46&lt;=6)),$SU$5:$SU46),IF(RR46=10,SUMPRODUCT(--(($RS$5:$RS46=$RS46)*($RR$5:$RR46&gt;=7)*($RR$5:$RR46&lt;=9)),$SU$5:$SU46),0)))))</f>
        <v/>
      </c>
      <c r="SW46" s="12">
        <f>SW45+SU46-SV46</f>
        <v/>
      </c>
      <c r="SX46" s="12">
        <f>IF(ProviderDelay&gt;=1,ST45*ProviderShare,ST46*ProviderShare)</f>
        <v/>
      </c>
      <c r="SY46" s="12">
        <f>SQ46*PaymentFee</f>
        <v/>
      </c>
      <c r="SZ46" s="12">
        <f>SK46*OpsAI</f>
        <v/>
      </c>
      <c r="TA46" s="12">
        <f>MonthlyFixed</f>
        <v/>
      </c>
      <c r="TB46" s="12">
        <f>RY46*ReferralReward</f>
        <v/>
      </c>
      <c r="TC46" s="12">
        <f>RW46</f>
        <v/>
      </c>
      <c r="TD46" s="9">
        <f>ST46-SX46-SY46-SZ46-TA46-TB46-TC46</f>
        <v/>
      </c>
      <c r="TE46" s="9">
        <f>TE45+SQ46-(SX46+SY46+SZ46+TA46+TB46+TC46+SV46)</f>
        <v/>
      </c>
      <c r="TF46" s="12">
        <f>IF(SK46&gt;0,SL46/SK46,0)</f>
        <v/>
      </c>
      <c r="TG46" s="11">
        <f>IF(SK45&gt;0,MAX(0,(SK45+RZ46-SK46)/SK45),0)</f>
        <v/>
      </c>
      <c r="TI46" s="12" t="n">
        <v>42</v>
      </c>
      <c r="TJ46" s="12">
        <f>MOD(TI46-1+LaunchMonth-1,12)+1</f>
        <v/>
      </c>
      <c r="TK46" s="12">
        <f>INT((TI46-1+LaunchMonth-1)/12)+1</f>
        <v/>
      </c>
      <c r="TL46" s="12">
        <f>VLOOKUP(TJ46,SeasonTable,2,FALSE)</f>
        <v/>
      </c>
      <c r="TM46" s="12">
        <f>(1+InflationRate)^INT((TI46-1)/12)</f>
        <v/>
      </c>
      <c r="TN46" s="11">
        <f>MonthlyChurn*VLOOKUP(TJ46,ChurnSeasonTable,4,FALSE)</f>
        <v/>
      </c>
      <c r="TO46" s="12">
        <f>MIN(MAX(MktMin19plus,UI45*MktPct19plus),MAX(0,UW45-CashBuffer))</f>
        <v/>
      </c>
      <c r="TP46" s="12">
        <f>IF(TO46&gt;0,MAX(1,ROUND(TO46/CAC*TL46,0)),0)</f>
        <v/>
      </c>
      <c r="TQ46" s="12">
        <f>IF(TP46&gt;0,ROUND(TP46*ReferralMix/(1-ReferralMix),0),0)</f>
        <v/>
      </c>
      <c r="TR46" s="12">
        <f>TP46+TQ46</f>
        <v/>
      </c>
      <c r="TS46" s="12">
        <f>ROUND(TR46*(1-'Sens - Annual Mix'!$A$9),0)</f>
        <v/>
      </c>
      <c r="TT46" s="12">
        <f>TR46-TS46</f>
        <v/>
      </c>
      <c r="TU46" s="12">
        <f>ROUND(TS46*EssentialMix,0)</f>
        <v/>
      </c>
      <c r="TV46" s="12">
        <f>TS46-TU46</f>
        <v/>
      </c>
      <c r="TW46" s="12">
        <f>ROUND(TT46*EssentialMix,0)</f>
        <v/>
      </c>
      <c r="TX46" s="12">
        <f>TT46-TW46</f>
        <v/>
      </c>
      <c r="TY46" s="12">
        <f>TU46+TU45+TU44+MAX(0,TY45-TU45-TU44)*(1-TN46)</f>
        <v/>
      </c>
      <c r="TZ46" s="12">
        <f>TV46+TV45+TV44+MAX(0,TZ45-TV45-TV44)*(1-TN46)</f>
        <v/>
      </c>
      <c r="UA46" s="12">
        <f>UA45+TW46-TW34*(AnnualChurn*VLOOKUP(TJ46,ChurnSeasonTable,4,FALSE))*POWER(1-(AnnualChurn*VLOOKUP(TJ46,ChurnSeasonTable,4,FALSE)),0)+TW22*(AnnualChurn*VLOOKUP(TJ46,ChurnSeasonTable,4,FALSE))*POWER(1-(AnnualChurn*VLOOKUP(TJ46,ChurnSeasonTable,4,FALSE)),1)+TW10*(AnnualChurn*VLOOKUP(TJ46,ChurnSeasonTable,4,FALSE))*POWER(1-(AnnualChurn*VLOOKUP(TJ46,ChurnSeasonTable,4,FALSE)),2)</f>
        <v/>
      </c>
      <c r="UB46" s="12">
        <f>UB45+TX46-TX34*(AnnualChurn*VLOOKUP(TJ46,ChurnSeasonTable,4,FALSE))*POWER(1-(AnnualChurn*VLOOKUP(TJ46,ChurnSeasonTable,4,FALSE)),0)+TX22*(AnnualChurn*VLOOKUP(TJ46,ChurnSeasonTable,4,FALSE))*POWER(1-(AnnualChurn*VLOOKUP(TJ46,ChurnSeasonTable,4,FALSE)),1)+TX10*(AnnualChurn*VLOOKUP(TJ46,ChurnSeasonTable,4,FALSE))*POWER(1-(AnnualChurn*VLOOKUP(TJ46,ChurnSeasonTable,4,FALSE)),2)</f>
        <v/>
      </c>
      <c r="UC46" s="12">
        <f>TY46+TZ46+UA46+UB46</f>
        <v/>
      </c>
      <c r="UD46" s="9">
        <f>TY46*PriceEssMonthly*TM46+TZ46*PricePremMonthly*TM46+UA46*PriceEssAnnual*TM46/12+UB46*PricePremAnnual*TM46/12</f>
        <v/>
      </c>
      <c r="UE46" s="9">
        <f>UD46*12</f>
        <v/>
      </c>
      <c r="UF46" s="12">
        <f>TY46*PriceEssMonthly*TM46+TZ46*PricePremMonthly*TM46</f>
        <v/>
      </c>
      <c r="UG46" s="12">
        <f>TW46*PriceEssAnnual*TM46+TX46*PricePremAnnual*TM46</f>
        <v/>
      </c>
      <c r="UH46" s="12">
        <f>TW34*POWER(1-(AnnualChurn*VLOOKUP(TJ46,ChurnSeasonTable,4,FALSE)),1)*PriceEssAnnual*TM46+TW22*POWER(1-(AnnualChurn*VLOOKUP(TJ46,ChurnSeasonTable,4,FALSE)),2)*PriceEssAnnual*TM46+TW10*POWER(1-(AnnualChurn*VLOOKUP(TJ46,ChurnSeasonTable,4,FALSE)),3)*PriceEssAnnual*TM46+TX34*POWER(1-(AnnualChurn*VLOOKUP(TJ46,ChurnSeasonTable,4,FALSE)),1)*PricePremAnnual*TM46+TX22*POWER(1-(AnnualChurn*VLOOKUP(TJ46,ChurnSeasonTable,4,FALSE)),2)*PricePremAnnual*TM46+TX10*POWER(1-(AnnualChurn*VLOOKUP(TJ46,ChurnSeasonTable,4,FALSE)),3)*PricePremAnnual*TM46</f>
        <v/>
      </c>
      <c r="UI46" s="9">
        <f>UF46+UG46+UH46</f>
        <v/>
      </c>
      <c r="UJ46" s="12">
        <f>SUM(UI35:UI46)</f>
        <v/>
      </c>
      <c r="UK46" s="12">
        <f>OR(UK45,UJ46&gt;=VATThreshold)</f>
        <v/>
      </c>
      <c r="UL46" s="9">
        <f>IF(UK46,UI46/(1+VATRate),UI46)</f>
        <v/>
      </c>
      <c r="UM46" s="12">
        <f>UI46-UL46</f>
        <v/>
      </c>
      <c r="UN46" s="12">
        <f>IF(UK46=0,0,IF(TJ46=1,SUMPRODUCT(--(($TK$5:$TK46=$TK46-1)*($TJ$5:$TJ46&gt;=10)*($TJ$5:$TJ46&lt;=12)),$UM$5:$UM46),IF(TJ46=4,SUMPRODUCT(--(($TK$5:$TK46=$TK46)*($TJ$5:$TJ46&gt;=1)*($TJ$5:$TJ46&lt;=3)),$UM$5:$UM46),IF(TJ46=7,SUMPRODUCT(--(($TK$5:$TK46=$TK46)*($TJ$5:$TJ46&gt;=4)*($TJ$5:$TJ46&lt;=6)),$UM$5:$UM46),IF(TJ46=10,SUMPRODUCT(--(($TK$5:$TK46=$TK46)*($TJ$5:$TJ46&gt;=7)*($TJ$5:$TJ46&lt;=9)),$UM$5:$UM46),0)))))</f>
        <v/>
      </c>
      <c r="UO46" s="12">
        <f>UO45+UM46-UN46</f>
        <v/>
      </c>
      <c r="UP46" s="12">
        <f>IF(ProviderDelay&gt;=1,UL45*ProviderShare,UL46*ProviderShare)</f>
        <v/>
      </c>
      <c r="UQ46" s="12">
        <f>UI46*PaymentFee</f>
        <v/>
      </c>
      <c r="UR46" s="12">
        <f>UC46*OpsAI</f>
        <v/>
      </c>
      <c r="US46" s="12">
        <f>MonthlyFixed</f>
        <v/>
      </c>
      <c r="UT46" s="12">
        <f>TQ46*ReferralReward</f>
        <v/>
      </c>
      <c r="UU46" s="12">
        <f>TO46</f>
        <v/>
      </c>
      <c r="UV46" s="9">
        <f>UL46-UP46-UQ46-UR46-US46-UT46-UU46</f>
        <v/>
      </c>
      <c r="UW46" s="9">
        <f>UW45+UI46-(UP46+UQ46+UR46+US46+UT46+UU46+UN46)</f>
        <v/>
      </c>
      <c r="UX46" s="12">
        <f>IF(UC46&gt;0,UD46/UC46,0)</f>
        <v/>
      </c>
      <c r="UY46" s="11">
        <f>IF(UC45&gt;0,MAX(0,(UC45+TR46-UC46)/UC45),0)</f>
        <v/>
      </c>
      <c r="VA46" s="12" t="n">
        <v>42</v>
      </c>
      <c r="VB46" s="12">
        <f>MOD(VA46-1+LaunchMonth-1,12)+1</f>
        <v/>
      </c>
      <c r="VC46" s="12">
        <f>INT((VA46-1+LaunchMonth-1)/12)+1</f>
        <v/>
      </c>
      <c r="VD46" s="12">
        <f>VLOOKUP(VB46,SeasonTable,2,FALSE)</f>
        <v/>
      </c>
      <c r="VE46" s="12">
        <f>(1+InflationRate)^INT((VA46-1)/12)</f>
        <v/>
      </c>
      <c r="VF46" s="11">
        <f>MonthlyChurn*VLOOKUP(VB46,ChurnSeasonTable,4,FALSE)</f>
        <v/>
      </c>
      <c r="VG46" s="12">
        <f>MIN(MAX(MktMin19plus,WA45*MktPct19plus),MAX(0,WO45-CashBuffer))</f>
        <v/>
      </c>
      <c r="VH46" s="12">
        <f>IF(VG46&gt;0,MAX(1,ROUND(VG46/CAC*VD46,0)),0)</f>
        <v/>
      </c>
      <c r="VI46" s="12">
        <f>IF(VH46&gt;0,ROUND(VH46*ReferralMix/(1-ReferralMix),0),0)</f>
        <v/>
      </c>
      <c r="VJ46" s="12">
        <f>VH46+VI46</f>
        <v/>
      </c>
      <c r="VK46" s="12">
        <f>ROUND(VJ46*(1-'Sens - Annual Mix'!$A$10),0)</f>
        <v/>
      </c>
      <c r="VL46" s="12">
        <f>VJ46-VK46</f>
        <v/>
      </c>
      <c r="VM46" s="12">
        <f>ROUND(VK46*EssentialMix,0)</f>
        <v/>
      </c>
      <c r="VN46" s="12">
        <f>VK46-VM46</f>
        <v/>
      </c>
      <c r="VO46" s="12">
        <f>ROUND(VL46*EssentialMix,0)</f>
        <v/>
      </c>
      <c r="VP46" s="12">
        <f>VL46-VO46</f>
        <v/>
      </c>
      <c r="VQ46" s="12">
        <f>VM46+VM45+VM44+MAX(0,VQ45-VM45-VM44)*(1-VF46)</f>
        <v/>
      </c>
      <c r="VR46" s="12">
        <f>VN46+VN45+VN44+MAX(0,VR45-VN45-VN44)*(1-VF46)</f>
        <v/>
      </c>
      <c r="VS46" s="12">
        <f>VS45+VO46-VO34*(AnnualChurn*VLOOKUP(VB46,ChurnSeasonTable,4,FALSE))*POWER(1-(AnnualChurn*VLOOKUP(VB46,ChurnSeasonTable,4,FALSE)),0)+VO22*(AnnualChurn*VLOOKUP(VB46,ChurnSeasonTable,4,FALSE))*POWER(1-(AnnualChurn*VLOOKUP(VB46,ChurnSeasonTable,4,FALSE)),1)+VO10*(AnnualChurn*VLOOKUP(VB46,ChurnSeasonTable,4,FALSE))*POWER(1-(AnnualChurn*VLOOKUP(VB46,ChurnSeasonTable,4,FALSE)),2)</f>
        <v/>
      </c>
      <c r="VT46" s="12">
        <f>VT45+VP46-VP34*(AnnualChurn*VLOOKUP(VB46,ChurnSeasonTable,4,FALSE))*POWER(1-(AnnualChurn*VLOOKUP(VB46,ChurnSeasonTable,4,FALSE)),0)+VP22*(AnnualChurn*VLOOKUP(VB46,ChurnSeasonTable,4,FALSE))*POWER(1-(AnnualChurn*VLOOKUP(VB46,ChurnSeasonTable,4,FALSE)),1)+VP10*(AnnualChurn*VLOOKUP(VB46,ChurnSeasonTable,4,FALSE))*POWER(1-(AnnualChurn*VLOOKUP(VB46,ChurnSeasonTable,4,FALSE)),2)</f>
        <v/>
      </c>
      <c r="VU46" s="12">
        <f>VQ46+VR46+VS46+VT46</f>
        <v/>
      </c>
      <c r="VV46" s="9">
        <f>VQ46*PriceEssMonthly*VE46+VR46*PricePremMonthly*VE46+VS46*PriceEssAnnual*VE46/12+VT46*PricePremAnnual*VE46/12</f>
        <v/>
      </c>
      <c r="VW46" s="9">
        <f>VV46*12</f>
        <v/>
      </c>
      <c r="VX46" s="12">
        <f>VQ46*PriceEssMonthly*VE46+VR46*PricePremMonthly*VE46</f>
        <v/>
      </c>
      <c r="VY46" s="12">
        <f>VO46*PriceEssAnnual*VE46+VP46*PricePremAnnual*VE46</f>
        <v/>
      </c>
      <c r="VZ46" s="12">
        <f>VO34*POWER(1-(AnnualChurn*VLOOKUP(VB46,ChurnSeasonTable,4,FALSE)),1)*PriceEssAnnual*VE46+VO22*POWER(1-(AnnualChurn*VLOOKUP(VB46,ChurnSeasonTable,4,FALSE)),2)*PriceEssAnnual*VE46+VO10*POWER(1-(AnnualChurn*VLOOKUP(VB46,ChurnSeasonTable,4,FALSE)),3)*PriceEssAnnual*VE46+VP34*POWER(1-(AnnualChurn*VLOOKUP(VB46,ChurnSeasonTable,4,FALSE)),1)*PricePremAnnual*VE46+VP22*POWER(1-(AnnualChurn*VLOOKUP(VB46,ChurnSeasonTable,4,FALSE)),2)*PricePremAnnual*VE46+VP10*POWER(1-(AnnualChurn*VLOOKUP(VB46,ChurnSeasonTable,4,FALSE)),3)*PricePremAnnual*VE46</f>
        <v/>
      </c>
      <c r="WA46" s="9">
        <f>VX46+VY46+VZ46</f>
        <v/>
      </c>
      <c r="WB46" s="12">
        <f>SUM(WA35:WA46)</f>
        <v/>
      </c>
      <c r="WC46" s="12">
        <f>OR(WC45,WB46&gt;=VATThreshold)</f>
        <v/>
      </c>
      <c r="WD46" s="9">
        <f>IF(WC46,WA46/(1+VATRate),WA46)</f>
        <v/>
      </c>
      <c r="WE46" s="12">
        <f>WA46-WD46</f>
        <v/>
      </c>
      <c r="WF46" s="12">
        <f>IF(WC46=0,0,IF(VB46=1,SUMPRODUCT(--(($VC$5:$VC46=$VC46-1)*($VB$5:$VB46&gt;=10)*($VB$5:$VB46&lt;=12)),$WE$5:$WE46),IF(VB46=4,SUMPRODUCT(--(($VC$5:$VC46=$VC46)*($VB$5:$VB46&gt;=1)*($VB$5:$VB46&lt;=3)),$WE$5:$WE46),IF(VB46=7,SUMPRODUCT(--(($VC$5:$VC46=$VC46)*($VB$5:$VB46&gt;=4)*($VB$5:$VB46&lt;=6)),$WE$5:$WE46),IF(VB46=10,SUMPRODUCT(--(($VC$5:$VC46=$VC46)*($VB$5:$VB46&gt;=7)*($VB$5:$VB46&lt;=9)),$WE$5:$WE46),0)))))</f>
        <v/>
      </c>
      <c r="WG46" s="12">
        <f>WG45+WE46-WF46</f>
        <v/>
      </c>
      <c r="WH46" s="12">
        <f>IF(ProviderDelay&gt;=1,WD45*ProviderShare,WD46*ProviderShare)</f>
        <v/>
      </c>
      <c r="WI46" s="12">
        <f>WA46*PaymentFee</f>
        <v/>
      </c>
      <c r="WJ46" s="12">
        <f>VU46*OpsAI</f>
        <v/>
      </c>
      <c r="WK46" s="12">
        <f>MonthlyFixed</f>
        <v/>
      </c>
      <c r="WL46" s="12">
        <f>VI46*ReferralReward</f>
        <v/>
      </c>
      <c r="WM46" s="12">
        <f>VG46</f>
        <v/>
      </c>
      <c r="WN46" s="9">
        <f>WD46-WH46-WI46-WJ46-WK46-WL46-WM46</f>
        <v/>
      </c>
      <c r="WO46" s="9">
        <f>WO45+WA46-(WH46+WI46+WJ46+WK46+WL46+WM46+WF46)</f>
        <v/>
      </c>
      <c r="WP46" s="12">
        <f>IF(VU46&gt;0,VV46/VU46,0)</f>
        <v/>
      </c>
      <c r="WQ46" s="11">
        <f>IF(VU45&gt;0,MAX(0,(VU45+VJ46-VU46)/VU45),0)</f>
        <v/>
      </c>
      <c r="WS46" s="12" t="n">
        <v>42</v>
      </c>
      <c r="WT46" s="12">
        <f>MOD(WS46-1+LaunchMonth-1,12)+1</f>
        <v/>
      </c>
      <c r="WU46" s="12">
        <f>INT((WS46-1+LaunchMonth-1)/12)+1</f>
        <v/>
      </c>
      <c r="WV46" s="12">
        <f>VLOOKUP(WT46,SeasonTable,2,FALSE)</f>
        <v/>
      </c>
      <c r="WW46" s="12">
        <f>(1+InflationRate)^INT((WS46-1)/12)</f>
        <v/>
      </c>
      <c r="WX46" s="11">
        <f>MonthlyChurn*VLOOKUP(WT46,ChurnSeasonTable,4,FALSE)</f>
        <v/>
      </c>
      <c r="WY46" s="12">
        <f>MIN(MAX(MktMin19plus,XS45*MktPct19plus),MAX(0,YG45-CashBuffer))</f>
        <v/>
      </c>
      <c r="WZ46" s="12">
        <f>IF(WY46&gt;0,MAX(1,ROUND(WY46/CAC*WV46,0)),0)</f>
        <v/>
      </c>
      <c r="XA46" s="12">
        <f>IF(WZ46&gt;0,ROUND(WZ46*ReferralMix/(1-ReferralMix),0),0)</f>
        <v/>
      </c>
      <c r="XB46" s="12">
        <f>WZ46+XA46</f>
        <v/>
      </c>
      <c r="XC46" s="12">
        <f>ROUND(XB46*(1-'Sens - Annual Mix'!$A$11),0)</f>
        <v/>
      </c>
      <c r="XD46" s="12">
        <f>XB46-XC46</f>
        <v/>
      </c>
      <c r="XE46" s="12">
        <f>ROUND(XC46*EssentialMix,0)</f>
        <v/>
      </c>
      <c r="XF46" s="12">
        <f>XC46-XE46</f>
        <v/>
      </c>
      <c r="XG46" s="12">
        <f>ROUND(XD46*EssentialMix,0)</f>
        <v/>
      </c>
      <c r="XH46" s="12">
        <f>XD46-XG46</f>
        <v/>
      </c>
      <c r="XI46" s="12">
        <f>XE46+XE45+XE44+MAX(0,XI45-XE45-XE44)*(1-WX46)</f>
        <v/>
      </c>
      <c r="XJ46" s="12">
        <f>XF46+XF45+XF44+MAX(0,XJ45-XF45-XF44)*(1-WX46)</f>
        <v/>
      </c>
      <c r="XK46" s="12">
        <f>XK45+XG46-XG34*(AnnualChurn*VLOOKUP(WT46,ChurnSeasonTable,4,FALSE))*POWER(1-(AnnualChurn*VLOOKUP(WT46,ChurnSeasonTable,4,FALSE)),0)+XG22*(AnnualChurn*VLOOKUP(WT46,ChurnSeasonTable,4,FALSE))*POWER(1-(AnnualChurn*VLOOKUP(WT46,ChurnSeasonTable,4,FALSE)),1)+XG10*(AnnualChurn*VLOOKUP(WT46,ChurnSeasonTable,4,FALSE))*POWER(1-(AnnualChurn*VLOOKUP(WT46,ChurnSeasonTable,4,FALSE)),2)</f>
        <v/>
      </c>
      <c r="XL46" s="12">
        <f>XL45+XH46-XH34*(AnnualChurn*VLOOKUP(WT46,ChurnSeasonTable,4,FALSE))*POWER(1-(AnnualChurn*VLOOKUP(WT46,ChurnSeasonTable,4,FALSE)),0)+XH22*(AnnualChurn*VLOOKUP(WT46,ChurnSeasonTable,4,FALSE))*POWER(1-(AnnualChurn*VLOOKUP(WT46,ChurnSeasonTable,4,FALSE)),1)+XH10*(AnnualChurn*VLOOKUP(WT46,ChurnSeasonTable,4,FALSE))*POWER(1-(AnnualChurn*VLOOKUP(WT46,ChurnSeasonTable,4,FALSE)),2)</f>
        <v/>
      </c>
      <c r="XM46" s="12">
        <f>XI46+XJ46+XK46+XL46</f>
        <v/>
      </c>
      <c r="XN46" s="9">
        <f>XI46*PriceEssMonthly*WW46+XJ46*PricePremMonthly*WW46+XK46*PriceEssAnnual*WW46/12+XL46*PricePremAnnual*WW46/12</f>
        <v/>
      </c>
      <c r="XO46" s="9">
        <f>XN46*12</f>
        <v/>
      </c>
      <c r="XP46" s="12">
        <f>XI46*PriceEssMonthly*WW46+XJ46*PricePremMonthly*WW46</f>
        <v/>
      </c>
      <c r="XQ46" s="12">
        <f>XG46*PriceEssAnnual*WW46+XH46*PricePremAnnual*WW46</f>
        <v/>
      </c>
      <c r="XR46" s="12">
        <f>XG34*POWER(1-(AnnualChurn*VLOOKUP(WT46,ChurnSeasonTable,4,FALSE)),1)*PriceEssAnnual*WW46+XG22*POWER(1-(AnnualChurn*VLOOKUP(WT46,ChurnSeasonTable,4,FALSE)),2)*PriceEssAnnual*WW46+XG10*POWER(1-(AnnualChurn*VLOOKUP(WT46,ChurnSeasonTable,4,FALSE)),3)*PriceEssAnnual*WW46+XH34*POWER(1-(AnnualChurn*VLOOKUP(WT46,ChurnSeasonTable,4,FALSE)),1)*PricePremAnnual*WW46+XH22*POWER(1-(AnnualChurn*VLOOKUP(WT46,ChurnSeasonTable,4,FALSE)),2)*PricePremAnnual*WW46+XH10*POWER(1-(AnnualChurn*VLOOKUP(WT46,ChurnSeasonTable,4,FALSE)),3)*PricePremAnnual*WW46</f>
        <v/>
      </c>
      <c r="XS46" s="9">
        <f>XP46+XQ46+XR46</f>
        <v/>
      </c>
      <c r="XT46" s="12">
        <f>SUM(XS35:XS46)</f>
        <v/>
      </c>
      <c r="XU46" s="12">
        <f>OR(XU45,XT46&gt;=VATThreshold)</f>
        <v/>
      </c>
      <c r="XV46" s="9">
        <f>IF(XU46,XS46/(1+VATRate),XS46)</f>
        <v/>
      </c>
      <c r="XW46" s="12">
        <f>XS46-XV46</f>
        <v/>
      </c>
      <c r="XX46" s="12">
        <f>IF(XU46=0,0,IF(WT46=1,SUMPRODUCT(--(($WU$5:$WU46=$WU46-1)*($WT$5:$WT46&gt;=10)*($WT$5:$WT46&lt;=12)),$XW$5:$XW46),IF(WT46=4,SUMPRODUCT(--(($WU$5:$WU46=$WU46)*($WT$5:$WT46&gt;=1)*($WT$5:$WT46&lt;=3)),$XW$5:$XW46),IF(WT46=7,SUMPRODUCT(--(($WU$5:$WU46=$WU46)*($WT$5:$WT46&gt;=4)*($WT$5:$WT46&lt;=6)),$XW$5:$XW46),IF(WT46=10,SUMPRODUCT(--(($WU$5:$WU46=$WU46)*($WT$5:$WT46&gt;=7)*($WT$5:$WT46&lt;=9)),$XW$5:$XW46),0)))))</f>
        <v/>
      </c>
      <c r="XY46" s="12">
        <f>XY45+XW46-XX46</f>
        <v/>
      </c>
      <c r="XZ46" s="12">
        <f>IF(ProviderDelay&gt;=1,XV45*ProviderShare,XV46*ProviderShare)</f>
        <v/>
      </c>
      <c r="YA46" s="12">
        <f>XS46*PaymentFee</f>
        <v/>
      </c>
      <c r="YB46" s="12">
        <f>XM46*OpsAI</f>
        <v/>
      </c>
      <c r="YC46" s="12">
        <f>MonthlyFixed</f>
        <v/>
      </c>
      <c r="YD46" s="12">
        <f>XA46*ReferralReward</f>
        <v/>
      </c>
      <c r="YE46" s="12">
        <f>WY46</f>
        <v/>
      </c>
      <c r="YF46" s="9">
        <f>XV46-XZ46-YA46-YB46-YC46-YD46-YE46</f>
        <v/>
      </c>
      <c r="YG46" s="9">
        <f>YG45+XS46-(XZ46+YA46+YB46+YC46+YD46+YE46+XX46)</f>
        <v/>
      </c>
      <c r="YH46" s="12">
        <f>IF(XM46&gt;0,XN46/XM46,0)</f>
        <v/>
      </c>
      <c r="YI46" s="11">
        <f>IF(XM45&gt;0,MAX(0,(XM45+XB46-XM46)/XM45),0)</f>
        <v/>
      </c>
      <c r="YK46" s="12" t="n">
        <v>42</v>
      </c>
      <c r="YL46" s="12">
        <f>MOD(YK46-1+LaunchMonth-1,12)+1</f>
        <v/>
      </c>
      <c r="YM46" s="12">
        <f>INT((YK46-1+LaunchMonth-1)/12)+1</f>
        <v/>
      </c>
      <c r="YN46" s="12">
        <f>VLOOKUP(YL46,SeasonTable,2,FALSE)</f>
        <v/>
      </c>
      <c r="YO46" s="12">
        <f>(1+InflationRate)^INT((YK46-1)/12)</f>
        <v/>
      </c>
      <c r="YP46" s="11">
        <f>MonthlyChurn*VLOOKUP(YL46,ChurnSeasonTable,4,FALSE)</f>
        <v/>
      </c>
      <c r="YQ46" s="12">
        <f>MIN(MAX(MktMin19plus,ZK45*MktPct19plus),MAX(0,ZY45-CashBuffer))</f>
        <v/>
      </c>
      <c r="YR46" s="12">
        <f>IF(YQ46&gt;0,MAX(1,ROUND(YQ46/CAC*YN46,0)),0)</f>
        <v/>
      </c>
      <c r="YS46" s="12">
        <f>IF(YR46&gt;0,ROUND(YR46*ReferralMix/(1-ReferralMix),0),0)</f>
        <v/>
      </c>
      <c r="YT46" s="12">
        <f>YR46+YS46</f>
        <v/>
      </c>
      <c r="YU46" s="12">
        <f>ROUND(YT46*(1-'Sens - Annual Mix'!$A$12),0)</f>
        <v/>
      </c>
      <c r="YV46" s="12">
        <f>YT46-YU46</f>
        <v/>
      </c>
      <c r="YW46" s="12">
        <f>ROUND(YU46*EssentialMix,0)</f>
        <v/>
      </c>
      <c r="YX46" s="12">
        <f>YU46-YW46</f>
        <v/>
      </c>
      <c r="YY46" s="12">
        <f>ROUND(YV46*EssentialMix,0)</f>
        <v/>
      </c>
      <c r="YZ46" s="12">
        <f>YV46-YY46</f>
        <v/>
      </c>
      <c r="ZA46" s="12">
        <f>YW46+YW45+YW44+MAX(0,ZA45-YW45-YW44)*(1-YP46)</f>
        <v/>
      </c>
      <c r="ZB46" s="12">
        <f>YX46+YX45+YX44+MAX(0,ZB45-YX45-YX44)*(1-YP46)</f>
        <v/>
      </c>
      <c r="ZC46" s="12">
        <f>ZC45+YY46-YY34*(AnnualChurn*VLOOKUP(YL46,ChurnSeasonTable,4,FALSE))*POWER(1-(AnnualChurn*VLOOKUP(YL46,ChurnSeasonTable,4,FALSE)),0)+YY22*(AnnualChurn*VLOOKUP(YL46,ChurnSeasonTable,4,FALSE))*POWER(1-(AnnualChurn*VLOOKUP(YL46,ChurnSeasonTable,4,FALSE)),1)+YY10*(AnnualChurn*VLOOKUP(YL46,ChurnSeasonTable,4,FALSE))*POWER(1-(AnnualChurn*VLOOKUP(YL46,ChurnSeasonTable,4,FALSE)),2)</f>
        <v/>
      </c>
      <c r="ZD46" s="12">
        <f>ZD45+YZ46-YZ34*(AnnualChurn*VLOOKUP(YL46,ChurnSeasonTable,4,FALSE))*POWER(1-(AnnualChurn*VLOOKUP(YL46,ChurnSeasonTable,4,FALSE)),0)+YZ22*(AnnualChurn*VLOOKUP(YL46,ChurnSeasonTable,4,FALSE))*POWER(1-(AnnualChurn*VLOOKUP(YL46,ChurnSeasonTable,4,FALSE)),1)+YZ10*(AnnualChurn*VLOOKUP(YL46,ChurnSeasonTable,4,FALSE))*POWER(1-(AnnualChurn*VLOOKUP(YL46,ChurnSeasonTable,4,FALSE)),2)</f>
        <v/>
      </c>
      <c r="ZE46" s="12">
        <f>ZA46+ZB46+ZC46+ZD46</f>
        <v/>
      </c>
      <c r="ZF46" s="9">
        <f>ZA46*PriceEssMonthly*YO46+ZB46*PricePremMonthly*YO46+ZC46*PriceEssAnnual*YO46/12+ZD46*PricePremAnnual*YO46/12</f>
        <v/>
      </c>
      <c r="ZG46" s="9">
        <f>ZF46*12</f>
        <v/>
      </c>
      <c r="ZH46" s="12">
        <f>ZA46*PriceEssMonthly*YO46+ZB46*PricePremMonthly*YO46</f>
        <v/>
      </c>
      <c r="ZI46" s="12">
        <f>YY46*PriceEssAnnual*YO46+YZ46*PricePremAnnual*YO46</f>
        <v/>
      </c>
      <c r="ZJ46" s="12">
        <f>YY34*POWER(1-(AnnualChurn*VLOOKUP(YL46,ChurnSeasonTable,4,FALSE)),1)*PriceEssAnnual*YO46+YY22*POWER(1-(AnnualChurn*VLOOKUP(YL46,ChurnSeasonTable,4,FALSE)),2)*PriceEssAnnual*YO46+YY10*POWER(1-(AnnualChurn*VLOOKUP(YL46,ChurnSeasonTable,4,FALSE)),3)*PriceEssAnnual*YO46+YZ34*POWER(1-(AnnualChurn*VLOOKUP(YL46,ChurnSeasonTable,4,FALSE)),1)*PricePremAnnual*YO46+YZ22*POWER(1-(AnnualChurn*VLOOKUP(YL46,ChurnSeasonTable,4,FALSE)),2)*PricePremAnnual*YO46+YZ10*POWER(1-(AnnualChurn*VLOOKUP(YL46,ChurnSeasonTable,4,FALSE)),3)*PricePremAnnual*YO46</f>
        <v/>
      </c>
      <c r="ZK46" s="9">
        <f>ZH46+ZI46+ZJ46</f>
        <v/>
      </c>
      <c r="ZL46" s="12">
        <f>SUM(ZK35:ZK46)</f>
        <v/>
      </c>
      <c r="ZM46" s="12">
        <f>OR(ZM45,ZL46&gt;=VATThreshold)</f>
        <v/>
      </c>
      <c r="ZN46" s="9">
        <f>IF(ZM46,ZK46/(1+VATRate),ZK46)</f>
        <v/>
      </c>
      <c r="ZO46" s="12">
        <f>ZK46-ZN46</f>
        <v/>
      </c>
      <c r="ZP46" s="12">
        <f>IF(ZM46=0,0,IF(YL46=1,SUMPRODUCT(--(($YM$5:$YM46=$YM46-1)*($YL$5:$YL46&gt;=10)*($YL$5:$YL46&lt;=12)),$ZO$5:$ZO46),IF(YL46=4,SUMPRODUCT(--(($YM$5:$YM46=$YM46)*($YL$5:$YL46&gt;=1)*($YL$5:$YL46&lt;=3)),$ZO$5:$ZO46),IF(YL46=7,SUMPRODUCT(--(($YM$5:$YM46=$YM46)*($YL$5:$YL46&gt;=4)*($YL$5:$YL46&lt;=6)),$ZO$5:$ZO46),IF(YL46=10,SUMPRODUCT(--(($YM$5:$YM46=$YM46)*($YL$5:$YL46&gt;=7)*($YL$5:$YL46&lt;=9)),$ZO$5:$ZO46),0)))))</f>
        <v/>
      </c>
      <c r="ZQ46" s="12">
        <f>ZQ45+ZO46-ZP46</f>
        <v/>
      </c>
      <c r="ZR46" s="12">
        <f>IF(ProviderDelay&gt;=1,ZN45*ProviderShare,ZN46*ProviderShare)</f>
        <v/>
      </c>
      <c r="ZS46" s="12">
        <f>ZK46*PaymentFee</f>
        <v/>
      </c>
      <c r="ZT46" s="12">
        <f>ZE46*OpsAI</f>
        <v/>
      </c>
      <c r="ZU46" s="12">
        <f>MonthlyFixed</f>
        <v/>
      </c>
      <c r="ZV46" s="12">
        <f>YS46*ReferralReward</f>
        <v/>
      </c>
      <c r="ZW46" s="12">
        <f>YQ46</f>
        <v/>
      </c>
      <c r="ZX46" s="9">
        <f>ZN46-ZR46-ZS46-ZT46-ZU46-ZV46-ZW46</f>
        <v/>
      </c>
      <c r="ZY46" s="9">
        <f>ZY45+ZK46-(ZR46+ZS46+ZT46+ZU46+ZV46+ZW46+ZP46)</f>
        <v/>
      </c>
      <c r="ZZ46" s="12">
        <f>IF(ZE46&gt;0,ZF46/ZE46,0)</f>
        <v/>
      </c>
      <c r="AAA46" s="11">
        <f>IF(ZE45&gt;0,MAX(0,(ZE45+YT46-ZE46)/ZE45),0)</f>
        <v/>
      </c>
      <c r="AAC46" s="12" t="n">
        <v>42</v>
      </c>
      <c r="AAD46" s="12">
        <f>MOD(AAC46-1+LaunchMonth-1,12)+1</f>
        <v/>
      </c>
      <c r="AAE46" s="12">
        <f>INT((AAC46-1+LaunchMonth-1)/12)+1</f>
        <v/>
      </c>
      <c r="AAF46" s="12">
        <f>VLOOKUP(AAD46,SeasonTable,2,FALSE)</f>
        <v/>
      </c>
      <c r="AAG46" s="12">
        <f>(1+InflationRate)^INT((AAC46-1)/12)</f>
        <v/>
      </c>
      <c r="AAH46" s="11">
        <f>MonthlyChurn*VLOOKUP(AAD46,ChurnSeasonTable,4,FALSE)</f>
        <v/>
      </c>
      <c r="AAI46" s="12">
        <f>MIN(MAX(MktMin19plus,ABC45*MktPct19plus),MAX(0,ABQ45-CashBuffer))</f>
        <v/>
      </c>
      <c r="AAJ46" s="12">
        <f>IF(AAI46&gt;0,MAX(1,ROUND(AAI46/CAC*AAF46,0)),0)</f>
        <v/>
      </c>
      <c r="AAK46" s="12">
        <f>IF(AAJ46&gt;0,ROUND(AAJ46*ReferralMix/(1-ReferralMix),0),0)</f>
        <v/>
      </c>
      <c r="AAL46" s="12">
        <f>AAJ46+AAK46</f>
        <v/>
      </c>
      <c r="AAM46" s="12">
        <f>ROUND(AAL46*(1-'Sens - Annual Mix'!$A$13),0)</f>
        <v/>
      </c>
      <c r="AAN46" s="12">
        <f>AAL46-AAM46</f>
        <v/>
      </c>
      <c r="AAO46" s="12">
        <f>ROUND(AAM46*EssentialMix,0)</f>
        <v/>
      </c>
      <c r="AAP46" s="12">
        <f>AAM46-AAO46</f>
        <v/>
      </c>
      <c r="AAQ46" s="12">
        <f>ROUND(AAN46*EssentialMix,0)</f>
        <v/>
      </c>
      <c r="AAR46" s="12">
        <f>AAN46-AAQ46</f>
        <v/>
      </c>
      <c r="AAS46" s="12">
        <f>AAO46+AAO45+AAO44+MAX(0,AAS45-AAO45-AAO44)*(1-AAH46)</f>
        <v/>
      </c>
      <c r="AAT46" s="12">
        <f>AAP46+AAP45+AAP44+MAX(0,AAT45-AAP45-AAP44)*(1-AAH46)</f>
        <v/>
      </c>
      <c r="AAU46" s="12">
        <f>AAU45+AAQ46-AAQ34*(AnnualChurn*VLOOKUP(AAD46,ChurnSeasonTable,4,FALSE))*POWER(1-(AnnualChurn*VLOOKUP(AAD46,ChurnSeasonTable,4,FALSE)),0)+AAQ22*(AnnualChurn*VLOOKUP(AAD46,ChurnSeasonTable,4,FALSE))*POWER(1-(AnnualChurn*VLOOKUP(AAD46,ChurnSeasonTable,4,FALSE)),1)+AAQ10*(AnnualChurn*VLOOKUP(AAD46,ChurnSeasonTable,4,FALSE))*POWER(1-(AnnualChurn*VLOOKUP(AAD46,ChurnSeasonTable,4,FALSE)),2)</f>
        <v/>
      </c>
      <c r="AAV46" s="12">
        <f>AAV45+AAR46-AAR34*(AnnualChurn*VLOOKUP(AAD46,ChurnSeasonTable,4,FALSE))*POWER(1-(AnnualChurn*VLOOKUP(AAD46,ChurnSeasonTable,4,FALSE)),0)+AAR22*(AnnualChurn*VLOOKUP(AAD46,ChurnSeasonTable,4,FALSE))*POWER(1-(AnnualChurn*VLOOKUP(AAD46,ChurnSeasonTable,4,FALSE)),1)+AAR10*(AnnualChurn*VLOOKUP(AAD46,ChurnSeasonTable,4,FALSE))*POWER(1-(AnnualChurn*VLOOKUP(AAD46,ChurnSeasonTable,4,FALSE)),2)</f>
        <v/>
      </c>
      <c r="AAW46" s="12">
        <f>AAS46+AAT46+AAU46+AAV46</f>
        <v/>
      </c>
      <c r="AAX46" s="9">
        <f>AAS46*PriceEssMonthly*AAG46+AAT46*PricePremMonthly*AAG46+AAU46*PriceEssAnnual*AAG46/12+AAV46*PricePremAnnual*AAG46/12</f>
        <v/>
      </c>
      <c r="AAY46" s="9">
        <f>AAX46*12</f>
        <v/>
      </c>
      <c r="AAZ46" s="12">
        <f>AAS46*PriceEssMonthly*AAG46+AAT46*PricePremMonthly*AAG46</f>
        <v/>
      </c>
      <c r="ABA46" s="12">
        <f>AAQ46*PriceEssAnnual*AAG46+AAR46*PricePremAnnual*AAG46</f>
        <v/>
      </c>
      <c r="ABB46" s="12">
        <f>AAQ34*POWER(1-(AnnualChurn*VLOOKUP(AAD46,ChurnSeasonTable,4,FALSE)),1)*PriceEssAnnual*AAG46+AAQ22*POWER(1-(AnnualChurn*VLOOKUP(AAD46,ChurnSeasonTable,4,FALSE)),2)*PriceEssAnnual*AAG46+AAQ10*POWER(1-(AnnualChurn*VLOOKUP(AAD46,ChurnSeasonTable,4,FALSE)),3)*PriceEssAnnual*AAG46+AAR34*POWER(1-(AnnualChurn*VLOOKUP(AAD46,ChurnSeasonTable,4,FALSE)),1)*PricePremAnnual*AAG46+AAR22*POWER(1-(AnnualChurn*VLOOKUP(AAD46,ChurnSeasonTable,4,FALSE)),2)*PricePremAnnual*AAG46+AAR10*POWER(1-(AnnualChurn*VLOOKUP(AAD46,ChurnSeasonTable,4,FALSE)),3)*PricePremAnnual*AAG46</f>
        <v/>
      </c>
      <c r="ABC46" s="9">
        <f>AAZ46+ABA46+ABB46</f>
        <v/>
      </c>
      <c r="ABD46" s="12">
        <f>SUM(ABC35:ABC46)</f>
        <v/>
      </c>
      <c r="ABE46" s="12">
        <f>OR(ABE45,ABD46&gt;=VATThreshold)</f>
        <v/>
      </c>
      <c r="ABF46" s="9">
        <f>IF(ABE46,ABC46/(1+VATRate),ABC46)</f>
        <v/>
      </c>
      <c r="ABG46" s="12">
        <f>ABC46-ABF46</f>
        <v/>
      </c>
      <c r="ABH46" s="12">
        <f>IF(ABE46=0,0,IF(AAD46=1,SUMPRODUCT(--(($AAE$5:$AAE46=$AAE46-1)*($AAD$5:$AAD46&gt;=10)*($AAD$5:$AAD46&lt;=12)),$ABG$5:$ABG46),IF(AAD46=4,SUMPRODUCT(--(($AAE$5:$AAE46=$AAE46)*($AAD$5:$AAD46&gt;=1)*($AAD$5:$AAD46&lt;=3)),$ABG$5:$ABG46),IF(AAD46=7,SUMPRODUCT(--(($AAE$5:$AAE46=$AAE46)*($AAD$5:$AAD46&gt;=4)*($AAD$5:$AAD46&lt;=6)),$ABG$5:$ABG46),IF(AAD46=10,SUMPRODUCT(--(($AAE$5:$AAE46=$AAE46)*($AAD$5:$AAD46&gt;=7)*($AAD$5:$AAD46&lt;=9)),$ABG$5:$ABG46),0)))))</f>
        <v/>
      </c>
      <c r="ABI46" s="12">
        <f>ABI45+ABG46-ABH46</f>
        <v/>
      </c>
      <c r="ABJ46" s="12">
        <f>IF(ProviderDelay&gt;=1,ABF45*ProviderShare,ABF46*ProviderShare)</f>
        <v/>
      </c>
      <c r="ABK46" s="12">
        <f>ABC46*PaymentFee</f>
        <v/>
      </c>
      <c r="ABL46" s="12">
        <f>AAW46*OpsAI</f>
        <v/>
      </c>
      <c r="ABM46" s="12">
        <f>MonthlyFixed</f>
        <v/>
      </c>
      <c r="ABN46" s="12">
        <f>AAK46*ReferralReward</f>
        <v/>
      </c>
      <c r="ABO46" s="12">
        <f>AAI46</f>
        <v/>
      </c>
      <c r="ABP46" s="9">
        <f>ABF46-ABJ46-ABK46-ABL46-ABM46-ABN46-ABO46</f>
        <v/>
      </c>
      <c r="ABQ46" s="9">
        <f>ABQ45+ABC46-(ABJ46+ABK46+ABL46+ABM46+ABN46+ABO46+ABH46)</f>
        <v/>
      </c>
      <c r="ABR46" s="12">
        <f>IF(AAW46&gt;0,AAX46/AAW46,0)</f>
        <v/>
      </c>
      <c r="ABS46" s="11">
        <f>IF(AAW45&gt;0,MAX(0,(AAW45+AAL46-AAW46)/AAW45),0)</f>
        <v/>
      </c>
      <c r="ABU46" s="12" t="n">
        <v>42</v>
      </c>
      <c r="ABV46" s="12">
        <f>MOD(ABU46-1+LaunchMonth-1,12)+1</f>
        <v/>
      </c>
      <c r="ABW46" s="12">
        <f>INT((ABU46-1+LaunchMonth-1)/12)+1</f>
        <v/>
      </c>
      <c r="ABX46" s="12">
        <f>VLOOKUP(ABV46,SeasonTable,2,FALSE)</f>
        <v/>
      </c>
      <c r="ABY46" s="12">
        <f>(1+InflationRate)^INT((ABU46-1)/12)</f>
        <v/>
      </c>
      <c r="ABZ46" s="11">
        <f>MonthlyChurn*VLOOKUP(ABV46,ChurnSeasonTable,4,FALSE)</f>
        <v/>
      </c>
      <c r="ACA46" s="12">
        <f>MIN(MAX(MktMin19plus,ACU45*MktPct19plus),MAX(0,ADI45-CashBuffer))</f>
        <v/>
      </c>
      <c r="ACB46" s="12">
        <f>IF(ACA46&gt;0,MAX(1,ROUND(ACA46/CAC*ABX46,0)),0)</f>
        <v/>
      </c>
      <c r="ACC46" s="12">
        <f>IF(ACB46&gt;0,ROUND(ACB46*ReferralMix/(1-ReferralMix),0),0)</f>
        <v/>
      </c>
      <c r="ACD46" s="12">
        <f>ACB46+ACC46</f>
        <v/>
      </c>
      <c r="ACE46" s="12">
        <f>ROUND(ACD46*(1-'Sens - Annual Mix'!$A$14),0)</f>
        <v/>
      </c>
      <c r="ACF46" s="12">
        <f>ACD46-ACE46</f>
        <v/>
      </c>
      <c r="ACG46" s="12">
        <f>ROUND(ACE46*EssentialMix,0)</f>
        <v/>
      </c>
      <c r="ACH46" s="12">
        <f>ACE46-ACG46</f>
        <v/>
      </c>
      <c r="ACI46" s="12">
        <f>ROUND(ACF46*EssentialMix,0)</f>
        <v/>
      </c>
      <c r="ACJ46" s="12">
        <f>ACF46-ACI46</f>
        <v/>
      </c>
      <c r="ACK46" s="12">
        <f>ACG46+ACG45+ACG44+MAX(0,ACK45-ACG45-ACG44)*(1-ABZ46)</f>
        <v/>
      </c>
      <c r="ACL46" s="12">
        <f>ACH46+ACH45+ACH44+MAX(0,ACL45-ACH45-ACH44)*(1-ABZ46)</f>
        <v/>
      </c>
      <c r="ACM46" s="12">
        <f>ACM45+ACI46-ACI34*(AnnualChurn*VLOOKUP(ABV46,ChurnSeasonTable,4,FALSE))*POWER(1-(AnnualChurn*VLOOKUP(ABV46,ChurnSeasonTable,4,FALSE)),0)+ACI22*(AnnualChurn*VLOOKUP(ABV46,ChurnSeasonTable,4,FALSE))*POWER(1-(AnnualChurn*VLOOKUP(ABV46,ChurnSeasonTable,4,FALSE)),1)+ACI10*(AnnualChurn*VLOOKUP(ABV46,ChurnSeasonTable,4,FALSE))*POWER(1-(AnnualChurn*VLOOKUP(ABV46,ChurnSeasonTable,4,FALSE)),2)</f>
        <v/>
      </c>
      <c r="ACN46" s="12">
        <f>ACN45+ACJ46-ACJ34*(AnnualChurn*VLOOKUP(ABV46,ChurnSeasonTable,4,FALSE))*POWER(1-(AnnualChurn*VLOOKUP(ABV46,ChurnSeasonTable,4,FALSE)),0)+ACJ22*(AnnualChurn*VLOOKUP(ABV46,ChurnSeasonTable,4,FALSE))*POWER(1-(AnnualChurn*VLOOKUP(ABV46,ChurnSeasonTable,4,FALSE)),1)+ACJ10*(AnnualChurn*VLOOKUP(ABV46,ChurnSeasonTable,4,FALSE))*POWER(1-(AnnualChurn*VLOOKUP(ABV46,ChurnSeasonTable,4,FALSE)),2)</f>
        <v/>
      </c>
      <c r="ACO46" s="12">
        <f>ACK46+ACL46+ACM46+ACN46</f>
        <v/>
      </c>
      <c r="ACP46" s="9">
        <f>ACK46*PriceEssMonthly*ABY46+ACL46*PricePremMonthly*ABY46+ACM46*PriceEssAnnual*ABY46/12+ACN46*PricePremAnnual*ABY46/12</f>
        <v/>
      </c>
      <c r="ACQ46" s="9">
        <f>ACP46*12</f>
        <v/>
      </c>
      <c r="ACR46" s="12">
        <f>ACK46*PriceEssMonthly*ABY46+ACL46*PricePremMonthly*ABY46</f>
        <v/>
      </c>
      <c r="ACS46" s="12">
        <f>ACI46*PriceEssAnnual*ABY46+ACJ46*PricePremAnnual*ABY46</f>
        <v/>
      </c>
      <c r="ACT46" s="12">
        <f>ACI34*POWER(1-(AnnualChurn*VLOOKUP(ABV46,ChurnSeasonTable,4,FALSE)),1)*PriceEssAnnual*ABY46+ACI22*POWER(1-(AnnualChurn*VLOOKUP(ABV46,ChurnSeasonTable,4,FALSE)),2)*PriceEssAnnual*ABY46+ACI10*POWER(1-(AnnualChurn*VLOOKUP(ABV46,ChurnSeasonTable,4,FALSE)),3)*PriceEssAnnual*ABY46+ACJ34*POWER(1-(AnnualChurn*VLOOKUP(ABV46,ChurnSeasonTable,4,FALSE)),1)*PricePremAnnual*ABY46+ACJ22*POWER(1-(AnnualChurn*VLOOKUP(ABV46,ChurnSeasonTable,4,FALSE)),2)*PricePremAnnual*ABY46+ACJ10*POWER(1-(AnnualChurn*VLOOKUP(ABV46,ChurnSeasonTable,4,FALSE)),3)*PricePremAnnual*ABY46</f>
        <v/>
      </c>
      <c r="ACU46" s="9">
        <f>ACR46+ACS46+ACT46</f>
        <v/>
      </c>
      <c r="ACV46" s="12">
        <f>SUM(ACU35:ACU46)</f>
        <v/>
      </c>
      <c r="ACW46" s="12">
        <f>OR(ACW45,ACV46&gt;=VATThreshold)</f>
        <v/>
      </c>
      <c r="ACX46" s="9">
        <f>IF(ACW46,ACU46/(1+VATRate),ACU46)</f>
        <v/>
      </c>
      <c r="ACY46" s="12">
        <f>ACU46-ACX46</f>
        <v/>
      </c>
      <c r="ACZ46" s="12">
        <f>IF(ACW46=0,0,IF(ABV46=1,SUMPRODUCT(--(($ABW$5:$ABW46=$ABW46-1)*($ABV$5:$ABV46&gt;=10)*($ABV$5:$ABV46&lt;=12)),$ACY$5:$ACY46),IF(ABV46=4,SUMPRODUCT(--(($ABW$5:$ABW46=$ABW46)*($ABV$5:$ABV46&gt;=1)*($ABV$5:$ABV46&lt;=3)),$ACY$5:$ACY46),IF(ABV46=7,SUMPRODUCT(--(($ABW$5:$ABW46=$ABW46)*($ABV$5:$ABV46&gt;=4)*($ABV$5:$ABV46&lt;=6)),$ACY$5:$ACY46),IF(ABV46=10,SUMPRODUCT(--(($ABW$5:$ABW46=$ABW46)*($ABV$5:$ABV46&gt;=7)*($ABV$5:$ABV46&lt;=9)),$ACY$5:$ACY46),0)))))</f>
        <v/>
      </c>
      <c r="ADA46" s="12">
        <f>ADA45+ACY46-ACZ46</f>
        <v/>
      </c>
      <c r="ADB46" s="12">
        <f>IF(ProviderDelay&gt;=1,ACX45*ProviderShare,ACX46*ProviderShare)</f>
        <v/>
      </c>
      <c r="ADC46" s="12">
        <f>ACU46*PaymentFee</f>
        <v/>
      </c>
      <c r="ADD46" s="12">
        <f>ACO46*OpsAI</f>
        <v/>
      </c>
      <c r="ADE46" s="12">
        <f>MonthlyFixed</f>
        <v/>
      </c>
      <c r="ADF46" s="12">
        <f>ACC46*ReferralReward</f>
        <v/>
      </c>
      <c r="ADG46" s="12">
        <f>ACA46</f>
        <v/>
      </c>
      <c r="ADH46" s="9">
        <f>ACX46-ADB46-ADC46-ADD46-ADE46-ADF46-ADG46</f>
        <v/>
      </c>
      <c r="ADI46" s="9">
        <f>ADI45+ACU46-(ADB46+ADC46+ADD46+ADE46+ADF46+ADG46+ACZ46)</f>
        <v/>
      </c>
      <c r="ADJ46" s="12">
        <f>IF(ACO46&gt;0,ACP46/ACO46,0)</f>
        <v/>
      </c>
      <c r="ADK46" s="11">
        <f>IF(ACO45&gt;0,MAX(0,(ACO45+ACD46-ACO46)/ACO45),0)</f>
        <v/>
      </c>
      <c r="ADM46" s="12" t="n">
        <v>42</v>
      </c>
      <c r="ADN46" s="12">
        <f>MOD(ADM46-1+LaunchMonth-1,12)+1</f>
        <v/>
      </c>
      <c r="ADO46" s="12">
        <f>INT((ADM46-1+LaunchMonth-1)/12)+1</f>
        <v/>
      </c>
      <c r="ADP46" s="12">
        <f>VLOOKUP(ADN46,SeasonTable,2,FALSE)</f>
        <v/>
      </c>
      <c r="ADQ46" s="12">
        <f>(1+InflationRate)^INT((ADM46-1)/12)</f>
        <v/>
      </c>
      <c r="ADR46" s="11">
        <f>MonthlyChurn*VLOOKUP(ADN46,ChurnSeasonTable,4,FALSE)</f>
        <v/>
      </c>
      <c r="ADS46" s="12">
        <f>MIN(MAX(MktMin19plus,AEM45*MktPct19plus),MAX(0,AFA45-CashBuffer))</f>
        <v/>
      </c>
      <c r="ADT46" s="12">
        <f>IF(ADS46&gt;0,MAX(1,ROUND(ADS46/CAC*ADP46,0)),0)</f>
        <v/>
      </c>
      <c r="ADU46" s="12">
        <f>IF(ADT46&gt;0,ROUND(ADT46*ReferralMix/(1-ReferralMix),0),0)</f>
        <v/>
      </c>
      <c r="ADV46" s="12">
        <f>ADT46+ADU46</f>
        <v/>
      </c>
      <c r="ADW46" s="12">
        <f>ROUND(ADV46*(1-'Sens - Annual Mix'!$A$15),0)</f>
        <v/>
      </c>
      <c r="ADX46" s="12">
        <f>ADV46-ADW46</f>
        <v/>
      </c>
      <c r="ADY46" s="12">
        <f>ROUND(ADW46*EssentialMix,0)</f>
        <v/>
      </c>
      <c r="ADZ46" s="12">
        <f>ADW46-ADY46</f>
        <v/>
      </c>
      <c r="AEA46" s="12">
        <f>ROUND(ADX46*EssentialMix,0)</f>
        <v/>
      </c>
      <c r="AEB46" s="12">
        <f>ADX46-AEA46</f>
        <v/>
      </c>
      <c r="AEC46" s="12">
        <f>ADY46+ADY45+ADY44+MAX(0,AEC45-ADY45-ADY44)*(1-ADR46)</f>
        <v/>
      </c>
      <c r="AED46" s="12">
        <f>ADZ46+ADZ45+ADZ44+MAX(0,AED45-ADZ45-ADZ44)*(1-ADR46)</f>
        <v/>
      </c>
      <c r="AEE46" s="12">
        <f>AEE45+AEA46-AEA34*(AnnualChurn*VLOOKUP(ADN46,ChurnSeasonTable,4,FALSE))*POWER(1-(AnnualChurn*VLOOKUP(ADN46,ChurnSeasonTable,4,FALSE)),0)+AEA22*(AnnualChurn*VLOOKUP(ADN46,ChurnSeasonTable,4,FALSE))*POWER(1-(AnnualChurn*VLOOKUP(ADN46,ChurnSeasonTable,4,FALSE)),1)+AEA10*(AnnualChurn*VLOOKUP(ADN46,ChurnSeasonTable,4,FALSE))*POWER(1-(AnnualChurn*VLOOKUP(ADN46,ChurnSeasonTable,4,FALSE)),2)</f>
        <v/>
      </c>
      <c r="AEF46" s="12">
        <f>AEF45+AEB46-AEB34*(AnnualChurn*VLOOKUP(ADN46,ChurnSeasonTable,4,FALSE))*POWER(1-(AnnualChurn*VLOOKUP(ADN46,ChurnSeasonTable,4,FALSE)),0)+AEB22*(AnnualChurn*VLOOKUP(ADN46,ChurnSeasonTable,4,FALSE))*POWER(1-(AnnualChurn*VLOOKUP(ADN46,ChurnSeasonTable,4,FALSE)),1)+AEB10*(AnnualChurn*VLOOKUP(ADN46,ChurnSeasonTable,4,FALSE))*POWER(1-(AnnualChurn*VLOOKUP(ADN46,ChurnSeasonTable,4,FALSE)),2)</f>
        <v/>
      </c>
      <c r="AEG46" s="12">
        <f>AEC46+AED46+AEE46+AEF46</f>
        <v/>
      </c>
      <c r="AEH46" s="9">
        <f>AEC46*PriceEssMonthly*ADQ46+AED46*PricePremMonthly*ADQ46+AEE46*PriceEssAnnual*ADQ46/12+AEF46*PricePremAnnual*ADQ46/12</f>
        <v/>
      </c>
      <c r="AEI46" s="9">
        <f>AEH46*12</f>
        <v/>
      </c>
      <c r="AEJ46" s="12">
        <f>AEC46*PriceEssMonthly*ADQ46+AED46*PricePremMonthly*ADQ46</f>
        <v/>
      </c>
      <c r="AEK46" s="12">
        <f>AEA46*PriceEssAnnual*ADQ46+AEB46*PricePremAnnual*ADQ46</f>
        <v/>
      </c>
      <c r="AEL46" s="12">
        <f>AEA34*POWER(1-(AnnualChurn*VLOOKUP(ADN46,ChurnSeasonTable,4,FALSE)),1)*PriceEssAnnual*ADQ46+AEA22*POWER(1-(AnnualChurn*VLOOKUP(ADN46,ChurnSeasonTable,4,FALSE)),2)*PriceEssAnnual*ADQ46+AEA10*POWER(1-(AnnualChurn*VLOOKUP(ADN46,ChurnSeasonTable,4,FALSE)),3)*PriceEssAnnual*ADQ46+AEB34*POWER(1-(AnnualChurn*VLOOKUP(ADN46,ChurnSeasonTable,4,FALSE)),1)*PricePremAnnual*ADQ46+AEB22*POWER(1-(AnnualChurn*VLOOKUP(ADN46,ChurnSeasonTable,4,FALSE)),2)*PricePremAnnual*ADQ46+AEB10*POWER(1-(AnnualChurn*VLOOKUP(ADN46,ChurnSeasonTable,4,FALSE)),3)*PricePremAnnual*ADQ46</f>
        <v/>
      </c>
      <c r="AEM46" s="9">
        <f>AEJ46+AEK46+AEL46</f>
        <v/>
      </c>
      <c r="AEN46" s="12">
        <f>SUM(AEM35:AEM46)</f>
        <v/>
      </c>
      <c r="AEO46" s="12">
        <f>OR(AEO45,AEN46&gt;=VATThreshold)</f>
        <v/>
      </c>
      <c r="AEP46" s="9">
        <f>IF(AEO46,AEM46/(1+VATRate),AEM46)</f>
        <v/>
      </c>
      <c r="AEQ46" s="12">
        <f>AEM46-AEP46</f>
        <v/>
      </c>
      <c r="AER46" s="12">
        <f>IF(AEO46=0,0,IF(ADN46=1,SUMPRODUCT(--(($ADO$5:$ADO46=$ADO46-1)*($ADN$5:$ADN46&gt;=10)*($ADN$5:$ADN46&lt;=12)),$AEQ$5:$AEQ46),IF(ADN46=4,SUMPRODUCT(--(($ADO$5:$ADO46=$ADO46)*($ADN$5:$ADN46&gt;=1)*($ADN$5:$ADN46&lt;=3)),$AEQ$5:$AEQ46),IF(ADN46=7,SUMPRODUCT(--(($ADO$5:$ADO46=$ADO46)*($ADN$5:$ADN46&gt;=4)*($ADN$5:$ADN46&lt;=6)),$AEQ$5:$AEQ46),IF(ADN46=10,SUMPRODUCT(--(($ADO$5:$ADO46=$ADO46)*($ADN$5:$ADN46&gt;=7)*($ADN$5:$ADN46&lt;=9)),$AEQ$5:$AEQ46),0)))))</f>
        <v/>
      </c>
      <c r="AES46" s="12">
        <f>AES45+AEQ46-AER46</f>
        <v/>
      </c>
      <c r="AET46" s="12">
        <f>IF(ProviderDelay&gt;=1,AEP45*ProviderShare,AEP46*ProviderShare)</f>
        <v/>
      </c>
      <c r="AEU46" s="12">
        <f>AEM46*PaymentFee</f>
        <v/>
      </c>
      <c r="AEV46" s="12">
        <f>AEG46*OpsAI</f>
        <v/>
      </c>
      <c r="AEW46" s="12">
        <f>MonthlyFixed</f>
        <v/>
      </c>
      <c r="AEX46" s="12">
        <f>ADU46*ReferralReward</f>
        <v/>
      </c>
      <c r="AEY46" s="12">
        <f>ADS46</f>
        <v/>
      </c>
      <c r="AEZ46" s="9">
        <f>AEP46-AET46-AEU46-AEV46-AEW46-AEX46-AEY46</f>
        <v/>
      </c>
      <c r="AFA46" s="9">
        <f>AFA45+AEM46-(AET46+AEU46+AEV46+AEW46+AEX46+AEY46+AER46)</f>
        <v/>
      </c>
      <c r="AFB46" s="12">
        <f>IF(AEG46&gt;0,AEH46/AEG46,0)</f>
        <v/>
      </c>
      <c r="AFC46" s="11">
        <f>IF(AEG45&gt;0,MAX(0,(AEG45+ADV46-AEG46)/AEG45),0)</f>
        <v/>
      </c>
      <c r="AFE46" s="12" t="n">
        <v>42</v>
      </c>
      <c r="AFF46" s="12">
        <f>MOD(AFE46-1+LaunchMonth-1,12)+1</f>
        <v/>
      </c>
      <c r="AFG46" s="12">
        <f>INT((AFE46-1+LaunchMonth-1)/12)+1</f>
        <v/>
      </c>
      <c r="AFH46" s="12">
        <f>VLOOKUP(AFF46,SeasonTable,2,FALSE)</f>
        <v/>
      </c>
      <c r="AFI46" s="12">
        <f>(1+InflationRate)^INT((AFE46-1)/12)</f>
        <v/>
      </c>
      <c r="AFJ46" s="11">
        <f>MonthlyChurn*VLOOKUP(AFF46,ChurnSeasonTable,4,FALSE)</f>
        <v/>
      </c>
      <c r="AFK46" s="12">
        <f>MIN(MAX(MktMin19plus,AGE45*MktPct19plus),MAX(0,AGS45-CashBuffer))</f>
        <v/>
      </c>
      <c r="AFL46" s="12">
        <f>IF(AFK46&gt;0,MAX(1,ROUND(AFK46/'Sens - CAC &amp; Marketing'!$A$9*AFH46,0)),0)</f>
        <v/>
      </c>
      <c r="AFM46" s="12">
        <f>IF(AFL46&gt;0,ROUND(AFL46*ReferralMix/(1-ReferralMix),0),0)</f>
        <v/>
      </c>
      <c r="AFN46" s="12">
        <f>AFL46+AFM46</f>
        <v/>
      </c>
      <c r="AFO46" s="12">
        <f>ROUND(AFN46*(1-AnnualMix),0)</f>
        <v/>
      </c>
      <c r="AFP46" s="12">
        <f>AFN46-AFO46</f>
        <v/>
      </c>
      <c r="AFQ46" s="12">
        <f>ROUND(AFO46*EssentialMix,0)</f>
        <v/>
      </c>
      <c r="AFR46" s="12">
        <f>AFO46-AFQ46</f>
        <v/>
      </c>
      <c r="AFS46" s="12">
        <f>ROUND(AFP46*EssentialMix,0)</f>
        <v/>
      </c>
      <c r="AFT46" s="12">
        <f>AFP46-AFS46</f>
        <v/>
      </c>
      <c r="AFU46" s="12">
        <f>AFQ46+AFQ45+AFQ44+MAX(0,AFU45-AFQ45-AFQ44)*(1-AFJ46)</f>
        <v/>
      </c>
      <c r="AFV46" s="12">
        <f>AFR46+AFR45+AFR44+MAX(0,AFV45-AFR45-AFR44)*(1-AFJ46)</f>
        <v/>
      </c>
      <c r="AFW46" s="12">
        <f>AFW45+AFS46-AFS34*(AnnualChurn*VLOOKUP(AFF46,ChurnSeasonTable,4,FALSE))*POWER(1-(AnnualChurn*VLOOKUP(AFF46,ChurnSeasonTable,4,FALSE)),0)+AFS22*(AnnualChurn*VLOOKUP(AFF46,ChurnSeasonTable,4,FALSE))*POWER(1-(AnnualChurn*VLOOKUP(AFF46,ChurnSeasonTable,4,FALSE)),1)+AFS10*(AnnualChurn*VLOOKUP(AFF46,ChurnSeasonTable,4,FALSE))*POWER(1-(AnnualChurn*VLOOKUP(AFF46,ChurnSeasonTable,4,FALSE)),2)</f>
        <v/>
      </c>
      <c r="AFX46" s="12">
        <f>AFX45+AFT46-AFT34*(AnnualChurn*VLOOKUP(AFF46,ChurnSeasonTable,4,FALSE))*POWER(1-(AnnualChurn*VLOOKUP(AFF46,ChurnSeasonTable,4,FALSE)),0)+AFT22*(AnnualChurn*VLOOKUP(AFF46,ChurnSeasonTable,4,FALSE))*POWER(1-(AnnualChurn*VLOOKUP(AFF46,ChurnSeasonTable,4,FALSE)),1)+AFT10*(AnnualChurn*VLOOKUP(AFF46,ChurnSeasonTable,4,FALSE))*POWER(1-(AnnualChurn*VLOOKUP(AFF46,ChurnSeasonTable,4,FALSE)),2)</f>
        <v/>
      </c>
      <c r="AFY46" s="12">
        <f>AFU46+AFV46+AFW46+AFX46</f>
        <v/>
      </c>
      <c r="AFZ46" s="9">
        <f>AFU46*PriceEssMonthly*AFI46+AFV46*PricePremMonthly*AFI46+AFW46*PriceEssAnnual*AFI46/12+AFX46*PricePremAnnual*AFI46/12</f>
        <v/>
      </c>
      <c r="AGA46" s="9">
        <f>AFZ46*12</f>
        <v/>
      </c>
      <c r="AGB46" s="12">
        <f>AFU46*PriceEssMonthly*AFI46+AFV46*PricePremMonthly*AFI46</f>
        <v/>
      </c>
      <c r="AGC46" s="12">
        <f>AFS46*PriceEssAnnual*AFI46+AFT46*PricePremAnnual*AFI46</f>
        <v/>
      </c>
      <c r="AGD46" s="12">
        <f>AFS34*POWER(1-(AnnualChurn*VLOOKUP(AFF46,ChurnSeasonTable,4,FALSE)),1)*PriceEssAnnual*AFI46+AFS22*POWER(1-(AnnualChurn*VLOOKUP(AFF46,ChurnSeasonTable,4,FALSE)),2)*PriceEssAnnual*AFI46+AFS10*POWER(1-(AnnualChurn*VLOOKUP(AFF46,ChurnSeasonTable,4,FALSE)),3)*PriceEssAnnual*AFI46+AFT34*POWER(1-(AnnualChurn*VLOOKUP(AFF46,ChurnSeasonTable,4,FALSE)),1)*PricePremAnnual*AFI46+AFT22*POWER(1-(AnnualChurn*VLOOKUP(AFF46,ChurnSeasonTable,4,FALSE)),2)*PricePremAnnual*AFI46+AFT10*POWER(1-(AnnualChurn*VLOOKUP(AFF46,ChurnSeasonTable,4,FALSE)),3)*PricePremAnnual*AFI46</f>
        <v/>
      </c>
      <c r="AGE46" s="9">
        <f>AGB46+AGC46+AGD46</f>
        <v/>
      </c>
      <c r="AGF46" s="12">
        <f>SUM(AGE35:AGE46)</f>
        <v/>
      </c>
      <c r="AGG46" s="12">
        <f>OR(AGG45,AGF46&gt;=VATThreshold)</f>
        <v/>
      </c>
      <c r="AGH46" s="9">
        <f>IF(AGG46,AGE46/(1+VATRate),AGE46)</f>
        <v/>
      </c>
      <c r="AGI46" s="12">
        <f>AGE46-AGH46</f>
        <v/>
      </c>
      <c r="AGJ46" s="12">
        <f>IF(AGG46=0,0,IF(AFF46=1,SUMPRODUCT(--(($AFG$5:$AFG46=$AFG46-1)*($AFF$5:$AFF46&gt;=10)*($AFF$5:$AFF46&lt;=12)),$AGI$5:$AGI46),IF(AFF46=4,SUMPRODUCT(--(($AFG$5:$AFG46=$AFG46)*($AFF$5:$AFF46&gt;=1)*($AFF$5:$AFF46&lt;=3)),$AGI$5:$AGI46),IF(AFF46=7,SUMPRODUCT(--(($AFG$5:$AFG46=$AFG46)*($AFF$5:$AFF46&gt;=4)*($AFF$5:$AFF46&lt;=6)),$AGI$5:$AGI46),IF(AFF46=10,SUMPRODUCT(--(($AFG$5:$AFG46=$AFG46)*($AFF$5:$AFF46&gt;=7)*($AFF$5:$AFF46&lt;=9)),$AGI$5:$AGI46),0)))))</f>
        <v/>
      </c>
      <c r="AGK46" s="12">
        <f>AGK45+AGI46-AGJ46</f>
        <v/>
      </c>
      <c r="AGL46" s="12">
        <f>IF(ProviderDelay&gt;=1,AGH45*ProviderShare,AGH46*ProviderShare)</f>
        <v/>
      </c>
      <c r="AGM46" s="12">
        <f>AGE46*PaymentFee</f>
        <v/>
      </c>
      <c r="AGN46" s="12">
        <f>AFY46*OpsAI</f>
        <v/>
      </c>
      <c r="AGO46" s="12">
        <f>MonthlyFixed</f>
        <v/>
      </c>
      <c r="AGP46" s="12">
        <f>AFM46*ReferralReward</f>
        <v/>
      </c>
      <c r="AGQ46" s="12">
        <f>AFK46</f>
        <v/>
      </c>
      <c r="AGR46" s="9">
        <f>AGH46-AGL46-AGM46-AGN46-AGO46-AGP46-AGQ46</f>
        <v/>
      </c>
      <c r="AGS46" s="9">
        <f>AGS45+AGE46-(AGL46+AGM46+AGN46+AGO46+AGP46+AGQ46+AGJ46)</f>
        <v/>
      </c>
      <c r="AGT46" s="12">
        <f>IF(AFY46&gt;0,AFZ46/AFY46,0)</f>
        <v/>
      </c>
      <c r="AGU46" s="11">
        <f>IF(AFY45&gt;0,MAX(0,(AFY45+AFN46-AFY46)/AFY45),0)</f>
        <v/>
      </c>
      <c r="AGW46" s="12" t="n">
        <v>42</v>
      </c>
      <c r="AGX46" s="12">
        <f>MOD(AGW46-1+LaunchMonth-1,12)+1</f>
        <v/>
      </c>
      <c r="AGY46" s="12">
        <f>INT((AGW46-1+LaunchMonth-1)/12)+1</f>
        <v/>
      </c>
      <c r="AGZ46" s="12">
        <f>VLOOKUP(AGX46,SeasonTable,2,FALSE)</f>
        <v/>
      </c>
      <c r="AHA46" s="12">
        <f>(1+InflationRate)^INT((AGW46-1)/12)</f>
        <v/>
      </c>
      <c r="AHB46" s="11">
        <f>MonthlyChurn*VLOOKUP(AGX46,ChurnSeasonTable,4,FALSE)</f>
        <v/>
      </c>
      <c r="AHC46" s="12">
        <f>MIN(MAX(MktMin19plus,AHW45*MktPct19plus),MAX(0,AIK45-CashBuffer))</f>
        <v/>
      </c>
      <c r="AHD46" s="12">
        <f>IF(AHC46&gt;0,MAX(1,ROUND(AHC46/'Sens - CAC &amp; Marketing'!$A$10*AGZ46,0)),0)</f>
        <v/>
      </c>
      <c r="AHE46" s="12">
        <f>IF(AHD46&gt;0,ROUND(AHD46*ReferralMix/(1-ReferralMix),0),0)</f>
        <v/>
      </c>
      <c r="AHF46" s="12">
        <f>AHD46+AHE46</f>
        <v/>
      </c>
      <c r="AHG46" s="12">
        <f>ROUND(AHF46*(1-AnnualMix),0)</f>
        <v/>
      </c>
      <c r="AHH46" s="12">
        <f>AHF46-AHG46</f>
        <v/>
      </c>
      <c r="AHI46" s="12">
        <f>ROUND(AHG46*EssentialMix,0)</f>
        <v/>
      </c>
      <c r="AHJ46" s="12">
        <f>AHG46-AHI46</f>
        <v/>
      </c>
      <c r="AHK46" s="12">
        <f>ROUND(AHH46*EssentialMix,0)</f>
        <v/>
      </c>
      <c r="AHL46" s="12">
        <f>AHH46-AHK46</f>
        <v/>
      </c>
      <c r="AHM46" s="12">
        <f>AHI46+AHI45+AHI44+MAX(0,AHM45-AHI45-AHI44)*(1-AHB46)</f>
        <v/>
      </c>
      <c r="AHN46" s="12">
        <f>AHJ46+AHJ45+AHJ44+MAX(0,AHN45-AHJ45-AHJ44)*(1-AHB46)</f>
        <v/>
      </c>
      <c r="AHO46" s="12">
        <f>AHO45+AHK46-AHK34*(AnnualChurn*VLOOKUP(AGX46,ChurnSeasonTable,4,FALSE))*POWER(1-(AnnualChurn*VLOOKUP(AGX46,ChurnSeasonTable,4,FALSE)),0)+AHK22*(AnnualChurn*VLOOKUP(AGX46,ChurnSeasonTable,4,FALSE))*POWER(1-(AnnualChurn*VLOOKUP(AGX46,ChurnSeasonTable,4,FALSE)),1)+AHK10*(AnnualChurn*VLOOKUP(AGX46,ChurnSeasonTable,4,FALSE))*POWER(1-(AnnualChurn*VLOOKUP(AGX46,ChurnSeasonTable,4,FALSE)),2)</f>
        <v/>
      </c>
      <c r="AHP46" s="12">
        <f>AHP45+AHL46-AHL34*(AnnualChurn*VLOOKUP(AGX46,ChurnSeasonTable,4,FALSE))*POWER(1-(AnnualChurn*VLOOKUP(AGX46,ChurnSeasonTable,4,FALSE)),0)+AHL22*(AnnualChurn*VLOOKUP(AGX46,ChurnSeasonTable,4,FALSE))*POWER(1-(AnnualChurn*VLOOKUP(AGX46,ChurnSeasonTable,4,FALSE)),1)+AHL10*(AnnualChurn*VLOOKUP(AGX46,ChurnSeasonTable,4,FALSE))*POWER(1-(AnnualChurn*VLOOKUP(AGX46,ChurnSeasonTable,4,FALSE)),2)</f>
        <v/>
      </c>
      <c r="AHQ46" s="12">
        <f>AHM46+AHN46+AHO46+AHP46</f>
        <v/>
      </c>
      <c r="AHR46" s="9">
        <f>AHM46*PriceEssMonthly*AHA46+AHN46*PricePremMonthly*AHA46+AHO46*PriceEssAnnual*AHA46/12+AHP46*PricePremAnnual*AHA46/12</f>
        <v/>
      </c>
      <c r="AHS46" s="9">
        <f>AHR46*12</f>
        <v/>
      </c>
      <c r="AHT46" s="12">
        <f>AHM46*PriceEssMonthly*AHA46+AHN46*PricePremMonthly*AHA46</f>
        <v/>
      </c>
      <c r="AHU46" s="12">
        <f>AHK46*PriceEssAnnual*AHA46+AHL46*PricePremAnnual*AHA46</f>
        <v/>
      </c>
      <c r="AHV46" s="12">
        <f>AHK34*POWER(1-(AnnualChurn*VLOOKUP(AGX46,ChurnSeasonTable,4,FALSE)),1)*PriceEssAnnual*AHA46+AHK22*POWER(1-(AnnualChurn*VLOOKUP(AGX46,ChurnSeasonTable,4,FALSE)),2)*PriceEssAnnual*AHA46+AHK10*POWER(1-(AnnualChurn*VLOOKUP(AGX46,ChurnSeasonTable,4,FALSE)),3)*PriceEssAnnual*AHA46+AHL34*POWER(1-(AnnualChurn*VLOOKUP(AGX46,ChurnSeasonTable,4,FALSE)),1)*PricePremAnnual*AHA46+AHL22*POWER(1-(AnnualChurn*VLOOKUP(AGX46,ChurnSeasonTable,4,FALSE)),2)*PricePremAnnual*AHA46+AHL10*POWER(1-(AnnualChurn*VLOOKUP(AGX46,ChurnSeasonTable,4,FALSE)),3)*PricePremAnnual*AHA46</f>
        <v/>
      </c>
      <c r="AHW46" s="9">
        <f>AHT46+AHU46+AHV46</f>
        <v/>
      </c>
      <c r="AHX46" s="12">
        <f>SUM(AHW35:AHW46)</f>
        <v/>
      </c>
      <c r="AHY46" s="12">
        <f>OR(AHY45,AHX46&gt;=VATThreshold)</f>
        <v/>
      </c>
      <c r="AHZ46" s="9">
        <f>IF(AHY46,AHW46/(1+VATRate),AHW46)</f>
        <v/>
      </c>
      <c r="AIA46" s="12">
        <f>AHW46-AHZ46</f>
        <v/>
      </c>
      <c r="AIB46" s="12">
        <f>IF(AHY46=0,0,IF(AGX46=1,SUMPRODUCT(--(($AGY$5:$AGY46=$AGY46-1)*($AGX$5:$AGX46&gt;=10)*($AGX$5:$AGX46&lt;=12)),$AIA$5:$AIA46),IF(AGX46=4,SUMPRODUCT(--(($AGY$5:$AGY46=$AGY46)*($AGX$5:$AGX46&gt;=1)*($AGX$5:$AGX46&lt;=3)),$AIA$5:$AIA46),IF(AGX46=7,SUMPRODUCT(--(($AGY$5:$AGY46=$AGY46)*($AGX$5:$AGX46&gt;=4)*($AGX$5:$AGX46&lt;=6)),$AIA$5:$AIA46),IF(AGX46=10,SUMPRODUCT(--(($AGY$5:$AGY46=$AGY46)*($AGX$5:$AGX46&gt;=7)*($AGX$5:$AGX46&lt;=9)),$AIA$5:$AIA46),0)))))</f>
        <v/>
      </c>
      <c r="AIC46" s="12">
        <f>AIC45+AIA46-AIB46</f>
        <v/>
      </c>
      <c r="AID46" s="12">
        <f>IF(ProviderDelay&gt;=1,AHZ45*ProviderShare,AHZ46*ProviderShare)</f>
        <v/>
      </c>
      <c r="AIE46" s="12">
        <f>AHW46*PaymentFee</f>
        <v/>
      </c>
      <c r="AIF46" s="12">
        <f>AHQ46*OpsAI</f>
        <v/>
      </c>
      <c r="AIG46" s="12">
        <f>MonthlyFixed</f>
        <v/>
      </c>
      <c r="AIH46" s="12">
        <f>AHE46*ReferralReward</f>
        <v/>
      </c>
      <c r="AII46" s="12">
        <f>AHC46</f>
        <v/>
      </c>
      <c r="AIJ46" s="9">
        <f>AHZ46-AID46-AIE46-AIF46-AIG46-AIH46-AII46</f>
        <v/>
      </c>
      <c r="AIK46" s="9">
        <f>AIK45+AHW46-(AID46+AIE46+AIF46+AIG46+AIH46+AII46+AIB46)</f>
        <v/>
      </c>
      <c r="AIL46" s="12">
        <f>IF(AHQ46&gt;0,AHR46/AHQ46,0)</f>
        <v/>
      </c>
      <c r="AIM46" s="11">
        <f>IF(AHQ45&gt;0,MAX(0,(AHQ45+AHF46-AHQ46)/AHQ45),0)</f>
        <v/>
      </c>
      <c r="AIO46" s="12" t="n">
        <v>42</v>
      </c>
      <c r="AIP46" s="12">
        <f>MOD(AIO46-1+LaunchMonth-1,12)+1</f>
        <v/>
      </c>
      <c r="AIQ46" s="12">
        <f>INT((AIO46-1+LaunchMonth-1)/12)+1</f>
        <v/>
      </c>
      <c r="AIR46" s="12">
        <f>VLOOKUP(AIP46,SeasonTable,2,FALSE)</f>
        <v/>
      </c>
      <c r="AIS46" s="12">
        <f>(1+InflationRate)^INT((AIO46-1)/12)</f>
        <v/>
      </c>
      <c r="AIT46" s="11">
        <f>MonthlyChurn*VLOOKUP(AIP46,ChurnSeasonTable,4,FALSE)</f>
        <v/>
      </c>
      <c r="AIU46" s="12">
        <f>MIN(MAX(MktMin19plus,AJO45*MktPct19plus),MAX(0,AKC45-CashBuffer))</f>
        <v/>
      </c>
      <c r="AIV46" s="12">
        <f>IF(AIU46&gt;0,MAX(1,ROUND(AIU46/'Sens - CAC &amp; Marketing'!$A$11*AIR46,0)),0)</f>
        <v/>
      </c>
      <c r="AIW46" s="12">
        <f>IF(AIV46&gt;0,ROUND(AIV46*ReferralMix/(1-ReferralMix),0),0)</f>
        <v/>
      </c>
      <c r="AIX46" s="12">
        <f>AIV46+AIW46</f>
        <v/>
      </c>
      <c r="AIY46" s="12">
        <f>ROUND(AIX46*(1-AnnualMix),0)</f>
        <v/>
      </c>
      <c r="AIZ46" s="12">
        <f>AIX46-AIY46</f>
        <v/>
      </c>
      <c r="AJA46" s="12">
        <f>ROUND(AIY46*EssentialMix,0)</f>
        <v/>
      </c>
      <c r="AJB46" s="12">
        <f>AIY46-AJA46</f>
        <v/>
      </c>
      <c r="AJC46" s="12">
        <f>ROUND(AIZ46*EssentialMix,0)</f>
        <v/>
      </c>
      <c r="AJD46" s="12">
        <f>AIZ46-AJC46</f>
        <v/>
      </c>
      <c r="AJE46" s="12">
        <f>AJA46+AJA45+AJA44+MAX(0,AJE45-AJA45-AJA44)*(1-AIT46)</f>
        <v/>
      </c>
      <c r="AJF46" s="12">
        <f>AJB46+AJB45+AJB44+MAX(0,AJF45-AJB45-AJB44)*(1-AIT46)</f>
        <v/>
      </c>
      <c r="AJG46" s="12">
        <f>AJG45+AJC46-AJC34*(AnnualChurn*VLOOKUP(AIP46,ChurnSeasonTable,4,FALSE))*POWER(1-(AnnualChurn*VLOOKUP(AIP46,ChurnSeasonTable,4,FALSE)),0)+AJC22*(AnnualChurn*VLOOKUP(AIP46,ChurnSeasonTable,4,FALSE))*POWER(1-(AnnualChurn*VLOOKUP(AIP46,ChurnSeasonTable,4,FALSE)),1)+AJC10*(AnnualChurn*VLOOKUP(AIP46,ChurnSeasonTable,4,FALSE))*POWER(1-(AnnualChurn*VLOOKUP(AIP46,ChurnSeasonTable,4,FALSE)),2)</f>
        <v/>
      </c>
      <c r="AJH46" s="12">
        <f>AJH45+AJD46-AJD34*(AnnualChurn*VLOOKUP(AIP46,ChurnSeasonTable,4,FALSE))*POWER(1-(AnnualChurn*VLOOKUP(AIP46,ChurnSeasonTable,4,FALSE)),0)+AJD22*(AnnualChurn*VLOOKUP(AIP46,ChurnSeasonTable,4,FALSE))*POWER(1-(AnnualChurn*VLOOKUP(AIP46,ChurnSeasonTable,4,FALSE)),1)+AJD10*(AnnualChurn*VLOOKUP(AIP46,ChurnSeasonTable,4,FALSE))*POWER(1-(AnnualChurn*VLOOKUP(AIP46,ChurnSeasonTable,4,FALSE)),2)</f>
        <v/>
      </c>
      <c r="AJI46" s="12">
        <f>AJE46+AJF46+AJG46+AJH46</f>
        <v/>
      </c>
      <c r="AJJ46" s="9">
        <f>AJE46*PriceEssMonthly*AIS46+AJF46*PricePremMonthly*AIS46+AJG46*PriceEssAnnual*AIS46/12+AJH46*PricePremAnnual*AIS46/12</f>
        <v/>
      </c>
      <c r="AJK46" s="9">
        <f>AJJ46*12</f>
        <v/>
      </c>
      <c r="AJL46" s="12">
        <f>AJE46*PriceEssMonthly*AIS46+AJF46*PricePremMonthly*AIS46</f>
        <v/>
      </c>
      <c r="AJM46" s="12">
        <f>AJC46*PriceEssAnnual*AIS46+AJD46*PricePremAnnual*AIS46</f>
        <v/>
      </c>
      <c r="AJN46" s="12">
        <f>AJC34*POWER(1-(AnnualChurn*VLOOKUP(AIP46,ChurnSeasonTable,4,FALSE)),1)*PriceEssAnnual*AIS46+AJC22*POWER(1-(AnnualChurn*VLOOKUP(AIP46,ChurnSeasonTable,4,FALSE)),2)*PriceEssAnnual*AIS46+AJC10*POWER(1-(AnnualChurn*VLOOKUP(AIP46,ChurnSeasonTable,4,FALSE)),3)*PriceEssAnnual*AIS46+AJD34*POWER(1-(AnnualChurn*VLOOKUP(AIP46,ChurnSeasonTable,4,FALSE)),1)*PricePremAnnual*AIS46+AJD22*POWER(1-(AnnualChurn*VLOOKUP(AIP46,ChurnSeasonTable,4,FALSE)),2)*PricePremAnnual*AIS46+AJD10*POWER(1-(AnnualChurn*VLOOKUP(AIP46,ChurnSeasonTable,4,FALSE)),3)*PricePremAnnual*AIS46</f>
        <v/>
      </c>
      <c r="AJO46" s="9">
        <f>AJL46+AJM46+AJN46</f>
        <v/>
      </c>
      <c r="AJP46" s="12">
        <f>SUM(AJO35:AJO46)</f>
        <v/>
      </c>
      <c r="AJQ46" s="12">
        <f>OR(AJQ45,AJP46&gt;=VATThreshold)</f>
        <v/>
      </c>
      <c r="AJR46" s="9">
        <f>IF(AJQ46,AJO46/(1+VATRate),AJO46)</f>
        <v/>
      </c>
      <c r="AJS46" s="12">
        <f>AJO46-AJR46</f>
        <v/>
      </c>
      <c r="AJT46" s="12">
        <f>IF(AJQ46=0,0,IF(AIP46=1,SUMPRODUCT(--(($AIQ$5:$AIQ46=$AIQ46-1)*($AIP$5:$AIP46&gt;=10)*($AIP$5:$AIP46&lt;=12)),$AJS$5:$AJS46),IF(AIP46=4,SUMPRODUCT(--(($AIQ$5:$AIQ46=$AIQ46)*($AIP$5:$AIP46&gt;=1)*($AIP$5:$AIP46&lt;=3)),$AJS$5:$AJS46),IF(AIP46=7,SUMPRODUCT(--(($AIQ$5:$AIQ46=$AIQ46)*($AIP$5:$AIP46&gt;=4)*($AIP$5:$AIP46&lt;=6)),$AJS$5:$AJS46),IF(AIP46=10,SUMPRODUCT(--(($AIQ$5:$AIQ46=$AIQ46)*($AIP$5:$AIP46&gt;=7)*($AIP$5:$AIP46&lt;=9)),$AJS$5:$AJS46),0)))))</f>
        <v/>
      </c>
      <c r="AJU46" s="12">
        <f>AJU45+AJS46-AJT46</f>
        <v/>
      </c>
      <c r="AJV46" s="12">
        <f>IF(ProviderDelay&gt;=1,AJR45*ProviderShare,AJR46*ProviderShare)</f>
        <v/>
      </c>
      <c r="AJW46" s="12">
        <f>AJO46*PaymentFee</f>
        <v/>
      </c>
      <c r="AJX46" s="12">
        <f>AJI46*OpsAI</f>
        <v/>
      </c>
      <c r="AJY46" s="12">
        <f>MonthlyFixed</f>
        <v/>
      </c>
      <c r="AJZ46" s="12">
        <f>AIW46*ReferralReward</f>
        <v/>
      </c>
      <c r="AKA46" s="12">
        <f>AIU46</f>
        <v/>
      </c>
      <c r="AKB46" s="9">
        <f>AJR46-AJV46-AJW46-AJX46-AJY46-AJZ46-AKA46</f>
        <v/>
      </c>
      <c r="AKC46" s="9">
        <f>AKC45+AJO46-(AJV46+AJW46+AJX46+AJY46+AJZ46+AKA46+AJT46)</f>
        <v/>
      </c>
      <c r="AKD46" s="12">
        <f>IF(AJI46&gt;0,AJJ46/AJI46,0)</f>
        <v/>
      </c>
      <c r="AKE46" s="11">
        <f>IF(AJI45&gt;0,MAX(0,(AJI45+AIX46-AJI46)/AJI45),0)</f>
        <v/>
      </c>
      <c r="AKG46" s="12" t="n">
        <v>42</v>
      </c>
      <c r="AKH46" s="12">
        <f>MOD(AKG46-1+LaunchMonth-1,12)+1</f>
        <v/>
      </c>
      <c r="AKI46" s="12">
        <f>INT((AKG46-1+LaunchMonth-1)/12)+1</f>
        <v/>
      </c>
      <c r="AKJ46" s="12">
        <f>VLOOKUP(AKH46,SeasonTable,2,FALSE)</f>
        <v/>
      </c>
      <c r="AKK46" s="12">
        <f>(1+InflationRate)^INT((AKG46-1)/12)</f>
        <v/>
      </c>
      <c r="AKL46" s="11">
        <f>MonthlyChurn*VLOOKUP(AKH46,ChurnSeasonTable,4,FALSE)</f>
        <v/>
      </c>
      <c r="AKM46" s="12">
        <f>MIN(MAX(MktMin19plus,ALG45*MktPct19plus),MAX(0,ALU45-CashBuffer))</f>
        <v/>
      </c>
      <c r="AKN46" s="12">
        <f>IF(AKM46&gt;0,MAX(1,ROUND(AKM46/'Sens - CAC &amp; Marketing'!$A$12*AKJ46,0)),0)</f>
        <v/>
      </c>
      <c r="AKO46" s="12">
        <f>IF(AKN46&gt;0,ROUND(AKN46*ReferralMix/(1-ReferralMix),0),0)</f>
        <v/>
      </c>
      <c r="AKP46" s="12">
        <f>AKN46+AKO46</f>
        <v/>
      </c>
      <c r="AKQ46" s="12">
        <f>ROUND(AKP46*(1-AnnualMix),0)</f>
        <v/>
      </c>
      <c r="AKR46" s="12">
        <f>AKP46-AKQ46</f>
        <v/>
      </c>
      <c r="AKS46" s="12">
        <f>ROUND(AKQ46*EssentialMix,0)</f>
        <v/>
      </c>
      <c r="AKT46" s="12">
        <f>AKQ46-AKS46</f>
        <v/>
      </c>
      <c r="AKU46" s="12">
        <f>ROUND(AKR46*EssentialMix,0)</f>
        <v/>
      </c>
      <c r="AKV46" s="12">
        <f>AKR46-AKU46</f>
        <v/>
      </c>
      <c r="AKW46" s="12">
        <f>AKS46+AKS45+AKS44+MAX(0,AKW45-AKS45-AKS44)*(1-AKL46)</f>
        <v/>
      </c>
      <c r="AKX46" s="12">
        <f>AKT46+AKT45+AKT44+MAX(0,AKX45-AKT45-AKT44)*(1-AKL46)</f>
        <v/>
      </c>
      <c r="AKY46" s="12">
        <f>AKY45+AKU46-AKU34*(AnnualChurn*VLOOKUP(AKH46,ChurnSeasonTable,4,FALSE))*POWER(1-(AnnualChurn*VLOOKUP(AKH46,ChurnSeasonTable,4,FALSE)),0)+AKU22*(AnnualChurn*VLOOKUP(AKH46,ChurnSeasonTable,4,FALSE))*POWER(1-(AnnualChurn*VLOOKUP(AKH46,ChurnSeasonTable,4,FALSE)),1)+AKU10*(AnnualChurn*VLOOKUP(AKH46,ChurnSeasonTable,4,FALSE))*POWER(1-(AnnualChurn*VLOOKUP(AKH46,ChurnSeasonTable,4,FALSE)),2)</f>
        <v/>
      </c>
      <c r="AKZ46" s="12">
        <f>AKZ45+AKV46-AKV34*(AnnualChurn*VLOOKUP(AKH46,ChurnSeasonTable,4,FALSE))*POWER(1-(AnnualChurn*VLOOKUP(AKH46,ChurnSeasonTable,4,FALSE)),0)+AKV22*(AnnualChurn*VLOOKUP(AKH46,ChurnSeasonTable,4,FALSE))*POWER(1-(AnnualChurn*VLOOKUP(AKH46,ChurnSeasonTable,4,FALSE)),1)+AKV10*(AnnualChurn*VLOOKUP(AKH46,ChurnSeasonTable,4,FALSE))*POWER(1-(AnnualChurn*VLOOKUP(AKH46,ChurnSeasonTable,4,FALSE)),2)</f>
        <v/>
      </c>
      <c r="ALA46" s="12">
        <f>AKW46+AKX46+AKY46+AKZ46</f>
        <v/>
      </c>
      <c r="ALB46" s="9">
        <f>AKW46*PriceEssMonthly*AKK46+AKX46*PricePremMonthly*AKK46+AKY46*PriceEssAnnual*AKK46/12+AKZ46*PricePremAnnual*AKK46/12</f>
        <v/>
      </c>
      <c r="ALC46" s="9">
        <f>ALB46*12</f>
        <v/>
      </c>
      <c r="ALD46" s="12">
        <f>AKW46*PriceEssMonthly*AKK46+AKX46*PricePremMonthly*AKK46</f>
        <v/>
      </c>
      <c r="ALE46" s="12">
        <f>AKU46*PriceEssAnnual*AKK46+AKV46*PricePremAnnual*AKK46</f>
        <v/>
      </c>
      <c r="ALF46" s="12">
        <f>AKU34*POWER(1-(AnnualChurn*VLOOKUP(AKH46,ChurnSeasonTable,4,FALSE)),1)*PriceEssAnnual*AKK46+AKU22*POWER(1-(AnnualChurn*VLOOKUP(AKH46,ChurnSeasonTable,4,FALSE)),2)*PriceEssAnnual*AKK46+AKU10*POWER(1-(AnnualChurn*VLOOKUP(AKH46,ChurnSeasonTable,4,FALSE)),3)*PriceEssAnnual*AKK46+AKV34*POWER(1-(AnnualChurn*VLOOKUP(AKH46,ChurnSeasonTable,4,FALSE)),1)*PricePremAnnual*AKK46+AKV22*POWER(1-(AnnualChurn*VLOOKUP(AKH46,ChurnSeasonTable,4,FALSE)),2)*PricePremAnnual*AKK46+AKV10*POWER(1-(AnnualChurn*VLOOKUP(AKH46,ChurnSeasonTable,4,FALSE)),3)*PricePremAnnual*AKK46</f>
        <v/>
      </c>
      <c r="ALG46" s="9">
        <f>ALD46+ALE46+ALF46</f>
        <v/>
      </c>
      <c r="ALH46" s="12">
        <f>SUM(ALG35:ALG46)</f>
        <v/>
      </c>
      <c r="ALI46" s="12">
        <f>OR(ALI45,ALH46&gt;=VATThreshold)</f>
        <v/>
      </c>
      <c r="ALJ46" s="9">
        <f>IF(ALI46,ALG46/(1+VATRate),ALG46)</f>
        <v/>
      </c>
      <c r="ALK46" s="12">
        <f>ALG46-ALJ46</f>
        <v/>
      </c>
      <c r="ALL46" s="12">
        <f>IF(ALI46=0,0,IF(AKH46=1,SUMPRODUCT(--(($AKI$5:$AKI46=$AKI46-1)*($AKH$5:$AKH46&gt;=10)*($AKH$5:$AKH46&lt;=12)),$ALK$5:$ALK46),IF(AKH46=4,SUMPRODUCT(--(($AKI$5:$AKI46=$AKI46)*($AKH$5:$AKH46&gt;=1)*($AKH$5:$AKH46&lt;=3)),$ALK$5:$ALK46),IF(AKH46=7,SUMPRODUCT(--(($AKI$5:$AKI46=$AKI46)*($AKH$5:$AKH46&gt;=4)*($AKH$5:$AKH46&lt;=6)),$ALK$5:$ALK46),IF(AKH46=10,SUMPRODUCT(--(($AKI$5:$AKI46=$AKI46)*($AKH$5:$AKH46&gt;=7)*($AKH$5:$AKH46&lt;=9)),$ALK$5:$ALK46),0)))))</f>
        <v/>
      </c>
      <c r="ALM46" s="12">
        <f>ALM45+ALK46-ALL46</f>
        <v/>
      </c>
      <c r="ALN46" s="12">
        <f>IF(ProviderDelay&gt;=1,ALJ45*ProviderShare,ALJ46*ProviderShare)</f>
        <v/>
      </c>
      <c r="ALO46" s="12">
        <f>ALG46*PaymentFee</f>
        <v/>
      </c>
      <c r="ALP46" s="12">
        <f>ALA46*OpsAI</f>
        <v/>
      </c>
      <c r="ALQ46" s="12">
        <f>MonthlyFixed</f>
        <v/>
      </c>
      <c r="ALR46" s="12">
        <f>AKO46*ReferralReward</f>
        <v/>
      </c>
      <c r="ALS46" s="12">
        <f>AKM46</f>
        <v/>
      </c>
      <c r="ALT46" s="9">
        <f>ALJ46-ALN46-ALO46-ALP46-ALQ46-ALR46-ALS46</f>
        <v/>
      </c>
      <c r="ALU46" s="9">
        <f>ALU45+ALG46-(ALN46+ALO46+ALP46+ALQ46+ALR46+ALS46+ALL46)</f>
        <v/>
      </c>
      <c r="ALV46" s="12">
        <f>IF(ALA46&gt;0,ALB46/ALA46,0)</f>
        <v/>
      </c>
      <c r="ALW46" s="11">
        <f>IF(ALA45&gt;0,MAX(0,(ALA45+AKP46-ALA46)/ALA45),0)</f>
        <v/>
      </c>
      <c r="ALY46" s="12" t="n">
        <v>42</v>
      </c>
      <c r="ALZ46" s="12">
        <f>MOD(ALY46-1+LaunchMonth-1,12)+1</f>
        <v/>
      </c>
      <c r="AMA46" s="12">
        <f>INT((ALY46-1+LaunchMonth-1)/12)+1</f>
        <v/>
      </c>
      <c r="AMB46" s="12">
        <f>VLOOKUP(ALZ46,SeasonTable,2,FALSE)</f>
        <v/>
      </c>
      <c r="AMC46" s="12">
        <f>(1+InflationRate)^INT((ALY46-1)/12)</f>
        <v/>
      </c>
      <c r="AMD46" s="11">
        <f>MonthlyChurn*VLOOKUP(ALZ46,ChurnSeasonTable,4,FALSE)</f>
        <v/>
      </c>
      <c r="AME46" s="12">
        <f>MIN(MAX(MktMin19plus,AMY45*MktPct19plus),MAX(0,ANM45-CashBuffer))</f>
        <v/>
      </c>
      <c r="AMF46" s="12">
        <f>IF(AME46&gt;0,MAX(1,ROUND(AME46/'Sens - CAC &amp; Marketing'!$A$13*AMB46,0)),0)</f>
        <v/>
      </c>
      <c r="AMG46" s="12">
        <f>IF(AMF46&gt;0,ROUND(AMF46*ReferralMix/(1-ReferralMix),0),0)</f>
        <v/>
      </c>
      <c r="AMH46" s="12">
        <f>AMF46+AMG46</f>
        <v/>
      </c>
      <c r="AMI46" s="12">
        <f>ROUND(AMH46*(1-AnnualMix),0)</f>
        <v/>
      </c>
      <c r="AMJ46" s="12">
        <f>AMH46-AMI46</f>
        <v/>
      </c>
      <c r="AMK46" s="12">
        <f>ROUND(AMI46*EssentialMix,0)</f>
        <v/>
      </c>
      <c r="AML46" s="12">
        <f>AMI46-AMK46</f>
        <v/>
      </c>
      <c r="AMM46" s="12">
        <f>ROUND(AMJ46*EssentialMix,0)</f>
        <v/>
      </c>
      <c r="AMN46" s="12">
        <f>AMJ46-AMM46</f>
        <v/>
      </c>
      <c r="AMO46" s="12">
        <f>AMK46+AMK45+AMK44+MAX(0,AMO45-AMK45-AMK44)*(1-AMD46)</f>
        <v/>
      </c>
      <c r="AMP46" s="12">
        <f>AML46+AML45+AML44+MAX(0,AMP45-AML45-AML44)*(1-AMD46)</f>
        <v/>
      </c>
      <c r="AMQ46" s="12">
        <f>AMQ45+AMM46-AMM34*(AnnualChurn*VLOOKUP(ALZ46,ChurnSeasonTable,4,FALSE))*POWER(1-(AnnualChurn*VLOOKUP(ALZ46,ChurnSeasonTable,4,FALSE)),0)+AMM22*(AnnualChurn*VLOOKUP(ALZ46,ChurnSeasonTable,4,FALSE))*POWER(1-(AnnualChurn*VLOOKUP(ALZ46,ChurnSeasonTable,4,FALSE)),1)+AMM10*(AnnualChurn*VLOOKUP(ALZ46,ChurnSeasonTable,4,FALSE))*POWER(1-(AnnualChurn*VLOOKUP(ALZ46,ChurnSeasonTable,4,FALSE)),2)</f>
        <v/>
      </c>
      <c r="AMR46" s="12">
        <f>AMR45+AMN46-AMN34*(AnnualChurn*VLOOKUP(ALZ46,ChurnSeasonTable,4,FALSE))*POWER(1-(AnnualChurn*VLOOKUP(ALZ46,ChurnSeasonTable,4,FALSE)),0)+AMN22*(AnnualChurn*VLOOKUP(ALZ46,ChurnSeasonTable,4,FALSE))*POWER(1-(AnnualChurn*VLOOKUP(ALZ46,ChurnSeasonTable,4,FALSE)),1)+AMN10*(AnnualChurn*VLOOKUP(ALZ46,ChurnSeasonTable,4,FALSE))*POWER(1-(AnnualChurn*VLOOKUP(ALZ46,ChurnSeasonTable,4,FALSE)),2)</f>
        <v/>
      </c>
      <c r="AMS46" s="12">
        <f>AMO46+AMP46+AMQ46+AMR46</f>
        <v/>
      </c>
      <c r="AMT46" s="9">
        <f>AMO46*PriceEssMonthly*AMC46+AMP46*PricePremMonthly*AMC46+AMQ46*PriceEssAnnual*AMC46/12+AMR46*PricePremAnnual*AMC46/12</f>
        <v/>
      </c>
      <c r="AMU46" s="9">
        <f>AMT46*12</f>
        <v/>
      </c>
      <c r="AMV46" s="12">
        <f>AMO46*PriceEssMonthly*AMC46+AMP46*PricePremMonthly*AMC46</f>
        <v/>
      </c>
      <c r="AMW46" s="12">
        <f>AMM46*PriceEssAnnual*AMC46+AMN46*PricePremAnnual*AMC46</f>
        <v/>
      </c>
      <c r="AMX46" s="12">
        <f>AMM34*POWER(1-(AnnualChurn*VLOOKUP(ALZ46,ChurnSeasonTable,4,FALSE)),1)*PriceEssAnnual*AMC46+AMM22*POWER(1-(AnnualChurn*VLOOKUP(ALZ46,ChurnSeasonTable,4,FALSE)),2)*PriceEssAnnual*AMC46+AMM10*POWER(1-(AnnualChurn*VLOOKUP(ALZ46,ChurnSeasonTable,4,FALSE)),3)*PriceEssAnnual*AMC46+AMN34*POWER(1-(AnnualChurn*VLOOKUP(ALZ46,ChurnSeasonTable,4,FALSE)),1)*PricePremAnnual*AMC46+AMN22*POWER(1-(AnnualChurn*VLOOKUP(ALZ46,ChurnSeasonTable,4,FALSE)),2)*PricePremAnnual*AMC46+AMN10*POWER(1-(AnnualChurn*VLOOKUP(ALZ46,ChurnSeasonTable,4,FALSE)),3)*PricePremAnnual*AMC46</f>
        <v/>
      </c>
      <c r="AMY46" s="9">
        <f>AMV46+AMW46+AMX46</f>
        <v/>
      </c>
      <c r="AMZ46" s="12">
        <f>SUM(AMY35:AMY46)</f>
        <v/>
      </c>
      <c r="ANA46" s="12">
        <f>OR(ANA45,AMZ46&gt;=VATThreshold)</f>
        <v/>
      </c>
      <c r="ANB46" s="9">
        <f>IF(ANA46,AMY46/(1+VATRate),AMY46)</f>
        <v/>
      </c>
      <c r="ANC46" s="12">
        <f>AMY46-ANB46</f>
        <v/>
      </c>
      <c r="AND46" s="12">
        <f>IF(ANA46=0,0,IF(ALZ46=1,SUMPRODUCT(--(($AMA$5:$AMA46=$AMA46-1)*($ALZ$5:$ALZ46&gt;=10)*($ALZ$5:$ALZ46&lt;=12)),$ANC$5:$ANC46),IF(ALZ46=4,SUMPRODUCT(--(($AMA$5:$AMA46=$AMA46)*($ALZ$5:$ALZ46&gt;=1)*($ALZ$5:$ALZ46&lt;=3)),$ANC$5:$ANC46),IF(ALZ46=7,SUMPRODUCT(--(($AMA$5:$AMA46=$AMA46)*($ALZ$5:$ALZ46&gt;=4)*($ALZ$5:$ALZ46&lt;=6)),$ANC$5:$ANC46),IF(ALZ46=10,SUMPRODUCT(--(($AMA$5:$AMA46=$AMA46)*($ALZ$5:$ALZ46&gt;=7)*($ALZ$5:$ALZ46&lt;=9)),$ANC$5:$ANC46),0)))))</f>
        <v/>
      </c>
      <c r="ANE46" s="12">
        <f>ANE45+ANC46-AND46</f>
        <v/>
      </c>
      <c r="ANF46" s="12">
        <f>IF(ProviderDelay&gt;=1,ANB45*ProviderShare,ANB46*ProviderShare)</f>
        <v/>
      </c>
      <c r="ANG46" s="12">
        <f>AMY46*PaymentFee</f>
        <v/>
      </c>
      <c r="ANH46" s="12">
        <f>AMS46*OpsAI</f>
        <v/>
      </c>
      <c r="ANI46" s="12">
        <f>MonthlyFixed</f>
        <v/>
      </c>
      <c r="ANJ46" s="12">
        <f>AMG46*ReferralReward</f>
        <v/>
      </c>
      <c r="ANK46" s="12">
        <f>AME46</f>
        <v/>
      </c>
      <c r="ANL46" s="9">
        <f>ANB46-ANF46-ANG46-ANH46-ANI46-ANJ46-ANK46</f>
        <v/>
      </c>
      <c r="ANM46" s="9">
        <f>ANM45+AMY46-(ANF46+ANG46+ANH46+ANI46+ANJ46+ANK46+AND46)</f>
        <v/>
      </c>
      <c r="ANN46" s="12">
        <f>IF(AMS46&gt;0,AMT46/AMS46,0)</f>
        <v/>
      </c>
      <c r="ANO46" s="11">
        <f>IF(AMS45&gt;0,MAX(0,(AMS45+AMH46-AMS46)/AMS45),0)</f>
        <v/>
      </c>
      <c r="ANQ46" s="12" t="n">
        <v>42</v>
      </c>
      <c r="ANR46" s="12">
        <f>MOD(ANQ46-1+LaunchMonth-1,12)+1</f>
        <v/>
      </c>
      <c r="ANS46" s="12">
        <f>INT((ANQ46-1+LaunchMonth-1)/12)+1</f>
        <v/>
      </c>
      <c r="ANT46" s="12">
        <f>VLOOKUP(ANR46,SeasonTable,2,FALSE)</f>
        <v/>
      </c>
      <c r="ANU46" s="12">
        <f>(1+InflationRate)^INT((ANQ46-1)/12)</f>
        <v/>
      </c>
      <c r="ANV46" s="11">
        <f>MonthlyChurn*VLOOKUP(ANR46,ChurnSeasonTable,4,FALSE)</f>
        <v/>
      </c>
      <c r="ANW46" s="12">
        <f>MIN(MAX(MktMin19plus,AOQ45*MktPct19plus),MAX(0,APE45-CashBuffer))</f>
        <v/>
      </c>
      <c r="ANX46" s="12">
        <f>IF(ANW46&gt;0,MAX(1,ROUND(ANW46/'Sens - CAC &amp; Marketing'!$A$14*ANT46,0)),0)</f>
        <v/>
      </c>
      <c r="ANY46" s="12">
        <f>IF(ANX46&gt;0,ROUND(ANX46*ReferralMix/(1-ReferralMix),0),0)</f>
        <v/>
      </c>
      <c r="ANZ46" s="12">
        <f>ANX46+ANY46</f>
        <v/>
      </c>
      <c r="AOA46" s="12">
        <f>ROUND(ANZ46*(1-AnnualMix),0)</f>
        <v/>
      </c>
      <c r="AOB46" s="12">
        <f>ANZ46-AOA46</f>
        <v/>
      </c>
      <c r="AOC46" s="12">
        <f>ROUND(AOA46*EssentialMix,0)</f>
        <v/>
      </c>
      <c r="AOD46" s="12">
        <f>AOA46-AOC46</f>
        <v/>
      </c>
      <c r="AOE46" s="12">
        <f>ROUND(AOB46*EssentialMix,0)</f>
        <v/>
      </c>
      <c r="AOF46" s="12">
        <f>AOB46-AOE46</f>
        <v/>
      </c>
      <c r="AOG46" s="12">
        <f>AOC46+AOC45+AOC44+MAX(0,AOG45-AOC45-AOC44)*(1-ANV46)</f>
        <v/>
      </c>
      <c r="AOH46" s="12">
        <f>AOD46+AOD45+AOD44+MAX(0,AOH45-AOD45-AOD44)*(1-ANV46)</f>
        <v/>
      </c>
      <c r="AOI46" s="12">
        <f>AOI45+AOE46-AOE34*(AnnualChurn*VLOOKUP(ANR46,ChurnSeasonTable,4,FALSE))*POWER(1-(AnnualChurn*VLOOKUP(ANR46,ChurnSeasonTable,4,FALSE)),0)+AOE22*(AnnualChurn*VLOOKUP(ANR46,ChurnSeasonTable,4,FALSE))*POWER(1-(AnnualChurn*VLOOKUP(ANR46,ChurnSeasonTable,4,FALSE)),1)+AOE10*(AnnualChurn*VLOOKUP(ANR46,ChurnSeasonTable,4,FALSE))*POWER(1-(AnnualChurn*VLOOKUP(ANR46,ChurnSeasonTable,4,FALSE)),2)</f>
        <v/>
      </c>
      <c r="AOJ46" s="12">
        <f>AOJ45+AOF46-AOF34*(AnnualChurn*VLOOKUP(ANR46,ChurnSeasonTable,4,FALSE))*POWER(1-(AnnualChurn*VLOOKUP(ANR46,ChurnSeasonTable,4,FALSE)),0)+AOF22*(AnnualChurn*VLOOKUP(ANR46,ChurnSeasonTable,4,FALSE))*POWER(1-(AnnualChurn*VLOOKUP(ANR46,ChurnSeasonTable,4,FALSE)),1)+AOF10*(AnnualChurn*VLOOKUP(ANR46,ChurnSeasonTable,4,FALSE))*POWER(1-(AnnualChurn*VLOOKUP(ANR46,ChurnSeasonTable,4,FALSE)),2)</f>
        <v/>
      </c>
      <c r="AOK46" s="12">
        <f>AOG46+AOH46+AOI46+AOJ46</f>
        <v/>
      </c>
      <c r="AOL46" s="9">
        <f>AOG46*PriceEssMonthly*ANU46+AOH46*PricePremMonthly*ANU46+AOI46*PriceEssAnnual*ANU46/12+AOJ46*PricePremAnnual*ANU46/12</f>
        <v/>
      </c>
      <c r="AOM46" s="9">
        <f>AOL46*12</f>
        <v/>
      </c>
      <c r="AON46" s="12">
        <f>AOG46*PriceEssMonthly*ANU46+AOH46*PricePremMonthly*ANU46</f>
        <v/>
      </c>
      <c r="AOO46" s="12">
        <f>AOE46*PriceEssAnnual*ANU46+AOF46*PricePremAnnual*ANU46</f>
        <v/>
      </c>
      <c r="AOP46" s="12">
        <f>AOE34*POWER(1-(AnnualChurn*VLOOKUP(ANR46,ChurnSeasonTable,4,FALSE)),1)*PriceEssAnnual*ANU46+AOE22*POWER(1-(AnnualChurn*VLOOKUP(ANR46,ChurnSeasonTable,4,FALSE)),2)*PriceEssAnnual*ANU46+AOE10*POWER(1-(AnnualChurn*VLOOKUP(ANR46,ChurnSeasonTable,4,FALSE)),3)*PriceEssAnnual*ANU46+AOF34*POWER(1-(AnnualChurn*VLOOKUP(ANR46,ChurnSeasonTable,4,FALSE)),1)*PricePremAnnual*ANU46+AOF22*POWER(1-(AnnualChurn*VLOOKUP(ANR46,ChurnSeasonTable,4,FALSE)),2)*PricePremAnnual*ANU46+AOF10*POWER(1-(AnnualChurn*VLOOKUP(ANR46,ChurnSeasonTable,4,FALSE)),3)*PricePremAnnual*ANU46</f>
        <v/>
      </c>
      <c r="AOQ46" s="9">
        <f>AON46+AOO46+AOP46</f>
        <v/>
      </c>
      <c r="AOR46" s="12">
        <f>SUM(AOQ35:AOQ46)</f>
        <v/>
      </c>
      <c r="AOS46" s="12">
        <f>OR(AOS45,AOR46&gt;=VATThreshold)</f>
        <v/>
      </c>
      <c r="AOT46" s="9">
        <f>IF(AOS46,AOQ46/(1+VATRate),AOQ46)</f>
        <v/>
      </c>
      <c r="AOU46" s="12">
        <f>AOQ46-AOT46</f>
        <v/>
      </c>
      <c r="AOV46" s="12">
        <f>IF(AOS46=0,0,IF(ANR46=1,SUMPRODUCT(--(($ANS$5:$ANS46=$ANS46-1)*($ANR$5:$ANR46&gt;=10)*($ANR$5:$ANR46&lt;=12)),$AOU$5:$AOU46),IF(ANR46=4,SUMPRODUCT(--(($ANS$5:$ANS46=$ANS46)*($ANR$5:$ANR46&gt;=1)*($ANR$5:$ANR46&lt;=3)),$AOU$5:$AOU46),IF(ANR46=7,SUMPRODUCT(--(($ANS$5:$ANS46=$ANS46)*($ANR$5:$ANR46&gt;=4)*($ANR$5:$ANR46&lt;=6)),$AOU$5:$AOU46),IF(ANR46=10,SUMPRODUCT(--(($ANS$5:$ANS46=$ANS46)*($ANR$5:$ANR46&gt;=7)*($ANR$5:$ANR46&lt;=9)),$AOU$5:$AOU46),0)))))</f>
        <v/>
      </c>
      <c r="AOW46" s="12">
        <f>AOW45+AOU46-AOV46</f>
        <v/>
      </c>
      <c r="AOX46" s="12">
        <f>IF(ProviderDelay&gt;=1,AOT45*ProviderShare,AOT46*ProviderShare)</f>
        <v/>
      </c>
      <c r="AOY46" s="12">
        <f>AOQ46*PaymentFee</f>
        <v/>
      </c>
      <c r="AOZ46" s="12">
        <f>AOK46*OpsAI</f>
        <v/>
      </c>
      <c r="APA46" s="12">
        <f>MonthlyFixed</f>
        <v/>
      </c>
      <c r="APB46" s="12">
        <f>ANY46*ReferralReward</f>
        <v/>
      </c>
      <c r="APC46" s="12">
        <f>ANW46</f>
        <v/>
      </c>
      <c r="APD46" s="9">
        <f>AOT46-AOX46-AOY46-AOZ46-APA46-APB46-APC46</f>
        <v/>
      </c>
      <c r="APE46" s="9">
        <f>APE45+AOQ46-(AOX46+AOY46+AOZ46+APA46+APB46+APC46+AOV46)</f>
        <v/>
      </c>
      <c r="APF46" s="12">
        <f>IF(AOK46&gt;0,AOL46/AOK46,0)</f>
        <v/>
      </c>
      <c r="APG46" s="11">
        <f>IF(AOK45&gt;0,MAX(0,(AOK45+ANZ46-AOK46)/AOK45),0)</f>
        <v/>
      </c>
      <c r="API46" s="12" t="n">
        <v>42</v>
      </c>
      <c r="APJ46" s="12">
        <f>MOD(API46-1+LaunchMonth-1,12)+1</f>
        <v/>
      </c>
      <c r="APK46" s="12">
        <f>INT((API46-1+LaunchMonth-1)/12)+1</f>
        <v/>
      </c>
      <c r="APL46" s="12">
        <f>VLOOKUP(APJ46,SeasonTable,2,FALSE)</f>
        <v/>
      </c>
      <c r="APM46" s="12">
        <f>(1+InflationRate)^INT((API46-1)/12)</f>
        <v/>
      </c>
      <c r="APN46" s="11">
        <f>MonthlyChurn*VLOOKUP(APJ46,ChurnSeasonTable,4,FALSE)</f>
        <v/>
      </c>
      <c r="APO46" s="12">
        <f>MIN(MAX(MktMin19plus,AQI45*MktPct19plus),MAX(0,AQW45-CashBuffer))</f>
        <v/>
      </c>
      <c r="APP46" s="12">
        <f>IF(APO46&gt;0,MAX(1,ROUND(APO46/'Sens - CAC &amp; Marketing'!$A$15*APL46,0)),0)</f>
        <v/>
      </c>
      <c r="APQ46" s="12">
        <f>IF(APP46&gt;0,ROUND(APP46*ReferralMix/(1-ReferralMix),0),0)</f>
        <v/>
      </c>
      <c r="APR46" s="12">
        <f>APP46+APQ46</f>
        <v/>
      </c>
      <c r="APS46" s="12">
        <f>ROUND(APR46*(1-AnnualMix),0)</f>
        <v/>
      </c>
      <c r="APT46" s="12">
        <f>APR46-APS46</f>
        <v/>
      </c>
      <c r="APU46" s="12">
        <f>ROUND(APS46*EssentialMix,0)</f>
        <v/>
      </c>
      <c r="APV46" s="12">
        <f>APS46-APU46</f>
        <v/>
      </c>
      <c r="APW46" s="12">
        <f>ROUND(APT46*EssentialMix,0)</f>
        <v/>
      </c>
      <c r="APX46" s="12">
        <f>APT46-APW46</f>
        <v/>
      </c>
      <c r="APY46" s="12">
        <f>APU46+APU45+APU44+MAX(0,APY45-APU45-APU44)*(1-APN46)</f>
        <v/>
      </c>
      <c r="APZ46" s="12">
        <f>APV46+APV45+APV44+MAX(0,APZ45-APV45-APV44)*(1-APN46)</f>
        <v/>
      </c>
      <c r="AQA46" s="12">
        <f>AQA45+APW46-APW34*(AnnualChurn*VLOOKUP(APJ46,ChurnSeasonTable,4,FALSE))*POWER(1-(AnnualChurn*VLOOKUP(APJ46,ChurnSeasonTable,4,FALSE)),0)+APW22*(AnnualChurn*VLOOKUP(APJ46,ChurnSeasonTable,4,FALSE))*POWER(1-(AnnualChurn*VLOOKUP(APJ46,ChurnSeasonTable,4,FALSE)),1)+APW10*(AnnualChurn*VLOOKUP(APJ46,ChurnSeasonTable,4,FALSE))*POWER(1-(AnnualChurn*VLOOKUP(APJ46,ChurnSeasonTable,4,FALSE)),2)</f>
        <v/>
      </c>
      <c r="AQB46" s="12">
        <f>AQB45+APX46-APX34*(AnnualChurn*VLOOKUP(APJ46,ChurnSeasonTable,4,FALSE))*POWER(1-(AnnualChurn*VLOOKUP(APJ46,ChurnSeasonTable,4,FALSE)),0)+APX22*(AnnualChurn*VLOOKUP(APJ46,ChurnSeasonTable,4,FALSE))*POWER(1-(AnnualChurn*VLOOKUP(APJ46,ChurnSeasonTable,4,FALSE)),1)+APX10*(AnnualChurn*VLOOKUP(APJ46,ChurnSeasonTable,4,FALSE))*POWER(1-(AnnualChurn*VLOOKUP(APJ46,ChurnSeasonTable,4,FALSE)),2)</f>
        <v/>
      </c>
      <c r="AQC46" s="12">
        <f>APY46+APZ46+AQA46+AQB46</f>
        <v/>
      </c>
      <c r="AQD46" s="9">
        <f>APY46*PriceEssMonthly*APM46+APZ46*PricePremMonthly*APM46+AQA46*PriceEssAnnual*APM46/12+AQB46*PricePremAnnual*APM46/12</f>
        <v/>
      </c>
      <c r="AQE46" s="9">
        <f>AQD46*12</f>
        <v/>
      </c>
      <c r="AQF46" s="12">
        <f>APY46*PriceEssMonthly*APM46+APZ46*PricePremMonthly*APM46</f>
        <v/>
      </c>
      <c r="AQG46" s="12">
        <f>APW46*PriceEssAnnual*APM46+APX46*PricePremAnnual*APM46</f>
        <v/>
      </c>
      <c r="AQH46" s="12">
        <f>APW34*POWER(1-(AnnualChurn*VLOOKUP(APJ46,ChurnSeasonTable,4,FALSE)),1)*PriceEssAnnual*APM46+APW22*POWER(1-(AnnualChurn*VLOOKUP(APJ46,ChurnSeasonTable,4,FALSE)),2)*PriceEssAnnual*APM46+APW10*POWER(1-(AnnualChurn*VLOOKUP(APJ46,ChurnSeasonTable,4,FALSE)),3)*PriceEssAnnual*APM46+APX34*POWER(1-(AnnualChurn*VLOOKUP(APJ46,ChurnSeasonTable,4,FALSE)),1)*PricePremAnnual*APM46+APX22*POWER(1-(AnnualChurn*VLOOKUP(APJ46,ChurnSeasonTable,4,FALSE)),2)*PricePremAnnual*APM46+APX10*POWER(1-(AnnualChurn*VLOOKUP(APJ46,ChurnSeasonTable,4,FALSE)),3)*PricePremAnnual*APM46</f>
        <v/>
      </c>
      <c r="AQI46" s="9">
        <f>AQF46+AQG46+AQH46</f>
        <v/>
      </c>
      <c r="AQJ46" s="12">
        <f>SUM(AQI35:AQI46)</f>
        <v/>
      </c>
      <c r="AQK46" s="12">
        <f>OR(AQK45,AQJ46&gt;=VATThreshold)</f>
        <v/>
      </c>
      <c r="AQL46" s="9">
        <f>IF(AQK46,AQI46/(1+VATRate),AQI46)</f>
        <v/>
      </c>
      <c r="AQM46" s="12">
        <f>AQI46-AQL46</f>
        <v/>
      </c>
      <c r="AQN46" s="12">
        <f>IF(AQK46=0,0,IF(APJ46=1,SUMPRODUCT(--(($APK$5:$APK46=$APK46-1)*($APJ$5:$APJ46&gt;=10)*($APJ$5:$APJ46&lt;=12)),$AQM$5:$AQM46),IF(APJ46=4,SUMPRODUCT(--(($APK$5:$APK46=$APK46)*($APJ$5:$APJ46&gt;=1)*($APJ$5:$APJ46&lt;=3)),$AQM$5:$AQM46),IF(APJ46=7,SUMPRODUCT(--(($APK$5:$APK46=$APK46)*($APJ$5:$APJ46&gt;=4)*($APJ$5:$APJ46&lt;=6)),$AQM$5:$AQM46),IF(APJ46=10,SUMPRODUCT(--(($APK$5:$APK46=$APK46)*($APJ$5:$APJ46&gt;=7)*($APJ$5:$APJ46&lt;=9)),$AQM$5:$AQM46),0)))))</f>
        <v/>
      </c>
      <c r="AQO46" s="12">
        <f>AQO45+AQM46-AQN46</f>
        <v/>
      </c>
      <c r="AQP46" s="12">
        <f>IF(ProviderDelay&gt;=1,AQL45*ProviderShare,AQL46*ProviderShare)</f>
        <v/>
      </c>
      <c r="AQQ46" s="12">
        <f>AQI46*PaymentFee</f>
        <v/>
      </c>
      <c r="AQR46" s="12">
        <f>AQC46*OpsAI</f>
        <v/>
      </c>
      <c r="AQS46" s="12">
        <f>MonthlyFixed</f>
        <v/>
      </c>
      <c r="AQT46" s="12">
        <f>APQ46*ReferralReward</f>
        <v/>
      </c>
      <c r="AQU46" s="12">
        <f>APO46</f>
        <v/>
      </c>
      <c r="AQV46" s="9">
        <f>AQL46-AQP46-AQQ46-AQR46-AQS46-AQT46-AQU46</f>
        <v/>
      </c>
      <c r="AQW46" s="9">
        <f>AQW45+AQI46-(AQP46+AQQ46+AQR46+AQS46+AQT46+AQU46+AQN46)</f>
        <v/>
      </c>
      <c r="AQX46" s="12">
        <f>IF(AQC46&gt;0,AQD46/AQC46,0)</f>
        <v/>
      </c>
      <c r="AQY46" s="11">
        <f>IF(AQC45&gt;0,MAX(0,(AQC45+APR46-AQC46)/AQC45),0)</f>
        <v/>
      </c>
      <c r="ARA46" s="12" t="n">
        <v>42</v>
      </c>
      <c r="ARB46" s="12">
        <f>MOD(ARA46-1+LaunchMonth-1,12)+1</f>
        <v/>
      </c>
      <c r="ARC46" s="12">
        <f>INT((ARA46-1+LaunchMonth-1)/12)+1</f>
        <v/>
      </c>
      <c r="ARD46" s="12">
        <f>VLOOKUP(ARB46,WinterPivotSeasonTable,5,FALSE)</f>
        <v/>
      </c>
      <c r="ARE46" s="12">
        <f>(1+InflationRate)^INT((ARA46-1)/12)</f>
        <v/>
      </c>
      <c r="ARF46" s="11">
        <f>MonthlyChurn*VLOOKUP(ARB46,WinterPivotChurnTable,6,FALSE)</f>
        <v/>
      </c>
      <c r="ARG46" s="12">
        <f>MIN(MAX(MktMin19plus,ASA45*MktPct19plus),MAX(0,ASO45-CashBuffer))</f>
        <v/>
      </c>
      <c r="ARH46" s="12">
        <f>IF(ARG46&gt;0,MAX(1,ROUND(ARG46/CAC*ARD46,0)),0)</f>
        <v/>
      </c>
      <c r="ARI46" s="12">
        <f>IF(ARH46&gt;0,ROUND(ARH46*ReferralMix/(1-ReferralMix),0),0)</f>
        <v/>
      </c>
      <c r="ARJ46" s="12">
        <f>ARH46+ARI46</f>
        <v/>
      </c>
      <c r="ARK46" s="12">
        <f>ROUND(ARJ46*(1-AnnualMix),0)</f>
        <v/>
      </c>
      <c r="ARL46" s="12">
        <f>ARJ46-ARK46</f>
        <v/>
      </c>
      <c r="ARM46" s="12">
        <f>ROUND(ARK46*'Sens - Winter Pivot'!$B$6,0)</f>
        <v/>
      </c>
      <c r="ARN46" s="12">
        <f>ARK46-ARM46</f>
        <v/>
      </c>
      <c r="ARO46" s="12">
        <f>ROUND(ARL46*'Sens - Winter Pivot'!$B$6,0)</f>
        <v/>
      </c>
      <c r="ARP46" s="12">
        <f>ARL46-ARO46</f>
        <v/>
      </c>
      <c r="ARQ46" s="12">
        <f>ARM46+ARM45+ARM44+MAX(0,ARQ45-ARM45-ARM44)*(1-ARF46)</f>
        <v/>
      </c>
      <c r="ARR46" s="12">
        <f>ARN46+ARN45+ARN44+MAX(0,ARR45-ARN45-ARN44)*(1-ARF46)</f>
        <v/>
      </c>
      <c r="ARS46" s="12">
        <f>ARS45+ARO46-ARO34*(AnnualChurn*VLOOKUP(ARB46,WinterPivotChurnTable,6,FALSE))*POWER(1-(AnnualChurn*VLOOKUP(ARB46,WinterPivotChurnTable,6,FALSE)),0)+ARO22*(AnnualChurn*VLOOKUP(ARB46,WinterPivotChurnTable,6,FALSE))*POWER(1-(AnnualChurn*VLOOKUP(ARB46,WinterPivotChurnTable,6,FALSE)),1)+ARO10*(AnnualChurn*VLOOKUP(ARB46,WinterPivotChurnTable,6,FALSE))*POWER(1-(AnnualChurn*VLOOKUP(ARB46,WinterPivotChurnTable,6,FALSE)),2)</f>
        <v/>
      </c>
      <c r="ART46" s="12">
        <f>ART45+ARP46-ARP34*(AnnualChurn*VLOOKUP(ARB46,WinterPivotChurnTable,6,FALSE))*POWER(1-(AnnualChurn*VLOOKUP(ARB46,WinterPivotChurnTable,6,FALSE)),0)+ARP22*(AnnualChurn*VLOOKUP(ARB46,WinterPivotChurnTable,6,FALSE))*POWER(1-(AnnualChurn*VLOOKUP(ARB46,WinterPivotChurnTable,6,FALSE)),1)+ARP10*(AnnualChurn*VLOOKUP(ARB46,WinterPivotChurnTable,6,FALSE))*POWER(1-(AnnualChurn*VLOOKUP(ARB46,WinterPivotChurnTable,6,FALSE)),2)</f>
        <v/>
      </c>
      <c r="ARU46" s="12">
        <f>ARQ46+ARR46+ARS46+ART46</f>
        <v/>
      </c>
      <c r="ARV46" s="9">
        <f>ARQ46*PriceEssMonthly*ARE46+ARR46*(PricePremMonthly+'Sens - Winter Pivot'!$B$7)*ARE46+ARS46*PriceEssAnnual*ARE46/12+ART46*(PricePremAnnual+'Sens - Winter Pivot'!$B$7*12)*ARE46/12</f>
        <v/>
      </c>
      <c r="ARW46" s="9">
        <f>ARV46*12</f>
        <v/>
      </c>
      <c r="ARX46" s="12">
        <f>ARQ46*PriceEssMonthly*ARE46+ARR46*(PricePremMonthly+'Sens - Winter Pivot'!$B$7)*ARE46</f>
        <v/>
      </c>
      <c r="ARY46" s="12">
        <f>ARO46*PriceEssAnnual*ARE46+ARP46*(PricePremAnnual+'Sens - Winter Pivot'!$B$7*12)*ARE46</f>
        <v/>
      </c>
      <c r="ARZ46" s="12">
        <f>ARO34*POWER(1-(AnnualChurn*VLOOKUP(ARB46,WinterPivotChurnTable,6,FALSE)),1)*PriceEssAnnual*ARE46+ARO22*POWER(1-(AnnualChurn*VLOOKUP(ARB46,WinterPivotChurnTable,6,FALSE)),2)*PriceEssAnnual*ARE46+ARO10*POWER(1-(AnnualChurn*VLOOKUP(ARB46,WinterPivotChurnTable,6,FALSE)),3)*PriceEssAnnual*ARE46+ARP34*POWER(1-(AnnualChurn*VLOOKUP(ARB46,WinterPivotChurnTable,6,FALSE)),1)*PricePremAnnual*ARE46+ARP22*POWER(1-(AnnualChurn*VLOOKUP(ARB46,WinterPivotChurnTable,6,FALSE)),2)*PricePremAnnual*ARE46+ARP10*POWER(1-(AnnualChurn*VLOOKUP(ARB46,WinterPivotChurnTable,6,FALSE)),3)*PricePremAnnual*ARE46</f>
        <v/>
      </c>
      <c r="ASA46" s="9">
        <f>ARX46+ARY46+ARZ46</f>
        <v/>
      </c>
      <c r="ASB46" s="12">
        <f>SUM(ASA35:ASA46)</f>
        <v/>
      </c>
      <c r="ASC46" s="12">
        <f>OR(ASC45,ASB46&gt;=VATThreshold)</f>
        <v/>
      </c>
      <c r="ASD46" s="9">
        <f>IF(ASC46,ASA46/(1+VATRate),ASA46)</f>
        <v/>
      </c>
      <c r="ASE46" s="12">
        <f>ASA46-ASD46</f>
        <v/>
      </c>
      <c r="ASF46" s="12">
        <f>IF(ASC46=0,0,IF(ARB46=1,SUMPRODUCT(--(($ARC$5:$ARC46=$ARC46-1)*($ARB$5:$ARB46&gt;=10)*($ARB$5:$ARB46&lt;=12)),$ASE$5:$ASE46),IF(ARB46=4,SUMPRODUCT(--(($ARC$5:$ARC46=$ARC46)*($ARB$5:$ARB46&gt;=1)*($ARB$5:$ARB46&lt;=3)),$ASE$5:$ASE46),IF(ARB46=7,SUMPRODUCT(--(($ARC$5:$ARC46=$ARC46)*($ARB$5:$ARB46&gt;=4)*($ARB$5:$ARB46&lt;=6)),$ASE$5:$ASE46),IF(ARB46=10,SUMPRODUCT(--(($ARC$5:$ARC46=$ARC46)*($ARB$5:$ARB46&gt;=7)*($ARB$5:$ARB46&lt;=9)),$ASE$5:$ASE46),0)))))</f>
        <v/>
      </c>
      <c r="ASG46" s="12">
        <f>ASG45+ASE46-ASF46</f>
        <v/>
      </c>
      <c r="ASH46" s="12">
        <f>IF(ProviderDelay&gt;=1,ASD45*ProviderShare,ASD46*ProviderShare)</f>
        <v/>
      </c>
      <c r="ASI46" s="12">
        <f>ASA46*PaymentFee</f>
        <v/>
      </c>
      <c r="ASJ46" s="12">
        <f>ARU46*OpsAI</f>
        <v/>
      </c>
      <c r="ASK46" s="12">
        <f>MonthlyFixed</f>
        <v/>
      </c>
      <c r="ASL46" s="12">
        <f>ARI46*ReferralReward</f>
        <v/>
      </c>
      <c r="ASM46" s="12">
        <f>ARG46</f>
        <v/>
      </c>
      <c r="ASN46" s="9">
        <f>ASD46-ASH46-ASI46-ASJ46-ASK46-ASL46-ASM46</f>
        <v/>
      </c>
      <c r="ASO46" s="9">
        <f>ASO45+ASA46-(ASH46+ASI46+ASJ46+ASK46+ASL46+ASM46+ASF46)</f>
        <v/>
      </c>
      <c r="ASP46" s="12">
        <f>IF(ARU46&gt;0,ARV46/ARU46,0)</f>
        <v/>
      </c>
      <c r="ASQ46" s="11">
        <f>IF(ARU45&gt;0,MAX(0,(ARU45+ARJ46-ARU46)/ARU45),0)</f>
        <v/>
      </c>
    </row>
    <row r="47">
      <c r="A47" s="12" t="n">
        <v>43</v>
      </c>
      <c r="B47" s="12">
        <f>MOD(A47-1+LaunchMonth-1,12)+1</f>
        <v/>
      </c>
      <c r="C47" s="12">
        <f>INT((A47-1+LaunchMonth-1)/12)+1</f>
        <v/>
      </c>
      <c r="D47" s="12">
        <f>VLOOKUP(B47,SeasonTable,2,FALSE)</f>
        <v/>
      </c>
      <c r="E47" s="12">
        <f>(1+InflationRate)^INT((A47-1)/12)</f>
        <v/>
      </c>
      <c r="F47" s="11">
        <f>'Sens - Scenarios'!$B$5*VLOOKUP(B47,ChurnSeasonTable,4,FALSE)</f>
        <v/>
      </c>
      <c r="G47" s="12">
        <f>MIN(MAX(MktMin19plus,AA46*MktPct19plus),MAX(0,AO46-CashBuffer))</f>
        <v/>
      </c>
      <c r="H47" s="12">
        <f>IF(G47&gt;0,MAX(1,ROUND(G47/'Sens - Scenarios'!$B$8*D47,0)),0)</f>
        <v/>
      </c>
      <c r="I47" s="12">
        <f>IF(H47&gt;0,ROUND(H47*ReferralMix/(1-ReferralMix),0),0)</f>
        <v/>
      </c>
      <c r="J47" s="12">
        <f>H47+I47</f>
        <v/>
      </c>
      <c r="K47" s="12">
        <f>ROUND(J47*(1-'Sens - Scenarios'!$B$7),0)</f>
        <v/>
      </c>
      <c r="L47" s="12">
        <f>J47-K47</f>
        <v/>
      </c>
      <c r="M47" s="12">
        <f>ROUND(K47*EssentialMix,0)</f>
        <v/>
      </c>
      <c r="N47" s="12">
        <f>K47-M47</f>
        <v/>
      </c>
      <c r="O47" s="12">
        <f>ROUND(L47*EssentialMix,0)</f>
        <v/>
      </c>
      <c r="P47" s="12">
        <f>L47-O47</f>
        <v/>
      </c>
      <c r="Q47" s="12">
        <f>M47+M46+M45+MAX(0,Q46-M46-M45)*(1-F47)</f>
        <v/>
      </c>
      <c r="R47" s="12">
        <f>N47+N46+N45+MAX(0,R46-N46-N45)*(1-F47)</f>
        <v/>
      </c>
      <c r="S47" s="12">
        <f>S46+O47-O35*('Sens - Scenarios'!$B$6*VLOOKUP(B47,ChurnSeasonTable,4,FALSE))*POWER(1-('Sens - Scenarios'!$B$6*VLOOKUP(B47,ChurnSeasonTable,4,FALSE)),0)+O23*('Sens - Scenarios'!$B$6*VLOOKUP(B47,ChurnSeasonTable,4,FALSE))*POWER(1-('Sens - Scenarios'!$B$6*VLOOKUP(B47,ChurnSeasonTable,4,FALSE)),1)+O11*('Sens - Scenarios'!$B$6*VLOOKUP(B47,ChurnSeasonTable,4,FALSE))*POWER(1-('Sens - Scenarios'!$B$6*VLOOKUP(B47,ChurnSeasonTable,4,FALSE)),2)</f>
        <v/>
      </c>
      <c r="T47" s="12">
        <f>T46+P47-P35*('Sens - Scenarios'!$B$6*VLOOKUP(B47,ChurnSeasonTable,4,FALSE))*POWER(1-('Sens - Scenarios'!$B$6*VLOOKUP(B47,ChurnSeasonTable,4,FALSE)),0)+P23*('Sens - Scenarios'!$B$6*VLOOKUP(B47,ChurnSeasonTable,4,FALSE))*POWER(1-('Sens - Scenarios'!$B$6*VLOOKUP(B47,ChurnSeasonTable,4,FALSE)),1)+P11*('Sens - Scenarios'!$B$6*VLOOKUP(B47,ChurnSeasonTable,4,FALSE))*POWER(1-('Sens - Scenarios'!$B$6*VLOOKUP(B47,ChurnSeasonTable,4,FALSE)),2)</f>
        <v/>
      </c>
      <c r="U47" s="12">
        <f>Q47+R47+S47+T47</f>
        <v/>
      </c>
      <c r="V47" s="9">
        <f>Q47*PriceEssMonthly*E47+R47*PricePremMonthly*E47+S47*PriceEssAnnual*E47/12+T47*PricePremAnnual*E47/12</f>
        <v/>
      </c>
      <c r="W47" s="9">
        <f>V47*12</f>
        <v/>
      </c>
      <c r="X47" s="12">
        <f>Q47*PriceEssMonthly*E47+R47*PricePremMonthly*E47</f>
        <v/>
      </c>
      <c r="Y47" s="12">
        <f>O47*PriceEssAnnual*E47+P47*PricePremAnnual*E47</f>
        <v/>
      </c>
      <c r="Z47" s="12">
        <f>O35*POWER(1-('Sens - Scenarios'!$B$6*VLOOKUP(B47,ChurnSeasonTable,4,FALSE)),1)*PriceEssAnnual*E47+O23*POWER(1-('Sens - Scenarios'!$B$6*VLOOKUP(B47,ChurnSeasonTable,4,FALSE)),2)*PriceEssAnnual*E47+O11*POWER(1-('Sens - Scenarios'!$B$6*VLOOKUP(B47,ChurnSeasonTable,4,FALSE)),3)*PriceEssAnnual*E47+P35*POWER(1-('Sens - Scenarios'!$B$6*VLOOKUP(B47,ChurnSeasonTable,4,FALSE)),1)*PricePremAnnual*E47+P23*POWER(1-('Sens - Scenarios'!$B$6*VLOOKUP(B47,ChurnSeasonTable,4,FALSE)),2)*PricePremAnnual*E47+P11*POWER(1-('Sens - Scenarios'!$B$6*VLOOKUP(B47,ChurnSeasonTable,4,FALSE)),3)*PricePremAnnual*E47</f>
        <v/>
      </c>
      <c r="AA47" s="9">
        <f>X47+Y47+Z47</f>
        <v/>
      </c>
      <c r="AB47" s="12">
        <f>SUM(AA36:AA47)</f>
        <v/>
      </c>
      <c r="AC47" s="12">
        <f>OR(AC46,AB47&gt;=VATThreshold)</f>
        <v/>
      </c>
      <c r="AD47" s="9">
        <f>IF(AC47,AA47/(1+VATRate),AA47)</f>
        <v/>
      </c>
      <c r="AE47" s="12">
        <f>AA47-AD47</f>
        <v/>
      </c>
      <c r="AF47" s="12">
        <f>IF(AC47=0,0,IF(B47=1,SUMPRODUCT(--(($C$5:$C47=$C47-1)*($B$5:$B47&gt;=10)*($B$5:$B47&lt;=12)),$AE$5:$AE47),IF(B47=4,SUMPRODUCT(--(($C$5:$C47=$C47)*($B$5:$B47&gt;=1)*($B$5:$B47&lt;=3)),$AE$5:$AE47),IF(B47=7,SUMPRODUCT(--(($C$5:$C47=$C47)*($B$5:$B47&gt;=4)*($B$5:$B47&lt;=6)),$AE$5:$AE47),IF(B47=10,SUMPRODUCT(--(($C$5:$C47=$C47)*($B$5:$B47&gt;=7)*($B$5:$B47&lt;=9)),$AE$5:$AE47),0)))))</f>
        <v/>
      </c>
      <c r="AG47" s="12">
        <f>AG46+AE47-AF47</f>
        <v/>
      </c>
      <c r="AH47" s="12">
        <f>IF(ProviderDelay&gt;=1,AD46*ProviderShare,AD47*ProviderShare)</f>
        <v/>
      </c>
      <c r="AI47" s="12">
        <f>AA47*PaymentFee</f>
        <v/>
      </c>
      <c r="AJ47" s="12">
        <f>U47*OpsAI</f>
        <v/>
      </c>
      <c r="AK47" s="12">
        <f>MonthlyFixed</f>
        <v/>
      </c>
      <c r="AL47" s="12">
        <f>I47*ReferralReward</f>
        <v/>
      </c>
      <c r="AM47" s="12">
        <f>G47</f>
        <v/>
      </c>
      <c r="AN47" s="9">
        <f>AD47-AH47-AI47-AJ47-AK47-AL47-AM47</f>
        <v/>
      </c>
      <c r="AO47" s="9">
        <f>AO46+AA47-(AH47+AI47+AJ47+AK47+AL47+AM47+AF47)</f>
        <v/>
      </c>
      <c r="AP47" s="12">
        <f>IF(U47&gt;0,V47/U47,0)</f>
        <v/>
      </c>
      <c r="AQ47" s="11">
        <f>IF(U46&gt;0,MAX(0,(U46+J47-U47)/U46),0)</f>
        <v/>
      </c>
      <c r="AS47" s="12" t="n">
        <v>43</v>
      </c>
      <c r="AT47" s="12">
        <f>MOD(AS47-1+LaunchMonth-1,12)+1</f>
        <v/>
      </c>
      <c r="AU47" s="12">
        <f>INT((AS47-1+LaunchMonth-1)/12)+1</f>
        <v/>
      </c>
      <c r="AV47" s="12">
        <f>VLOOKUP(AT47,SeasonTable,2,FALSE)</f>
        <v/>
      </c>
      <c r="AW47" s="12">
        <f>(1+InflationRate)^INT((AS47-1)/12)</f>
        <v/>
      </c>
      <c r="AX47" s="11">
        <f>MonthlyChurn*VLOOKUP(AT47,ChurnSeasonTable,4,FALSE)</f>
        <v/>
      </c>
      <c r="AY47" s="12">
        <f>MIN(MAX(MktMin19plus,BS46*MktPct19plus),MAX(0,CG46-CashBuffer))</f>
        <v/>
      </c>
      <c r="AZ47" s="12">
        <f>IF(AY47&gt;0,MAX(1,ROUND(AY47/CAC*AV47,0)),0)</f>
        <v/>
      </c>
      <c r="BA47" s="12">
        <f>IF(AZ47&gt;0,ROUND(AZ47*ReferralMix/(1-ReferralMix),0),0)</f>
        <v/>
      </c>
      <c r="BB47" s="12">
        <f>AZ47+BA47</f>
        <v/>
      </c>
      <c r="BC47" s="12">
        <f>ROUND(BB47*(1-AnnualMix),0)</f>
        <v/>
      </c>
      <c r="BD47" s="12">
        <f>BB47-BC47</f>
        <v/>
      </c>
      <c r="BE47" s="12">
        <f>ROUND(BC47*EssentialMix,0)</f>
        <v/>
      </c>
      <c r="BF47" s="12">
        <f>BC47-BE47</f>
        <v/>
      </c>
      <c r="BG47" s="12">
        <f>ROUND(BD47*EssentialMix,0)</f>
        <v/>
      </c>
      <c r="BH47" s="12">
        <f>BD47-BG47</f>
        <v/>
      </c>
      <c r="BI47" s="12">
        <f>BE47+BE46+BE45+MAX(0,BI46-BE46-BE45)*(1-AX47)</f>
        <v/>
      </c>
      <c r="BJ47" s="12">
        <f>BF47+BF46+BF45+MAX(0,BJ46-BF46-BF45)*(1-AX47)</f>
        <v/>
      </c>
      <c r="BK47" s="12">
        <f>BK46+BG47-BG35*(AnnualChurn*VLOOKUP(AT47,ChurnSeasonTable,4,FALSE))*POWER(1-(AnnualChurn*VLOOKUP(AT47,ChurnSeasonTable,4,FALSE)),0)+BG23*(AnnualChurn*VLOOKUP(AT47,ChurnSeasonTable,4,FALSE))*POWER(1-(AnnualChurn*VLOOKUP(AT47,ChurnSeasonTable,4,FALSE)),1)+BG11*(AnnualChurn*VLOOKUP(AT47,ChurnSeasonTable,4,FALSE))*POWER(1-(AnnualChurn*VLOOKUP(AT47,ChurnSeasonTable,4,FALSE)),2)</f>
        <v/>
      </c>
      <c r="BL47" s="12">
        <f>BL46+BH47-BH35*(AnnualChurn*VLOOKUP(AT47,ChurnSeasonTable,4,FALSE))*POWER(1-(AnnualChurn*VLOOKUP(AT47,ChurnSeasonTable,4,FALSE)),0)+BH23*(AnnualChurn*VLOOKUP(AT47,ChurnSeasonTable,4,FALSE))*POWER(1-(AnnualChurn*VLOOKUP(AT47,ChurnSeasonTable,4,FALSE)),1)+BH11*(AnnualChurn*VLOOKUP(AT47,ChurnSeasonTable,4,FALSE))*POWER(1-(AnnualChurn*VLOOKUP(AT47,ChurnSeasonTable,4,FALSE)),2)</f>
        <v/>
      </c>
      <c r="BM47" s="12">
        <f>BI47+BJ47+BK47+BL47</f>
        <v/>
      </c>
      <c r="BN47" s="9">
        <f>BI47*PriceEssMonthly*AW47+BJ47*PricePremMonthly*AW47+BK47*PriceEssAnnual*AW47/12+BL47*PricePremAnnual*AW47/12</f>
        <v/>
      </c>
      <c r="BO47" s="9">
        <f>BN47*12</f>
        <v/>
      </c>
      <c r="BP47" s="12">
        <f>BI47*PriceEssMonthly*AW47+BJ47*PricePremMonthly*AW47</f>
        <v/>
      </c>
      <c r="BQ47" s="12">
        <f>BG47*PriceEssAnnual*AW47+BH47*PricePremAnnual*AW47</f>
        <v/>
      </c>
      <c r="BR47" s="12">
        <f>BG35*POWER(1-(AnnualChurn*VLOOKUP(AT47,ChurnSeasonTable,4,FALSE)),1)*PriceEssAnnual*AW47+BG23*POWER(1-(AnnualChurn*VLOOKUP(AT47,ChurnSeasonTable,4,FALSE)),2)*PriceEssAnnual*AW47+BG11*POWER(1-(AnnualChurn*VLOOKUP(AT47,ChurnSeasonTable,4,FALSE)),3)*PriceEssAnnual*AW47+BH35*POWER(1-(AnnualChurn*VLOOKUP(AT47,ChurnSeasonTable,4,FALSE)),1)*PricePremAnnual*AW47+BH23*POWER(1-(AnnualChurn*VLOOKUP(AT47,ChurnSeasonTable,4,FALSE)),2)*PricePremAnnual*AW47+BH11*POWER(1-(AnnualChurn*VLOOKUP(AT47,ChurnSeasonTable,4,FALSE)),3)*PricePremAnnual*AW47</f>
        <v/>
      </c>
      <c r="BS47" s="9">
        <f>BP47+BQ47+BR47</f>
        <v/>
      </c>
      <c r="BT47" s="12">
        <f>SUM(BS36:BS47)</f>
        <v/>
      </c>
      <c r="BU47" s="12">
        <f>OR(BU46,BT47&gt;=VATThreshold)</f>
        <v/>
      </c>
      <c r="BV47" s="9">
        <f>IF(BU47,BS47/(1+VATRate),BS47)</f>
        <v/>
      </c>
      <c r="BW47" s="12">
        <f>BS47-BV47</f>
        <v/>
      </c>
      <c r="BX47" s="12">
        <f>IF(BU47=0,0,IF(AT47=1,SUMPRODUCT(--(($AU$5:$AU47=$AU47-1)*($AT$5:$AT47&gt;=10)*($AT$5:$AT47&lt;=12)),$BW$5:$BW47),IF(AT47=4,SUMPRODUCT(--(($AU$5:$AU47=$AU47)*($AT$5:$AT47&gt;=1)*($AT$5:$AT47&lt;=3)),$BW$5:$BW47),IF(AT47=7,SUMPRODUCT(--(($AU$5:$AU47=$AU47)*($AT$5:$AT47&gt;=4)*($AT$5:$AT47&lt;=6)),$BW$5:$BW47),IF(AT47=10,SUMPRODUCT(--(($AU$5:$AU47=$AU47)*($AT$5:$AT47&gt;=7)*($AT$5:$AT47&lt;=9)),$BW$5:$BW47),0)))))</f>
        <v/>
      </c>
      <c r="BY47" s="12">
        <f>BY46+BW47-BX47</f>
        <v/>
      </c>
      <c r="BZ47" s="12">
        <f>IF(ProviderDelay&gt;=1,BV46*ProviderShare,BV47*ProviderShare)</f>
        <v/>
      </c>
      <c r="CA47" s="12">
        <f>BS47*PaymentFee</f>
        <v/>
      </c>
      <c r="CB47" s="12">
        <f>BM47*OpsAI</f>
        <v/>
      </c>
      <c r="CC47" s="12">
        <f>MonthlyFixed</f>
        <v/>
      </c>
      <c r="CD47" s="12">
        <f>BA47*ReferralReward</f>
        <v/>
      </c>
      <c r="CE47" s="12">
        <f>AY47</f>
        <v/>
      </c>
      <c r="CF47" s="9">
        <f>BV47-BZ47-CA47-CB47-CC47-CD47-CE47</f>
        <v/>
      </c>
      <c r="CG47" s="9">
        <f>CG46+BS47-(BZ47+CA47+CB47+CC47+CD47+CE47+BX47)</f>
        <v/>
      </c>
      <c r="CH47" s="12">
        <f>IF(BM47&gt;0,BN47/BM47,0)</f>
        <v/>
      </c>
      <c r="CI47" s="11">
        <f>IF(BM46&gt;0,MAX(0,(BM46+BB47-BM47)/BM46),0)</f>
        <v/>
      </c>
      <c r="CK47" s="12" t="n">
        <v>43</v>
      </c>
      <c r="CL47" s="12">
        <f>MOD(CK47-1+LaunchMonth-1,12)+1</f>
        <v/>
      </c>
      <c r="CM47" s="12">
        <f>INT((CK47-1+LaunchMonth-1)/12)+1</f>
        <v/>
      </c>
      <c r="CN47" s="12">
        <f>VLOOKUP(CL47,SeasonTable,2,FALSE)</f>
        <v/>
      </c>
      <c r="CO47" s="12">
        <f>(1+InflationRate)^INT((CK47-1)/12)</f>
        <v/>
      </c>
      <c r="CP47" s="11">
        <f>'Sens - Scenarios'!$D$5*VLOOKUP(CL47,ChurnSeasonTable,4,FALSE)</f>
        <v/>
      </c>
      <c r="CQ47" s="12">
        <f>MIN(MAX(MktMin19plus,DK46*MktPct19plus),MAX(0,DY46-CashBuffer))</f>
        <v/>
      </c>
      <c r="CR47" s="12">
        <f>IF(CQ47&gt;0,MAX(1,ROUND(CQ47/'Sens - Scenarios'!$D$8*CN47,0)),0)</f>
        <v/>
      </c>
      <c r="CS47" s="12">
        <f>IF(CR47&gt;0,ROUND(CR47*ReferralMix/(1-ReferralMix),0),0)</f>
        <v/>
      </c>
      <c r="CT47" s="12">
        <f>CR47+CS47</f>
        <v/>
      </c>
      <c r="CU47" s="12">
        <f>ROUND(CT47*(1-'Sens - Scenarios'!$D$7),0)</f>
        <v/>
      </c>
      <c r="CV47" s="12">
        <f>CT47-CU47</f>
        <v/>
      </c>
      <c r="CW47" s="12">
        <f>ROUND(CU47*EssentialMix,0)</f>
        <v/>
      </c>
      <c r="CX47" s="12">
        <f>CU47-CW47</f>
        <v/>
      </c>
      <c r="CY47" s="12">
        <f>ROUND(CV47*EssentialMix,0)</f>
        <v/>
      </c>
      <c r="CZ47" s="12">
        <f>CV47-CY47</f>
        <v/>
      </c>
      <c r="DA47" s="12">
        <f>CW47+CW46+CW45+MAX(0,DA46-CW46-CW45)*(1-CP47)</f>
        <v/>
      </c>
      <c r="DB47" s="12">
        <f>CX47+CX46+CX45+MAX(0,DB46-CX46-CX45)*(1-CP47)</f>
        <v/>
      </c>
      <c r="DC47" s="12">
        <f>DC46+CY47-CY35*('Sens - Scenarios'!$D$6*VLOOKUP(CL47,ChurnSeasonTable,4,FALSE))*POWER(1-('Sens - Scenarios'!$D$6*VLOOKUP(CL47,ChurnSeasonTable,4,FALSE)),0)+CY23*('Sens - Scenarios'!$D$6*VLOOKUP(CL47,ChurnSeasonTable,4,FALSE))*POWER(1-('Sens - Scenarios'!$D$6*VLOOKUP(CL47,ChurnSeasonTable,4,FALSE)),1)+CY11*('Sens - Scenarios'!$D$6*VLOOKUP(CL47,ChurnSeasonTable,4,FALSE))*POWER(1-('Sens - Scenarios'!$D$6*VLOOKUP(CL47,ChurnSeasonTable,4,FALSE)),2)</f>
        <v/>
      </c>
      <c r="DD47" s="12">
        <f>DD46+CZ47-CZ35*('Sens - Scenarios'!$D$6*VLOOKUP(CL47,ChurnSeasonTable,4,FALSE))*POWER(1-('Sens - Scenarios'!$D$6*VLOOKUP(CL47,ChurnSeasonTable,4,FALSE)),0)+CZ23*('Sens - Scenarios'!$D$6*VLOOKUP(CL47,ChurnSeasonTable,4,FALSE))*POWER(1-('Sens - Scenarios'!$D$6*VLOOKUP(CL47,ChurnSeasonTable,4,FALSE)),1)+CZ11*('Sens - Scenarios'!$D$6*VLOOKUP(CL47,ChurnSeasonTable,4,FALSE))*POWER(1-('Sens - Scenarios'!$D$6*VLOOKUP(CL47,ChurnSeasonTable,4,FALSE)),2)</f>
        <v/>
      </c>
      <c r="DE47" s="12">
        <f>DA47+DB47+DC47+DD47</f>
        <v/>
      </c>
      <c r="DF47" s="9">
        <f>DA47*PriceEssMonthly*CO47+DB47*PricePremMonthly*CO47+DC47*PriceEssAnnual*CO47/12+DD47*PricePremAnnual*CO47/12</f>
        <v/>
      </c>
      <c r="DG47" s="9">
        <f>DF47*12</f>
        <v/>
      </c>
      <c r="DH47" s="12">
        <f>DA47*PriceEssMonthly*CO47+DB47*PricePremMonthly*CO47</f>
        <v/>
      </c>
      <c r="DI47" s="12">
        <f>CY47*PriceEssAnnual*CO47+CZ47*PricePremAnnual*CO47</f>
        <v/>
      </c>
      <c r="DJ47" s="12">
        <f>CY35*POWER(1-('Sens - Scenarios'!$D$6*VLOOKUP(CL47,ChurnSeasonTable,4,FALSE)),1)*PriceEssAnnual*CO47+CY23*POWER(1-('Sens - Scenarios'!$D$6*VLOOKUP(CL47,ChurnSeasonTable,4,FALSE)),2)*PriceEssAnnual*CO47+CY11*POWER(1-('Sens - Scenarios'!$D$6*VLOOKUP(CL47,ChurnSeasonTable,4,FALSE)),3)*PriceEssAnnual*CO47+CZ35*POWER(1-('Sens - Scenarios'!$D$6*VLOOKUP(CL47,ChurnSeasonTable,4,FALSE)),1)*PricePremAnnual*CO47+CZ23*POWER(1-('Sens - Scenarios'!$D$6*VLOOKUP(CL47,ChurnSeasonTable,4,FALSE)),2)*PricePremAnnual*CO47+CZ11*POWER(1-('Sens - Scenarios'!$D$6*VLOOKUP(CL47,ChurnSeasonTable,4,FALSE)),3)*PricePremAnnual*CO47</f>
        <v/>
      </c>
      <c r="DK47" s="9">
        <f>DH47+DI47+DJ47</f>
        <v/>
      </c>
      <c r="DL47" s="12">
        <f>SUM(DK36:DK47)</f>
        <v/>
      </c>
      <c r="DM47" s="12">
        <f>OR(DM46,DL47&gt;=VATThreshold)</f>
        <v/>
      </c>
      <c r="DN47" s="9">
        <f>IF(DM47,DK47/(1+VATRate),DK47)</f>
        <v/>
      </c>
      <c r="DO47" s="12">
        <f>DK47-DN47</f>
        <v/>
      </c>
      <c r="DP47" s="12">
        <f>IF(DM47=0,0,IF(CL47=1,SUMPRODUCT(--(($CM$5:$CM47=$CM47-1)*($CL$5:$CL47&gt;=10)*($CL$5:$CL47&lt;=12)),$DO$5:$DO47),IF(CL47=4,SUMPRODUCT(--(($CM$5:$CM47=$CM47)*($CL$5:$CL47&gt;=1)*($CL$5:$CL47&lt;=3)),$DO$5:$DO47),IF(CL47=7,SUMPRODUCT(--(($CM$5:$CM47=$CM47)*($CL$5:$CL47&gt;=4)*($CL$5:$CL47&lt;=6)),$DO$5:$DO47),IF(CL47=10,SUMPRODUCT(--(($CM$5:$CM47=$CM47)*($CL$5:$CL47&gt;=7)*($CL$5:$CL47&lt;=9)),$DO$5:$DO47),0)))))</f>
        <v/>
      </c>
      <c r="DQ47" s="12">
        <f>DQ46+DO47-DP47</f>
        <v/>
      </c>
      <c r="DR47" s="12">
        <f>IF(ProviderDelay&gt;=1,DN46*ProviderShare,DN47*ProviderShare)</f>
        <v/>
      </c>
      <c r="DS47" s="12">
        <f>DK47*PaymentFee</f>
        <v/>
      </c>
      <c r="DT47" s="12">
        <f>DE47*OpsAI</f>
        <v/>
      </c>
      <c r="DU47" s="12">
        <f>MonthlyFixed</f>
        <v/>
      </c>
      <c r="DV47" s="12">
        <f>CS47*ReferralReward</f>
        <v/>
      </c>
      <c r="DW47" s="12">
        <f>CQ47</f>
        <v/>
      </c>
      <c r="DX47" s="9">
        <f>DN47-DR47-DS47-DT47-DU47-DV47-DW47</f>
        <v/>
      </c>
      <c r="DY47" s="9">
        <f>DY46+DK47-(DR47+DS47+DT47+DU47+DV47+DW47+DP47)</f>
        <v/>
      </c>
      <c r="DZ47" s="12">
        <f>IF(DE47&gt;0,DF47/DE47,0)</f>
        <v/>
      </c>
      <c r="EA47" s="11">
        <f>IF(DE46&gt;0,MAX(0,(DE46+CT47-DE47)/DE46),0)</f>
        <v/>
      </c>
      <c r="EC47" s="12" t="n">
        <v>43</v>
      </c>
      <c r="ED47" s="12">
        <f>MOD(EC47-1+LaunchMonth-1,12)+1</f>
        <v/>
      </c>
      <c r="EE47" s="12">
        <f>INT((EC47-1+LaunchMonth-1)/12)+1</f>
        <v/>
      </c>
      <c r="EF47" s="12">
        <f>VLOOKUP(ED47,SeasonTable,2,FALSE)</f>
        <v/>
      </c>
      <c r="EG47" s="12">
        <f>(1+InflationRate)^INT((EC47-1)/12)</f>
        <v/>
      </c>
      <c r="EH47" s="11">
        <f>'Sens - Churn'!$A$13*VLOOKUP(ED47,ChurnSeasonTable,4,FALSE)</f>
        <v/>
      </c>
      <c r="EI47" s="12">
        <f>MIN(MAX(MktMin19plus,FC46*MktPct19plus),MAX(0,FQ46-CashBuffer))</f>
        <v/>
      </c>
      <c r="EJ47" s="12">
        <f>IF(EI47&gt;0,MAX(1,ROUND(EI47/CAC*EF47,0)),0)</f>
        <v/>
      </c>
      <c r="EK47" s="12">
        <f>IF(EJ47&gt;0,ROUND(EJ47*ReferralMix/(1-ReferralMix),0),0)</f>
        <v/>
      </c>
      <c r="EL47" s="12">
        <f>EJ47+EK47</f>
        <v/>
      </c>
      <c r="EM47" s="12">
        <f>ROUND(EL47*(1-AnnualMix),0)</f>
        <v/>
      </c>
      <c r="EN47" s="12">
        <f>EL47-EM47</f>
        <v/>
      </c>
      <c r="EO47" s="12">
        <f>ROUND(EM47*EssentialMix,0)</f>
        <v/>
      </c>
      <c r="EP47" s="12">
        <f>EM47-EO47</f>
        <v/>
      </c>
      <c r="EQ47" s="12">
        <f>ROUND(EN47*EssentialMix,0)</f>
        <v/>
      </c>
      <c r="ER47" s="12">
        <f>EN47-EQ47</f>
        <v/>
      </c>
      <c r="ES47" s="12">
        <f>EO47+EO46+EO45+MAX(0,ES46-EO46-EO45)*(1-EH47)</f>
        <v/>
      </c>
      <c r="ET47" s="12">
        <f>EP47+EP46+EP45+MAX(0,ET46-EP46-EP45)*(1-EH47)</f>
        <v/>
      </c>
      <c r="EU47" s="12">
        <f>EU46+EQ47-EQ35*(AnnualChurn*VLOOKUP(ED47,ChurnSeasonTable,4,FALSE))*POWER(1-(AnnualChurn*VLOOKUP(ED47,ChurnSeasonTable,4,FALSE)),0)+EQ23*(AnnualChurn*VLOOKUP(ED47,ChurnSeasonTable,4,FALSE))*POWER(1-(AnnualChurn*VLOOKUP(ED47,ChurnSeasonTable,4,FALSE)),1)+EQ11*(AnnualChurn*VLOOKUP(ED47,ChurnSeasonTable,4,FALSE))*POWER(1-(AnnualChurn*VLOOKUP(ED47,ChurnSeasonTable,4,FALSE)),2)</f>
        <v/>
      </c>
      <c r="EV47" s="12">
        <f>EV46+ER47-ER35*(AnnualChurn*VLOOKUP(ED47,ChurnSeasonTable,4,FALSE))*POWER(1-(AnnualChurn*VLOOKUP(ED47,ChurnSeasonTable,4,FALSE)),0)+ER23*(AnnualChurn*VLOOKUP(ED47,ChurnSeasonTable,4,FALSE))*POWER(1-(AnnualChurn*VLOOKUP(ED47,ChurnSeasonTable,4,FALSE)),1)+ER11*(AnnualChurn*VLOOKUP(ED47,ChurnSeasonTable,4,FALSE))*POWER(1-(AnnualChurn*VLOOKUP(ED47,ChurnSeasonTable,4,FALSE)),2)</f>
        <v/>
      </c>
      <c r="EW47" s="12">
        <f>ES47+ET47+EU47+EV47</f>
        <v/>
      </c>
      <c r="EX47" s="9">
        <f>ES47*PriceEssMonthly*EG47+ET47*PricePremMonthly*EG47+EU47*PriceEssAnnual*EG47/12+EV47*PricePremAnnual*EG47/12</f>
        <v/>
      </c>
      <c r="EY47" s="9">
        <f>EX47*12</f>
        <v/>
      </c>
      <c r="EZ47" s="12">
        <f>ES47*PriceEssMonthly*EG47+ET47*PricePremMonthly*EG47</f>
        <v/>
      </c>
      <c r="FA47" s="12">
        <f>EQ47*PriceEssAnnual*EG47+ER47*PricePremAnnual*EG47</f>
        <v/>
      </c>
      <c r="FB47" s="12">
        <f>EQ35*POWER(1-(AnnualChurn*VLOOKUP(ED47,ChurnSeasonTable,4,FALSE)),1)*PriceEssAnnual*EG47+EQ23*POWER(1-(AnnualChurn*VLOOKUP(ED47,ChurnSeasonTable,4,FALSE)),2)*PriceEssAnnual*EG47+EQ11*POWER(1-(AnnualChurn*VLOOKUP(ED47,ChurnSeasonTable,4,FALSE)),3)*PriceEssAnnual*EG47+ER35*POWER(1-(AnnualChurn*VLOOKUP(ED47,ChurnSeasonTable,4,FALSE)),1)*PricePremAnnual*EG47+ER23*POWER(1-(AnnualChurn*VLOOKUP(ED47,ChurnSeasonTable,4,FALSE)),2)*PricePremAnnual*EG47+ER11*POWER(1-(AnnualChurn*VLOOKUP(ED47,ChurnSeasonTable,4,FALSE)),3)*PricePremAnnual*EG47</f>
        <v/>
      </c>
      <c r="FC47" s="9">
        <f>EZ47+FA47+FB47</f>
        <v/>
      </c>
      <c r="FD47" s="12">
        <f>SUM(FC36:FC47)</f>
        <v/>
      </c>
      <c r="FE47" s="12">
        <f>OR(FE46,FD47&gt;=VATThreshold)</f>
        <v/>
      </c>
      <c r="FF47" s="9">
        <f>IF(FE47,FC47/(1+VATRate),FC47)</f>
        <v/>
      </c>
      <c r="FG47" s="12">
        <f>FC47-FF47</f>
        <v/>
      </c>
      <c r="FH47" s="12">
        <f>IF(FE47=0,0,IF(ED47=1,SUMPRODUCT(--(($EE$5:$EE47=$EE47-1)*($ED$5:$ED47&gt;=10)*($ED$5:$ED47&lt;=12)),$FG$5:$FG47),IF(ED47=4,SUMPRODUCT(--(($EE$5:$EE47=$EE47)*($ED$5:$ED47&gt;=1)*($ED$5:$ED47&lt;=3)),$FG$5:$FG47),IF(ED47=7,SUMPRODUCT(--(($EE$5:$EE47=$EE47)*($ED$5:$ED47&gt;=4)*($ED$5:$ED47&lt;=6)),$FG$5:$FG47),IF(ED47=10,SUMPRODUCT(--(($EE$5:$EE47=$EE47)*($ED$5:$ED47&gt;=7)*($ED$5:$ED47&lt;=9)),$FG$5:$FG47),0)))))</f>
        <v/>
      </c>
      <c r="FI47" s="12">
        <f>FI46+FG47-FH47</f>
        <v/>
      </c>
      <c r="FJ47" s="12">
        <f>IF(ProviderDelay&gt;=1,FF46*ProviderShare,FF47*ProviderShare)</f>
        <v/>
      </c>
      <c r="FK47" s="12">
        <f>FC47*PaymentFee</f>
        <v/>
      </c>
      <c r="FL47" s="12">
        <f>EW47*OpsAI</f>
        <v/>
      </c>
      <c r="FM47" s="12">
        <f>MonthlyFixed</f>
        <v/>
      </c>
      <c r="FN47" s="12">
        <f>EK47*ReferralReward</f>
        <v/>
      </c>
      <c r="FO47" s="12">
        <f>EI47</f>
        <v/>
      </c>
      <c r="FP47" s="9">
        <f>FF47-FJ47-FK47-FL47-FM47-FN47-FO47</f>
        <v/>
      </c>
      <c r="FQ47" s="9">
        <f>FQ46+FC47-(FJ47+FK47+FL47+FM47+FN47+FO47+FH47)</f>
        <v/>
      </c>
      <c r="FR47" s="12">
        <f>IF(EW47&gt;0,EX47/EW47,0)</f>
        <v/>
      </c>
      <c r="FS47" s="11">
        <f>IF(EW46&gt;0,MAX(0,(EW46+EL47-EW47)/EW46),0)</f>
        <v/>
      </c>
      <c r="FU47" s="12" t="n">
        <v>43</v>
      </c>
      <c r="FV47" s="12">
        <f>MOD(FU47-1+LaunchMonth-1,12)+1</f>
        <v/>
      </c>
      <c r="FW47" s="12">
        <f>INT((FU47-1+LaunchMonth-1)/12)+1</f>
        <v/>
      </c>
      <c r="FX47" s="12">
        <f>VLOOKUP(FV47,SeasonTable,2,FALSE)</f>
        <v/>
      </c>
      <c r="FY47" s="12">
        <f>(1+InflationRate)^INT((FU47-1)/12)</f>
        <v/>
      </c>
      <c r="FZ47" s="11">
        <f>'Sens - Churn'!$A$14*VLOOKUP(FV47,ChurnSeasonTable,4,FALSE)</f>
        <v/>
      </c>
      <c r="GA47" s="12">
        <f>MIN(MAX(MktMin19plus,GU46*MktPct19plus),MAX(0,HI46-CashBuffer))</f>
        <v/>
      </c>
      <c r="GB47" s="12">
        <f>IF(GA47&gt;0,MAX(1,ROUND(GA47/CAC*FX47,0)),0)</f>
        <v/>
      </c>
      <c r="GC47" s="12">
        <f>IF(GB47&gt;0,ROUND(GB47*ReferralMix/(1-ReferralMix),0),0)</f>
        <v/>
      </c>
      <c r="GD47" s="12">
        <f>GB47+GC47</f>
        <v/>
      </c>
      <c r="GE47" s="12">
        <f>ROUND(GD47*(1-AnnualMix),0)</f>
        <v/>
      </c>
      <c r="GF47" s="12">
        <f>GD47-GE47</f>
        <v/>
      </c>
      <c r="GG47" s="12">
        <f>ROUND(GE47*EssentialMix,0)</f>
        <v/>
      </c>
      <c r="GH47" s="12">
        <f>GE47-GG47</f>
        <v/>
      </c>
      <c r="GI47" s="12">
        <f>ROUND(GF47*EssentialMix,0)</f>
        <v/>
      </c>
      <c r="GJ47" s="12">
        <f>GF47-GI47</f>
        <v/>
      </c>
      <c r="GK47" s="12">
        <f>GG47+GG46+GG45+MAX(0,GK46-GG46-GG45)*(1-FZ47)</f>
        <v/>
      </c>
      <c r="GL47" s="12">
        <f>GH47+GH46+GH45+MAX(0,GL46-GH46-GH45)*(1-FZ47)</f>
        <v/>
      </c>
      <c r="GM47" s="12">
        <f>GM46+GI47-GI35*(AnnualChurn*VLOOKUP(FV47,ChurnSeasonTable,4,FALSE))*POWER(1-(AnnualChurn*VLOOKUP(FV47,ChurnSeasonTable,4,FALSE)),0)+GI23*(AnnualChurn*VLOOKUP(FV47,ChurnSeasonTable,4,FALSE))*POWER(1-(AnnualChurn*VLOOKUP(FV47,ChurnSeasonTable,4,FALSE)),1)+GI11*(AnnualChurn*VLOOKUP(FV47,ChurnSeasonTable,4,FALSE))*POWER(1-(AnnualChurn*VLOOKUP(FV47,ChurnSeasonTable,4,FALSE)),2)</f>
        <v/>
      </c>
      <c r="GN47" s="12">
        <f>GN46+GJ47-GJ35*(AnnualChurn*VLOOKUP(FV47,ChurnSeasonTable,4,FALSE))*POWER(1-(AnnualChurn*VLOOKUP(FV47,ChurnSeasonTable,4,FALSE)),0)+GJ23*(AnnualChurn*VLOOKUP(FV47,ChurnSeasonTable,4,FALSE))*POWER(1-(AnnualChurn*VLOOKUP(FV47,ChurnSeasonTable,4,FALSE)),1)+GJ11*(AnnualChurn*VLOOKUP(FV47,ChurnSeasonTable,4,FALSE))*POWER(1-(AnnualChurn*VLOOKUP(FV47,ChurnSeasonTable,4,FALSE)),2)</f>
        <v/>
      </c>
      <c r="GO47" s="12">
        <f>GK47+GL47+GM47+GN47</f>
        <v/>
      </c>
      <c r="GP47" s="9">
        <f>GK47*PriceEssMonthly*FY47+GL47*PricePremMonthly*FY47+GM47*PriceEssAnnual*FY47/12+GN47*PricePremAnnual*FY47/12</f>
        <v/>
      </c>
      <c r="GQ47" s="9">
        <f>GP47*12</f>
        <v/>
      </c>
      <c r="GR47" s="12">
        <f>GK47*PriceEssMonthly*FY47+GL47*PricePremMonthly*FY47</f>
        <v/>
      </c>
      <c r="GS47" s="12">
        <f>GI47*PriceEssAnnual*FY47+GJ47*PricePremAnnual*FY47</f>
        <v/>
      </c>
      <c r="GT47" s="12">
        <f>GI35*POWER(1-(AnnualChurn*VLOOKUP(FV47,ChurnSeasonTable,4,FALSE)),1)*PriceEssAnnual*FY47+GI23*POWER(1-(AnnualChurn*VLOOKUP(FV47,ChurnSeasonTable,4,FALSE)),2)*PriceEssAnnual*FY47+GI11*POWER(1-(AnnualChurn*VLOOKUP(FV47,ChurnSeasonTable,4,FALSE)),3)*PriceEssAnnual*FY47+GJ35*POWER(1-(AnnualChurn*VLOOKUP(FV47,ChurnSeasonTable,4,FALSE)),1)*PricePremAnnual*FY47+GJ23*POWER(1-(AnnualChurn*VLOOKUP(FV47,ChurnSeasonTable,4,FALSE)),2)*PricePremAnnual*FY47+GJ11*POWER(1-(AnnualChurn*VLOOKUP(FV47,ChurnSeasonTable,4,FALSE)),3)*PricePremAnnual*FY47</f>
        <v/>
      </c>
      <c r="GU47" s="9">
        <f>GR47+GS47+GT47</f>
        <v/>
      </c>
      <c r="GV47" s="12">
        <f>SUM(GU36:GU47)</f>
        <v/>
      </c>
      <c r="GW47" s="12">
        <f>OR(GW46,GV47&gt;=VATThreshold)</f>
        <v/>
      </c>
      <c r="GX47" s="9">
        <f>IF(GW47,GU47/(1+VATRate),GU47)</f>
        <v/>
      </c>
      <c r="GY47" s="12">
        <f>GU47-GX47</f>
        <v/>
      </c>
      <c r="GZ47" s="12">
        <f>IF(GW47=0,0,IF(FV47=1,SUMPRODUCT(--(($FW$5:$FW47=$FW47-1)*($FV$5:$FV47&gt;=10)*($FV$5:$FV47&lt;=12)),$GY$5:$GY47),IF(FV47=4,SUMPRODUCT(--(($FW$5:$FW47=$FW47)*($FV$5:$FV47&gt;=1)*($FV$5:$FV47&lt;=3)),$GY$5:$GY47),IF(FV47=7,SUMPRODUCT(--(($FW$5:$FW47=$FW47)*($FV$5:$FV47&gt;=4)*($FV$5:$FV47&lt;=6)),$GY$5:$GY47),IF(FV47=10,SUMPRODUCT(--(($FW$5:$FW47=$FW47)*($FV$5:$FV47&gt;=7)*($FV$5:$FV47&lt;=9)),$GY$5:$GY47),0)))))</f>
        <v/>
      </c>
      <c r="HA47" s="12">
        <f>HA46+GY47-GZ47</f>
        <v/>
      </c>
      <c r="HB47" s="12">
        <f>IF(ProviderDelay&gt;=1,GX46*ProviderShare,GX47*ProviderShare)</f>
        <v/>
      </c>
      <c r="HC47" s="12">
        <f>GU47*PaymentFee</f>
        <v/>
      </c>
      <c r="HD47" s="12">
        <f>GO47*OpsAI</f>
        <v/>
      </c>
      <c r="HE47" s="12">
        <f>MonthlyFixed</f>
        <v/>
      </c>
      <c r="HF47" s="12">
        <f>GC47*ReferralReward</f>
        <v/>
      </c>
      <c r="HG47" s="12">
        <f>GA47</f>
        <v/>
      </c>
      <c r="HH47" s="9">
        <f>GX47-HB47-HC47-HD47-HE47-HF47-HG47</f>
        <v/>
      </c>
      <c r="HI47" s="9">
        <f>HI46+GU47-(HB47+HC47+HD47+HE47+HF47+HG47+GZ47)</f>
        <v/>
      </c>
      <c r="HJ47" s="12">
        <f>IF(GO47&gt;0,GP47/GO47,0)</f>
        <v/>
      </c>
      <c r="HK47" s="11">
        <f>IF(GO46&gt;0,MAX(0,(GO46+GD47-GO47)/GO46),0)</f>
        <v/>
      </c>
      <c r="HM47" s="12" t="n">
        <v>43</v>
      </c>
      <c r="HN47" s="12">
        <f>MOD(HM47-1+LaunchMonth-1,12)+1</f>
        <v/>
      </c>
      <c r="HO47" s="12">
        <f>INT((HM47-1+LaunchMonth-1)/12)+1</f>
        <v/>
      </c>
      <c r="HP47" s="12">
        <f>VLOOKUP(HN47,SeasonTable,2,FALSE)</f>
        <v/>
      </c>
      <c r="HQ47" s="12">
        <f>(1+InflationRate)^INT((HM47-1)/12)</f>
        <v/>
      </c>
      <c r="HR47" s="11">
        <f>'Sens - Churn'!$A$15*VLOOKUP(HN47,ChurnSeasonTable,4,FALSE)</f>
        <v/>
      </c>
      <c r="HS47" s="12">
        <f>MIN(MAX(MktMin19plus,IM46*MktPct19plus),MAX(0,JA46-CashBuffer))</f>
        <v/>
      </c>
      <c r="HT47" s="12">
        <f>IF(HS47&gt;0,MAX(1,ROUND(HS47/CAC*HP47,0)),0)</f>
        <v/>
      </c>
      <c r="HU47" s="12">
        <f>IF(HT47&gt;0,ROUND(HT47*ReferralMix/(1-ReferralMix),0),0)</f>
        <v/>
      </c>
      <c r="HV47" s="12">
        <f>HT47+HU47</f>
        <v/>
      </c>
      <c r="HW47" s="12">
        <f>ROUND(HV47*(1-AnnualMix),0)</f>
        <v/>
      </c>
      <c r="HX47" s="12">
        <f>HV47-HW47</f>
        <v/>
      </c>
      <c r="HY47" s="12">
        <f>ROUND(HW47*EssentialMix,0)</f>
        <v/>
      </c>
      <c r="HZ47" s="12">
        <f>HW47-HY47</f>
        <v/>
      </c>
      <c r="IA47" s="12">
        <f>ROUND(HX47*EssentialMix,0)</f>
        <v/>
      </c>
      <c r="IB47" s="12">
        <f>HX47-IA47</f>
        <v/>
      </c>
      <c r="IC47" s="12">
        <f>HY47+HY46+HY45+MAX(0,IC46-HY46-HY45)*(1-HR47)</f>
        <v/>
      </c>
      <c r="ID47" s="12">
        <f>HZ47+HZ46+HZ45+MAX(0,ID46-HZ46-HZ45)*(1-HR47)</f>
        <v/>
      </c>
      <c r="IE47" s="12">
        <f>IE46+IA47-IA35*(AnnualChurn*VLOOKUP(HN47,ChurnSeasonTable,4,FALSE))*POWER(1-(AnnualChurn*VLOOKUP(HN47,ChurnSeasonTable,4,FALSE)),0)+IA23*(AnnualChurn*VLOOKUP(HN47,ChurnSeasonTable,4,FALSE))*POWER(1-(AnnualChurn*VLOOKUP(HN47,ChurnSeasonTable,4,FALSE)),1)+IA11*(AnnualChurn*VLOOKUP(HN47,ChurnSeasonTable,4,FALSE))*POWER(1-(AnnualChurn*VLOOKUP(HN47,ChurnSeasonTable,4,FALSE)),2)</f>
        <v/>
      </c>
      <c r="IF47" s="12">
        <f>IF46+IB47-IB35*(AnnualChurn*VLOOKUP(HN47,ChurnSeasonTable,4,FALSE))*POWER(1-(AnnualChurn*VLOOKUP(HN47,ChurnSeasonTable,4,FALSE)),0)+IB23*(AnnualChurn*VLOOKUP(HN47,ChurnSeasonTable,4,FALSE))*POWER(1-(AnnualChurn*VLOOKUP(HN47,ChurnSeasonTable,4,FALSE)),1)+IB11*(AnnualChurn*VLOOKUP(HN47,ChurnSeasonTable,4,FALSE))*POWER(1-(AnnualChurn*VLOOKUP(HN47,ChurnSeasonTable,4,FALSE)),2)</f>
        <v/>
      </c>
      <c r="IG47" s="12">
        <f>IC47+ID47+IE47+IF47</f>
        <v/>
      </c>
      <c r="IH47" s="9">
        <f>IC47*PriceEssMonthly*HQ47+ID47*PricePremMonthly*HQ47+IE47*PriceEssAnnual*HQ47/12+IF47*PricePremAnnual*HQ47/12</f>
        <v/>
      </c>
      <c r="II47" s="9">
        <f>IH47*12</f>
        <v/>
      </c>
      <c r="IJ47" s="12">
        <f>IC47*PriceEssMonthly*HQ47+ID47*PricePremMonthly*HQ47</f>
        <v/>
      </c>
      <c r="IK47" s="12">
        <f>IA47*PriceEssAnnual*HQ47+IB47*PricePremAnnual*HQ47</f>
        <v/>
      </c>
      <c r="IL47" s="12">
        <f>IA35*POWER(1-(AnnualChurn*VLOOKUP(HN47,ChurnSeasonTable,4,FALSE)),1)*PriceEssAnnual*HQ47+IA23*POWER(1-(AnnualChurn*VLOOKUP(HN47,ChurnSeasonTable,4,FALSE)),2)*PriceEssAnnual*HQ47+IA11*POWER(1-(AnnualChurn*VLOOKUP(HN47,ChurnSeasonTable,4,FALSE)),3)*PriceEssAnnual*HQ47+IB35*POWER(1-(AnnualChurn*VLOOKUP(HN47,ChurnSeasonTable,4,FALSE)),1)*PricePremAnnual*HQ47+IB23*POWER(1-(AnnualChurn*VLOOKUP(HN47,ChurnSeasonTable,4,FALSE)),2)*PricePremAnnual*HQ47+IB11*POWER(1-(AnnualChurn*VLOOKUP(HN47,ChurnSeasonTable,4,FALSE)),3)*PricePremAnnual*HQ47</f>
        <v/>
      </c>
      <c r="IM47" s="9">
        <f>IJ47+IK47+IL47</f>
        <v/>
      </c>
      <c r="IN47" s="12">
        <f>SUM(IM36:IM47)</f>
        <v/>
      </c>
      <c r="IO47" s="12">
        <f>OR(IO46,IN47&gt;=VATThreshold)</f>
        <v/>
      </c>
      <c r="IP47" s="9">
        <f>IF(IO47,IM47/(1+VATRate),IM47)</f>
        <v/>
      </c>
      <c r="IQ47" s="12">
        <f>IM47-IP47</f>
        <v/>
      </c>
      <c r="IR47" s="12">
        <f>IF(IO47=0,0,IF(HN47=1,SUMPRODUCT(--(($HO$5:$HO47=$HO47-1)*($HN$5:$HN47&gt;=10)*($HN$5:$HN47&lt;=12)),$IQ$5:$IQ47),IF(HN47=4,SUMPRODUCT(--(($HO$5:$HO47=$HO47)*($HN$5:$HN47&gt;=1)*($HN$5:$HN47&lt;=3)),$IQ$5:$IQ47),IF(HN47=7,SUMPRODUCT(--(($HO$5:$HO47=$HO47)*($HN$5:$HN47&gt;=4)*($HN$5:$HN47&lt;=6)),$IQ$5:$IQ47),IF(HN47=10,SUMPRODUCT(--(($HO$5:$HO47=$HO47)*($HN$5:$HN47&gt;=7)*($HN$5:$HN47&lt;=9)),$IQ$5:$IQ47),0)))))</f>
        <v/>
      </c>
      <c r="IS47" s="12">
        <f>IS46+IQ47-IR47</f>
        <v/>
      </c>
      <c r="IT47" s="12">
        <f>IF(ProviderDelay&gt;=1,IP46*ProviderShare,IP47*ProviderShare)</f>
        <v/>
      </c>
      <c r="IU47" s="12">
        <f>IM47*PaymentFee</f>
        <v/>
      </c>
      <c r="IV47" s="12">
        <f>IG47*OpsAI</f>
        <v/>
      </c>
      <c r="IW47" s="12">
        <f>MonthlyFixed</f>
        <v/>
      </c>
      <c r="IX47" s="12">
        <f>HU47*ReferralReward</f>
        <v/>
      </c>
      <c r="IY47" s="12">
        <f>HS47</f>
        <v/>
      </c>
      <c r="IZ47" s="9">
        <f>IP47-IT47-IU47-IV47-IW47-IX47-IY47</f>
        <v/>
      </c>
      <c r="JA47" s="9">
        <f>JA46+IM47-(IT47+IU47+IV47+IW47+IX47+IY47+IR47)</f>
        <v/>
      </c>
      <c r="JB47" s="12">
        <f>IF(IG47&gt;0,IH47/IG47,0)</f>
        <v/>
      </c>
      <c r="JC47" s="11">
        <f>IF(IG46&gt;0,MAX(0,(IG46+HV47-IG47)/IG46),0)</f>
        <v/>
      </c>
      <c r="JE47" s="12" t="n">
        <v>43</v>
      </c>
      <c r="JF47" s="12">
        <f>MOD(JE47-1+LaunchMonth-1,12)+1</f>
        <v/>
      </c>
      <c r="JG47" s="12">
        <f>INT((JE47-1+LaunchMonth-1)/12)+1</f>
        <v/>
      </c>
      <c r="JH47" s="12">
        <f>VLOOKUP(JF47,SeasonTable,2,FALSE)</f>
        <v/>
      </c>
      <c r="JI47" s="12">
        <f>(1+InflationRate)^INT((JE47-1)/12)</f>
        <v/>
      </c>
      <c r="JJ47" s="11">
        <f>'Sens - Churn'!$A$16*VLOOKUP(JF47,ChurnSeasonTable,4,FALSE)</f>
        <v/>
      </c>
      <c r="JK47" s="12">
        <f>MIN(MAX(MktMin19plus,KE46*MktPct19plus),MAX(0,KS46-CashBuffer))</f>
        <v/>
      </c>
      <c r="JL47" s="12">
        <f>IF(JK47&gt;0,MAX(1,ROUND(JK47/CAC*JH47,0)),0)</f>
        <v/>
      </c>
      <c r="JM47" s="12">
        <f>IF(JL47&gt;0,ROUND(JL47*ReferralMix/(1-ReferralMix),0),0)</f>
        <v/>
      </c>
      <c r="JN47" s="12">
        <f>JL47+JM47</f>
        <v/>
      </c>
      <c r="JO47" s="12">
        <f>ROUND(JN47*(1-AnnualMix),0)</f>
        <v/>
      </c>
      <c r="JP47" s="12">
        <f>JN47-JO47</f>
        <v/>
      </c>
      <c r="JQ47" s="12">
        <f>ROUND(JO47*EssentialMix,0)</f>
        <v/>
      </c>
      <c r="JR47" s="12">
        <f>JO47-JQ47</f>
        <v/>
      </c>
      <c r="JS47" s="12">
        <f>ROUND(JP47*EssentialMix,0)</f>
        <v/>
      </c>
      <c r="JT47" s="12">
        <f>JP47-JS47</f>
        <v/>
      </c>
      <c r="JU47" s="12">
        <f>JQ47+JQ46+JQ45+MAX(0,JU46-JQ46-JQ45)*(1-JJ47)</f>
        <v/>
      </c>
      <c r="JV47" s="12">
        <f>JR47+JR46+JR45+MAX(0,JV46-JR46-JR45)*(1-JJ47)</f>
        <v/>
      </c>
      <c r="JW47" s="12">
        <f>JW46+JS47-JS35*(AnnualChurn*VLOOKUP(JF47,ChurnSeasonTable,4,FALSE))*POWER(1-(AnnualChurn*VLOOKUP(JF47,ChurnSeasonTable,4,FALSE)),0)+JS23*(AnnualChurn*VLOOKUP(JF47,ChurnSeasonTable,4,FALSE))*POWER(1-(AnnualChurn*VLOOKUP(JF47,ChurnSeasonTable,4,FALSE)),1)+JS11*(AnnualChurn*VLOOKUP(JF47,ChurnSeasonTable,4,FALSE))*POWER(1-(AnnualChurn*VLOOKUP(JF47,ChurnSeasonTable,4,FALSE)),2)</f>
        <v/>
      </c>
      <c r="JX47" s="12">
        <f>JX46+JT47-JT35*(AnnualChurn*VLOOKUP(JF47,ChurnSeasonTable,4,FALSE))*POWER(1-(AnnualChurn*VLOOKUP(JF47,ChurnSeasonTable,4,FALSE)),0)+JT23*(AnnualChurn*VLOOKUP(JF47,ChurnSeasonTable,4,FALSE))*POWER(1-(AnnualChurn*VLOOKUP(JF47,ChurnSeasonTable,4,FALSE)),1)+JT11*(AnnualChurn*VLOOKUP(JF47,ChurnSeasonTable,4,FALSE))*POWER(1-(AnnualChurn*VLOOKUP(JF47,ChurnSeasonTable,4,FALSE)),2)</f>
        <v/>
      </c>
      <c r="JY47" s="12">
        <f>JU47+JV47+JW47+JX47</f>
        <v/>
      </c>
      <c r="JZ47" s="9">
        <f>JU47*PriceEssMonthly*JI47+JV47*PricePremMonthly*JI47+JW47*PriceEssAnnual*JI47/12+JX47*PricePremAnnual*JI47/12</f>
        <v/>
      </c>
      <c r="KA47" s="9">
        <f>JZ47*12</f>
        <v/>
      </c>
      <c r="KB47" s="12">
        <f>JU47*PriceEssMonthly*JI47+JV47*PricePremMonthly*JI47</f>
        <v/>
      </c>
      <c r="KC47" s="12">
        <f>JS47*PriceEssAnnual*JI47+JT47*PricePremAnnual*JI47</f>
        <v/>
      </c>
      <c r="KD47" s="12">
        <f>JS35*POWER(1-(AnnualChurn*VLOOKUP(JF47,ChurnSeasonTable,4,FALSE)),1)*PriceEssAnnual*JI47+JS23*POWER(1-(AnnualChurn*VLOOKUP(JF47,ChurnSeasonTable,4,FALSE)),2)*PriceEssAnnual*JI47+JS11*POWER(1-(AnnualChurn*VLOOKUP(JF47,ChurnSeasonTable,4,FALSE)),3)*PriceEssAnnual*JI47+JT35*POWER(1-(AnnualChurn*VLOOKUP(JF47,ChurnSeasonTable,4,FALSE)),1)*PricePremAnnual*JI47+JT23*POWER(1-(AnnualChurn*VLOOKUP(JF47,ChurnSeasonTable,4,FALSE)),2)*PricePremAnnual*JI47+JT11*POWER(1-(AnnualChurn*VLOOKUP(JF47,ChurnSeasonTable,4,FALSE)),3)*PricePremAnnual*JI47</f>
        <v/>
      </c>
      <c r="KE47" s="9">
        <f>KB47+KC47+KD47</f>
        <v/>
      </c>
      <c r="KF47" s="12">
        <f>SUM(KE36:KE47)</f>
        <v/>
      </c>
      <c r="KG47" s="12">
        <f>OR(KG46,KF47&gt;=VATThreshold)</f>
        <v/>
      </c>
      <c r="KH47" s="9">
        <f>IF(KG47,KE47/(1+VATRate),KE47)</f>
        <v/>
      </c>
      <c r="KI47" s="12">
        <f>KE47-KH47</f>
        <v/>
      </c>
      <c r="KJ47" s="12">
        <f>IF(KG47=0,0,IF(JF47=1,SUMPRODUCT(--(($JG$5:$JG47=$JG47-1)*($JF$5:$JF47&gt;=10)*($JF$5:$JF47&lt;=12)),$KI$5:$KI47),IF(JF47=4,SUMPRODUCT(--(($JG$5:$JG47=$JG47)*($JF$5:$JF47&gt;=1)*($JF$5:$JF47&lt;=3)),$KI$5:$KI47),IF(JF47=7,SUMPRODUCT(--(($JG$5:$JG47=$JG47)*($JF$5:$JF47&gt;=4)*($JF$5:$JF47&lt;=6)),$KI$5:$KI47),IF(JF47=10,SUMPRODUCT(--(($JG$5:$JG47=$JG47)*($JF$5:$JF47&gt;=7)*($JF$5:$JF47&lt;=9)),$KI$5:$KI47),0)))))</f>
        <v/>
      </c>
      <c r="KK47" s="12">
        <f>KK46+KI47-KJ47</f>
        <v/>
      </c>
      <c r="KL47" s="12">
        <f>IF(ProviderDelay&gt;=1,KH46*ProviderShare,KH47*ProviderShare)</f>
        <v/>
      </c>
      <c r="KM47" s="12">
        <f>KE47*PaymentFee</f>
        <v/>
      </c>
      <c r="KN47" s="12">
        <f>JY47*OpsAI</f>
        <v/>
      </c>
      <c r="KO47" s="12">
        <f>MonthlyFixed</f>
        <v/>
      </c>
      <c r="KP47" s="12">
        <f>JM47*ReferralReward</f>
        <v/>
      </c>
      <c r="KQ47" s="12">
        <f>JK47</f>
        <v/>
      </c>
      <c r="KR47" s="9">
        <f>KH47-KL47-KM47-KN47-KO47-KP47-KQ47</f>
        <v/>
      </c>
      <c r="KS47" s="9">
        <f>KS46+KE47-(KL47+KM47+KN47+KO47+KP47+KQ47+KJ47)</f>
        <v/>
      </c>
      <c r="KT47" s="12">
        <f>IF(JY47&gt;0,JZ47/JY47,0)</f>
        <v/>
      </c>
      <c r="KU47" s="11">
        <f>IF(JY46&gt;0,MAX(0,(JY46+JN47-JY47)/JY46),0)</f>
        <v/>
      </c>
      <c r="KW47" s="12" t="n">
        <v>43</v>
      </c>
      <c r="KX47" s="12">
        <f>MOD(KW47-1+LaunchMonth-1,12)+1</f>
        <v/>
      </c>
      <c r="KY47" s="12">
        <f>INT((KW47-1+LaunchMonth-1)/12)+1</f>
        <v/>
      </c>
      <c r="KZ47" s="12">
        <f>VLOOKUP(KX47,SeasonTable,2,FALSE)</f>
        <v/>
      </c>
      <c r="LA47" s="12">
        <f>(1+InflationRate)^INT((KW47-1)/12)</f>
        <v/>
      </c>
      <c r="LB47" s="11">
        <f>'Sens - Churn'!$A$17*VLOOKUP(KX47,ChurnSeasonTable,4,FALSE)</f>
        <v/>
      </c>
      <c r="LC47" s="12">
        <f>MIN(MAX(MktMin19plus,LW46*MktPct19plus),MAX(0,MK46-CashBuffer))</f>
        <v/>
      </c>
      <c r="LD47" s="12">
        <f>IF(LC47&gt;0,MAX(1,ROUND(LC47/CAC*KZ47,0)),0)</f>
        <v/>
      </c>
      <c r="LE47" s="12">
        <f>IF(LD47&gt;0,ROUND(LD47*ReferralMix/(1-ReferralMix),0),0)</f>
        <v/>
      </c>
      <c r="LF47" s="12">
        <f>LD47+LE47</f>
        <v/>
      </c>
      <c r="LG47" s="12">
        <f>ROUND(LF47*(1-AnnualMix),0)</f>
        <v/>
      </c>
      <c r="LH47" s="12">
        <f>LF47-LG47</f>
        <v/>
      </c>
      <c r="LI47" s="12">
        <f>ROUND(LG47*EssentialMix,0)</f>
        <v/>
      </c>
      <c r="LJ47" s="12">
        <f>LG47-LI47</f>
        <v/>
      </c>
      <c r="LK47" s="12">
        <f>ROUND(LH47*EssentialMix,0)</f>
        <v/>
      </c>
      <c r="LL47" s="12">
        <f>LH47-LK47</f>
        <v/>
      </c>
      <c r="LM47" s="12">
        <f>LI47+LI46+LI45+MAX(0,LM46-LI46-LI45)*(1-LB47)</f>
        <v/>
      </c>
      <c r="LN47" s="12">
        <f>LJ47+LJ46+LJ45+MAX(0,LN46-LJ46-LJ45)*(1-LB47)</f>
        <v/>
      </c>
      <c r="LO47" s="12">
        <f>LO46+LK47-LK35*(AnnualChurn*VLOOKUP(KX47,ChurnSeasonTable,4,FALSE))*POWER(1-(AnnualChurn*VLOOKUP(KX47,ChurnSeasonTable,4,FALSE)),0)+LK23*(AnnualChurn*VLOOKUP(KX47,ChurnSeasonTable,4,FALSE))*POWER(1-(AnnualChurn*VLOOKUP(KX47,ChurnSeasonTable,4,FALSE)),1)+LK11*(AnnualChurn*VLOOKUP(KX47,ChurnSeasonTable,4,FALSE))*POWER(1-(AnnualChurn*VLOOKUP(KX47,ChurnSeasonTable,4,FALSE)),2)</f>
        <v/>
      </c>
      <c r="LP47" s="12">
        <f>LP46+LL47-LL35*(AnnualChurn*VLOOKUP(KX47,ChurnSeasonTable,4,FALSE))*POWER(1-(AnnualChurn*VLOOKUP(KX47,ChurnSeasonTable,4,FALSE)),0)+LL23*(AnnualChurn*VLOOKUP(KX47,ChurnSeasonTable,4,FALSE))*POWER(1-(AnnualChurn*VLOOKUP(KX47,ChurnSeasonTable,4,FALSE)),1)+LL11*(AnnualChurn*VLOOKUP(KX47,ChurnSeasonTable,4,FALSE))*POWER(1-(AnnualChurn*VLOOKUP(KX47,ChurnSeasonTable,4,FALSE)),2)</f>
        <v/>
      </c>
      <c r="LQ47" s="12">
        <f>LM47+LN47+LO47+LP47</f>
        <v/>
      </c>
      <c r="LR47" s="9">
        <f>LM47*PriceEssMonthly*LA47+LN47*PricePremMonthly*LA47+LO47*PriceEssAnnual*LA47/12+LP47*PricePremAnnual*LA47/12</f>
        <v/>
      </c>
      <c r="LS47" s="9">
        <f>LR47*12</f>
        <v/>
      </c>
      <c r="LT47" s="12">
        <f>LM47*PriceEssMonthly*LA47+LN47*PricePremMonthly*LA47</f>
        <v/>
      </c>
      <c r="LU47" s="12">
        <f>LK47*PriceEssAnnual*LA47+LL47*PricePremAnnual*LA47</f>
        <v/>
      </c>
      <c r="LV47" s="12">
        <f>LK35*POWER(1-(AnnualChurn*VLOOKUP(KX47,ChurnSeasonTable,4,FALSE)),1)*PriceEssAnnual*LA47+LK23*POWER(1-(AnnualChurn*VLOOKUP(KX47,ChurnSeasonTable,4,FALSE)),2)*PriceEssAnnual*LA47+LK11*POWER(1-(AnnualChurn*VLOOKUP(KX47,ChurnSeasonTable,4,FALSE)),3)*PriceEssAnnual*LA47+LL35*POWER(1-(AnnualChurn*VLOOKUP(KX47,ChurnSeasonTable,4,FALSE)),1)*PricePremAnnual*LA47+LL23*POWER(1-(AnnualChurn*VLOOKUP(KX47,ChurnSeasonTable,4,FALSE)),2)*PricePremAnnual*LA47+LL11*POWER(1-(AnnualChurn*VLOOKUP(KX47,ChurnSeasonTable,4,FALSE)),3)*PricePremAnnual*LA47</f>
        <v/>
      </c>
      <c r="LW47" s="9">
        <f>LT47+LU47+LV47</f>
        <v/>
      </c>
      <c r="LX47" s="12">
        <f>SUM(LW36:LW47)</f>
        <v/>
      </c>
      <c r="LY47" s="12">
        <f>OR(LY46,LX47&gt;=VATThreshold)</f>
        <v/>
      </c>
      <c r="LZ47" s="9">
        <f>IF(LY47,LW47/(1+VATRate),LW47)</f>
        <v/>
      </c>
      <c r="MA47" s="12">
        <f>LW47-LZ47</f>
        <v/>
      </c>
      <c r="MB47" s="12">
        <f>IF(LY47=0,0,IF(KX47=1,SUMPRODUCT(--(($KY$5:$KY47=$KY47-1)*($KX$5:$KX47&gt;=10)*($KX$5:$KX47&lt;=12)),$MA$5:$MA47),IF(KX47=4,SUMPRODUCT(--(($KY$5:$KY47=$KY47)*($KX$5:$KX47&gt;=1)*($KX$5:$KX47&lt;=3)),$MA$5:$MA47),IF(KX47=7,SUMPRODUCT(--(($KY$5:$KY47=$KY47)*($KX$5:$KX47&gt;=4)*($KX$5:$KX47&lt;=6)),$MA$5:$MA47),IF(KX47=10,SUMPRODUCT(--(($KY$5:$KY47=$KY47)*($KX$5:$KX47&gt;=7)*($KX$5:$KX47&lt;=9)),$MA$5:$MA47),0)))))</f>
        <v/>
      </c>
      <c r="MC47" s="12">
        <f>MC46+MA47-MB47</f>
        <v/>
      </c>
      <c r="MD47" s="12">
        <f>IF(ProviderDelay&gt;=1,LZ46*ProviderShare,LZ47*ProviderShare)</f>
        <v/>
      </c>
      <c r="ME47" s="12">
        <f>LW47*PaymentFee</f>
        <v/>
      </c>
      <c r="MF47" s="12">
        <f>LQ47*OpsAI</f>
        <v/>
      </c>
      <c r="MG47" s="12">
        <f>MonthlyFixed</f>
        <v/>
      </c>
      <c r="MH47" s="12">
        <f>LE47*ReferralReward</f>
        <v/>
      </c>
      <c r="MI47" s="12">
        <f>LC47</f>
        <v/>
      </c>
      <c r="MJ47" s="9">
        <f>LZ47-MD47-ME47-MF47-MG47-MH47-MI47</f>
        <v/>
      </c>
      <c r="MK47" s="9">
        <f>MK46+LW47-(MD47+ME47+MF47+MG47+MH47+MI47+MB47)</f>
        <v/>
      </c>
      <c r="ML47" s="12">
        <f>IF(LQ47&gt;0,LR47/LQ47,0)</f>
        <v/>
      </c>
      <c r="MM47" s="11">
        <f>IF(LQ46&gt;0,MAX(0,(LQ46+LF47-LQ47)/LQ46),0)</f>
        <v/>
      </c>
      <c r="MO47" s="12" t="n">
        <v>43</v>
      </c>
      <c r="MP47" s="12">
        <f>MOD(MO47-1+LaunchMonth-1,12)+1</f>
        <v/>
      </c>
      <c r="MQ47" s="12">
        <f>INT((MO47-1+LaunchMonth-1)/12)+1</f>
        <v/>
      </c>
      <c r="MR47" s="12">
        <f>VLOOKUP(MP47,SeasonTable,2,FALSE)</f>
        <v/>
      </c>
      <c r="MS47" s="12">
        <f>(1+InflationRate)^INT((MO47-1)/12)</f>
        <v/>
      </c>
      <c r="MT47" s="11">
        <f>'Sens - Churn'!$A$18*VLOOKUP(MP47,ChurnSeasonTable,4,FALSE)</f>
        <v/>
      </c>
      <c r="MU47" s="12">
        <f>MIN(MAX(MktMin19plus,NO46*MktPct19plus),MAX(0,OC46-CashBuffer))</f>
        <v/>
      </c>
      <c r="MV47" s="12">
        <f>IF(MU47&gt;0,MAX(1,ROUND(MU47/CAC*MR47,0)),0)</f>
        <v/>
      </c>
      <c r="MW47" s="12">
        <f>IF(MV47&gt;0,ROUND(MV47*ReferralMix/(1-ReferralMix),0),0)</f>
        <v/>
      </c>
      <c r="MX47" s="12">
        <f>MV47+MW47</f>
        <v/>
      </c>
      <c r="MY47" s="12">
        <f>ROUND(MX47*(1-AnnualMix),0)</f>
        <v/>
      </c>
      <c r="MZ47" s="12">
        <f>MX47-MY47</f>
        <v/>
      </c>
      <c r="NA47" s="12">
        <f>ROUND(MY47*EssentialMix,0)</f>
        <v/>
      </c>
      <c r="NB47" s="12">
        <f>MY47-NA47</f>
        <v/>
      </c>
      <c r="NC47" s="12">
        <f>ROUND(MZ47*EssentialMix,0)</f>
        <v/>
      </c>
      <c r="ND47" s="12">
        <f>MZ47-NC47</f>
        <v/>
      </c>
      <c r="NE47" s="12">
        <f>NA47+NA46+NA45+MAX(0,NE46-NA46-NA45)*(1-MT47)</f>
        <v/>
      </c>
      <c r="NF47" s="12">
        <f>NB47+NB46+NB45+MAX(0,NF46-NB46-NB45)*(1-MT47)</f>
        <v/>
      </c>
      <c r="NG47" s="12">
        <f>NG46+NC47-NC35*(AnnualChurn*VLOOKUP(MP47,ChurnSeasonTable,4,FALSE))*POWER(1-(AnnualChurn*VLOOKUP(MP47,ChurnSeasonTable,4,FALSE)),0)+NC23*(AnnualChurn*VLOOKUP(MP47,ChurnSeasonTable,4,FALSE))*POWER(1-(AnnualChurn*VLOOKUP(MP47,ChurnSeasonTable,4,FALSE)),1)+NC11*(AnnualChurn*VLOOKUP(MP47,ChurnSeasonTable,4,FALSE))*POWER(1-(AnnualChurn*VLOOKUP(MP47,ChurnSeasonTable,4,FALSE)),2)</f>
        <v/>
      </c>
      <c r="NH47" s="12">
        <f>NH46+ND47-ND35*(AnnualChurn*VLOOKUP(MP47,ChurnSeasonTable,4,FALSE))*POWER(1-(AnnualChurn*VLOOKUP(MP47,ChurnSeasonTable,4,FALSE)),0)+ND23*(AnnualChurn*VLOOKUP(MP47,ChurnSeasonTable,4,FALSE))*POWER(1-(AnnualChurn*VLOOKUP(MP47,ChurnSeasonTable,4,FALSE)),1)+ND11*(AnnualChurn*VLOOKUP(MP47,ChurnSeasonTable,4,FALSE))*POWER(1-(AnnualChurn*VLOOKUP(MP47,ChurnSeasonTable,4,FALSE)),2)</f>
        <v/>
      </c>
      <c r="NI47" s="12">
        <f>NE47+NF47+NG47+NH47</f>
        <v/>
      </c>
      <c r="NJ47" s="9">
        <f>NE47*PriceEssMonthly*MS47+NF47*PricePremMonthly*MS47+NG47*PriceEssAnnual*MS47/12+NH47*PricePremAnnual*MS47/12</f>
        <v/>
      </c>
      <c r="NK47" s="9">
        <f>NJ47*12</f>
        <v/>
      </c>
      <c r="NL47" s="12">
        <f>NE47*PriceEssMonthly*MS47+NF47*PricePremMonthly*MS47</f>
        <v/>
      </c>
      <c r="NM47" s="12">
        <f>NC47*PriceEssAnnual*MS47+ND47*PricePremAnnual*MS47</f>
        <v/>
      </c>
      <c r="NN47" s="12">
        <f>NC35*POWER(1-(AnnualChurn*VLOOKUP(MP47,ChurnSeasonTable,4,FALSE)),1)*PriceEssAnnual*MS47+NC23*POWER(1-(AnnualChurn*VLOOKUP(MP47,ChurnSeasonTable,4,FALSE)),2)*PriceEssAnnual*MS47+NC11*POWER(1-(AnnualChurn*VLOOKUP(MP47,ChurnSeasonTable,4,FALSE)),3)*PriceEssAnnual*MS47+ND35*POWER(1-(AnnualChurn*VLOOKUP(MP47,ChurnSeasonTable,4,FALSE)),1)*PricePremAnnual*MS47+ND23*POWER(1-(AnnualChurn*VLOOKUP(MP47,ChurnSeasonTable,4,FALSE)),2)*PricePremAnnual*MS47+ND11*POWER(1-(AnnualChurn*VLOOKUP(MP47,ChurnSeasonTable,4,FALSE)),3)*PricePremAnnual*MS47</f>
        <v/>
      </c>
      <c r="NO47" s="9">
        <f>NL47+NM47+NN47</f>
        <v/>
      </c>
      <c r="NP47" s="12">
        <f>SUM(NO36:NO47)</f>
        <v/>
      </c>
      <c r="NQ47" s="12">
        <f>OR(NQ46,NP47&gt;=VATThreshold)</f>
        <v/>
      </c>
      <c r="NR47" s="9">
        <f>IF(NQ47,NO47/(1+VATRate),NO47)</f>
        <v/>
      </c>
      <c r="NS47" s="12">
        <f>NO47-NR47</f>
        <v/>
      </c>
      <c r="NT47" s="12">
        <f>IF(NQ47=0,0,IF(MP47=1,SUMPRODUCT(--(($MQ$5:$MQ47=$MQ47-1)*($MP$5:$MP47&gt;=10)*($MP$5:$MP47&lt;=12)),$NS$5:$NS47),IF(MP47=4,SUMPRODUCT(--(($MQ$5:$MQ47=$MQ47)*($MP$5:$MP47&gt;=1)*($MP$5:$MP47&lt;=3)),$NS$5:$NS47),IF(MP47=7,SUMPRODUCT(--(($MQ$5:$MQ47=$MQ47)*($MP$5:$MP47&gt;=4)*($MP$5:$MP47&lt;=6)),$NS$5:$NS47),IF(MP47=10,SUMPRODUCT(--(($MQ$5:$MQ47=$MQ47)*($MP$5:$MP47&gt;=7)*($MP$5:$MP47&lt;=9)),$NS$5:$NS47),0)))))</f>
        <v/>
      </c>
      <c r="NU47" s="12">
        <f>NU46+NS47-NT47</f>
        <v/>
      </c>
      <c r="NV47" s="12">
        <f>IF(ProviderDelay&gt;=1,NR46*ProviderShare,NR47*ProviderShare)</f>
        <v/>
      </c>
      <c r="NW47" s="12">
        <f>NO47*PaymentFee</f>
        <v/>
      </c>
      <c r="NX47" s="12">
        <f>NI47*OpsAI</f>
        <v/>
      </c>
      <c r="NY47" s="12">
        <f>MonthlyFixed</f>
        <v/>
      </c>
      <c r="NZ47" s="12">
        <f>MW47*ReferralReward</f>
        <v/>
      </c>
      <c r="OA47" s="12">
        <f>MU47</f>
        <v/>
      </c>
      <c r="OB47" s="9">
        <f>NR47-NV47-NW47-NX47-NY47-NZ47-OA47</f>
        <v/>
      </c>
      <c r="OC47" s="9">
        <f>OC46+NO47-(NV47+NW47+NX47+NY47+NZ47+OA47+NT47)</f>
        <v/>
      </c>
      <c r="OD47" s="12">
        <f>IF(NI47&gt;0,NJ47/NI47,0)</f>
        <v/>
      </c>
      <c r="OE47" s="11">
        <f>IF(NI46&gt;0,MAX(0,(NI46+MX47-NI47)/NI46),0)</f>
        <v/>
      </c>
      <c r="OG47" s="12" t="n">
        <v>43</v>
      </c>
      <c r="OH47" s="12">
        <f>MOD(OG47-1+LaunchMonth-1,12)+1</f>
        <v/>
      </c>
      <c r="OI47" s="12">
        <f>INT((OG47-1+LaunchMonth-1)/12)+1</f>
        <v/>
      </c>
      <c r="OJ47" s="12">
        <f>VLOOKUP(OH47,SeasonTable,2,FALSE)</f>
        <v/>
      </c>
      <c r="OK47" s="12">
        <f>(1+InflationRate)^INT((OG47-1)/12)</f>
        <v/>
      </c>
      <c r="OL47" s="11">
        <f>'Sens - Churn'!$A$19*VLOOKUP(OH47,ChurnSeasonTable,4,FALSE)</f>
        <v/>
      </c>
      <c r="OM47" s="12">
        <f>MIN(MAX(MktMin19plus,PG46*MktPct19plus),MAX(0,PU46-CashBuffer))</f>
        <v/>
      </c>
      <c r="ON47" s="12">
        <f>IF(OM47&gt;0,MAX(1,ROUND(OM47/CAC*OJ47,0)),0)</f>
        <v/>
      </c>
      <c r="OO47" s="12">
        <f>IF(ON47&gt;0,ROUND(ON47*ReferralMix/(1-ReferralMix),0),0)</f>
        <v/>
      </c>
      <c r="OP47" s="12">
        <f>ON47+OO47</f>
        <v/>
      </c>
      <c r="OQ47" s="12">
        <f>ROUND(OP47*(1-AnnualMix),0)</f>
        <v/>
      </c>
      <c r="OR47" s="12">
        <f>OP47-OQ47</f>
        <v/>
      </c>
      <c r="OS47" s="12">
        <f>ROUND(OQ47*EssentialMix,0)</f>
        <v/>
      </c>
      <c r="OT47" s="12">
        <f>OQ47-OS47</f>
        <v/>
      </c>
      <c r="OU47" s="12">
        <f>ROUND(OR47*EssentialMix,0)</f>
        <v/>
      </c>
      <c r="OV47" s="12">
        <f>OR47-OU47</f>
        <v/>
      </c>
      <c r="OW47" s="12">
        <f>OS47+OS46+OS45+MAX(0,OW46-OS46-OS45)*(1-OL47)</f>
        <v/>
      </c>
      <c r="OX47" s="12">
        <f>OT47+OT46+OT45+MAX(0,OX46-OT46-OT45)*(1-OL47)</f>
        <v/>
      </c>
      <c r="OY47" s="12">
        <f>OY46+OU47-OU35*(AnnualChurn*VLOOKUP(OH47,ChurnSeasonTable,4,FALSE))*POWER(1-(AnnualChurn*VLOOKUP(OH47,ChurnSeasonTable,4,FALSE)),0)+OU23*(AnnualChurn*VLOOKUP(OH47,ChurnSeasonTable,4,FALSE))*POWER(1-(AnnualChurn*VLOOKUP(OH47,ChurnSeasonTable,4,FALSE)),1)+OU11*(AnnualChurn*VLOOKUP(OH47,ChurnSeasonTable,4,FALSE))*POWER(1-(AnnualChurn*VLOOKUP(OH47,ChurnSeasonTable,4,FALSE)),2)</f>
        <v/>
      </c>
      <c r="OZ47" s="12">
        <f>OZ46+OV47-OV35*(AnnualChurn*VLOOKUP(OH47,ChurnSeasonTable,4,FALSE))*POWER(1-(AnnualChurn*VLOOKUP(OH47,ChurnSeasonTable,4,FALSE)),0)+OV23*(AnnualChurn*VLOOKUP(OH47,ChurnSeasonTable,4,FALSE))*POWER(1-(AnnualChurn*VLOOKUP(OH47,ChurnSeasonTable,4,FALSE)),1)+OV11*(AnnualChurn*VLOOKUP(OH47,ChurnSeasonTable,4,FALSE))*POWER(1-(AnnualChurn*VLOOKUP(OH47,ChurnSeasonTable,4,FALSE)),2)</f>
        <v/>
      </c>
      <c r="PA47" s="12">
        <f>OW47+OX47+OY47+OZ47</f>
        <v/>
      </c>
      <c r="PB47" s="9">
        <f>OW47*PriceEssMonthly*OK47+OX47*PricePremMonthly*OK47+OY47*PriceEssAnnual*OK47/12+OZ47*PricePremAnnual*OK47/12</f>
        <v/>
      </c>
      <c r="PC47" s="9">
        <f>PB47*12</f>
        <v/>
      </c>
      <c r="PD47" s="12">
        <f>OW47*PriceEssMonthly*OK47+OX47*PricePremMonthly*OK47</f>
        <v/>
      </c>
      <c r="PE47" s="12">
        <f>OU47*PriceEssAnnual*OK47+OV47*PricePremAnnual*OK47</f>
        <v/>
      </c>
      <c r="PF47" s="12">
        <f>OU35*POWER(1-(AnnualChurn*VLOOKUP(OH47,ChurnSeasonTable,4,FALSE)),1)*PriceEssAnnual*OK47+OU23*POWER(1-(AnnualChurn*VLOOKUP(OH47,ChurnSeasonTable,4,FALSE)),2)*PriceEssAnnual*OK47+OU11*POWER(1-(AnnualChurn*VLOOKUP(OH47,ChurnSeasonTable,4,FALSE)),3)*PriceEssAnnual*OK47+OV35*POWER(1-(AnnualChurn*VLOOKUP(OH47,ChurnSeasonTable,4,FALSE)),1)*PricePremAnnual*OK47+OV23*POWER(1-(AnnualChurn*VLOOKUP(OH47,ChurnSeasonTable,4,FALSE)),2)*PricePremAnnual*OK47+OV11*POWER(1-(AnnualChurn*VLOOKUP(OH47,ChurnSeasonTable,4,FALSE)),3)*PricePremAnnual*OK47</f>
        <v/>
      </c>
      <c r="PG47" s="9">
        <f>PD47+PE47+PF47</f>
        <v/>
      </c>
      <c r="PH47" s="12">
        <f>SUM(PG36:PG47)</f>
        <v/>
      </c>
      <c r="PI47" s="12">
        <f>OR(PI46,PH47&gt;=VATThreshold)</f>
        <v/>
      </c>
      <c r="PJ47" s="9">
        <f>IF(PI47,PG47/(1+VATRate),PG47)</f>
        <v/>
      </c>
      <c r="PK47" s="12">
        <f>PG47-PJ47</f>
        <v/>
      </c>
      <c r="PL47" s="12">
        <f>IF(PI47=0,0,IF(OH47=1,SUMPRODUCT(--(($OI$5:$OI47=$OI47-1)*($OH$5:$OH47&gt;=10)*($OH$5:$OH47&lt;=12)),$PK$5:$PK47),IF(OH47=4,SUMPRODUCT(--(($OI$5:$OI47=$OI47)*($OH$5:$OH47&gt;=1)*($OH$5:$OH47&lt;=3)),$PK$5:$PK47),IF(OH47=7,SUMPRODUCT(--(($OI$5:$OI47=$OI47)*($OH$5:$OH47&gt;=4)*($OH$5:$OH47&lt;=6)),$PK$5:$PK47),IF(OH47=10,SUMPRODUCT(--(($OI$5:$OI47=$OI47)*($OH$5:$OH47&gt;=7)*($OH$5:$OH47&lt;=9)),$PK$5:$PK47),0)))))</f>
        <v/>
      </c>
      <c r="PM47" s="12">
        <f>PM46+PK47-PL47</f>
        <v/>
      </c>
      <c r="PN47" s="12">
        <f>IF(ProviderDelay&gt;=1,PJ46*ProviderShare,PJ47*ProviderShare)</f>
        <v/>
      </c>
      <c r="PO47" s="12">
        <f>PG47*PaymentFee</f>
        <v/>
      </c>
      <c r="PP47" s="12">
        <f>PA47*OpsAI</f>
        <v/>
      </c>
      <c r="PQ47" s="12">
        <f>MonthlyFixed</f>
        <v/>
      </c>
      <c r="PR47" s="12">
        <f>OO47*ReferralReward</f>
        <v/>
      </c>
      <c r="PS47" s="12">
        <f>OM47</f>
        <v/>
      </c>
      <c r="PT47" s="9">
        <f>PJ47-PN47-PO47-PP47-PQ47-PR47-PS47</f>
        <v/>
      </c>
      <c r="PU47" s="9">
        <f>PU46+PG47-(PN47+PO47+PP47+PQ47+PR47+PS47+PL47)</f>
        <v/>
      </c>
      <c r="PV47" s="12">
        <f>IF(PA47&gt;0,PB47/PA47,0)</f>
        <v/>
      </c>
      <c r="PW47" s="11">
        <f>IF(PA46&gt;0,MAX(0,(PA46+OP47-PA47)/PA46),0)</f>
        <v/>
      </c>
      <c r="PY47" s="12" t="n">
        <v>43</v>
      </c>
      <c r="PZ47" s="12">
        <f>MOD(PY47-1+LaunchMonth-1,12)+1</f>
        <v/>
      </c>
      <c r="QA47" s="12">
        <f>INT((PY47-1+LaunchMonth-1)/12)+1</f>
        <v/>
      </c>
      <c r="QB47" s="12">
        <f>VLOOKUP(PZ47,SeasonTable,2,FALSE)</f>
        <v/>
      </c>
      <c r="QC47" s="12">
        <f>(1+InflationRate)^INT((PY47-1)/12)</f>
        <v/>
      </c>
      <c r="QD47" s="11">
        <f>'Sens - Churn'!$A$20*VLOOKUP(PZ47,ChurnSeasonTable,4,FALSE)</f>
        <v/>
      </c>
      <c r="QE47" s="12">
        <f>MIN(MAX(MktMin19plus,QY46*MktPct19plus),MAX(0,RM46-CashBuffer))</f>
        <v/>
      </c>
      <c r="QF47" s="12">
        <f>IF(QE47&gt;0,MAX(1,ROUND(QE47/CAC*QB47,0)),0)</f>
        <v/>
      </c>
      <c r="QG47" s="12">
        <f>IF(QF47&gt;0,ROUND(QF47*ReferralMix/(1-ReferralMix),0),0)</f>
        <v/>
      </c>
      <c r="QH47" s="12">
        <f>QF47+QG47</f>
        <v/>
      </c>
      <c r="QI47" s="12">
        <f>ROUND(QH47*(1-AnnualMix),0)</f>
        <v/>
      </c>
      <c r="QJ47" s="12">
        <f>QH47-QI47</f>
        <v/>
      </c>
      <c r="QK47" s="12">
        <f>ROUND(QI47*EssentialMix,0)</f>
        <v/>
      </c>
      <c r="QL47" s="12">
        <f>QI47-QK47</f>
        <v/>
      </c>
      <c r="QM47" s="12">
        <f>ROUND(QJ47*EssentialMix,0)</f>
        <v/>
      </c>
      <c r="QN47" s="12">
        <f>QJ47-QM47</f>
        <v/>
      </c>
      <c r="QO47" s="12">
        <f>QK47+QK46+QK45+MAX(0,QO46-QK46-QK45)*(1-QD47)</f>
        <v/>
      </c>
      <c r="QP47" s="12">
        <f>QL47+QL46+QL45+MAX(0,QP46-QL46-QL45)*(1-QD47)</f>
        <v/>
      </c>
      <c r="QQ47" s="12">
        <f>QQ46+QM47-QM35*(AnnualChurn*VLOOKUP(PZ47,ChurnSeasonTable,4,FALSE))*POWER(1-(AnnualChurn*VLOOKUP(PZ47,ChurnSeasonTable,4,FALSE)),0)+QM23*(AnnualChurn*VLOOKUP(PZ47,ChurnSeasonTable,4,FALSE))*POWER(1-(AnnualChurn*VLOOKUP(PZ47,ChurnSeasonTable,4,FALSE)),1)+QM11*(AnnualChurn*VLOOKUP(PZ47,ChurnSeasonTable,4,FALSE))*POWER(1-(AnnualChurn*VLOOKUP(PZ47,ChurnSeasonTable,4,FALSE)),2)</f>
        <v/>
      </c>
      <c r="QR47" s="12">
        <f>QR46+QN47-QN35*(AnnualChurn*VLOOKUP(PZ47,ChurnSeasonTable,4,FALSE))*POWER(1-(AnnualChurn*VLOOKUP(PZ47,ChurnSeasonTable,4,FALSE)),0)+QN23*(AnnualChurn*VLOOKUP(PZ47,ChurnSeasonTable,4,FALSE))*POWER(1-(AnnualChurn*VLOOKUP(PZ47,ChurnSeasonTable,4,FALSE)),1)+QN11*(AnnualChurn*VLOOKUP(PZ47,ChurnSeasonTable,4,FALSE))*POWER(1-(AnnualChurn*VLOOKUP(PZ47,ChurnSeasonTable,4,FALSE)),2)</f>
        <v/>
      </c>
      <c r="QS47" s="12">
        <f>QO47+QP47+QQ47+QR47</f>
        <v/>
      </c>
      <c r="QT47" s="9">
        <f>QO47*PriceEssMonthly*QC47+QP47*PricePremMonthly*QC47+QQ47*PriceEssAnnual*QC47/12+QR47*PricePremAnnual*QC47/12</f>
        <v/>
      </c>
      <c r="QU47" s="9">
        <f>QT47*12</f>
        <v/>
      </c>
      <c r="QV47" s="12">
        <f>QO47*PriceEssMonthly*QC47+QP47*PricePremMonthly*QC47</f>
        <v/>
      </c>
      <c r="QW47" s="12">
        <f>QM47*PriceEssAnnual*QC47+QN47*PricePremAnnual*QC47</f>
        <v/>
      </c>
      <c r="QX47" s="12">
        <f>QM35*POWER(1-(AnnualChurn*VLOOKUP(PZ47,ChurnSeasonTable,4,FALSE)),1)*PriceEssAnnual*QC47+QM23*POWER(1-(AnnualChurn*VLOOKUP(PZ47,ChurnSeasonTable,4,FALSE)),2)*PriceEssAnnual*QC47+QM11*POWER(1-(AnnualChurn*VLOOKUP(PZ47,ChurnSeasonTable,4,FALSE)),3)*PriceEssAnnual*QC47+QN35*POWER(1-(AnnualChurn*VLOOKUP(PZ47,ChurnSeasonTable,4,FALSE)),1)*PricePremAnnual*QC47+QN23*POWER(1-(AnnualChurn*VLOOKUP(PZ47,ChurnSeasonTable,4,FALSE)),2)*PricePremAnnual*QC47+QN11*POWER(1-(AnnualChurn*VLOOKUP(PZ47,ChurnSeasonTable,4,FALSE)),3)*PricePremAnnual*QC47</f>
        <v/>
      </c>
      <c r="QY47" s="9">
        <f>QV47+QW47+QX47</f>
        <v/>
      </c>
      <c r="QZ47" s="12">
        <f>SUM(QY36:QY47)</f>
        <v/>
      </c>
      <c r="RA47" s="12">
        <f>OR(RA46,QZ47&gt;=VATThreshold)</f>
        <v/>
      </c>
      <c r="RB47" s="9">
        <f>IF(RA47,QY47/(1+VATRate),QY47)</f>
        <v/>
      </c>
      <c r="RC47" s="12">
        <f>QY47-RB47</f>
        <v/>
      </c>
      <c r="RD47" s="12">
        <f>IF(RA47=0,0,IF(PZ47=1,SUMPRODUCT(--(($QA$5:$QA47=$QA47-1)*($PZ$5:$PZ47&gt;=10)*($PZ$5:$PZ47&lt;=12)),$RC$5:$RC47),IF(PZ47=4,SUMPRODUCT(--(($QA$5:$QA47=$QA47)*($PZ$5:$PZ47&gt;=1)*($PZ$5:$PZ47&lt;=3)),$RC$5:$RC47),IF(PZ47=7,SUMPRODUCT(--(($QA$5:$QA47=$QA47)*($PZ$5:$PZ47&gt;=4)*($PZ$5:$PZ47&lt;=6)),$RC$5:$RC47),IF(PZ47=10,SUMPRODUCT(--(($QA$5:$QA47=$QA47)*($PZ$5:$PZ47&gt;=7)*($PZ$5:$PZ47&lt;=9)),$RC$5:$RC47),0)))))</f>
        <v/>
      </c>
      <c r="RE47" s="12">
        <f>RE46+RC47-RD47</f>
        <v/>
      </c>
      <c r="RF47" s="12">
        <f>IF(ProviderDelay&gt;=1,RB46*ProviderShare,RB47*ProviderShare)</f>
        <v/>
      </c>
      <c r="RG47" s="12">
        <f>QY47*PaymentFee</f>
        <v/>
      </c>
      <c r="RH47" s="12">
        <f>QS47*OpsAI</f>
        <v/>
      </c>
      <c r="RI47" s="12">
        <f>MonthlyFixed</f>
        <v/>
      </c>
      <c r="RJ47" s="12">
        <f>QG47*ReferralReward</f>
        <v/>
      </c>
      <c r="RK47" s="12">
        <f>QE47</f>
        <v/>
      </c>
      <c r="RL47" s="9">
        <f>RB47-RF47-RG47-RH47-RI47-RJ47-RK47</f>
        <v/>
      </c>
      <c r="RM47" s="9">
        <f>RM46+QY47-(RF47+RG47+RH47+RI47+RJ47+RK47+RD47)</f>
        <v/>
      </c>
      <c r="RN47" s="12">
        <f>IF(QS47&gt;0,QT47/QS47,0)</f>
        <v/>
      </c>
      <c r="RO47" s="11">
        <f>IF(QS46&gt;0,MAX(0,(QS46+QH47-QS47)/QS46),0)</f>
        <v/>
      </c>
      <c r="RQ47" s="12" t="n">
        <v>43</v>
      </c>
      <c r="RR47" s="12">
        <f>MOD(RQ47-1+LaunchMonth-1,12)+1</f>
        <v/>
      </c>
      <c r="RS47" s="12">
        <f>INT((RQ47-1+LaunchMonth-1)/12)+1</f>
        <v/>
      </c>
      <c r="RT47" s="12">
        <f>VLOOKUP(RR47,SeasonTable,2,FALSE)</f>
        <v/>
      </c>
      <c r="RU47" s="12">
        <f>(1+InflationRate)^INT((RQ47-1)/12)</f>
        <v/>
      </c>
      <c r="RV47" s="11">
        <f>'Sens - Churn'!$A$21*VLOOKUP(RR47,ChurnSeasonTable,4,FALSE)</f>
        <v/>
      </c>
      <c r="RW47" s="12">
        <f>MIN(MAX(MktMin19plus,SQ46*MktPct19plus),MAX(0,TE46-CashBuffer))</f>
        <v/>
      </c>
      <c r="RX47" s="12">
        <f>IF(RW47&gt;0,MAX(1,ROUND(RW47/CAC*RT47,0)),0)</f>
        <v/>
      </c>
      <c r="RY47" s="12">
        <f>IF(RX47&gt;0,ROUND(RX47*ReferralMix/(1-ReferralMix),0),0)</f>
        <v/>
      </c>
      <c r="RZ47" s="12">
        <f>RX47+RY47</f>
        <v/>
      </c>
      <c r="SA47" s="12">
        <f>ROUND(RZ47*(1-AnnualMix),0)</f>
        <v/>
      </c>
      <c r="SB47" s="12">
        <f>RZ47-SA47</f>
        <v/>
      </c>
      <c r="SC47" s="12">
        <f>ROUND(SA47*EssentialMix,0)</f>
        <v/>
      </c>
      <c r="SD47" s="12">
        <f>SA47-SC47</f>
        <v/>
      </c>
      <c r="SE47" s="12">
        <f>ROUND(SB47*EssentialMix,0)</f>
        <v/>
      </c>
      <c r="SF47" s="12">
        <f>SB47-SE47</f>
        <v/>
      </c>
      <c r="SG47" s="12">
        <f>SC47+SC46+SC45+MAX(0,SG46-SC46-SC45)*(1-RV47)</f>
        <v/>
      </c>
      <c r="SH47" s="12">
        <f>SD47+SD46+SD45+MAX(0,SH46-SD46-SD45)*(1-RV47)</f>
        <v/>
      </c>
      <c r="SI47" s="12">
        <f>SI46+SE47-SE35*(AnnualChurn*VLOOKUP(RR47,ChurnSeasonTable,4,FALSE))*POWER(1-(AnnualChurn*VLOOKUP(RR47,ChurnSeasonTable,4,FALSE)),0)+SE23*(AnnualChurn*VLOOKUP(RR47,ChurnSeasonTable,4,FALSE))*POWER(1-(AnnualChurn*VLOOKUP(RR47,ChurnSeasonTable,4,FALSE)),1)+SE11*(AnnualChurn*VLOOKUP(RR47,ChurnSeasonTable,4,FALSE))*POWER(1-(AnnualChurn*VLOOKUP(RR47,ChurnSeasonTable,4,FALSE)),2)</f>
        <v/>
      </c>
      <c r="SJ47" s="12">
        <f>SJ46+SF47-SF35*(AnnualChurn*VLOOKUP(RR47,ChurnSeasonTable,4,FALSE))*POWER(1-(AnnualChurn*VLOOKUP(RR47,ChurnSeasonTable,4,FALSE)),0)+SF23*(AnnualChurn*VLOOKUP(RR47,ChurnSeasonTable,4,FALSE))*POWER(1-(AnnualChurn*VLOOKUP(RR47,ChurnSeasonTable,4,FALSE)),1)+SF11*(AnnualChurn*VLOOKUP(RR47,ChurnSeasonTable,4,FALSE))*POWER(1-(AnnualChurn*VLOOKUP(RR47,ChurnSeasonTable,4,FALSE)),2)</f>
        <v/>
      </c>
      <c r="SK47" s="12">
        <f>SG47+SH47+SI47+SJ47</f>
        <v/>
      </c>
      <c r="SL47" s="9">
        <f>SG47*PriceEssMonthly*RU47+SH47*PricePremMonthly*RU47+SI47*PriceEssAnnual*RU47/12+SJ47*PricePremAnnual*RU47/12</f>
        <v/>
      </c>
      <c r="SM47" s="9">
        <f>SL47*12</f>
        <v/>
      </c>
      <c r="SN47" s="12">
        <f>SG47*PriceEssMonthly*RU47+SH47*PricePremMonthly*RU47</f>
        <v/>
      </c>
      <c r="SO47" s="12">
        <f>SE47*PriceEssAnnual*RU47+SF47*PricePremAnnual*RU47</f>
        <v/>
      </c>
      <c r="SP47" s="12">
        <f>SE35*POWER(1-(AnnualChurn*VLOOKUP(RR47,ChurnSeasonTable,4,FALSE)),1)*PriceEssAnnual*RU47+SE23*POWER(1-(AnnualChurn*VLOOKUP(RR47,ChurnSeasonTable,4,FALSE)),2)*PriceEssAnnual*RU47+SE11*POWER(1-(AnnualChurn*VLOOKUP(RR47,ChurnSeasonTable,4,FALSE)),3)*PriceEssAnnual*RU47+SF35*POWER(1-(AnnualChurn*VLOOKUP(RR47,ChurnSeasonTable,4,FALSE)),1)*PricePremAnnual*RU47+SF23*POWER(1-(AnnualChurn*VLOOKUP(RR47,ChurnSeasonTable,4,FALSE)),2)*PricePremAnnual*RU47+SF11*POWER(1-(AnnualChurn*VLOOKUP(RR47,ChurnSeasonTable,4,FALSE)),3)*PricePremAnnual*RU47</f>
        <v/>
      </c>
      <c r="SQ47" s="9">
        <f>SN47+SO47+SP47</f>
        <v/>
      </c>
      <c r="SR47" s="12">
        <f>SUM(SQ36:SQ47)</f>
        <v/>
      </c>
      <c r="SS47" s="12">
        <f>OR(SS46,SR47&gt;=VATThreshold)</f>
        <v/>
      </c>
      <c r="ST47" s="9">
        <f>IF(SS47,SQ47/(1+VATRate),SQ47)</f>
        <v/>
      </c>
      <c r="SU47" s="12">
        <f>SQ47-ST47</f>
        <v/>
      </c>
      <c r="SV47" s="12">
        <f>IF(SS47=0,0,IF(RR47=1,SUMPRODUCT(--(($RS$5:$RS47=$RS47-1)*($RR$5:$RR47&gt;=10)*($RR$5:$RR47&lt;=12)),$SU$5:$SU47),IF(RR47=4,SUMPRODUCT(--(($RS$5:$RS47=$RS47)*($RR$5:$RR47&gt;=1)*($RR$5:$RR47&lt;=3)),$SU$5:$SU47),IF(RR47=7,SUMPRODUCT(--(($RS$5:$RS47=$RS47)*($RR$5:$RR47&gt;=4)*($RR$5:$RR47&lt;=6)),$SU$5:$SU47),IF(RR47=10,SUMPRODUCT(--(($RS$5:$RS47=$RS47)*($RR$5:$RR47&gt;=7)*($RR$5:$RR47&lt;=9)),$SU$5:$SU47),0)))))</f>
        <v/>
      </c>
      <c r="SW47" s="12">
        <f>SW46+SU47-SV47</f>
        <v/>
      </c>
      <c r="SX47" s="12">
        <f>IF(ProviderDelay&gt;=1,ST46*ProviderShare,ST47*ProviderShare)</f>
        <v/>
      </c>
      <c r="SY47" s="12">
        <f>SQ47*PaymentFee</f>
        <v/>
      </c>
      <c r="SZ47" s="12">
        <f>SK47*OpsAI</f>
        <v/>
      </c>
      <c r="TA47" s="12">
        <f>MonthlyFixed</f>
        <v/>
      </c>
      <c r="TB47" s="12">
        <f>RY47*ReferralReward</f>
        <v/>
      </c>
      <c r="TC47" s="12">
        <f>RW47</f>
        <v/>
      </c>
      <c r="TD47" s="9">
        <f>ST47-SX47-SY47-SZ47-TA47-TB47-TC47</f>
        <v/>
      </c>
      <c r="TE47" s="9">
        <f>TE46+SQ47-(SX47+SY47+SZ47+TA47+TB47+TC47+SV47)</f>
        <v/>
      </c>
      <c r="TF47" s="12">
        <f>IF(SK47&gt;0,SL47/SK47,0)</f>
        <v/>
      </c>
      <c r="TG47" s="11">
        <f>IF(SK46&gt;0,MAX(0,(SK46+RZ47-SK47)/SK46),0)</f>
        <v/>
      </c>
      <c r="TI47" s="12" t="n">
        <v>43</v>
      </c>
      <c r="TJ47" s="12">
        <f>MOD(TI47-1+LaunchMonth-1,12)+1</f>
        <v/>
      </c>
      <c r="TK47" s="12">
        <f>INT((TI47-1+LaunchMonth-1)/12)+1</f>
        <v/>
      </c>
      <c r="TL47" s="12">
        <f>VLOOKUP(TJ47,SeasonTable,2,FALSE)</f>
        <v/>
      </c>
      <c r="TM47" s="12">
        <f>(1+InflationRate)^INT((TI47-1)/12)</f>
        <v/>
      </c>
      <c r="TN47" s="11">
        <f>MonthlyChurn*VLOOKUP(TJ47,ChurnSeasonTable,4,FALSE)</f>
        <v/>
      </c>
      <c r="TO47" s="12">
        <f>MIN(MAX(MktMin19plus,UI46*MktPct19plus),MAX(0,UW46-CashBuffer))</f>
        <v/>
      </c>
      <c r="TP47" s="12">
        <f>IF(TO47&gt;0,MAX(1,ROUND(TO47/CAC*TL47,0)),0)</f>
        <v/>
      </c>
      <c r="TQ47" s="12">
        <f>IF(TP47&gt;0,ROUND(TP47*ReferralMix/(1-ReferralMix),0),0)</f>
        <v/>
      </c>
      <c r="TR47" s="12">
        <f>TP47+TQ47</f>
        <v/>
      </c>
      <c r="TS47" s="12">
        <f>ROUND(TR47*(1-'Sens - Annual Mix'!$A$9),0)</f>
        <v/>
      </c>
      <c r="TT47" s="12">
        <f>TR47-TS47</f>
        <v/>
      </c>
      <c r="TU47" s="12">
        <f>ROUND(TS47*EssentialMix,0)</f>
        <v/>
      </c>
      <c r="TV47" s="12">
        <f>TS47-TU47</f>
        <v/>
      </c>
      <c r="TW47" s="12">
        <f>ROUND(TT47*EssentialMix,0)</f>
        <v/>
      </c>
      <c r="TX47" s="12">
        <f>TT47-TW47</f>
        <v/>
      </c>
      <c r="TY47" s="12">
        <f>TU47+TU46+TU45+MAX(0,TY46-TU46-TU45)*(1-TN47)</f>
        <v/>
      </c>
      <c r="TZ47" s="12">
        <f>TV47+TV46+TV45+MAX(0,TZ46-TV46-TV45)*(1-TN47)</f>
        <v/>
      </c>
      <c r="UA47" s="12">
        <f>UA46+TW47-TW35*(AnnualChurn*VLOOKUP(TJ47,ChurnSeasonTable,4,FALSE))*POWER(1-(AnnualChurn*VLOOKUP(TJ47,ChurnSeasonTable,4,FALSE)),0)+TW23*(AnnualChurn*VLOOKUP(TJ47,ChurnSeasonTable,4,FALSE))*POWER(1-(AnnualChurn*VLOOKUP(TJ47,ChurnSeasonTable,4,FALSE)),1)+TW11*(AnnualChurn*VLOOKUP(TJ47,ChurnSeasonTable,4,FALSE))*POWER(1-(AnnualChurn*VLOOKUP(TJ47,ChurnSeasonTable,4,FALSE)),2)</f>
        <v/>
      </c>
      <c r="UB47" s="12">
        <f>UB46+TX47-TX35*(AnnualChurn*VLOOKUP(TJ47,ChurnSeasonTable,4,FALSE))*POWER(1-(AnnualChurn*VLOOKUP(TJ47,ChurnSeasonTable,4,FALSE)),0)+TX23*(AnnualChurn*VLOOKUP(TJ47,ChurnSeasonTable,4,FALSE))*POWER(1-(AnnualChurn*VLOOKUP(TJ47,ChurnSeasonTable,4,FALSE)),1)+TX11*(AnnualChurn*VLOOKUP(TJ47,ChurnSeasonTable,4,FALSE))*POWER(1-(AnnualChurn*VLOOKUP(TJ47,ChurnSeasonTable,4,FALSE)),2)</f>
        <v/>
      </c>
      <c r="UC47" s="12">
        <f>TY47+TZ47+UA47+UB47</f>
        <v/>
      </c>
      <c r="UD47" s="9">
        <f>TY47*PriceEssMonthly*TM47+TZ47*PricePremMonthly*TM47+UA47*PriceEssAnnual*TM47/12+UB47*PricePremAnnual*TM47/12</f>
        <v/>
      </c>
      <c r="UE47" s="9">
        <f>UD47*12</f>
        <v/>
      </c>
      <c r="UF47" s="12">
        <f>TY47*PriceEssMonthly*TM47+TZ47*PricePremMonthly*TM47</f>
        <v/>
      </c>
      <c r="UG47" s="12">
        <f>TW47*PriceEssAnnual*TM47+TX47*PricePremAnnual*TM47</f>
        <v/>
      </c>
      <c r="UH47" s="12">
        <f>TW35*POWER(1-(AnnualChurn*VLOOKUP(TJ47,ChurnSeasonTable,4,FALSE)),1)*PriceEssAnnual*TM47+TW23*POWER(1-(AnnualChurn*VLOOKUP(TJ47,ChurnSeasonTable,4,FALSE)),2)*PriceEssAnnual*TM47+TW11*POWER(1-(AnnualChurn*VLOOKUP(TJ47,ChurnSeasonTable,4,FALSE)),3)*PriceEssAnnual*TM47+TX35*POWER(1-(AnnualChurn*VLOOKUP(TJ47,ChurnSeasonTable,4,FALSE)),1)*PricePremAnnual*TM47+TX23*POWER(1-(AnnualChurn*VLOOKUP(TJ47,ChurnSeasonTable,4,FALSE)),2)*PricePremAnnual*TM47+TX11*POWER(1-(AnnualChurn*VLOOKUP(TJ47,ChurnSeasonTable,4,FALSE)),3)*PricePremAnnual*TM47</f>
        <v/>
      </c>
      <c r="UI47" s="9">
        <f>UF47+UG47+UH47</f>
        <v/>
      </c>
      <c r="UJ47" s="12">
        <f>SUM(UI36:UI47)</f>
        <v/>
      </c>
      <c r="UK47" s="12">
        <f>OR(UK46,UJ47&gt;=VATThreshold)</f>
        <v/>
      </c>
      <c r="UL47" s="9">
        <f>IF(UK47,UI47/(1+VATRate),UI47)</f>
        <v/>
      </c>
      <c r="UM47" s="12">
        <f>UI47-UL47</f>
        <v/>
      </c>
      <c r="UN47" s="12">
        <f>IF(UK47=0,0,IF(TJ47=1,SUMPRODUCT(--(($TK$5:$TK47=$TK47-1)*($TJ$5:$TJ47&gt;=10)*($TJ$5:$TJ47&lt;=12)),$UM$5:$UM47),IF(TJ47=4,SUMPRODUCT(--(($TK$5:$TK47=$TK47)*($TJ$5:$TJ47&gt;=1)*($TJ$5:$TJ47&lt;=3)),$UM$5:$UM47),IF(TJ47=7,SUMPRODUCT(--(($TK$5:$TK47=$TK47)*($TJ$5:$TJ47&gt;=4)*($TJ$5:$TJ47&lt;=6)),$UM$5:$UM47),IF(TJ47=10,SUMPRODUCT(--(($TK$5:$TK47=$TK47)*($TJ$5:$TJ47&gt;=7)*($TJ$5:$TJ47&lt;=9)),$UM$5:$UM47),0)))))</f>
        <v/>
      </c>
      <c r="UO47" s="12">
        <f>UO46+UM47-UN47</f>
        <v/>
      </c>
      <c r="UP47" s="12">
        <f>IF(ProviderDelay&gt;=1,UL46*ProviderShare,UL47*ProviderShare)</f>
        <v/>
      </c>
      <c r="UQ47" s="12">
        <f>UI47*PaymentFee</f>
        <v/>
      </c>
      <c r="UR47" s="12">
        <f>UC47*OpsAI</f>
        <v/>
      </c>
      <c r="US47" s="12">
        <f>MonthlyFixed</f>
        <v/>
      </c>
      <c r="UT47" s="12">
        <f>TQ47*ReferralReward</f>
        <v/>
      </c>
      <c r="UU47" s="12">
        <f>TO47</f>
        <v/>
      </c>
      <c r="UV47" s="9">
        <f>UL47-UP47-UQ47-UR47-US47-UT47-UU47</f>
        <v/>
      </c>
      <c r="UW47" s="9">
        <f>UW46+UI47-(UP47+UQ47+UR47+US47+UT47+UU47+UN47)</f>
        <v/>
      </c>
      <c r="UX47" s="12">
        <f>IF(UC47&gt;0,UD47/UC47,0)</f>
        <v/>
      </c>
      <c r="UY47" s="11">
        <f>IF(UC46&gt;0,MAX(0,(UC46+TR47-UC47)/UC46),0)</f>
        <v/>
      </c>
      <c r="VA47" s="12" t="n">
        <v>43</v>
      </c>
      <c r="VB47" s="12">
        <f>MOD(VA47-1+LaunchMonth-1,12)+1</f>
        <v/>
      </c>
      <c r="VC47" s="12">
        <f>INT((VA47-1+LaunchMonth-1)/12)+1</f>
        <v/>
      </c>
      <c r="VD47" s="12">
        <f>VLOOKUP(VB47,SeasonTable,2,FALSE)</f>
        <v/>
      </c>
      <c r="VE47" s="12">
        <f>(1+InflationRate)^INT((VA47-1)/12)</f>
        <v/>
      </c>
      <c r="VF47" s="11">
        <f>MonthlyChurn*VLOOKUP(VB47,ChurnSeasonTable,4,FALSE)</f>
        <v/>
      </c>
      <c r="VG47" s="12">
        <f>MIN(MAX(MktMin19plus,WA46*MktPct19plus),MAX(0,WO46-CashBuffer))</f>
        <v/>
      </c>
      <c r="VH47" s="12">
        <f>IF(VG47&gt;0,MAX(1,ROUND(VG47/CAC*VD47,0)),0)</f>
        <v/>
      </c>
      <c r="VI47" s="12">
        <f>IF(VH47&gt;0,ROUND(VH47*ReferralMix/(1-ReferralMix),0),0)</f>
        <v/>
      </c>
      <c r="VJ47" s="12">
        <f>VH47+VI47</f>
        <v/>
      </c>
      <c r="VK47" s="12">
        <f>ROUND(VJ47*(1-'Sens - Annual Mix'!$A$10),0)</f>
        <v/>
      </c>
      <c r="VL47" s="12">
        <f>VJ47-VK47</f>
        <v/>
      </c>
      <c r="VM47" s="12">
        <f>ROUND(VK47*EssentialMix,0)</f>
        <v/>
      </c>
      <c r="VN47" s="12">
        <f>VK47-VM47</f>
        <v/>
      </c>
      <c r="VO47" s="12">
        <f>ROUND(VL47*EssentialMix,0)</f>
        <v/>
      </c>
      <c r="VP47" s="12">
        <f>VL47-VO47</f>
        <v/>
      </c>
      <c r="VQ47" s="12">
        <f>VM47+VM46+VM45+MAX(0,VQ46-VM46-VM45)*(1-VF47)</f>
        <v/>
      </c>
      <c r="VR47" s="12">
        <f>VN47+VN46+VN45+MAX(0,VR46-VN46-VN45)*(1-VF47)</f>
        <v/>
      </c>
      <c r="VS47" s="12">
        <f>VS46+VO47-VO35*(AnnualChurn*VLOOKUP(VB47,ChurnSeasonTable,4,FALSE))*POWER(1-(AnnualChurn*VLOOKUP(VB47,ChurnSeasonTable,4,FALSE)),0)+VO23*(AnnualChurn*VLOOKUP(VB47,ChurnSeasonTable,4,FALSE))*POWER(1-(AnnualChurn*VLOOKUP(VB47,ChurnSeasonTable,4,FALSE)),1)+VO11*(AnnualChurn*VLOOKUP(VB47,ChurnSeasonTable,4,FALSE))*POWER(1-(AnnualChurn*VLOOKUP(VB47,ChurnSeasonTable,4,FALSE)),2)</f>
        <v/>
      </c>
      <c r="VT47" s="12">
        <f>VT46+VP47-VP35*(AnnualChurn*VLOOKUP(VB47,ChurnSeasonTable,4,FALSE))*POWER(1-(AnnualChurn*VLOOKUP(VB47,ChurnSeasonTable,4,FALSE)),0)+VP23*(AnnualChurn*VLOOKUP(VB47,ChurnSeasonTable,4,FALSE))*POWER(1-(AnnualChurn*VLOOKUP(VB47,ChurnSeasonTable,4,FALSE)),1)+VP11*(AnnualChurn*VLOOKUP(VB47,ChurnSeasonTable,4,FALSE))*POWER(1-(AnnualChurn*VLOOKUP(VB47,ChurnSeasonTable,4,FALSE)),2)</f>
        <v/>
      </c>
      <c r="VU47" s="12">
        <f>VQ47+VR47+VS47+VT47</f>
        <v/>
      </c>
      <c r="VV47" s="9">
        <f>VQ47*PriceEssMonthly*VE47+VR47*PricePremMonthly*VE47+VS47*PriceEssAnnual*VE47/12+VT47*PricePremAnnual*VE47/12</f>
        <v/>
      </c>
      <c r="VW47" s="9">
        <f>VV47*12</f>
        <v/>
      </c>
      <c r="VX47" s="12">
        <f>VQ47*PriceEssMonthly*VE47+VR47*PricePremMonthly*VE47</f>
        <v/>
      </c>
      <c r="VY47" s="12">
        <f>VO47*PriceEssAnnual*VE47+VP47*PricePremAnnual*VE47</f>
        <v/>
      </c>
      <c r="VZ47" s="12">
        <f>VO35*POWER(1-(AnnualChurn*VLOOKUP(VB47,ChurnSeasonTable,4,FALSE)),1)*PriceEssAnnual*VE47+VO23*POWER(1-(AnnualChurn*VLOOKUP(VB47,ChurnSeasonTable,4,FALSE)),2)*PriceEssAnnual*VE47+VO11*POWER(1-(AnnualChurn*VLOOKUP(VB47,ChurnSeasonTable,4,FALSE)),3)*PriceEssAnnual*VE47+VP35*POWER(1-(AnnualChurn*VLOOKUP(VB47,ChurnSeasonTable,4,FALSE)),1)*PricePremAnnual*VE47+VP23*POWER(1-(AnnualChurn*VLOOKUP(VB47,ChurnSeasonTable,4,FALSE)),2)*PricePremAnnual*VE47+VP11*POWER(1-(AnnualChurn*VLOOKUP(VB47,ChurnSeasonTable,4,FALSE)),3)*PricePremAnnual*VE47</f>
        <v/>
      </c>
      <c r="WA47" s="9">
        <f>VX47+VY47+VZ47</f>
        <v/>
      </c>
      <c r="WB47" s="12">
        <f>SUM(WA36:WA47)</f>
        <v/>
      </c>
      <c r="WC47" s="12">
        <f>OR(WC46,WB47&gt;=VATThreshold)</f>
        <v/>
      </c>
      <c r="WD47" s="9">
        <f>IF(WC47,WA47/(1+VATRate),WA47)</f>
        <v/>
      </c>
      <c r="WE47" s="12">
        <f>WA47-WD47</f>
        <v/>
      </c>
      <c r="WF47" s="12">
        <f>IF(WC47=0,0,IF(VB47=1,SUMPRODUCT(--(($VC$5:$VC47=$VC47-1)*($VB$5:$VB47&gt;=10)*($VB$5:$VB47&lt;=12)),$WE$5:$WE47),IF(VB47=4,SUMPRODUCT(--(($VC$5:$VC47=$VC47)*($VB$5:$VB47&gt;=1)*($VB$5:$VB47&lt;=3)),$WE$5:$WE47),IF(VB47=7,SUMPRODUCT(--(($VC$5:$VC47=$VC47)*($VB$5:$VB47&gt;=4)*($VB$5:$VB47&lt;=6)),$WE$5:$WE47),IF(VB47=10,SUMPRODUCT(--(($VC$5:$VC47=$VC47)*($VB$5:$VB47&gt;=7)*($VB$5:$VB47&lt;=9)),$WE$5:$WE47),0)))))</f>
        <v/>
      </c>
      <c r="WG47" s="12">
        <f>WG46+WE47-WF47</f>
        <v/>
      </c>
      <c r="WH47" s="12">
        <f>IF(ProviderDelay&gt;=1,WD46*ProviderShare,WD47*ProviderShare)</f>
        <v/>
      </c>
      <c r="WI47" s="12">
        <f>WA47*PaymentFee</f>
        <v/>
      </c>
      <c r="WJ47" s="12">
        <f>VU47*OpsAI</f>
        <v/>
      </c>
      <c r="WK47" s="12">
        <f>MonthlyFixed</f>
        <v/>
      </c>
      <c r="WL47" s="12">
        <f>VI47*ReferralReward</f>
        <v/>
      </c>
      <c r="WM47" s="12">
        <f>VG47</f>
        <v/>
      </c>
      <c r="WN47" s="9">
        <f>WD47-WH47-WI47-WJ47-WK47-WL47-WM47</f>
        <v/>
      </c>
      <c r="WO47" s="9">
        <f>WO46+WA47-(WH47+WI47+WJ47+WK47+WL47+WM47+WF47)</f>
        <v/>
      </c>
      <c r="WP47" s="12">
        <f>IF(VU47&gt;0,VV47/VU47,0)</f>
        <v/>
      </c>
      <c r="WQ47" s="11">
        <f>IF(VU46&gt;0,MAX(0,(VU46+VJ47-VU47)/VU46),0)</f>
        <v/>
      </c>
      <c r="WS47" s="12" t="n">
        <v>43</v>
      </c>
      <c r="WT47" s="12">
        <f>MOD(WS47-1+LaunchMonth-1,12)+1</f>
        <v/>
      </c>
      <c r="WU47" s="12">
        <f>INT((WS47-1+LaunchMonth-1)/12)+1</f>
        <v/>
      </c>
      <c r="WV47" s="12">
        <f>VLOOKUP(WT47,SeasonTable,2,FALSE)</f>
        <v/>
      </c>
      <c r="WW47" s="12">
        <f>(1+InflationRate)^INT((WS47-1)/12)</f>
        <v/>
      </c>
      <c r="WX47" s="11">
        <f>MonthlyChurn*VLOOKUP(WT47,ChurnSeasonTable,4,FALSE)</f>
        <v/>
      </c>
      <c r="WY47" s="12">
        <f>MIN(MAX(MktMin19plus,XS46*MktPct19plus),MAX(0,YG46-CashBuffer))</f>
        <v/>
      </c>
      <c r="WZ47" s="12">
        <f>IF(WY47&gt;0,MAX(1,ROUND(WY47/CAC*WV47,0)),0)</f>
        <v/>
      </c>
      <c r="XA47" s="12">
        <f>IF(WZ47&gt;0,ROUND(WZ47*ReferralMix/(1-ReferralMix),0),0)</f>
        <v/>
      </c>
      <c r="XB47" s="12">
        <f>WZ47+XA47</f>
        <v/>
      </c>
      <c r="XC47" s="12">
        <f>ROUND(XB47*(1-'Sens - Annual Mix'!$A$11),0)</f>
        <v/>
      </c>
      <c r="XD47" s="12">
        <f>XB47-XC47</f>
        <v/>
      </c>
      <c r="XE47" s="12">
        <f>ROUND(XC47*EssentialMix,0)</f>
        <v/>
      </c>
      <c r="XF47" s="12">
        <f>XC47-XE47</f>
        <v/>
      </c>
      <c r="XG47" s="12">
        <f>ROUND(XD47*EssentialMix,0)</f>
        <v/>
      </c>
      <c r="XH47" s="12">
        <f>XD47-XG47</f>
        <v/>
      </c>
      <c r="XI47" s="12">
        <f>XE47+XE46+XE45+MAX(0,XI46-XE46-XE45)*(1-WX47)</f>
        <v/>
      </c>
      <c r="XJ47" s="12">
        <f>XF47+XF46+XF45+MAX(0,XJ46-XF46-XF45)*(1-WX47)</f>
        <v/>
      </c>
      <c r="XK47" s="12">
        <f>XK46+XG47-XG35*(AnnualChurn*VLOOKUP(WT47,ChurnSeasonTable,4,FALSE))*POWER(1-(AnnualChurn*VLOOKUP(WT47,ChurnSeasonTable,4,FALSE)),0)+XG23*(AnnualChurn*VLOOKUP(WT47,ChurnSeasonTable,4,FALSE))*POWER(1-(AnnualChurn*VLOOKUP(WT47,ChurnSeasonTable,4,FALSE)),1)+XG11*(AnnualChurn*VLOOKUP(WT47,ChurnSeasonTable,4,FALSE))*POWER(1-(AnnualChurn*VLOOKUP(WT47,ChurnSeasonTable,4,FALSE)),2)</f>
        <v/>
      </c>
      <c r="XL47" s="12">
        <f>XL46+XH47-XH35*(AnnualChurn*VLOOKUP(WT47,ChurnSeasonTable,4,FALSE))*POWER(1-(AnnualChurn*VLOOKUP(WT47,ChurnSeasonTable,4,FALSE)),0)+XH23*(AnnualChurn*VLOOKUP(WT47,ChurnSeasonTable,4,FALSE))*POWER(1-(AnnualChurn*VLOOKUP(WT47,ChurnSeasonTable,4,FALSE)),1)+XH11*(AnnualChurn*VLOOKUP(WT47,ChurnSeasonTable,4,FALSE))*POWER(1-(AnnualChurn*VLOOKUP(WT47,ChurnSeasonTable,4,FALSE)),2)</f>
        <v/>
      </c>
      <c r="XM47" s="12">
        <f>XI47+XJ47+XK47+XL47</f>
        <v/>
      </c>
      <c r="XN47" s="9">
        <f>XI47*PriceEssMonthly*WW47+XJ47*PricePremMonthly*WW47+XK47*PriceEssAnnual*WW47/12+XL47*PricePremAnnual*WW47/12</f>
        <v/>
      </c>
      <c r="XO47" s="9">
        <f>XN47*12</f>
        <v/>
      </c>
      <c r="XP47" s="12">
        <f>XI47*PriceEssMonthly*WW47+XJ47*PricePremMonthly*WW47</f>
        <v/>
      </c>
      <c r="XQ47" s="12">
        <f>XG47*PriceEssAnnual*WW47+XH47*PricePremAnnual*WW47</f>
        <v/>
      </c>
      <c r="XR47" s="12">
        <f>XG35*POWER(1-(AnnualChurn*VLOOKUP(WT47,ChurnSeasonTable,4,FALSE)),1)*PriceEssAnnual*WW47+XG23*POWER(1-(AnnualChurn*VLOOKUP(WT47,ChurnSeasonTable,4,FALSE)),2)*PriceEssAnnual*WW47+XG11*POWER(1-(AnnualChurn*VLOOKUP(WT47,ChurnSeasonTable,4,FALSE)),3)*PriceEssAnnual*WW47+XH35*POWER(1-(AnnualChurn*VLOOKUP(WT47,ChurnSeasonTable,4,FALSE)),1)*PricePremAnnual*WW47+XH23*POWER(1-(AnnualChurn*VLOOKUP(WT47,ChurnSeasonTable,4,FALSE)),2)*PricePremAnnual*WW47+XH11*POWER(1-(AnnualChurn*VLOOKUP(WT47,ChurnSeasonTable,4,FALSE)),3)*PricePremAnnual*WW47</f>
        <v/>
      </c>
      <c r="XS47" s="9">
        <f>XP47+XQ47+XR47</f>
        <v/>
      </c>
      <c r="XT47" s="12">
        <f>SUM(XS36:XS47)</f>
        <v/>
      </c>
      <c r="XU47" s="12">
        <f>OR(XU46,XT47&gt;=VATThreshold)</f>
        <v/>
      </c>
      <c r="XV47" s="9">
        <f>IF(XU47,XS47/(1+VATRate),XS47)</f>
        <v/>
      </c>
      <c r="XW47" s="12">
        <f>XS47-XV47</f>
        <v/>
      </c>
      <c r="XX47" s="12">
        <f>IF(XU47=0,0,IF(WT47=1,SUMPRODUCT(--(($WU$5:$WU47=$WU47-1)*($WT$5:$WT47&gt;=10)*($WT$5:$WT47&lt;=12)),$XW$5:$XW47),IF(WT47=4,SUMPRODUCT(--(($WU$5:$WU47=$WU47)*($WT$5:$WT47&gt;=1)*($WT$5:$WT47&lt;=3)),$XW$5:$XW47),IF(WT47=7,SUMPRODUCT(--(($WU$5:$WU47=$WU47)*($WT$5:$WT47&gt;=4)*($WT$5:$WT47&lt;=6)),$XW$5:$XW47),IF(WT47=10,SUMPRODUCT(--(($WU$5:$WU47=$WU47)*($WT$5:$WT47&gt;=7)*($WT$5:$WT47&lt;=9)),$XW$5:$XW47),0)))))</f>
        <v/>
      </c>
      <c r="XY47" s="12">
        <f>XY46+XW47-XX47</f>
        <v/>
      </c>
      <c r="XZ47" s="12">
        <f>IF(ProviderDelay&gt;=1,XV46*ProviderShare,XV47*ProviderShare)</f>
        <v/>
      </c>
      <c r="YA47" s="12">
        <f>XS47*PaymentFee</f>
        <v/>
      </c>
      <c r="YB47" s="12">
        <f>XM47*OpsAI</f>
        <v/>
      </c>
      <c r="YC47" s="12">
        <f>MonthlyFixed</f>
        <v/>
      </c>
      <c r="YD47" s="12">
        <f>XA47*ReferralReward</f>
        <v/>
      </c>
      <c r="YE47" s="12">
        <f>WY47</f>
        <v/>
      </c>
      <c r="YF47" s="9">
        <f>XV47-XZ47-YA47-YB47-YC47-YD47-YE47</f>
        <v/>
      </c>
      <c r="YG47" s="9">
        <f>YG46+XS47-(XZ47+YA47+YB47+YC47+YD47+YE47+XX47)</f>
        <v/>
      </c>
      <c r="YH47" s="12">
        <f>IF(XM47&gt;0,XN47/XM47,0)</f>
        <v/>
      </c>
      <c r="YI47" s="11">
        <f>IF(XM46&gt;0,MAX(0,(XM46+XB47-XM47)/XM46),0)</f>
        <v/>
      </c>
      <c r="YK47" s="12" t="n">
        <v>43</v>
      </c>
      <c r="YL47" s="12">
        <f>MOD(YK47-1+LaunchMonth-1,12)+1</f>
        <v/>
      </c>
      <c r="YM47" s="12">
        <f>INT((YK47-1+LaunchMonth-1)/12)+1</f>
        <v/>
      </c>
      <c r="YN47" s="12">
        <f>VLOOKUP(YL47,SeasonTable,2,FALSE)</f>
        <v/>
      </c>
      <c r="YO47" s="12">
        <f>(1+InflationRate)^INT((YK47-1)/12)</f>
        <v/>
      </c>
      <c r="YP47" s="11">
        <f>MonthlyChurn*VLOOKUP(YL47,ChurnSeasonTable,4,FALSE)</f>
        <v/>
      </c>
      <c r="YQ47" s="12">
        <f>MIN(MAX(MktMin19plus,ZK46*MktPct19plus),MAX(0,ZY46-CashBuffer))</f>
        <v/>
      </c>
      <c r="YR47" s="12">
        <f>IF(YQ47&gt;0,MAX(1,ROUND(YQ47/CAC*YN47,0)),0)</f>
        <v/>
      </c>
      <c r="YS47" s="12">
        <f>IF(YR47&gt;0,ROUND(YR47*ReferralMix/(1-ReferralMix),0),0)</f>
        <v/>
      </c>
      <c r="YT47" s="12">
        <f>YR47+YS47</f>
        <v/>
      </c>
      <c r="YU47" s="12">
        <f>ROUND(YT47*(1-'Sens - Annual Mix'!$A$12),0)</f>
        <v/>
      </c>
      <c r="YV47" s="12">
        <f>YT47-YU47</f>
        <v/>
      </c>
      <c r="YW47" s="12">
        <f>ROUND(YU47*EssentialMix,0)</f>
        <v/>
      </c>
      <c r="YX47" s="12">
        <f>YU47-YW47</f>
        <v/>
      </c>
      <c r="YY47" s="12">
        <f>ROUND(YV47*EssentialMix,0)</f>
        <v/>
      </c>
      <c r="YZ47" s="12">
        <f>YV47-YY47</f>
        <v/>
      </c>
      <c r="ZA47" s="12">
        <f>YW47+YW46+YW45+MAX(0,ZA46-YW46-YW45)*(1-YP47)</f>
        <v/>
      </c>
      <c r="ZB47" s="12">
        <f>YX47+YX46+YX45+MAX(0,ZB46-YX46-YX45)*(1-YP47)</f>
        <v/>
      </c>
      <c r="ZC47" s="12">
        <f>ZC46+YY47-YY35*(AnnualChurn*VLOOKUP(YL47,ChurnSeasonTable,4,FALSE))*POWER(1-(AnnualChurn*VLOOKUP(YL47,ChurnSeasonTable,4,FALSE)),0)+YY23*(AnnualChurn*VLOOKUP(YL47,ChurnSeasonTable,4,FALSE))*POWER(1-(AnnualChurn*VLOOKUP(YL47,ChurnSeasonTable,4,FALSE)),1)+YY11*(AnnualChurn*VLOOKUP(YL47,ChurnSeasonTable,4,FALSE))*POWER(1-(AnnualChurn*VLOOKUP(YL47,ChurnSeasonTable,4,FALSE)),2)</f>
        <v/>
      </c>
      <c r="ZD47" s="12">
        <f>ZD46+YZ47-YZ35*(AnnualChurn*VLOOKUP(YL47,ChurnSeasonTable,4,FALSE))*POWER(1-(AnnualChurn*VLOOKUP(YL47,ChurnSeasonTable,4,FALSE)),0)+YZ23*(AnnualChurn*VLOOKUP(YL47,ChurnSeasonTable,4,FALSE))*POWER(1-(AnnualChurn*VLOOKUP(YL47,ChurnSeasonTable,4,FALSE)),1)+YZ11*(AnnualChurn*VLOOKUP(YL47,ChurnSeasonTable,4,FALSE))*POWER(1-(AnnualChurn*VLOOKUP(YL47,ChurnSeasonTable,4,FALSE)),2)</f>
        <v/>
      </c>
      <c r="ZE47" s="12">
        <f>ZA47+ZB47+ZC47+ZD47</f>
        <v/>
      </c>
      <c r="ZF47" s="9">
        <f>ZA47*PriceEssMonthly*YO47+ZB47*PricePremMonthly*YO47+ZC47*PriceEssAnnual*YO47/12+ZD47*PricePremAnnual*YO47/12</f>
        <v/>
      </c>
      <c r="ZG47" s="9">
        <f>ZF47*12</f>
        <v/>
      </c>
      <c r="ZH47" s="12">
        <f>ZA47*PriceEssMonthly*YO47+ZB47*PricePremMonthly*YO47</f>
        <v/>
      </c>
      <c r="ZI47" s="12">
        <f>YY47*PriceEssAnnual*YO47+YZ47*PricePremAnnual*YO47</f>
        <v/>
      </c>
      <c r="ZJ47" s="12">
        <f>YY35*POWER(1-(AnnualChurn*VLOOKUP(YL47,ChurnSeasonTable,4,FALSE)),1)*PriceEssAnnual*YO47+YY23*POWER(1-(AnnualChurn*VLOOKUP(YL47,ChurnSeasonTable,4,FALSE)),2)*PriceEssAnnual*YO47+YY11*POWER(1-(AnnualChurn*VLOOKUP(YL47,ChurnSeasonTable,4,FALSE)),3)*PriceEssAnnual*YO47+YZ35*POWER(1-(AnnualChurn*VLOOKUP(YL47,ChurnSeasonTable,4,FALSE)),1)*PricePremAnnual*YO47+YZ23*POWER(1-(AnnualChurn*VLOOKUP(YL47,ChurnSeasonTable,4,FALSE)),2)*PricePremAnnual*YO47+YZ11*POWER(1-(AnnualChurn*VLOOKUP(YL47,ChurnSeasonTable,4,FALSE)),3)*PricePremAnnual*YO47</f>
        <v/>
      </c>
      <c r="ZK47" s="9">
        <f>ZH47+ZI47+ZJ47</f>
        <v/>
      </c>
      <c r="ZL47" s="12">
        <f>SUM(ZK36:ZK47)</f>
        <v/>
      </c>
      <c r="ZM47" s="12">
        <f>OR(ZM46,ZL47&gt;=VATThreshold)</f>
        <v/>
      </c>
      <c r="ZN47" s="9">
        <f>IF(ZM47,ZK47/(1+VATRate),ZK47)</f>
        <v/>
      </c>
      <c r="ZO47" s="12">
        <f>ZK47-ZN47</f>
        <v/>
      </c>
      <c r="ZP47" s="12">
        <f>IF(ZM47=0,0,IF(YL47=1,SUMPRODUCT(--(($YM$5:$YM47=$YM47-1)*($YL$5:$YL47&gt;=10)*($YL$5:$YL47&lt;=12)),$ZO$5:$ZO47),IF(YL47=4,SUMPRODUCT(--(($YM$5:$YM47=$YM47)*($YL$5:$YL47&gt;=1)*($YL$5:$YL47&lt;=3)),$ZO$5:$ZO47),IF(YL47=7,SUMPRODUCT(--(($YM$5:$YM47=$YM47)*($YL$5:$YL47&gt;=4)*($YL$5:$YL47&lt;=6)),$ZO$5:$ZO47),IF(YL47=10,SUMPRODUCT(--(($YM$5:$YM47=$YM47)*($YL$5:$YL47&gt;=7)*($YL$5:$YL47&lt;=9)),$ZO$5:$ZO47),0)))))</f>
        <v/>
      </c>
      <c r="ZQ47" s="12">
        <f>ZQ46+ZO47-ZP47</f>
        <v/>
      </c>
      <c r="ZR47" s="12">
        <f>IF(ProviderDelay&gt;=1,ZN46*ProviderShare,ZN47*ProviderShare)</f>
        <v/>
      </c>
      <c r="ZS47" s="12">
        <f>ZK47*PaymentFee</f>
        <v/>
      </c>
      <c r="ZT47" s="12">
        <f>ZE47*OpsAI</f>
        <v/>
      </c>
      <c r="ZU47" s="12">
        <f>MonthlyFixed</f>
        <v/>
      </c>
      <c r="ZV47" s="12">
        <f>YS47*ReferralReward</f>
        <v/>
      </c>
      <c r="ZW47" s="12">
        <f>YQ47</f>
        <v/>
      </c>
      <c r="ZX47" s="9">
        <f>ZN47-ZR47-ZS47-ZT47-ZU47-ZV47-ZW47</f>
        <v/>
      </c>
      <c r="ZY47" s="9">
        <f>ZY46+ZK47-(ZR47+ZS47+ZT47+ZU47+ZV47+ZW47+ZP47)</f>
        <v/>
      </c>
      <c r="ZZ47" s="12">
        <f>IF(ZE47&gt;0,ZF47/ZE47,0)</f>
        <v/>
      </c>
      <c r="AAA47" s="11">
        <f>IF(ZE46&gt;0,MAX(0,(ZE46+YT47-ZE47)/ZE46),0)</f>
        <v/>
      </c>
      <c r="AAC47" s="12" t="n">
        <v>43</v>
      </c>
      <c r="AAD47" s="12">
        <f>MOD(AAC47-1+LaunchMonth-1,12)+1</f>
        <v/>
      </c>
      <c r="AAE47" s="12">
        <f>INT((AAC47-1+LaunchMonth-1)/12)+1</f>
        <v/>
      </c>
      <c r="AAF47" s="12">
        <f>VLOOKUP(AAD47,SeasonTable,2,FALSE)</f>
        <v/>
      </c>
      <c r="AAG47" s="12">
        <f>(1+InflationRate)^INT((AAC47-1)/12)</f>
        <v/>
      </c>
      <c r="AAH47" s="11">
        <f>MonthlyChurn*VLOOKUP(AAD47,ChurnSeasonTable,4,FALSE)</f>
        <v/>
      </c>
      <c r="AAI47" s="12">
        <f>MIN(MAX(MktMin19plus,ABC46*MktPct19plus),MAX(0,ABQ46-CashBuffer))</f>
        <v/>
      </c>
      <c r="AAJ47" s="12">
        <f>IF(AAI47&gt;0,MAX(1,ROUND(AAI47/CAC*AAF47,0)),0)</f>
        <v/>
      </c>
      <c r="AAK47" s="12">
        <f>IF(AAJ47&gt;0,ROUND(AAJ47*ReferralMix/(1-ReferralMix),0),0)</f>
        <v/>
      </c>
      <c r="AAL47" s="12">
        <f>AAJ47+AAK47</f>
        <v/>
      </c>
      <c r="AAM47" s="12">
        <f>ROUND(AAL47*(1-'Sens - Annual Mix'!$A$13),0)</f>
        <v/>
      </c>
      <c r="AAN47" s="12">
        <f>AAL47-AAM47</f>
        <v/>
      </c>
      <c r="AAO47" s="12">
        <f>ROUND(AAM47*EssentialMix,0)</f>
        <v/>
      </c>
      <c r="AAP47" s="12">
        <f>AAM47-AAO47</f>
        <v/>
      </c>
      <c r="AAQ47" s="12">
        <f>ROUND(AAN47*EssentialMix,0)</f>
        <v/>
      </c>
      <c r="AAR47" s="12">
        <f>AAN47-AAQ47</f>
        <v/>
      </c>
      <c r="AAS47" s="12">
        <f>AAO47+AAO46+AAO45+MAX(0,AAS46-AAO46-AAO45)*(1-AAH47)</f>
        <v/>
      </c>
      <c r="AAT47" s="12">
        <f>AAP47+AAP46+AAP45+MAX(0,AAT46-AAP46-AAP45)*(1-AAH47)</f>
        <v/>
      </c>
      <c r="AAU47" s="12">
        <f>AAU46+AAQ47-AAQ35*(AnnualChurn*VLOOKUP(AAD47,ChurnSeasonTable,4,FALSE))*POWER(1-(AnnualChurn*VLOOKUP(AAD47,ChurnSeasonTable,4,FALSE)),0)+AAQ23*(AnnualChurn*VLOOKUP(AAD47,ChurnSeasonTable,4,FALSE))*POWER(1-(AnnualChurn*VLOOKUP(AAD47,ChurnSeasonTable,4,FALSE)),1)+AAQ11*(AnnualChurn*VLOOKUP(AAD47,ChurnSeasonTable,4,FALSE))*POWER(1-(AnnualChurn*VLOOKUP(AAD47,ChurnSeasonTable,4,FALSE)),2)</f>
        <v/>
      </c>
      <c r="AAV47" s="12">
        <f>AAV46+AAR47-AAR35*(AnnualChurn*VLOOKUP(AAD47,ChurnSeasonTable,4,FALSE))*POWER(1-(AnnualChurn*VLOOKUP(AAD47,ChurnSeasonTable,4,FALSE)),0)+AAR23*(AnnualChurn*VLOOKUP(AAD47,ChurnSeasonTable,4,FALSE))*POWER(1-(AnnualChurn*VLOOKUP(AAD47,ChurnSeasonTable,4,FALSE)),1)+AAR11*(AnnualChurn*VLOOKUP(AAD47,ChurnSeasonTable,4,FALSE))*POWER(1-(AnnualChurn*VLOOKUP(AAD47,ChurnSeasonTable,4,FALSE)),2)</f>
        <v/>
      </c>
      <c r="AAW47" s="12">
        <f>AAS47+AAT47+AAU47+AAV47</f>
        <v/>
      </c>
      <c r="AAX47" s="9">
        <f>AAS47*PriceEssMonthly*AAG47+AAT47*PricePremMonthly*AAG47+AAU47*PriceEssAnnual*AAG47/12+AAV47*PricePremAnnual*AAG47/12</f>
        <v/>
      </c>
      <c r="AAY47" s="9">
        <f>AAX47*12</f>
        <v/>
      </c>
      <c r="AAZ47" s="12">
        <f>AAS47*PriceEssMonthly*AAG47+AAT47*PricePremMonthly*AAG47</f>
        <v/>
      </c>
      <c r="ABA47" s="12">
        <f>AAQ47*PriceEssAnnual*AAG47+AAR47*PricePremAnnual*AAG47</f>
        <v/>
      </c>
      <c r="ABB47" s="12">
        <f>AAQ35*POWER(1-(AnnualChurn*VLOOKUP(AAD47,ChurnSeasonTable,4,FALSE)),1)*PriceEssAnnual*AAG47+AAQ23*POWER(1-(AnnualChurn*VLOOKUP(AAD47,ChurnSeasonTable,4,FALSE)),2)*PriceEssAnnual*AAG47+AAQ11*POWER(1-(AnnualChurn*VLOOKUP(AAD47,ChurnSeasonTable,4,FALSE)),3)*PriceEssAnnual*AAG47+AAR35*POWER(1-(AnnualChurn*VLOOKUP(AAD47,ChurnSeasonTable,4,FALSE)),1)*PricePremAnnual*AAG47+AAR23*POWER(1-(AnnualChurn*VLOOKUP(AAD47,ChurnSeasonTable,4,FALSE)),2)*PricePremAnnual*AAG47+AAR11*POWER(1-(AnnualChurn*VLOOKUP(AAD47,ChurnSeasonTable,4,FALSE)),3)*PricePremAnnual*AAG47</f>
        <v/>
      </c>
      <c r="ABC47" s="9">
        <f>AAZ47+ABA47+ABB47</f>
        <v/>
      </c>
      <c r="ABD47" s="12">
        <f>SUM(ABC36:ABC47)</f>
        <v/>
      </c>
      <c r="ABE47" s="12">
        <f>OR(ABE46,ABD47&gt;=VATThreshold)</f>
        <v/>
      </c>
      <c r="ABF47" s="9">
        <f>IF(ABE47,ABC47/(1+VATRate),ABC47)</f>
        <v/>
      </c>
      <c r="ABG47" s="12">
        <f>ABC47-ABF47</f>
        <v/>
      </c>
      <c r="ABH47" s="12">
        <f>IF(ABE47=0,0,IF(AAD47=1,SUMPRODUCT(--(($AAE$5:$AAE47=$AAE47-1)*($AAD$5:$AAD47&gt;=10)*($AAD$5:$AAD47&lt;=12)),$ABG$5:$ABG47),IF(AAD47=4,SUMPRODUCT(--(($AAE$5:$AAE47=$AAE47)*($AAD$5:$AAD47&gt;=1)*($AAD$5:$AAD47&lt;=3)),$ABG$5:$ABG47),IF(AAD47=7,SUMPRODUCT(--(($AAE$5:$AAE47=$AAE47)*($AAD$5:$AAD47&gt;=4)*($AAD$5:$AAD47&lt;=6)),$ABG$5:$ABG47),IF(AAD47=10,SUMPRODUCT(--(($AAE$5:$AAE47=$AAE47)*($AAD$5:$AAD47&gt;=7)*($AAD$5:$AAD47&lt;=9)),$ABG$5:$ABG47),0)))))</f>
        <v/>
      </c>
      <c r="ABI47" s="12">
        <f>ABI46+ABG47-ABH47</f>
        <v/>
      </c>
      <c r="ABJ47" s="12">
        <f>IF(ProviderDelay&gt;=1,ABF46*ProviderShare,ABF47*ProviderShare)</f>
        <v/>
      </c>
      <c r="ABK47" s="12">
        <f>ABC47*PaymentFee</f>
        <v/>
      </c>
      <c r="ABL47" s="12">
        <f>AAW47*OpsAI</f>
        <v/>
      </c>
      <c r="ABM47" s="12">
        <f>MonthlyFixed</f>
        <v/>
      </c>
      <c r="ABN47" s="12">
        <f>AAK47*ReferralReward</f>
        <v/>
      </c>
      <c r="ABO47" s="12">
        <f>AAI47</f>
        <v/>
      </c>
      <c r="ABP47" s="9">
        <f>ABF47-ABJ47-ABK47-ABL47-ABM47-ABN47-ABO47</f>
        <v/>
      </c>
      <c r="ABQ47" s="9">
        <f>ABQ46+ABC47-(ABJ47+ABK47+ABL47+ABM47+ABN47+ABO47+ABH47)</f>
        <v/>
      </c>
      <c r="ABR47" s="12">
        <f>IF(AAW47&gt;0,AAX47/AAW47,0)</f>
        <v/>
      </c>
      <c r="ABS47" s="11">
        <f>IF(AAW46&gt;0,MAX(0,(AAW46+AAL47-AAW47)/AAW46),0)</f>
        <v/>
      </c>
      <c r="ABU47" s="12" t="n">
        <v>43</v>
      </c>
      <c r="ABV47" s="12">
        <f>MOD(ABU47-1+LaunchMonth-1,12)+1</f>
        <v/>
      </c>
      <c r="ABW47" s="12">
        <f>INT((ABU47-1+LaunchMonth-1)/12)+1</f>
        <v/>
      </c>
      <c r="ABX47" s="12">
        <f>VLOOKUP(ABV47,SeasonTable,2,FALSE)</f>
        <v/>
      </c>
      <c r="ABY47" s="12">
        <f>(1+InflationRate)^INT((ABU47-1)/12)</f>
        <v/>
      </c>
      <c r="ABZ47" s="11">
        <f>MonthlyChurn*VLOOKUP(ABV47,ChurnSeasonTable,4,FALSE)</f>
        <v/>
      </c>
      <c r="ACA47" s="12">
        <f>MIN(MAX(MktMin19plus,ACU46*MktPct19plus),MAX(0,ADI46-CashBuffer))</f>
        <v/>
      </c>
      <c r="ACB47" s="12">
        <f>IF(ACA47&gt;0,MAX(1,ROUND(ACA47/CAC*ABX47,0)),0)</f>
        <v/>
      </c>
      <c r="ACC47" s="12">
        <f>IF(ACB47&gt;0,ROUND(ACB47*ReferralMix/(1-ReferralMix),0),0)</f>
        <v/>
      </c>
      <c r="ACD47" s="12">
        <f>ACB47+ACC47</f>
        <v/>
      </c>
      <c r="ACE47" s="12">
        <f>ROUND(ACD47*(1-'Sens - Annual Mix'!$A$14),0)</f>
        <v/>
      </c>
      <c r="ACF47" s="12">
        <f>ACD47-ACE47</f>
        <v/>
      </c>
      <c r="ACG47" s="12">
        <f>ROUND(ACE47*EssentialMix,0)</f>
        <v/>
      </c>
      <c r="ACH47" s="12">
        <f>ACE47-ACG47</f>
        <v/>
      </c>
      <c r="ACI47" s="12">
        <f>ROUND(ACF47*EssentialMix,0)</f>
        <v/>
      </c>
      <c r="ACJ47" s="12">
        <f>ACF47-ACI47</f>
        <v/>
      </c>
      <c r="ACK47" s="12">
        <f>ACG47+ACG46+ACG45+MAX(0,ACK46-ACG46-ACG45)*(1-ABZ47)</f>
        <v/>
      </c>
      <c r="ACL47" s="12">
        <f>ACH47+ACH46+ACH45+MAX(0,ACL46-ACH46-ACH45)*(1-ABZ47)</f>
        <v/>
      </c>
      <c r="ACM47" s="12">
        <f>ACM46+ACI47-ACI35*(AnnualChurn*VLOOKUP(ABV47,ChurnSeasonTable,4,FALSE))*POWER(1-(AnnualChurn*VLOOKUP(ABV47,ChurnSeasonTable,4,FALSE)),0)+ACI23*(AnnualChurn*VLOOKUP(ABV47,ChurnSeasonTable,4,FALSE))*POWER(1-(AnnualChurn*VLOOKUP(ABV47,ChurnSeasonTable,4,FALSE)),1)+ACI11*(AnnualChurn*VLOOKUP(ABV47,ChurnSeasonTable,4,FALSE))*POWER(1-(AnnualChurn*VLOOKUP(ABV47,ChurnSeasonTable,4,FALSE)),2)</f>
        <v/>
      </c>
      <c r="ACN47" s="12">
        <f>ACN46+ACJ47-ACJ35*(AnnualChurn*VLOOKUP(ABV47,ChurnSeasonTable,4,FALSE))*POWER(1-(AnnualChurn*VLOOKUP(ABV47,ChurnSeasonTable,4,FALSE)),0)+ACJ23*(AnnualChurn*VLOOKUP(ABV47,ChurnSeasonTable,4,FALSE))*POWER(1-(AnnualChurn*VLOOKUP(ABV47,ChurnSeasonTable,4,FALSE)),1)+ACJ11*(AnnualChurn*VLOOKUP(ABV47,ChurnSeasonTable,4,FALSE))*POWER(1-(AnnualChurn*VLOOKUP(ABV47,ChurnSeasonTable,4,FALSE)),2)</f>
        <v/>
      </c>
      <c r="ACO47" s="12">
        <f>ACK47+ACL47+ACM47+ACN47</f>
        <v/>
      </c>
      <c r="ACP47" s="9">
        <f>ACK47*PriceEssMonthly*ABY47+ACL47*PricePremMonthly*ABY47+ACM47*PriceEssAnnual*ABY47/12+ACN47*PricePremAnnual*ABY47/12</f>
        <v/>
      </c>
      <c r="ACQ47" s="9">
        <f>ACP47*12</f>
        <v/>
      </c>
      <c r="ACR47" s="12">
        <f>ACK47*PriceEssMonthly*ABY47+ACL47*PricePremMonthly*ABY47</f>
        <v/>
      </c>
      <c r="ACS47" s="12">
        <f>ACI47*PriceEssAnnual*ABY47+ACJ47*PricePremAnnual*ABY47</f>
        <v/>
      </c>
      <c r="ACT47" s="12">
        <f>ACI35*POWER(1-(AnnualChurn*VLOOKUP(ABV47,ChurnSeasonTable,4,FALSE)),1)*PriceEssAnnual*ABY47+ACI23*POWER(1-(AnnualChurn*VLOOKUP(ABV47,ChurnSeasonTable,4,FALSE)),2)*PriceEssAnnual*ABY47+ACI11*POWER(1-(AnnualChurn*VLOOKUP(ABV47,ChurnSeasonTable,4,FALSE)),3)*PriceEssAnnual*ABY47+ACJ35*POWER(1-(AnnualChurn*VLOOKUP(ABV47,ChurnSeasonTable,4,FALSE)),1)*PricePremAnnual*ABY47+ACJ23*POWER(1-(AnnualChurn*VLOOKUP(ABV47,ChurnSeasonTable,4,FALSE)),2)*PricePremAnnual*ABY47+ACJ11*POWER(1-(AnnualChurn*VLOOKUP(ABV47,ChurnSeasonTable,4,FALSE)),3)*PricePremAnnual*ABY47</f>
        <v/>
      </c>
      <c r="ACU47" s="9">
        <f>ACR47+ACS47+ACT47</f>
        <v/>
      </c>
      <c r="ACV47" s="12">
        <f>SUM(ACU36:ACU47)</f>
        <v/>
      </c>
      <c r="ACW47" s="12">
        <f>OR(ACW46,ACV47&gt;=VATThreshold)</f>
        <v/>
      </c>
      <c r="ACX47" s="9">
        <f>IF(ACW47,ACU47/(1+VATRate),ACU47)</f>
        <v/>
      </c>
      <c r="ACY47" s="12">
        <f>ACU47-ACX47</f>
        <v/>
      </c>
      <c r="ACZ47" s="12">
        <f>IF(ACW47=0,0,IF(ABV47=1,SUMPRODUCT(--(($ABW$5:$ABW47=$ABW47-1)*($ABV$5:$ABV47&gt;=10)*($ABV$5:$ABV47&lt;=12)),$ACY$5:$ACY47),IF(ABV47=4,SUMPRODUCT(--(($ABW$5:$ABW47=$ABW47)*($ABV$5:$ABV47&gt;=1)*($ABV$5:$ABV47&lt;=3)),$ACY$5:$ACY47),IF(ABV47=7,SUMPRODUCT(--(($ABW$5:$ABW47=$ABW47)*($ABV$5:$ABV47&gt;=4)*($ABV$5:$ABV47&lt;=6)),$ACY$5:$ACY47),IF(ABV47=10,SUMPRODUCT(--(($ABW$5:$ABW47=$ABW47)*($ABV$5:$ABV47&gt;=7)*($ABV$5:$ABV47&lt;=9)),$ACY$5:$ACY47),0)))))</f>
        <v/>
      </c>
      <c r="ADA47" s="12">
        <f>ADA46+ACY47-ACZ47</f>
        <v/>
      </c>
      <c r="ADB47" s="12">
        <f>IF(ProviderDelay&gt;=1,ACX46*ProviderShare,ACX47*ProviderShare)</f>
        <v/>
      </c>
      <c r="ADC47" s="12">
        <f>ACU47*PaymentFee</f>
        <v/>
      </c>
      <c r="ADD47" s="12">
        <f>ACO47*OpsAI</f>
        <v/>
      </c>
      <c r="ADE47" s="12">
        <f>MonthlyFixed</f>
        <v/>
      </c>
      <c r="ADF47" s="12">
        <f>ACC47*ReferralReward</f>
        <v/>
      </c>
      <c r="ADG47" s="12">
        <f>ACA47</f>
        <v/>
      </c>
      <c r="ADH47" s="9">
        <f>ACX47-ADB47-ADC47-ADD47-ADE47-ADF47-ADG47</f>
        <v/>
      </c>
      <c r="ADI47" s="9">
        <f>ADI46+ACU47-(ADB47+ADC47+ADD47+ADE47+ADF47+ADG47+ACZ47)</f>
        <v/>
      </c>
      <c r="ADJ47" s="12">
        <f>IF(ACO47&gt;0,ACP47/ACO47,0)</f>
        <v/>
      </c>
      <c r="ADK47" s="11">
        <f>IF(ACO46&gt;0,MAX(0,(ACO46+ACD47-ACO47)/ACO46),0)</f>
        <v/>
      </c>
      <c r="ADM47" s="12" t="n">
        <v>43</v>
      </c>
      <c r="ADN47" s="12">
        <f>MOD(ADM47-1+LaunchMonth-1,12)+1</f>
        <v/>
      </c>
      <c r="ADO47" s="12">
        <f>INT((ADM47-1+LaunchMonth-1)/12)+1</f>
        <v/>
      </c>
      <c r="ADP47" s="12">
        <f>VLOOKUP(ADN47,SeasonTable,2,FALSE)</f>
        <v/>
      </c>
      <c r="ADQ47" s="12">
        <f>(1+InflationRate)^INT((ADM47-1)/12)</f>
        <v/>
      </c>
      <c r="ADR47" s="11">
        <f>MonthlyChurn*VLOOKUP(ADN47,ChurnSeasonTable,4,FALSE)</f>
        <v/>
      </c>
      <c r="ADS47" s="12">
        <f>MIN(MAX(MktMin19plus,AEM46*MktPct19plus),MAX(0,AFA46-CashBuffer))</f>
        <v/>
      </c>
      <c r="ADT47" s="12">
        <f>IF(ADS47&gt;0,MAX(1,ROUND(ADS47/CAC*ADP47,0)),0)</f>
        <v/>
      </c>
      <c r="ADU47" s="12">
        <f>IF(ADT47&gt;0,ROUND(ADT47*ReferralMix/(1-ReferralMix),0),0)</f>
        <v/>
      </c>
      <c r="ADV47" s="12">
        <f>ADT47+ADU47</f>
        <v/>
      </c>
      <c r="ADW47" s="12">
        <f>ROUND(ADV47*(1-'Sens - Annual Mix'!$A$15),0)</f>
        <v/>
      </c>
      <c r="ADX47" s="12">
        <f>ADV47-ADW47</f>
        <v/>
      </c>
      <c r="ADY47" s="12">
        <f>ROUND(ADW47*EssentialMix,0)</f>
        <v/>
      </c>
      <c r="ADZ47" s="12">
        <f>ADW47-ADY47</f>
        <v/>
      </c>
      <c r="AEA47" s="12">
        <f>ROUND(ADX47*EssentialMix,0)</f>
        <v/>
      </c>
      <c r="AEB47" s="12">
        <f>ADX47-AEA47</f>
        <v/>
      </c>
      <c r="AEC47" s="12">
        <f>ADY47+ADY46+ADY45+MAX(0,AEC46-ADY46-ADY45)*(1-ADR47)</f>
        <v/>
      </c>
      <c r="AED47" s="12">
        <f>ADZ47+ADZ46+ADZ45+MAX(0,AED46-ADZ46-ADZ45)*(1-ADR47)</f>
        <v/>
      </c>
      <c r="AEE47" s="12">
        <f>AEE46+AEA47-AEA35*(AnnualChurn*VLOOKUP(ADN47,ChurnSeasonTable,4,FALSE))*POWER(1-(AnnualChurn*VLOOKUP(ADN47,ChurnSeasonTable,4,FALSE)),0)+AEA23*(AnnualChurn*VLOOKUP(ADN47,ChurnSeasonTable,4,FALSE))*POWER(1-(AnnualChurn*VLOOKUP(ADN47,ChurnSeasonTable,4,FALSE)),1)+AEA11*(AnnualChurn*VLOOKUP(ADN47,ChurnSeasonTable,4,FALSE))*POWER(1-(AnnualChurn*VLOOKUP(ADN47,ChurnSeasonTable,4,FALSE)),2)</f>
        <v/>
      </c>
      <c r="AEF47" s="12">
        <f>AEF46+AEB47-AEB35*(AnnualChurn*VLOOKUP(ADN47,ChurnSeasonTable,4,FALSE))*POWER(1-(AnnualChurn*VLOOKUP(ADN47,ChurnSeasonTable,4,FALSE)),0)+AEB23*(AnnualChurn*VLOOKUP(ADN47,ChurnSeasonTable,4,FALSE))*POWER(1-(AnnualChurn*VLOOKUP(ADN47,ChurnSeasonTable,4,FALSE)),1)+AEB11*(AnnualChurn*VLOOKUP(ADN47,ChurnSeasonTable,4,FALSE))*POWER(1-(AnnualChurn*VLOOKUP(ADN47,ChurnSeasonTable,4,FALSE)),2)</f>
        <v/>
      </c>
      <c r="AEG47" s="12">
        <f>AEC47+AED47+AEE47+AEF47</f>
        <v/>
      </c>
      <c r="AEH47" s="9">
        <f>AEC47*PriceEssMonthly*ADQ47+AED47*PricePremMonthly*ADQ47+AEE47*PriceEssAnnual*ADQ47/12+AEF47*PricePremAnnual*ADQ47/12</f>
        <v/>
      </c>
      <c r="AEI47" s="9">
        <f>AEH47*12</f>
        <v/>
      </c>
      <c r="AEJ47" s="12">
        <f>AEC47*PriceEssMonthly*ADQ47+AED47*PricePremMonthly*ADQ47</f>
        <v/>
      </c>
      <c r="AEK47" s="12">
        <f>AEA47*PriceEssAnnual*ADQ47+AEB47*PricePremAnnual*ADQ47</f>
        <v/>
      </c>
      <c r="AEL47" s="12">
        <f>AEA35*POWER(1-(AnnualChurn*VLOOKUP(ADN47,ChurnSeasonTable,4,FALSE)),1)*PriceEssAnnual*ADQ47+AEA23*POWER(1-(AnnualChurn*VLOOKUP(ADN47,ChurnSeasonTable,4,FALSE)),2)*PriceEssAnnual*ADQ47+AEA11*POWER(1-(AnnualChurn*VLOOKUP(ADN47,ChurnSeasonTable,4,FALSE)),3)*PriceEssAnnual*ADQ47+AEB35*POWER(1-(AnnualChurn*VLOOKUP(ADN47,ChurnSeasonTable,4,FALSE)),1)*PricePremAnnual*ADQ47+AEB23*POWER(1-(AnnualChurn*VLOOKUP(ADN47,ChurnSeasonTable,4,FALSE)),2)*PricePremAnnual*ADQ47+AEB11*POWER(1-(AnnualChurn*VLOOKUP(ADN47,ChurnSeasonTable,4,FALSE)),3)*PricePremAnnual*ADQ47</f>
        <v/>
      </c>
      <c r="AEM47" s="9">
        <f>AEJ47+AEK47+AEL47</f>
        <v/>
      </c>
      <c r="AEN47" s="12">
        <f>SUM(AEM36:AEM47)</f>
        <v/>
      </c>
      <c r="AEO47" s="12">
        <f>OR(AEO46,AEN47&gt;=VATThreshold)</f>
        <v/>
      </c>
      <c r="AEP47" s="9">
        <f>IF(AEO47,AEM47/(1+VATRate),AEM47)</f>
        <v/>
      </c>
      <c r="AEQ47" s="12">
        <f>AEM47-AEP47</f>
        <v/>
      </c>
      <c r="AER47" s="12">
        <f>IF(AEO47=0,0,IF(ADN47=1,SUMPRODUCT(--(($ADO$5:$ADO47=$ADO47-1)*($ADN$5:$ADN47&gt;=10)*($ADN$5:$ADN47&lt;=12)),$AEQ$5:$AEQ47),IF(ADN47=4,SUMPRODUCT(--(($ADO$5:$ADO47=$ADO47)*($ADN$5:$ADN47&gt;=1)*($ADN$5:$ADN47&lt;=3)),$AEQ$5:$AEQ47),IF(ADN47=7,SUMPRODUCT(--(($ADO$5:$ADO47=$ADO47)*($ADN$5:$ADN47&gt;=4)*($ADN$5:$ADN47&lt;=6)),$AEQ$5:$AEQ47),IF(ADN47=10,SUMPRODUCT(--(($ADO$5:$ADO47=$ADO47)*($ADN$5:$ADN47&gt;=7)*($ADN$5:$ADN47&lt;=9)),$AEQ$5:$AEQ47),0)))))</f>
        <v/>
      </c>
      <c r="AES47" s="12">
        <f>AES46+AEQ47-AER47</f>
        <v/>
      </c>
      <c r="AET47" s="12">
        <f>IF(ProviderDelay&gt;=1,AEP46*ProviderShare,AEP47*ProviderShare)</f>
        <v/>
      </c>
      <c r="AEU47" s="12">
        <f>AEM47*PaymentFee</f>
        <v/>
      </c>
      <c r="AEV47" s="12">
        <f>AEG47*OpsAI</f>
        <v/>
      </c>
      <c r="AEW47" s="12">
        <f>MonthlyFixed</f>
        <v/>
      </c>
      <c r="AEX47" s="12">
        <f>ADU47*ReferralReward</f>
        <v/>
      </c>
      <c r="AEY47" s="12">
        <f>ADS47</f>
        <v/>
      </c>
      <c r="AEZ47" s="9">
        <f>AEP47-AET47-AEU47-AEV47-AEW47-AEX47-AEY47</f>
        <v/>
      </c>
      <c r="AFA47" s="9">
        <f>AFA46+AEM47-(AET47+AEU47+AEV47+AEW47+AEX47+AEY47+AER47)</f>
        <v/>
      </c>
      <c r="AFB47" s="12">
        <f>IF(AEG47&gt;0,AEH47/AEG47,0)</f>
        <v/>
      </c>
      <c r="AFC47" s="11">
        <f>IF(AEG46&gt;0,MAX(0,(AEG46+ADV47-AEG47)/AEG46),0)</f>
        <v/>
      </c>
      <c r="AFE47" s="12" t="n">
        <v>43</v>
      </c>
      <c r="AFF47" s="12">
        <f>MOD(AFE47-1+LaunchMonth-1,12)+1</f>
        <v/>
      </c>
      <c r="AFG47" s="12">
        <f>INT((AFE47-1+LaunchMonth-1)/12)+1</f>
        <v/>
      </c>
      <c r="AFH47" s="12">
        <f>VLOOKUP(AFF47,SeasonTable,2,FALSE)</f>
        <v/>
      </c>
      <c r="AFI47" s="12">
        <f>(1+InflationRate)^INT((AFE47-1)/12)</f>
        <v/>
      </c>
      <c r="AFJ47" s="11">
        <f>MonthlyChurn*VLOOKUP(AFF47,ChurnSeasonTable,4,FALSE)</f>
        <v/>
      </c>
      <c r="AFK47" s="12">
        <f>MIN(MAX(MktMin19plus,AGE46*MktPct19plus),MAX(0,AGS46-CashBuffer))</f>
        <v/>
      </c>
      <c r="AFL47" s="12">
        <f>IF(AFK47&gt;0,MAX(1,ROUND(AFK47/'Sens - CAC &amp; Marketing'!$A$9*AFH47,0)),0)</f>
        <v/>
      </c>
      <c r="AFM47" s="12">
        <f>IF(AFL47&gt;0,ROUND(AFL47*ReferralMix/(1-ReferralMix),0),0)</f>
        <v/>
      </c>
      <c r="AFN47" s="12">
        <f>AFL47+AFM47</f>
        <v/>
      </c>
      <c r="AFO47" s="12">
        <f>ROUND(AFN47*(1-AnnualMix),0)</f>
        <v/>
      </c>
      <c r="AFP47" s="12">
        <f>AFN47-AFO47</f>
        <v/>
      </c>
      <c r="AFQ47" s="12">
        <f>ROUND(AFO47*EssentialMix,0)</f>
        <v/>
      </c>
      <c r="AFR47" s="12">
        <f>AFO47-AFQ47</f>
        <v/>
      </c>
      <c r="AFS47" s="12">
        <f>ROUND(AFP47*EssentialMix,0)</f>
        <v/>
      </c>
      <c r="AFT47" s="12">
        <f>AFP47-AFS47</f>
        <v/>
      </c>
      <c r="AFU47" s="12">
        <f>AFQ47+AFQ46+AFQ45+MAX(0,AFU46-AFQ46-AFQ45)*(1-AFJ47)</f>
        <v/>
      </c>
      <c r="AFV47" s="12">
        <f>AFR47+AFR46+AFR45+MAX(0,AFV46-AFR46-AFR45)*(1-AFJ47)</f>
        <v/>
      </c>
      <c r="AFW47" s="12">
        <f>AFW46+AFS47-AFS35*(AnnualChurn*VLOOKUP(AFF47,ChurnSeasonTable,4,FALSE))*POWER(1-(AnnualChurn*VLOOKUP(AFF47,ChurnSeasonTable,4,FALSE)),0)+AFS23*(AnnualChurn*VLOOKUP(AFF47,ChurnSeasonTable,4,FALSE))*POWER(1-(AnnualChurn*VLOOKUP(AFF47,ChurnSeasonTable,4,FALSE)),1)+AFS11*(AnnualChurn*VLOOKUP(AFF47,ChurnSeasonTable,4,FALSE))*POWER(1-(AnnualChurn*VLOOKUP(AFF47,ChurnSeasonTable,4,FALSE)),2)</f>
        <v/>
      </c>
      <c r="AFX47" s="12">
        <f>AFX46+AFT47-AFT35*(AnnualChurn*VLOOKUP(AFF47,ChurnSeasonTable,4,FALSE))*POWER(1-(AnnualChurn*VLOOKUP(AFF47,ChurnSeasonTable,4,FALSE)),0)+AFT23*(AnnualChurn*VLOOKUP(AFF47,ChurnSeasonTable,4,FALSE))*POWER(1-(AnnualChurn*VLOOKUP(AFF47,ChurnSeasonTable,4,FALSE)),1)+AFT11*(AnnualChurn*VLOOKUP(AFF47,ChurnSeasonTable,4,FALSE))*POWER(1-(AnnualChurn*VLOOKUP(AFF47,ChurnSeasonTable,4,FALSE)),2)</f>
        <v/>
      </c>
      <c r="AFY47" s="12">
        <f>AFU47+AFV47+AFW47+AFX47</f>
        <v/>
      </c>
      <c r="AFZ47" s="9">
        <f>AFU47*PriceEssMonthly*AFI47+AFV47*PricePremMonthly*AFI47+AFW47*PriceEssAnnual*AFI47/12+AFX47*PricePremAnnual*AFI47/12</f>
        <v/>
      </c>
      <c r="AGA47" s="9">
        <f>AFZ47*12</f>
        <v/>
      </c>
      <c r="AGB47" s="12">
        <f>AFU47*PriceEssMonthly*AFI47+AFV47*PricePremMonthly*AFI47</f>
        <v/>
      </c>
      <c r="AGC47" s="12">
        <f>AFS47*PriceEssAnnual*AFI47+AFT47*PricePremAnnual*AFI47</f>
        <v/>
      </c>
      <c r="AGD47" s="12">
        <f>AFS35*POWER(1-(AnnualChurn*VLOOKUP(AFF47,ChurnSeasonTable,4,FALSE)),1)*PriceEssAnnual*AFI47+AFS23*POWER(1-(AnnualChurn*VLOOKUP(AFF47,ChurnSeasonTable,4,FALSE)),2)*PriceEssAnnual*AFI47+AFS11*POWER(1-(AnnualChurn*VLOOKUP(AFF47,ChurnSeasonTable,4,FALSE)),3)*PriceEssAnnual*AFI47+AFT35*POWER(1-(AnnualChurn*VLOOKUP(AFF47,ChurnSeasonTable,4,FALSE)),1)*PricePremAnnual*AFI47+AFT23*POWER(1-(AnnualChurn*VLOOKUP(AFF47,ChurnSeasonTable,4,FALSE)),2)*PricePremAnnual*AFI47+AFT11*POWER(1-(AnnualChurn*VLOOKUP(AFF47,ChurnSeasonTable,4,FALSE)),3)*PricePremAnnual*AFI47</f>
        <v/>
      </c>
      <c r="AGE47" s="9">
        <f>AGB47+AGC47+AGD47</f>
        <v/>
      </c>
      <c r="AGF47" s="12">
        <f>SUM(AGE36:AGE47)</f>
        <v/>
      </c>
      <c r="AGG47" s="12">
        <f>OR(AGG46,AGF47&gt;=VATThreshold)</f>
        <v/>
      </c>
      <c r="AGH47" s="9">
        <f>IF(AGG47,AGE47/(1+VATRate),AGE47)</f>
        <v/>
      </c>
      <c r="AGI47" s="12">
        <f>AGE47-AGH47</f>
        <v/>
      </c>
      <c r="AGJ47" s="12">
        <f>IF(AGG47=0,0,IF(AFF47=1,SUMPRODUCT(--(($AFG$5:$AFG47=$AFG47-1)*($AFF$5:$AFF47&gt;=10)*($AFF$5:$AFF47&lt;=12)),$AGI$5:$AGI47),IF(AFF47=4,SUMPRODUCT(--(($AFG$5:$AFG47=$AFG47)*($AFF$5:$AFF47&gt;=1)*($AFF$5:$AFF47&lt;=3)),$AGI$5:$AGI47),IF(AFF47=7,SUMPRODUCT(--(($AFG$5:$AFG47=$AFG47)*($AFF$5:$AFF47&gt;=4)*($AFF$5:$AFF47&lt;=6)),$AGI$5:$AGI47),IF(AFF47=10,SUMPRODUCT(--(($AFG$5:$AFG47=$AFG47)*($AFF$5:$AFF47&gt;=7)*($AFF$5:$AFF47&lt;=9)),$AGI$5:$AGI47),0)))))</f>
        <v/>
      </c>
      <c r="AGK47" s="12">
        <f>AGK46+AGI47-AGJ47</f>
        <v/>
      </c>
      <c r="AGL47" s="12">
        <f>IF(ProviderDelay&gt;=1,AGH46*ProviderShare,AGH47*ProviderShare)</f>
        <v/>
      </c>
      <c r="AGM47" s="12">
        <f>AGE47*PaymentFee</f>
        <v/>
      </c>
      <c r="AGN47" s="12">
        <f>AFY47*OpsAI</f>
        <v/>
      </c>
      <c r="AGO47" s="12">
        <f>MonthlyFixed</f>
        <v/>
      </c>
      <c r="AGP47" s="12">
        <f>AFM47*ReferralReward</f>
        <v/>
      </c>
      <c r="AGQ47" s="12">
        <f>AFK47</f>
        <v/>
      </c>
      <c r="AGR47" s="9">
        <f>AGH47-AGL47-AGM47-AGN47-AGO47-AGP47-AGQ47</f>
        <v/>
      </c>
      <c r="AGS47" s="9">
        <f>AGS46+AGE47-(AGL47+AGM47+AGN47+AGO47+AGP47+AGQ47+AGJ47)</f>
        <v/>
      </c>
      <c r="AGT47" s="12">
        <f>IF(AFY47&gt;0,AFZ47/AFY47,0)</f>
        <v/>
      </c>
      <c r="AGU47" s="11">
        <f>IF(AFY46&gt;0,MAX(0,(AFY46+AFN47-AFY47)/AFY46),0)</f>
        <v/>
      </c>
      <c r="AGW47" s="12" t="n">
        <v>43</v>
      </c>
      <c r="AGX47" s="12">
        <f>MOD(AGW47-1+LaunchMonth-1,12)+1</f>
        <v/>
      </c>
      <c r="AGY47" s="12">
        <f>INT((AGW47-1+LaunchMonth-1)/12)+1</f>
        <v/>
      </c>
      <c r="AGZ47" s="12">
        <f>VLOOKUP(AGX47,SeasonTable,2,FALSE)</f>
        <v/>
      </c>
      <c r="AHA47" s="12">
        <f>(1+InflationRate)^INT((AGW47-1)/12)</f>
        <v/>
      </c>
      <c r="AHB47" s="11">
        <f>MonthlyChurn*VLOOKUP(AGX47,ChurnSeasonTable,4,FALSE)</f>
        <v/>
      </c>
      <c r="AHC47" s="12">
        <f>MIN(MAX(MktMin19plus,AHW46*MktPct19plus),MAX(0,AIK46-CashBuffer))</f>
        <v/>
      </c>
      <c r="AHD47" s="12">
        <f>IF(AHC47&gt;0,MAX(1,ROUND(AHC47/'Sens - CAC &amp; Marketing'!$A$10*AGZ47,0)),0)</f>
        <v/>
      </c>
      <c r="AHE47" s="12">
        <f>IF(AHD47&gt;0,ROUND(AHD47*ReferralMix/(1-ReferralMix),0),0)</f>
        <v/>
      </c>
      <c r="AHF47" s="12">
        <f>AHD47+AHE47</f>
        <v/>
      </c>
      <c r="AHG47" s="12">
        <f>ROUND(AHF47*(1-AnnualMix),0)</f>
        <v/>
      </c>
      <c r="AHH47" s="12">
        <f>AHF47-AHG47</f>
        <v/>
      </c>
      <c r="AHI47" s="12">
        <f>ROUND(AHG47*EssentialMix,0)</f>
        <v/>
      </c>
      <c r="AHJ47" s="12">
        <f>AHG47-AHI47</f>
        <v/>
      </c>
      <c r="AHK47" s="12">
        <f>ROUND(AHH47*EssentialMix,0)</f>
        <v/>
      </c>
      <c r="AHL47" s="12">
        <f>AHH47-AHK47</f>
        <v/>
      </c>
      <c r="AHM47" s="12">
        <f>AHI47+AHI46+AHI45+MAX(0,AHM46-AHI46-AHI45)*(1-AHB47)</f>
        <v/>
      </c>
      <c r="AHN47" s="12">
        <f>AHJ47+AHJ46+AHJ45+MAX(0,AHN46-AHJ46-AHJ45)*(1-AHB47)</f>
        <v/>
      </c>
      <c r="AHO47" s="12">
        <f>AHO46+AHK47-AHK35*(AnnualChurn*VLOOKUP(AGX47,ChurnSeasonTable,4,FALSE))*POWER(1-(AnnualChurn*VLOOKUP(AGX47,ChurnSeasonTable,4,FALSE)),0)+AHK23*(AnnualChurn*VLOOKUP(AGX47,ChurnSeasonTable,4,FALSE))*POWER(1-(AnnualChurn*VLOOKUP(AGX47,ChurnSeasonTable,4,FALSE)),1)+AHK11*(AnnualChurn*VLOOKUP(AGX47,ChurnSeasonTable,4,FALSE))*POWER(1-(AnnualChurn*VLOOKUP(AGX47,ChurnSeasonTable,4,FALSE)),2)</f>
        <v/>
      </c>
      <c r="AHP47" s="12">
        <f>AHP46+AHL47-AHL35*(AnnualChurn*VLOOKUP(AGX47,ChurnSeasonTable,4,FALSE))*POWER(1-(AnnualChurn*VLOOKUP(AGX47,ChurnSeasonTable,4,FALSE)),0)+AHL23*(AnnualChurn*VLOOKUP(AGX47,ChurnSeasonTable,4,FALSE))*POWER(1-(AnnualChurn*VLOOKUP(AGX47,ChurnSeasonTable,4,FALSE)),1)+AHL11*(AnnualChurn*VLOOKUP(AGX47,ChurnSeasonTable,4,FALSE))*POWER(1-(AnnualChurn*VLOOKUP(AGX47,ChurnSeasonTable,4,FALSE)),2)</f>
        <v/>
      </c>
      <c r="AHQ47" s="12">
        <f>AHM47+AHN47+AHO47+AHP47</f>
        <v/>
      </c>
      <c r="AHR47" s="9">
        <f>AHM47*PriceEssMonthly*AHA47+AHN47*PricePremMonthly*AHA47+AHO47*PriceEssAnnual*AHA47/12+AHP47*PricePremAnnual*AHA47/12</f>
        <v/>
      </c>
      <c r="AHS47" s="9">
        <f>AHR47*12</f>
        <v/>
      </c>
      <c r="AHT47" s="12">
        <f>AHM47*PriceEssMonthly*AHA47+AHN47*PricePremMonthly*AHA47</f>
        <v/>
      </c>
      <c r="AHU47" s="12">
        <f>AHK47*PriceEssAnnual*AHA47+AHL47*PricePremAnnual*AHA47</f>
        <v/>
      </c>
      <c r="AHV47" s="12">
        <f>AHK35*POWER(1-(AnnualChurn*VLOOKUP(AGX47,ChurnSeasonTable,4,FALSE)),1)*PriceEssAnnual*AHA47+AHK23*POWER(1-(AnnualChurn*VLOOKUP(AGX47,ChurnSeasonTable,4,FALSE)),2)*PriceEssAnnual*AHA47+AHK11*POWER(1-(AnnualChurn*VLOOKUP(AGX47,ChurnSeasonTable,4,FALSE)),3)*PriceEssAnnual*AHA47+AHL35*POWER(1-(AnnualChurn*VLOOKUP(AGX47,ChurnSeasonTable,4,FALSE)),1)*PricePremAnnual*AHA47+AHL23*POWER(1-(AnnualChurn*VLOOKUP(AGX47,ChurnSeasonTable,4,FALSE)),2)*PricePremAnnual*AHA47+AHL11*POWER(1-(AnnualChurn*VLOOKUP(AGX47,ChurnSeasonTable,4,FALSE)),3)*PricePremAnnual*AHA47</f>
        <v/>
      </c>
      <c r="AHW47" s="9">
        <f>AHT47+AHU47+AHV47</f>
        <v/>
      </c>
      <c r="AHX47" s="12">
        <f>SUM(AHW36:AHW47)</f>
        <v/>
      </c>
      <c r="AHY47" s="12">
        <f>OR(AHY46,AHX47&gt;=VATThreshold)</f>
        <v/>
      </c>
      <c r="AHZ47" s="9">
        <f>IF(AHY47,AHW47/(1+VATRate),AHW47)</f>
        <v/>
      </c>
      <c r="AIA47" s="12">
        <f>AHW47-AHZ47</f>
        <v/>
      </c>
      <c r="AIB47" s="12">
        <f>IF(AHY47=0,0,IF(AGX47=1,SUMPRODUCT(--(($AGY$5:$AGY47=$AGY47-1)*($AGX$5:$AGX47&gt;=10)*($AGX$5:$AGX47&lt;=12)),$AIA$5:$AIA47),IF(AGX47=4,SUMPRODUCT(--(($AGY$5:$AGY47=$AGY47)*($AGX$5:$AGX47&gt;=1)*($AGX$5:$AGX47&lt;=3)),$AIA$5:$AIA47),IF(AGX47=7,SUMPRODUCT(--(($AGY$5:$AGY47=$AGY47)*($AGX$5:$AGX47&gt;=4)*($AGX$5:$AGX47&lt;=6)),$AIA$5:$AIA47),IF(AGX47=10,SUMPRODUCT(--(($AGY$5:$AGY47=$AGY47)*($AGX$5:$AGX47&gt;=7)*($AGX$5:$AGX47&lt;=9)),$AIA$5:$AIA47),0)))))</f>
        <v/>
      </c>
      <c r="AIC47" s="12">
        <f>AIC46+AIA47-AIB47</f>
        <v/>
      </c>
      <c r="AID47" s="12">
        <f>IF(ProviderDelay&gt;=1,AHZ46*ProviderShare,AHZ47*ProviderShare)</f>
        <v/>
      </c>
      <c r="AIE47" s="12">
        <f>AHW47*PaymentFee</f>
        <v/>
      </c>
      <c r="AIF47" s="12">
        <f>AHQ47*OpsAI</f>
        <v/>
      </c>
      <c r="AIG47" s="12">
        <f>MonthlyFixed</f>
        <v/>
      </c>
      <c r="AIH47" s="12">
        <f>AHE47*ReferralReward</f>
        <v/>
      </c>
      <c r="AII47" s="12">
        <f>AHC47</f>
        <v/>
      </c>
      <c r="AIJ47" s="9">
        <f>AHZ47-AID47-AIE47-AIF47-AIG47-AIH47-AII47</f>
        <v/>
      </c>
      <c r="AIK47" s="9">
        <f>AIK46+AHW47-(AID47+AIE47+AIF47+AIG47+AIH47+AII47+AIB47)</f>
        <v/>
      </c>
      <c r="AIL47" s="12">
        <f>IF(AHQ47&gt;0,AHR47/AHQ47,0)</f>
        <v/>
      </c>
      <c r="AIM47" s="11">
        <f>IF(AHQ46&gt;0,MAX(0,(AHQ46+AHF47-AHQ47)/AHQ46),0)</f>
        <v/>
      </c>
      <c r="AIO47" s="12" t="n">
        <v>43</v>
      </c>
      <c r="AIP47" s="12">
        <f>MOD(AIO47-1+LaunchMonth-1,12)+1</f>
        <v/>
      </c>
      <c r="AIQ47" s="12">
        <f>INT((AIO47-1+LaunchMonth-1)/12)+1</f>
        <v/>
      </c>
      <c r="AIR47" s="12">
        <f>VLOOKUP(AIP47,SeasonTable,2,FALSE)</f>
        <v/>
      </c>
      <c r="AIS47" s="12">
        <f>(1+InflationRate)^INT((AIO47-1)/12)</f>
        <v/>
      </c>
      <c r="AIT47" s="11">
        <f>MonthlyChurn*VLOOKUP(AIP47,ChurnSeasonTable,4,FALSE)</f>
        <v/>
      </c>
      <c r="AIU47" s="12">
        <f>MIN(MAX(MktMin19plus,AJO46*MktPct19plus),MAX(0,AKC46-CashBuffer))</f>
        <v/>
      </c>
      <c r="AIV47" s="12">
        <f>IF(AIU47&gt;0,MAX(1,ROUND(AIU47/'Sens - CAC &amp; Marketing'!$A$11*AIR47,0)),0)</f>
        <v/>
      </c>
      <c r="AIW47" s="12">
        <f>IF(AIV47&gt;0,ROUND(AIV47*ReferralMix/(1-ReferralMix),0),0)</f>
        <v/>
      </c>
      <c r="AIX47" s="12">
        <f>AIV47+AIW47</f>
        <v/>
      </c>
      <c r="AIY47" s="12">
        <f>ROUND(AIX47*(1-AnnualMix),0)</f>
        <v/>
      </c>
      <c r="AIZ47" s="12">
        <f>AIX47-AIY47</f>
        <v/>
      </c>
      <c r="AJA47" s="12">
        <f>ROUND(AIY47*EssentialMix,0)</f>
        <v/>
      </c>
      <c r="AJB47" s="12">
        <f>AIY47-AJA47</f>
        <v/>
      </c>
      <c r="AJC47" s="12">
        <f>ROUND(AIZ47*EssentialMix,0)</f>
        <v/>
      </c>
      <c r="AJD47" s="12">
        <f>AIZ47-AJC47</f>
        <v/>
      </c>
      <c r="AJE47" s="12">
        <f>AJA47+AJA46+AJA45+MAX(0,AJE46-AJA46-AJA45)*(1-AIT47)</f>
        <v/>
      </c>
      <c r="AJF47" s="12">
        <f>AJB47+AJB46+AJB45+MAX(0,AJF46-AJB46-AJB45)*(1-AIT47)</f>
        <v/>
      </c>
      <c r="AJG47" s="12">
        <f>AJG46+AJC47-AJC35*(AnnualChurn*VLOOKUP(AIP47,ChurnSeasonTable,4,FALSE))*POWER(1-(AnnualChurn*VLOOKUP(AIP47,ChurnSeasonTable,4,FALSE)),0)+AJC23*(AnnualChurn*VLOOKUP(AIP47,ChurnSeasonTable,4,FALSE))*POWER(1-(AnnualChurn*VLOOKUP(AIP47,ChurnSeasonTable,4,FALSE)),1)+AJC11*(AnnualChurn*VLOOKUP(AIP47,ChurnSeasonTable,4,FALSE))*POWER(1-(AnnualChurn*VLOOKUP(AIP47,ChurnSeasonTable,4,FALSE)),2)</f>
        <v/>
      </c>
      <c r="AJH47" s="12">
        <f>AJH46+AJD47-AJD35*(AnnualChurn*VLOOKUP(AIP47,ChurnSeasonTable,4,FALSE))*POWER(1-(AnnualChurn*VLOOKUP(AIP47,ChurnSeasonTable,4,FALSE)),0)+AJD23*(AnnualChurn*VLOOKUP(AIP47,ChurnSeasonTable,4,FALSE))*POWER(1-(AnnualChurn*VLOOKUP(AIP47,ChurnSeasonTable,4,FALSE)),1)+AJD11*(AnnualChurn*VLOOKUP(AIP47,ChurnSeasonTable,4,FALSE))*POWER(1-(AnnualChurn*VLOOKUP(AIP47,ChurnSeasonTable,4,FALSE)),2)</f>
        <v/>
      </c>
      <c r="AJI47" s="12">
        <f>AJE47+AJF47+AJG47+AJH47</f>
        <v/>
      </c>
      <c r="AJJ47" s="9">
        <f>AJE47*PriceEssMonthly*AIS47+AJF47*PricePremMonthly*AIS47+AJG47*PriceEssAnnual*AIS47/12+AJH47*PricePremAnnual*AIS47/12</f>
        <v/>
      </c>
      <c r="AJK47" s="9">
        <f>AJJ47*12</f>
        <v/>
      </c>
      <c r="AJL47" s="12">
        <f>AJE47*PriceEssMonthly*AIS47+AJF47*PricePremMonthly*AIS47</f>
        <v/>
      </c>
      <c r="AJM47" s="12">
        <f>AJC47*PriceEssAnnual*AIS47+AJD47*PricePremAnnual*AIS47</f>
        <v/>
      </c>
      <c r="AJN47" s="12">
        <f>AJC35*POWER(1-(AnnualChurn*VLOOKUP(AIP47,ChurnSeasonTable,4,FALSE)),1)*PriceEssAnnual*AIS47+AJC23*POWER(1-(AnnualChurn*VLOOKUP(AIP47,ChurnSeasonTable,4,FALSE)),2)*PriceEssAnnual*AIS47+AJC11*POWER(1-(AnnualChurn*VLOOKUP(AIP47,ChurnSeasonTable,4,FALSE)),3)*PriceEssAnnual*AIS47+AJD35*POWER(1-(AnnualChurn*VLOOKUP(AIP47,ChurnSeasonTable,4,FALSE)),1)*PricePremAnnual*AIS47+AJD23*POWER(1-(AnnualChurn*VLOOKUP(AIP47,ChurnSeasonTable,4,FALSE)),2)*PricePremAnnual*AIS47+AJD11*POWER(1-(AnnualChurn*VLOOKUP(AIP47,ChurnSeasonTable,4,FALSE)),3)*PricePremAnnual*AIS47</f>
        <v/>
      </c>
      <c r="AJO47" s="9">
        <f>AJL47+AJM47+AJN47</f>
        <v/>
      </c>
      <c r="AJP47" s="12">
        <f>SUM(AJO36:AJO47)</f>
        <v/>
      </c>
      <c r="AJQ47" s="12">
        <f>OR(AJQ46,AJP47&gt;=VATThreshold)</f>
        <v/>
      </c>
      <c r="AJR47" s="9">
        <f>IF(AJQ47,AJO47/(1+VATRate),AJO47)</f>
        <v/>
      </c>
      <c r="AJS47" s="12">
        <f>AJO47-AJR47</f>
        <v/>
      </c>
      <c r="AJT47" s="12">
        <f>IF(AJQ47=0,0,IF(AIP47=1,SUMPRODUCT(--(($AIQ$5:$AIQ47=$AIQ47-1)*($AIP$5:$AIP47&gt;=10)*($AIP$5:$AIP47&lt;=12)),$AJS$5:$AJS47),IF(AIP47=4,SUMPRODUCT(--(($AIQ$5:$AIQ47=$AIQ47)*($AIP$5:$AIP47&gt;=1)*($AIP$5:$AIP47&lt;=3)),$AJS$5:$AJS47),IF(AIP47=7,SUMPRODUCT(--(($AIQ$5:$AIQ47=$AIQ47)*($AIP$5:$AIP47&gt;=4)*($AIP$5:$AIP47&lt;=6)),$AJS$5:$AJS47),IF(AIP47=10,SUMPRODUCT(--(($AIQ$5:$AIQ47=$AIQ47)*($AIP$5:$AIP47&gt;=7)*($AIP$5:$AIP47&lt;=9)),$AJS$5:$AJS47),0)))))</f>
        <v/>
      </c>
      <c r="AJU47" s="12">
        <f>AJU46+AJS47-AJT47</f>
        <v/>
      </c>
      <c r="AJV47" s="12">
        <f>IF(ProviderDelay&gt;=1,AJR46*ProviderShare,AJR47*ProviderShare)</f>
        <v/>
      </c>
      <c r="AJW47" s="12">
        <f>AJO47*PaymentFee</f>
        <v/>
      </c>
      <c r="AJX47" s="12">
        <f>AJI47*OpsAI</f>
        <v/>
      </c>
      <c r="AJY47" s="12">
        <f>MonthlyFixed</f>
        <v/>
      </c>
      <c r="AJZ47" s="12">
        <f>AIW47*ReferralReward</f>
        <v/>
      </c>
      <c r="AKA47" s="12">
        <f>AIU47</f>
        <v/>
      </c>
      <c r="AKB47" s="9">
        <f>AJR47-AJV47-AJW47-AJX47-AJY47-AJZ47-AKA47</f>
        <v/>
      </c>
      <c r="AKC47" s="9">
        <f>AKC46+AJO47-(AJV47+AJW47+AJX47+AJY47+AJZ47+AKA47+AJT47)</f>
        <v/>
      </c>
      <c r="AKD47" s="12">
        <f>IF(AJI47&gt;0,AJJ47/AJI47,0)</f>
        <v/>
      </c>
      <c r="AKE47" s="11">
        <f>IF(AJI46&gt;0,MAX(0,(AJI46+AIX47-AJI47)/AJI46),0)</f>
        <v/>
      </c>
      <c r="AKG47" s="12" t="n">
        <v>43</v>
      </c>
      <c r="AKH47" s="12">
        <f>MOD(AKG47-1+LaunchMonth-1,12)+1</f>
        <v/>
      </c>
      <c r="AKI47" s="12">
        <f>INT((AKG47-1+LaunchMonth-1)/12)+1</f>
        <v/>
      </c>
      <c r="AKJ47" s="12">
        <f>VLOOKUP(AKH47,SeasonTable,2,FALSE)</f>
        <v/>
      </c>
      <c r="AKK47" s="12">
        <f>(1+InflationRate)^INT((AKG47-1)/12)</f>
        <v/>
      </c>
      <c r="AKL47" s="11">
        <f>MonthlyChurn*VLOOKUP(AKH47,ChurnSeasonTable,4,FALSE)</f>
        <v/>
      </c>
      <c r="AKM47" s="12">
        <f>MIN(MAX(MktMin19plus,ALG46*MktPct19plus),MAX(0,ALU46-CashBuffer))</f>
        <v/>
      </c>
      <c r="AKN47" s="12">
        <f>IF(AKM47&gt;0,MAX(1,ROUND(AKM47/'Sens - CAC &amp; Marketing'!$A$12*AKJ47,0)),0)</f>
        <v/>
      </c>
      <c r="AKO47" s="12">
        <f>IF(AKN47&gt;0,ROUND(AKN47*ReferralMix/(1-ReferralMix),0),0)</f>
        <v/>
      </c>
      <c r="AKP47" s="12">
        <f>AKN47+AKO47</f>
        <v/>
      </c>
      <c r="AKQ47" s="12">
        <f>ROUND(AKP47*(1-AnnualMix),0)</f>
        <v/>
      </c>
      <c r="AKR47" s="12">
        <f>AKP47-AKQ47</f>
        <v/>
      </c>
      <c r="AKS47" s="12">
        <f>ROUND(AKQ47*EssentialMix,0)</f>
        <v/>
      </c>
      <c r="AKT47" s="12">
        <f>AKQ47-AKS47</f>
        <v/>
      </c>
      <c r="AKU47" s="12">
        <f>ROUND(AKR47*EssentialMix,0)</f>
        <v/>
      </c>
      <c r="AKV47" s="12">
        <f>AKR47-AKU47</f>
        <v/>
      </c>
      <c r="AKW47" s="12">
        <f>AKS47+AKS46+AKS45+MAX(0,AKW46-AKS46-AKS45)*(1-AKL47)</f>
        <v/>
      </c>
      <c r="AKX47" s="12">
        <f>AKT47+AKT46+AKT45+MAX(0,AKX46-AKT46-AKT45)*(1-AKL47)</f>
        <v/>
      </c>
      <c r="AKY47" s="12">
        <f>AKY46+AKU47-AKU35*(AnnualChurn*VLOOKUP(AKH47,ChurnSeasonTable,4,FALSE))*POWER(1-(AnnualChurn*VLOOKUP(AKH47,ChurnSeasonTable,4,FALSE)),0)+AKU23*(AnnualChurn*VLOOKUP(AKH47,ChurnSeasonTable,4,FALSE))*POWER(1-(AnnualChurn*VLOOKUP(AKH47,ChurnSeasonTable,4,FALSE)),1)+AKU11*(AnnualChurn*VLOOKUP(AKH47,ChurnSeasonTable,4,FALSE))*POWER(1-(AnnualChurn*VLOOKUP(AKH47,ChurnSeasonTable,4,FALSE)),2)</f>
        <v/>
      </c>
      <c r="AKZ47" s="12">
        <f>AKZ46+AKV47-AKV35*(AnnualChurn*VLOOKUP(AKH47,ChurnSeasonTable,4,FALSE))*POWER(1-(AnnualChurn*VLOOKUP(AKH47,ChurnSeasonTable,4,FALSE)),0)+AKV23*(AnnualChurn*VLOOKUP(AKH47,ChurnSeasonTable,4,FALSE))*POWER(1-(AnnualChurn*VLOOKUP(AKH47,ChurnSeasonTable,4,FALSE)),1)+AKV11*(AnnualChurn*VLOOKUP(AKH47,ChurnSeasonTable,4,FALSE))*POWER(1-(AnnualChurn*VLOOKUP(AKH47,ChurnSeasonTable,4,FALSE)),2)</f>
        <v/>
      </c>
      <c r="ALA47" s="12">
        <f>AKW47+AKX47+AKY47+AKZ47</f>
        <v/>
      </c>
      <c r="ALB47" s="9">
        <f>AKW47*PriceEssMonthly*AKK47+AKX47*PricePremMonthly*AKK47+AKY47*PriceEssAnnual*AKK47/12+AKZ47*PricePremAnnual*AKK47/12</f>
        <v/>
      </c>
      <c r="ALC47" s="9">
        <f>ALB47*12</f>
        <v/>
      </c>
      <c r="ALD47" s="12">
        <f>AKW47*PriceEssMonthly*AKK47+AKX47*PricePremMonthly*AKK47</f>
        <v/>
      </c>
      <c r="ALE47" s="12">
        <f>AKU47*PriceEssAnnual*AKK47+AKV47*PricePremAnnual*AKK47</f>
        <v/>
      </c>
      <c r="ALF47" s="12">
        <f>AKU35*POWER(1-(AnnualChurn*VLOOKUP(AKH47,ChurnSeasonTable,4,FALSE)),1)*PriceEssAnnual*AKK47+AKU23*POWER(1-(AnnualChurn*VLOOKUP(AKH47,ChurnSeasonTable,4,FALSE)),2)*PriceEssAnnual*AKK47+AKU11*POWER(1-(AnnualChurn*VLOOKUP(AKH47,ChurnSeasonTable,4,FALSE)),3)*PriceEssAnnual*AKK47+AKV35*POWER(1-(AnnualChurn*VLOOKUP(AKH47,ChurnSeasonTable,4,FALSE)),1)*PricePremAnnual*AKK47+AKV23*POWER(1-(AnnualChurn*VLOOKUP(AKH47,ChurnSeasonTable,4,FALSE)),2)*PricePremAnnual*AKK47+AKV11*POWER(1-(AnnualChurn*VLOOKUP(AKH47,ChurnSeasonTable,4,FALSE)),3)*PricePremAnnual*AKK47</f>
        <v/>
      </c>
      <c r="ALG47" s="9">
        <f>ALD47+ALE47+ALF47</f>
        <v/>
      </c>
      <c r="ALH47" s="12">
        <f>SUM(ALG36:ALG47)</f>
        <v/>
      </c>
      <c r="ALI47" s="12">
        <f>OR(ALI46,ALH47&gt;=VATThreshold)</f>
        <v/>
      </c>
      <c r="ALJ47" s="9">
        <f>IF(ALI47,ALG47/(1+VATRate),ALG47)</f>
        <v/>
      </c>
      <c r="ALK47" s="12">
        <f>ALG47-ALJ47</f>
        <v/>
      </c>
      <c r="ALL47" s="12">
        <f>IF(ALI47=0,0,IF(AKH47=1,SUMPRODUCT(--(($AKI$5:$AKI47=$AKI47-1)*($AKH$5:$AKH47&gt;=10)*($AKH$5:$AKH47&lt;=12)),$ALK$5:$ALK47),IF(AKH47=4,SUMPRODUCT(--(($AKI$5:$AKI47=$AKI47)*($AKH$5:$AKH47&gt;=1)*($AKH$5:$AKH47&lt;=3)),$ALK$5:$ALK47),IF(AKH47=7,SUMPRODUCT(--(($AKI$5:$AKI47=$AKI47)*($AKH$5:$AKH47&gt;=4)*($AKH$5:$AKH47&lt;=6)),$ALK$5:$ALK47),IF(AKH47=10,SUMPRODUCT(--(($AKI$5:$AKI47=$AKI47)*($AKH$5:$AKH47&gt;=7)*($AKH$5:$AKH47&lt;=9)),$ALK$5:$ALK47),0)))))</f>
        <v/>
      </c>
      <c r="ALM47" s="12">
        <f>ALM46+ALK47-ALL47</f>
        <v/>
      </c>
      <c r="ALN47" s="12">
        <f>IF(ProviderDelay&gt;=1,ALJ46*ProviderShare,ALJ47*ProviderShare)</f>
        <v/>
      </c>
      <c r="ALO47" s="12">
        <f>ALG47*PaymentFee</f>
        <v/>
      </c>
      <c r="ALP47" s="12">
        <f>ALA47*OpsAI</f>
        <v/>
      </c>
      <c r="ALQ47" s="12">
        <f>MonthlyFixed</f>
        <v/>
      </c>
      <c r="ALR47" s="12">
        <f>AKO47*ReferralReward</f>
        <v/>
      </c>
      <c r="ALS47" s="12">
        <f>AKM47</f>
        <v/>
      </c>
      <c r="ALT47" s="9">
        <f>ALJ47-ALN47-ALO47-ALP47-ALQ47-ALR47-ALS47</f>
        <v/>
      </c>
      <c r="ALU47" s="9">
        <f>ALU46+ALG47-(ALN47+ALO47+ALP47+ALQ47+ALR47+ALS47+ALL47)</f>
        <v/>
      </c>
      <c r="ALV47" s="12">
        <f>IF(ALA47&gt;0,ALB47/ALA47,0)</f>
        <v/>
      </c>
      <c r="ALW47" s="11">
        <f>IF(ALA46&gt;0,MAX(0,(ALA46+AKP47-ALA47)/ALA46),0)</f>
        <v/>
      </c>
      <c r="ALY47" s="12" t="n">
        <v>43</v>
      </c>
      <c r="ALZ47" s="12">
        <f>MOD(ALY47-1+LaunchMonth-1,12)+1</f>
        <v/>
      </c>
      <c r="AMA47" s="12">
        <f>INT((ALY47-1+LaunchMonth-1)/12)+1</f>
        <v/>
      </c>
      <c r="AMB47" s="12">
        <f>VLOOKUP(ALZ47,SeasonTable,2,FALSE)</f>
        <v/>
      </c>
      <c r="AMC47" s="12">
        <f>(1+InflationRate)^INT((ALY47-1)/12)</f>
        <v/>
      </c>
      <c r="AMD47" s="11">
        <f>MonthlyChurn*VLOOKUP(ALZ47,ChurnSeasonTable,4,FALSE)</f>
        <v/>
      </c>
      <c r="AME47" s="12">
        <f>MIN(MAX(MktMin19plus,AMY46*MktPct19plus),MAX(0,ANM46-CashBuffer))</f>
        <v/>
      </c>
      <c r="AMF47" s="12">
        <f>IF(AME47&gt;0,MAX(1,ROUND(AME47/'Sens - CAC &amp; Marketing'!$A$13*AMB47,0)),0)</f>
        <v/>
      </c>
      <c r="AMG47" s="12">
        <f>IF(AMF47&gt;0,ROUND(AMF47*ReferralMix/(1-ReferralMix),0),0)</f>
        <v/>
      </c>
      <c r="AMH47" s="12">
        <f>AMF47+AMG47</f>
        <v/>
      </c>
      <c r="AMI47" s="12">
        <f>ROUND(AMH47*(1-AnnualMix),0)</f>
        <v/>
      </c>
      <c r="AMJ47" s="12">
        <f>AMH47-AMI47</f>
        <v/>
      </c>
      <c r="AMK47" s="12">
        <f>ROUND(AMI47*EssentialMix,0)</f>
        <v/>
      </c>
      <c r="AML47" s="12">
        <f>AMI47-AMK47</f>
        <v/>
      </c>
      <c r="AMM47" s="12">
        <f>ROUND(AMJ47*EssentialMix,0)</f>
        <v/>
      </c>
      <c r="AMN47" s="12">
        <f>AMJ47-AMM47</f>
        <v/>
      </c>
      <c r="AMO47" s="12">
        <f>AMK47+AMK46+AMK45+MAX(0,AMO46-AMK46-AMK45)*(1-AMD47)</f>
        <v/>
      </c>
      <c r="AMP47" s="12">
        <f>AML47+AML46+AML45+MAX(0,AMP46-AML46-AML45)*(1-AMD47)</f>
        <v/>
      </c>
      <c r="AMQ47" s="12">
        <f>AMQ46+AMM47-AMM35*(AnnualChurn*VLOOKUP(ALZ47,ChurnSeasonTable,4,FALSE))*POWER(1-(AnnualChurn*VLOOKUP(ALZ47,ChurnSeasonTable,4,FALSE)),0)+AMM23*(AnnualChurn*VLOOKUP(ALZ47,ChurnSeasonTable,4,FALSE))*POWER(1-(AnnualChurn*VLOOKUP(ALZ47,ChurnSeasonTable,4,FALSE)),1)+AMM11*(AnnualChurn*VLOOKUP(ALZ47,ChurnSeasonTable,4,FALSE))*POWER(1-(AnnualChurn*VLOOKUP(ALZ47,ChurnSeasonTable,4,FALSE)),2)</f>
        <v/>
      </c>
      <c r="AMR47" s="12">
        <f>AMR46+AMN47-AMN35*(AnnualChurn*VLOOKUP(ALZ47,ChurnSeasonTable,4,FALSE))*POWER(1-(AnnualChurn*VLOOKUP(ALZ47,ChurnSeasonTable,4,FALSE)),0)+AMN23*(AnnualChurn*VLOOKUP(ALZ47,ChurnSeasonTable,4,FALSE))*POWER(1-(AnnualChurn*VLOOKUP(ALZ47,ChurnSeasonTable,4,FALSE)),1)+AMN11*(AnnualChurn*VLOOKUP(ALZ47,ChurnSeasonTable,4,FALSE))*POWER(1-(AnnualChurn*VLOOKUP(ALZ47,ChurnSeasonTable,4,FALSE)),2)</f>
        <v/>
      </c>
      <c r="AMS47" s="12">
        <f>AMO47+AMP47+AMQ47+AMR47</f>
        <v/>
      </c>
      <c r="AMT47" s="9">
        <f>AMO47*PriceEssMonthly*AMC47+AMP47*PricePremMonthly*AMC47+AMQ47*PriceEssAnnual*AMC47/12+AMR47*PricePremAnnual*AMC47/12</f>
        <v/>
      </c>
      <c r="AMU47" s="9">
        <f>AMT47*12</f>
        <v/>
      </c>
      <c r="AMV47" s="12">
        <f>AMO47*PriceEssMonthly*AMC47+AMP47*PricePremMonthly*AMC47</f>
        <v/>
      </c>
      <c r="AMW47" s="12">
        <f>AMM47*PriceEssAnnual*AMC47+AMN47*PricePremAnnual*AMC47</f>
        <v/>
      </c>
      <c r="AMX47" s="12">
        <f>AMM35*POWER(1-(AnnualChurn*VLOOKUP(ALZ47,ChurnSeasonTable,4,FALSE)),1)*PriceEssAnnual*AMC47+AMM23*POWER(1-(AnnualChurn*VLOOKUP(ALZ47,ChurnSeasonTable,4,FALSE)),2)*PriceEssAnnual*AMC47+AMM11*POWER(1-(AnnualChurn*VLOOKUP(ALZ47,ChurnSeasonTable,4,FALSE)),3)*PriceEssAnnual*AMC47+AMN35*POWER(1-(AnnualChurn*VLOOKUP(ALZ47,ChurnSeasonTable,4,FALSE)),1)*PricePremAnnual*AMC47+AMN23*POWER(1-(AnnualChurn*VLOOKUP(ALZ47,ChurnSeasonTable,4,FALSE)),2)*PricePremAnnual*AMC47+AMN11*POWER(1-(AnnualChurn*VLOOKUP(ALZ47,ChurnSeasonTable,4,FALSE)),3)*PricePremAnnual*AMC47</f>
        <v/>
      </c>
      <c r="AMY47" s="9">
        <f>AMV47+AMW47+AMX47</f>
        <v/>
      </c>
      <c r="AMZ47" s="12">
        <f>SUM(AMY36:AMY47)</f>
        <v/>
      </c>
      <c r="ANA47" s="12">
        <f>OR(ANA46,AMZ47&gt;=VATThreshold)</f>
        <v/>
      </c>
      <c r="ANB47" s="9">
        <f>IF(ANA47,AMY47/(1+VATRate),AMY47)</f>
        <v/>
      </c>
      <c r="ANC47" s="12">
        <f>AMY47-ANB47</f>
        <v/>
      </c>
      <c r="AND47" s="12">
        <f>IF(ANA47=0,0,IF(ALZ47=1,SUMPRODUCT(--(($AMA$5:$AMA47=$AMA47-1)*($ALZ$5:$ALZ47&gt;=10)*($ALZ$5:$ALZ47&lt;=12)),$ANC$5:$ANC47),IF(ALZ47=4,SUMPRODUCT(--(($AMA$5:$AMA47=$AMA47)*($ALZ$5:$ALZ47&gt;=1)*($ALZ$5:$ALZ47&lt;=3)),$ANC$5:$ANC47),IF(ALZ47=7,SUMPRODUCT(--(($AMA$5:$AMA47=$AMA47)*($ALZ$5:$ALZ47&gt;=4)*($ALZ$5:$ALZ47&lt;=6)),$ANC$5:$ANC47),IF(ALZ47=10,SUMPRODUCT(--(($AMA$5:$AMA47=$AMA47)*($ALZ$5:$ALZ47&gt;=7)*($ALZ$5:$ALZ47&lt;=9)),$ANC$5:$ANC47),0)))))</f>
        <v/>
      </c>
      <c r="ANE47" s="12">
        <f>ANE46+ANC47-AND47</f>
        <v/>
      </c>
      <c r="ANF47" s="12">
        <f>IF(ProviderDelay&gt;=1,ANB46*ProviderShare,ANB47*ProviderShare)</f>
        <v/>
      </c>
      <c r="ANG47" s="12">
        <f>AMY47*PaymentFee</f>
        <v/>
      </c>
      <c r="ANH47" s="12">
        <f>AMS47*OpsAI</f>
        <v/>
      </c>
      <c r="ANI47" s="12">
        <f>MonthlyFixed</f>
        <v/>
      </c>
      <c r="ANJ47" s="12">
        <f>AMG47*ReferralReward</f>
        <v/>
      </c>
      <c r="ANK47" s="12">
        <f>AME47</f>
        <v/>
      </c>
      <c r="ANL47" s="9">
        <f>ANB47-ANF47-ANG47-ANH47-ANI47-ANJ47-ANK47</f>
        <v/>
      </c>
      <c r="ANM47" s="9">
        <f>ANM46+AMY47-(ANF47+ANG47+ANH47+ANI47+ANJ47+ANK47+AND47)</f>
        <v/>
      </c>
      <c r="ANN47" s="12">
        <f>IF(AMS47&gt;0,AMT47/AMS47,0)</f>
        <v/>
      </c>
      <c r="ANO47" s="11">
        <f>IF(AMS46&gt;0,MAX(0,(AMS46+AMH47-AMS47)/AMS46),0)</f>
        <v/>
      </c>
      <c r="ANQ47" s="12" t="n">
        <v>43</v>
      </c>
      <c r="ANR47" s="12">
        <f>MOD(ANQ47-1+LaunchMonth-1,12)+1</f>
        <v/>
      </c>
      <c r="ANS47" s="12">
        <f>INT((ANQ47-1+LaunchMonth-1)/12)+1</f>
        <v/>
      </c>
      <c r="ANT47" s="12">
        <f>VLOOKUP(ANR47,SeasonTable,2,FALSE)</f>
        <v/>
      </c>
      <c r="ANU47" s="12">
        <f>(1+InflationRate)^INT((ANQ47-1)/12)</f>
        <v/>
      </c>
      <c r="ANV47" s="11">
        <f>MonthlyChurn*VLOOKUP(ANR47,ChurnSeasonTable,4,FALSE)</f>
        <v/>
      </c>
      <c r="ANW47" s="12">
        <f>MIN(MAX(MktMin19plus,AOQ46*MktPct19plus),MAX(0,APE46-CashBuffer))</f>
        <v/>
      </c>
      <c r="ANX47" s="12">
        <f>IF(ANW47&gt;0,MAX(1,ROUND(ANW47/'Sens - CAC &amp; Marketing'!$A$14*ANT47,0)),0)</f>
        <v/>
      </c>
      <c r="ANY47" s="12">
        <f>IF(ANX47&gt;0,ROUND(ANX47*ReferralMix/(1-ReferralMix),0),0)</f>
        <v/>
      </c>
      <c r="ANZ47" s="12">
        <f>ANX47+ANY47</f>
        <v/>
      </c>
      <c r="AOA47" s="12">
        <f>ROUND(ANZ47*(1-AnnualMix),0)</f>
        <v/>
      </c>
      <c r="AOB47" s="12">
        <f>ANZ47-AOA47</f>
        <v/>
      </c>
      <c r="AOC47" s="12">
        <f>ROUND(AOA47*EssentialMix,0)</f>
        <v/>
      </c>
      <c r="AOD47" s="12">
        <f>AOA47-AOC47</f>
        <v/>
      </c>
      <c r="AOE47" s="12">
        <f>ROUND(AOB47*EssentialMix,0)</f>
        <v/>
      </c>
      <c r="AOF47" s="12">
        <f>AOB47-AOE47</f>
        <v/>
      </c>
      <c r="AOG47" s="12">
        <f>AOC47+AOC46+AOC45+MAX(0,AOG46-AOC46-AOC45)*(1-ANV47)</f>
        <v/>
      </c>
      <c r="AOH47" s="12">
        <f>AOD47+AOD46+AOD45+MAX(0,AOH46-AOD46-AOD45)*(1-ANV47)</f>
        <v/>
      </c>
      <c r="AOI47" s="12">
        <f>AOI46+AOE47-AOE35*(AnnualChurn*VLOOKUP(ANR47,ChurnSeasonTable,4,FALSE))*POWER(1-(AnnualChurn*VLOOKUP(ANR47,ChurnSeasonTable,4,FALSE)),0)+AOE23*(AnnualChurn*VLOOKUP(ANR47,ChurnSeasonTable,4,FALSE))*POWER(1-(AnnualChurn*VLOOKUP(ANR47,ChurnSeasonTable,4,FALSE)),1)+AOE11*(AnnualChurn*VLOOKUP(ANR47,ChurnSeasonTable,4,FALSE))*POWER(1-(AnnualChurn*VLOOKUP(ANR47,ChurnSeasonTable,4,FALSE)),2)</f>
        <v/>
      </c>
      <c r="AOJ47" s="12">
        <f>AOJ46+AOF47-AOF35*(AnnualChurn*VLOOKUP(ANR47,ChurnSeasonTable,4,FALSE))*POWER(1-(AnnualChurn*VLOOKUP(ANR47,ChurnSeasonTable,4,FALSE)),0)+AOF23*(AnnualChurn*VLOOKUP(ANR47,ChurnSeasonTable,4,FALSE))*POWER(1-(AnnualChurn*VLOOKUP(ANR47,ChurnSeasonTable,4,FALSE)),1)+AOF11*(AnnualChurn*VLOOKUP(ANR47,ChurnSeasonTable,4,FALSE))*POWER(1-(AnnualChurn*VLOOKUP(ANR47,ChurnSeasonTable,4,FALSE)),2)</f>
        <v/>
      </c>
      <c r="AOK47" s="12">
        <f>AOG47+AOH47+AOI47+AOJ47</f>
        <v/>
      </c>
      <c r="AOL47" s="9">
        <f>AOG47*PriceEssMonthly*ANU47+AOH47*PricePremMonthly*ANU47+AOI47*PriceEssAnnual*ANU47/12+AOJ47*PricePremAnnual*ANU47/12</f>
        <v/>
      </c>
      <c r="AOM47" s="9">
        <f>AOL47*12</f>
        <v/>
      </c>
      <c r="AON47" s="12">
        <f>AOG47*PriceEssMonthly*ANU47+AOH47*PricePremMonthly*ANU47</f>
        <v/>
      </c>
      <c r="AOO47" s="12">
        <f>AOE47*PriceEssAnnual*ANU47+AOF47*PricePremAnnual*ANU47</f>
        <v/>
      </c>
      <c r="AOP47" s="12">
        <f>AOE35*POWER(1-(AnnualChurn*VLOOKUP(ANR47,ChurnSeasonTable,4,FALSE)),1)*PriceEssAnnual*ANU47+AOE23*POWER(1-(AnnualChurn*VLOOKUP(ANR47,ChurnSeasonTable,4,FALSE)),2)*PriceEssAnnual*ANU47+AOE11*POWER(1-(AnnualChurn*VLOOKUP(ANR47,ChurnSeasonTable,4,FALSE)),3)*PriceEssAnnual*ANU47+AOF35*POWER(1-(AnnualChurn*VLOOKUP(ANR47,ChurnSeasonTable,4,FALSE)),1)*PricePremAnnual*ANU47+AOF23*POWER(1-(AnnualChurn*VLOOKUP(ANR47,ChurnSeasonTable,4,FALSE)),2)*PricePremAnnual*ANU47+AOF11*POWER(1-(AnnualChurn*VLOOKUP(ANR47,ChurnSeasonTable,4,FALSE)),3)*PricePremAnnual*ANU47</f>
        <v/>
      </c>
      <c r="AOQ47" s="9">
        <f>AON47+AOO47+AOP47</f>
        <v/>
      </c>
      <c r="AOR47" s="12">
        <f>SUM(AOQ36:AOQ47)</f>
        <v/>
      </c>
      <c r="AOS47" s="12">
        <f>OR(AOS46,AOR47&gt;=VATThreshold)</f>
        <v/>
      </c>
      <c r="AOT47" s="9">
        <f>IF(AOS47,AOQ47/(1+VATRate),AOQ47)</f>
        <v/>
      </c>
      <c r="AOU47" s="12">
        <f>AOQ47-AOT47</f>
        <v/>
      </c>
      <c r="AOV47" s="12">
        <f>IF(AOS47=0,0,IF(ANR47=1,SUMPRODUCT(--(($ANS$5:$ANS47=$ANS47-1)*($ANR$5:$ANR47&gt;=10)*($ANR$5:$ANR47&lt;=12)),$AOU$5:$AOU47),IF(ANR47=4,SUMPRODUCT(--(($ANS$5:$ANS47=$ANS47)*($ANR$5:$ANR47&gt;=1)*($ANR$5:$ANR47&lt;=3)),$AOU$5:$AOU47),IF(ANR47=7,SUMPRODUCT(--(($ANS$5:$ANS47=$ANS47)*($ANR$5:$ANR47&gt;=4)*($ANR$5:$ANR47&lt;=6)),$AOU$5:$AOU47),IF(ANR47=10,SUMPRODUCT(--(($ANS$5:$ANS47=$ANS47)*($ANR$5:$ANR47&gt;=7)*($ANR$5:$ANR47&lt;=9)),$AOU$5:$AOU47),0)))))</f>
        <v/>
      </c>
      <c r="AOW47" s="12">
        <f>AOW46+AOU47-AOV47</f>
        <v/>
      </c>
      <c r="AOX47" s="12">
        <f>IF(ProviderDelay&gt;=1,AOT46*ProviderShare,AOT47*ProviderShare)</f>
        <v/>
      </c>
      <c r="AOY47" s="12">
        <f>AOQ47*PaymentFee</f>
        <v/>
      </c>
      <c r="AOZ47" s="12">
        <f>AOK47*OpsAI</f>
        <v/>
      </c>
      <c r="APA47" s="12">
        <f>MonthlyFixed</f>
        <v/>
      </c>
      <c r="APB47" s="12">
        <f>ANY47*ReferralReward</f>
        <v/>
      </c>
      <c r="APC47" s="12">
        <f>ANW47</f>
        <v/>
      </c>
      <c r="APD47" s="9">
        <f>AOT47-AOX47-AOY47-AOZ47-APA47-APB47-APC47</f>
        <v/>
      </c>
      <c r="APE47" s="9">
        <f>APE46+AOQ47-(AOX47+AOY47+AOZ47+APA47+APB47+APC47+AOV47)</f>
        <v/>
      </c>
      <c r="APF47" s="12">
        <f>IF(AOK47&gt;0,AOL47/AOK47,0)</f>
        <v/>
      </c>
      <c r="APG47" s="11">
        <f>IF(AOK46&gt;0,MAX(0,(AOK46+ANZ47-AOK47)/AOK46),0)</f>
        <v/>
      </c>
      <c r="API47" s="12" t="n">
        <v>43</v>
      </c>
      <c r="APJ47" s="12">
        <f>MOD(API47-1+LaunchMonth-1,12)+1</f>
        <v/>
      </c>
      <c r="APK47" s="12">
        <f>INT((API47-1+LaunchMonth-1)/12)+1</f>
        <v/>
      </c>
      <c r="APL47" s="12">
        <f>VLOOKUP(APJ47,SeasonTable,2,FALSE)</f>
        <v/>
      </c>
      <c r="APM47" s="12">
        <f>(1+InflationRate)^INT((API47-1)/12)</f>
        <v/>
      </c>
      <c r="APN47" s="11">
        <f>MonthlyChurn*VLOOKUP(APJ47,ChurnSeasonTable,4,FALSE)</f>
        <v/>
      </c>
      <c r="APO47" s="12">
        <f>MIN(MAX(MktMin19plus,AQI46*MktPct19plus),MAX(0,AQW46-CashBuffer))</f>
        <v/>
      </c>
      <c r="APP47" s="12">
        <f>IF(APO47&gt;0,MAX(1,ROUND(APO47/'Sens - CAC &amp; Marketing'!$A$15*APL47,0)),0)</f>
        <v/>
      </c>
      <c r="APQ47" s="12">
        <f>IF(APP47&gt;0,ROUND(APP47*ReferralMix/(1-ReferralMix),0),0)</f>
        <v/>
      </c>
      <c r="APR47" s="12">
        <f>APP47+APQ47</f>
        <v/>
      </c>
      <c r="APS47" s="12">
        <f>ROUND(APR47*(1-AnnualMix),0)</f>
        <v/>
      </c>
      <c r="APT47" s="12">
        <f>APR47-APS47</f>
        <v/>
      </c>
      <c r="APU47" s="12">
        <f>ROUND(APS47*EssentialMix,0)</f>
        <v/>
      </c>
      <c r="APV47" s="12">
        <f>APS47-APU47</f>
        <v/>
      </c>
      <c r="APW47" s="12">
        <f>ROUND(APT47*EssentialMix,0)</f>
        <v/>
      </c>
      <c r="APX47" s="12">
        <f>APT47-APW47</f>
        <v/>
      </c>
      <c r="APY47" s="12">
        <f>APU47+APU46+APU45+MAX(0,APY46-APU46-APU45)*(1-APN47)</f>
        <v/>
      </c>
      <c r="APZ47" s="12">
        <f>APV47+APV46+APV45+MAX(0,APZ46-APV46-APV45)*(1-APN47)</f>
        <v/>
      </c>
      <c r="AQA47" s="12">
        <f>AQA46+APW47-APW35*(AnnualChurn*VLOOKUP(APJ47,ChurnSeasonTable,4,FALSE))*POWER(1-(AnnualChurn*VLOOKUP(APJ47,ChurnSeasonTable,4,FALSE)),0)+APW23*(AnnualChurn*VLOOKUP(APJ47,ChurnSeasonTable,4,FALSE))*POWER(1-(AnnualChurn*VLOOKUP(APJ47,ChurnSeasonTable,4,FALSE)),1)+APW11*(AnnualChurn*VLOOKUP(APJ47,ChurnSeasonTable,4,FALSE))*POWER(1-(AnnualChurn*VLOOKUP(APJ47,ChurnSeasonTable,4,FALSE)),2)</f>
        <v/>
      </c>
      <c r="AQB47" s="12">
        <f>AQB46+APX47-APX35*(AnnualChurn*VLOOKUP(APJ47,ChurnSeasonTable,4,FALSE))*POWER(1-(AnnualChurn*VLOOKUP(APJ47,ChurnSeasonTable,4,FALSE)),0)+APX23*(AnnualChurn*VLOOKUP(APJ47,ChurnSeasonTable,4,FALSE))*POWER(1-(AnnualChurn*VLOOKUP(APJ47,ChurnSeasonTable,4,FALSE)),1)+APX11*(AnnualChurn*VLOOKUP(APJ47,ChurnSeasonTable,4,FALSE))*POWER(1-(AnnualChurn*VLOOKUP(APJ47,ChurnSeasonTable,4,FALSE)),2)</f>
        <v/>
      </c>
      <c r="AQC47" s="12">
        <f>APY47+APZ47+AQA47+AQB47</f>
        <v/>
      </c>
      <c r="AQD47" s="9">
        <f>APY47*PriceEssMonthly*APM47+APZ47*PricePremMonthly*APM47+AQA47*PriceEssAnnual*APM47/12+AQB47*PricePremAnnual*APM47/12</f>
        <v/>
      </c>
      <c r="AQE47" s="9">
        <f>AQD47*12</f>
        <v/>
      </c>
      <c r="AQF47" s="12">
        <f>APY47*PriceEssMonthly*APM47+APZ47*PricePremMonthly*APM47</f>
        <v/>
      </c>
      <c r="AQG47" s="12">
        <f>APW47*PriceEssAnnual*APM47+APX47*PricePremAnnual*APM47</f>
        <v/>
      </c>
      <c r="AQH47" s="12">
        <f>APW35*POWER(1-(AnnualChurn*VLOOKUP(APJ47,ChurnSeasonTable,4,FALSE)),1)*PriceEssAnnual*APM47+APW23*POWER(1-(AnnualChurn*VLOOKUP(APJ47,ChurnSeasonTable,4,FALSE)),2)*PriceEssAnnual*APM47+APW11*POWER(1-(AnnualChurn*VLOOKUP(APJ47,ChurnSeasonTable,4,FALSE)),3)*PriceEssAnnual*APM47+APX35*POWER(1-(AnnualChurn*VLOOKUP(APJ47,ChurnSeasonTable,4,FALSE)),1)*PricePremAnnual*APM47+APX23*POWER(1-(AnnualChurn*VLOOKUP(APJ47,ChurnSeasonTable,4,FALSE)),2)*PricePremAnnual*APM47+APX11*POWER(1-(AnnualChurn*VLOOKUP(APJ47,ChurnSeasonTable,4,FALSE)),3)*PricePremAnnual*APM47</f>
        <v/>
      </c>
      <c r="AQI47" s="9">
        <f>AQF47+AQG47+AQH47</f>
        <v/>
      </c>
      <c r="AQJ47" s="12">
        <f>SUM(AQI36:AQI47)</f>
        <v/>
      </c>
      <c r="AQK47" s="12">
        <f>OR(AQK46,AQJ47&gt;=VATThreshold)</f>
        <v/>
      </c>
      <c r="AQL47" s="9">
        <f>IF(AQK47,AQI47/(1+VATRate),AQI47)</f>
        <v/>
      </c>
      <c r="AQM47" s="12">
        <f>AQI47-AQL47</f>
        <v/>
      </c>
      <c r="AQN47" s="12">
        <f>IF(AQK47=0,0,IF(APJ47=1,SUMPRODUCT(--(($APK$5:$APK47=$APK47-1)*($APJ$5:$APJ47&gt;=10)*($APJ$5:$APJ47&lt;=12)),$AQM$5:$AQM47),IF(APJ47=4,SUMPRODUCT(--(($APK$5:$APK47=$APK47)*($APJ$5:$APJ47&gt;=1)*($APJ$5:$APJ47&lt;=3)),$AQM$5:$AQM47),IF(APJ47=7,SUMPRODUCT(--(($APK$5:$APK47=$APK47)*($APJ$5:$APJ47&gt;=4)*($APJ$5:$APJ47&lt;=6)),$AQM$5:$AQM47),IF(APJ47=10,SUMPRODUCT(--(($APK$5:$APK47=$APK47)*($APJ$5:$APJ47&gt;=7)*($APJ$5:$APJ47&lt;=9)),$AQM$5:$AQM47),0)))))</f>
        <v/>
      </c>
      <c r="AQO47" s="12">
        <f>AQO46+AQM47-AQN47</f>
        <v/>
      </c>
      <c r="AQP47" s="12">
        <f>IF(ProviderDelay&gt;=1,AQL46*ProviderShare,AQL47*ProviderShare)</f>
        <v/>
      </c>
      <c r="AQQ47" s="12">
        <f>AQI47*PaymentFee</f>
        <v/>
      </c>
      <c r="AQR47" s="12">
        <f>AQC47*OpsAI</f>
        <v/>
      </c>
      <c r="AQS47" s="12">
        <f>MonthlyFixed</f>
        <v/>
      </c>
      <c r="AQT47" s="12">
        <f>APQ47*ReferralReward</f>
        <v/>
      </c>
      <c r="AQU47" s="12">
        <f>APO47</f>
        <v/>
      </c>
      <c r="AQV47" s="9">
        <f>AQL47-AQP47-AQQ47-AQR47-AQS47-AQT47-AQU47</f>
        <v/>
      </c>
      <c r="AQW47" s="9">
        <f>AQW46+AQI47-(AQP47+AQQ47+AQR47+AQS47+AQT47+AQU47+AQN47)</f>
        <v/>
      </c>
      <c r="AQX47" s="12">
        <f>IF(AQC47&gt;0,AQD47/AQC47,0)</f>
        <v/>
      </c>
      <c r="AQY47" s="11">
        <f>IF(AQC46&gt;0,MAX(0,(AQC46+APR47-AQC47)/AQC46),0)</f>
        <v/>
      </c>
      <c r="ARA47" s="12" t="n">
        <v>43</v>
      </c>
      <c r="ARB47" s="12">
        <f>MOD(ARA47-1+LaunchMonth-1,12)+1</f>
        <v/>
      </c>
      <c r="ARC47" s="12">
        <f>INT((ARA47-1+LaunchMonth-1)/12)+1</f>
        <v/>
      </c>
      <c r="ARD47" s="12">
        <f>VLOOKUP(ARB47,WinterPivotSeasonTable,5,FALSE)</f>
        <v/>
      </c>
      <c r="ARE47" s="12">
        <f>(1+InflationRate)^INT((ARA47-1)/12)</f>
        <v/>
      </c>
      <c r="ARF47" s="11">
        <f>MonthlyChurn*VLOOKUP(ARB47,WinterPivotChurnTable,6,FALSE)</f>
        <v/>
      </c>
      <c r="ARG47" s="12">
        <f>MIN(MAX(MktMin19plus,ASA46*MktPct19plus),MAX(0,ASO46-CashBuffer))</f>
        <v/>
      </c>
      <c r="ARH47" s="12">
        <f>IF(ARG47&gt;0,MAX(1,ROUND(ARG47/CAC*ARD47,0)),0)</f>
        <v/>
      </c>
      <c r="ARI47" s="12">
        <f>IF(ARH47&gt;0,ROUND(ARH47*ReferralMix/(1-ReferralMix),0),0)</f>
        <v/>
      </c>
      <c r="ARJ47" s="12">
        <f>ARH47+ARI47</f>
        <v/>
      </c>
      <c r="ARK47" s="12">
        <f>ROUND(ARJ47*(1-AnnualMix),0)</f>
        <v/>
      </c>
      <c r="ARL47" s="12">
        <f>ARJ47-ARK47</f>
        <v/>
      </c>
      <c r="ARM47" s="12">
        <f>ROUND(ARK47*'Sens - Winter Pivot'!$B$6,0)</f>
        <v/>
      </c>
      <c r="ARN47" s="12">
        <f>ARK47-ARM47</f>
        <v/>
      </c>
      <c r="ARO47" s="12">
        <f>ROUND(ARL47*'Sens - Winter Pivot'!$B$6,0)</f>
        <v/>
      </c>
      <c r="ARP47" s="12">
        <f>ARL47-ARO47</f>
        <v/>
      </c>
      <c r="ARQ47" s="12">
        <f>ARM47+ARM46+ARM45+MAX(0,ARQ46-ARM46-ARM45)*(1-ARF47)</f>
        <v/>
      </c>
      <c r="ARR47" s="12">
        <f>ARN47+ARN46+ARN45+MAX(0,ARR46-ARN46-ARN45)*(1-ARF47)</f>
        <v/>
      </c>
      <c r="ARS47" s="12">
        <f>ARS46+ARO47-ARO35*(AnnualChurn*VLOOKUP(ARB47,WinterPivotChurnTable,6,FALSE))*POWER(1-(AnnualChurn*VLOOKUP(ARB47,WinterPivotChurnTable,6,FALSE)),0)+ARO23*(AnnualChurn*VLOOKUP(ARB47,WinterPivotChurnTable,6,FALSE))*POWER(1-(AnnualChurn*VLOOKUP(ARB47,WinterPivotChurnTable,6,FALSE)),1)+ARO11*(AnnualChurn*VLOOKUP(ARB47,WinterPivotChurnTable,6,FALSE))*POWER(1-(AnnualChurn*VLOOKUP(ARB47,WinterPivotChurnTable,6,FALSE)),2)</f>
        <v/>
      </c>
      <c r="ART47" s="12">
        <f>ART46+ARP47-ARP35*(AnnualChurn*VLOOKUP(ARB47,WinterPivotChurnTable,6,FALSE))*POWER(1-(AnnualChurn*VLOOKUP(ARB47,WinterPivotChurnTable,6,FALSE)),0)+ARP23*(AnnualChurn*VLOOKUP(ARB47,WinterPivotChurnTable,6,FALSE))*POWER(1-(AnnualChurn*VLOOKUP(ARB47,WinterPivotChurnTable,6,FALSE)),1)+ARP11*(AnnualChurn*VLOOKUP(ARB47,WinterPivotChurnTable,6,FALSE))*POWER(1-(AnnualChurn*VLOOKUP(ARB47,WinterPivotChurnTable,6,FALSE)),2)</f>
        <v/>
      </c>
      <c r="ARU47" s="12">
        <f>ARQ47+ARR47+ARS47+ART47</f>
        <v/>
      </c>
      <c r="ARV47" s="9">
        <f>ARQ47*PriceEssMonthly*ARE47+ARR47*(PricePremMonthly+'Sens - Winter Pivot'!$B$7)*ARE47+ARS47*PriceEssAnnual*ARE47/12+ART47*(PricePremAnnual+'Sens - Winter Pivot'!$B$7*12)*ARE47/12</f>
        <v/>
      </c>
      <c r="ARW47" s="9">
        <f>ARV47*12</f>
        <v/>
      </c>
      <c r="ARX47" s="12">
        <f>ARQ47*PriceEssMonthly*ARE47+ARR47*(PricePremMonthly+'Sens - Winter Pivot'!$B$7)*ARE47</f>
        <v/>
      </c>
      <c r="ARY47" s="12">
        <f>ARO47*PriceEssAnnual*ARE47+ARP47*(PricePremAnnual+'Sens - Winter Pivot'!$B$7*12)*ARE47</f>
        <v/>
      </c>
      <c r="ARZ47" s="12">
        <f>ARO35*POWER(1-(AnnualChurn*VLOOKUP(ARB47,WinterPivotChurnTable,6,FALSE)),1)*PriceEssAnnual*ARE47+ARO23*POWER(1-(AnnualChurn*VLOOKUP(ARB47,WinterPivotChurnTable,6,FALSE)),2)*PriceEssAnnual*ARE47+ARO11*POWER(1-(AnnualChurn*VLOOKUP(ARB47,WinterPivotChurnTable,6,FALSE)),3)*PriceEssAnnual*ARE47+ARP35*POWER(1-(AnnualChurn*VLOOKUP(ARB47,WinterPivotChurnTable,6,FALSE)),1)*PricePremAnnual*ARE47+ARP23*POWER(1-(AnnualChurn*VLOOKUP(ARB47,WinterPivotChurnTable,6,FALSE)),2)*PricePremAnnual*ARE47+ARP11*POWER(1-(AnnualChurn*VLOOKUP(ARB47,WinterPivotChurnTable,6,FALSE)),3)*PricePremAnnual*ARE47</f>
        <v/>
      </c>
      <c r="ASA47" s="9">
        <f>ARX47+ARY47+ARZ47</f>
        <v/>
      </c>
      <c r="ASB47" s="12">
        <f>SUM(ASA36:ASA47)</f>
        <v/>
      </c>
      <c r="ASC47" s="12">
        <f>OR(ASC46,ASB47&gt;=VATThreshold)</f>
        <v/>
      </c>
      <c r="ASD47" s="9">
        <f>IF(ASC47,ASA47/(1+VATRate),ASA47)</f>
        <v/>
      </c>
      <c r="ASE47" s="12">
        <f>ASA47-ASD47</f>
        <v/>
      </c>
      <c r="ASF47" s="12">
        <f>IF(ASC47=0,0,IF(ARB47=1,SUMPRODUCT(--(($ARC$5:$ARC47=$ARC47-1)*($ARB$5:$ARB47&gt;=10)*($ARB$5:$ARB47&lt;=12)),$ASE$5:$ASE47),IF(ARB47=4,SUMPRODUCT(--(($ARC$5:$ARC47=$ARC47)*($ARB$5:$ARB47&gt;=1)*($ARB$5:$ARB47&lt;=3)),$ASE$5:$ASE47),IF(ARB47=7,SUMPRODUCT(--(($ARC$5:$ARC47=$ARC47)*($ARB$5:$ARB47&gt;=4)*($ARB$5:$ARB47&lt;=6)),$ASE$5:$ASE47),IF(ARB47=10,SUMPRODUCT(--(($ARC$5:$ARC47=$ARC47)*($ARB$5:$ARB47&gt;=7)*($ARB$5:$ARB47&lt;=9)),$ASE$5:$ASE47),0)))))</f>
        <v/>
      </c>
      <c r="ASG47" s="12">
        <f>ASG46+ASE47-ASF47</f>
        <v/>
      </c>
      <c r="ASH47" s="12">
        <f>IF(ProviderDelay&gt;=1,ASD46*ProviderShare,ASD47*ProviderShare)</f>
        <v/>
      </c>
      <c r="ASI47" s="12">
        <f>ASA47*PaymentFee</f>
        <v/>
      </c>
      <c r="ASJ47" s="12">
        <f>ARU47*OpsAI</f>
        <v/>
      </c>
      <c r="ASK47" s="12">
        <f>MonthlyFixed</f>
        <v/>
      </c>
      <c r="ASL47" s="12">
        <f>ARI47*ReferralReward</f>
        <v/>
      </c>
      <c r="ASM47" s="12">
        <f>ARG47</f>
        <v/>
      </c>
      <c r="ASN47" s="9">
        <f>ASD47-ASH47-ASI47-ASJ47-ASK47-ASL47-ASM47</f>
        <v/>
      </c>
      <c r="ASO47" s="9">
        <f>ASO46+ASA47-(ASH47+ASI47+ASJ47+ASK47+ASL47+ASM47+ASF47)</f>
        <v/>
      </c>
      <c r="ASP47" s="12">
        <f>IF(ARU47&gt;0,ARV47/ARU47,0)</f>
        <v/>
      </c>
      <c r="ASQ47" s="11">
        <f>IF(ARU46&gt;0,MAX(0,(ARU46+ARJ47-ARU47)/ARU46),0)</f>
        <v/>
      </c>
    </row>
    <row r="48">
      <c r="A48" s="12" t="n">
        <v>44</v>
      </c>
      <c r="B48" s="12">
        <f>MOD(A48-1+LaunchMonth-1,12)+1</f>
        <v/>
      </c>
      <c r="C48" s="12">
        <f>INT((A48-1+LaunchMonth-1)/12)+1</f>
        <v/>
      </c>
      <c r="D48" s="12">
        <f>VLOOKUP(B48,SeasonTable,2,FALSE)</f>
        <v/>
      </c>
      <c r="E48" s="12">
        <f>(1+InflationRate)^INT((A48-1)/12)</f>
        <v/>
      </c>
      <c r="F48" s="11">
        <f>'Sens - Scenarios'!$B$5*VLOOKUP(B48,ChurnSeasonTable,4,FALSE)</f>
        <v/>
      </c>
      <c r="G48" s="12">
        <f>MIN(MAX(MktMin19plus,AA47*MktPct19plus),MAX(0,AO47-CashBuffer))</f>
        <v/>
      </c>
      <c r="H48" s="12">
        <f>IF(G48&gt;0,MAX(1,ROUND(G48/'Sens - Scenarios'!$B$8*D48,0)),0)</f>
        <v/>
      </c>
      <c r="I48" s="12">
        <f>IF(H48&gt;0,ROUND(H48*ReferralMix/(1-ReferralMix),0),0)</f>
        <v/>
      </c>
      <c r="J48" s="12">
        <f>H48+I48</f>
        <v/>
      </c>
      <c r="K48" s="12">
        <f>ROUND(J48*(1-'Sens - Scenarios'!$B$7),0)</f>
        <v/>
      </c>
      <c r="L48" s="12">
        <f>J48-K48</f>
        <v/>
      </c>
      <c r="M48" s="12">
        <f>ROUND(K48*EssentialMix,0)</f>
        <v/>
      </c>
      <c r="N48" s="12">
        <f>K48-M48</f>
        <v/>
      </c>
      <c r="O48" s="12">
        <f>ROUND(L48*EssentialMix,0)</f>
        <v/>
      </c>
      <c r="P48" s="12">
        <f>L48-O48</f>
        <v/>
      </c>
      <c r="Q48" s="12">
        <f>M48+M47+M46+MAX(0,Q47-M47-M46)*(1-F48)</f>
        <v/>
      </c>
      <c r="R48" s="12">
        <f>N48+N47+N46+MAX(0,R47-N47-N46)*(1-F48)</f>
        <v/>
      </c>
      <c r="S48" s="12">
        <f>S47+O48-O36*('Sens - Scenarios'!$B$6*VLOOKUP(B48,ChurnSeasonTable,4,FALSE))*POWER(1-('Sens - Scenarios'!$B$6*VLOOKUP(B48,ChurnSeasonTable,4,FALSE)),0)+O24*('Sens - Scenarios'!$B$6*VLOOKUP(B48,ChurnSeasonTable,4,FALSE))*POWER(1-('Sens - Scenarios'!$B$6*VLOOKUP(B48,ChurnSeasonTable,4,FALSE)),1)+O12*('Sens - Scenarios'!$B$6*VLOOKUP(B48,ChurnSeasonTable,4,FALSE))*POWER(1-('Sens - Scenarios'!$B$6*VLOOKUP(B48,ChurnSeasonTable,4,FALSE)),2)</f>
        <v/>
      </c>
      <c r="T48" s="12">
        <f>T47+P48-P36*('Sens - Scenarios'!$B$6*VLOOKUP(B48,ChurnSeasonTable,4,FALSE))*POWER(1-('Sens - Scenarios'!$B$6*VLOOKUP(B48,ChurnSeasonTable,4,FALSE)),0)+P24*('Sens - Scenarios'!$B$6*VLOOKUP(B48,ChurnSeasonTable,4,FALSE))*POWER(1-('Sens - Scenarios'!$B$6*VLOOKUP(B48,ChurnSeasonTable,4,FALSE)),1)+P12*('Sens - Scenarios'!$B$6*VLOOKUP(B48,ChurnSeasonTable,4,FALSE))*POWER(1-('Sens - Scenarios'!$B$6*VLOOKUP(B48,ChurnSeasonTable,4,FALSE)),2)</f>
        <v/>
      </c>
      <c r="U48" s="12">
        <f>Q48+R48+S48+T48</f>
        <v/>
      </c>
      <c r="V48" s="9">
        <f>Q48*PriceEssMonthly*E48+R48*PricePremMonthly*E48+S48*PriceEssAnnual*E48/12+T48*PricePremAnnual*E48/12</f>
        <v/>
      </c>
      <c r="W48" s="9">
        <f>V48*12</f>
        <v/>
      </c>
      <c r="X48" s="12">
        <f>Q48*PriceEssMonthly*E48+R48*PricePremMonthly*E48</f>
        <v/>
      </c>
      <c r="Y48" s="12">
        <f>O48*PriceEssAnnual*E48+P48*PricePremAnnual*E48</f>
        <v/>
      </c>
      <c r="Z48" s="12">
        <f>O36*POWER(1-('Sens - Scenarios'!$B$6*VLOOKUP(B48,ChurnSeasonTable,4,FALSE)),1)*PriceEssAnnual*E48+O24*POWER(1-('Sens - Scenarios'!$B$6*VLOOKUP(B48,ChurnSeasonTable,4,FALSE)),2)*PriceEssAnnual*E48+O12*POWER(1-('Sens - Scenarios'!$B$6*VLOOKUP(B48,ChurnSeasonTable,4,FALSE)),3)*PriceEssAnnual*E48+P36*POWER(1-('Sens - Scenarios'!$B$6*VLOOKUP(B48,ChurnSeasonTable,4,FALSE)),1)*PricePremAnnual*E48+P24*POWER(1-('Sens - Scenarios'!$B$6*VLOOKUP(B48,ChurnSeasonTable,4,FALSE)),2)*PricePremAnnual*E48+P12*POWER(1-('Sens - Scenarios'!$B$6*VLOOKUP(B48,ChurnSeasonTable,4,FALSE)),3)*PricePremAnnual*E48</f>
        <v/>
      </c>
      <c r="AA48" s="9">
        <f>X48+Y48+Z48</f>
        <v/>
      </c>
      <c r="AB48" s="12">
        <f>SUM(AA37:AA48)</f>
        <v/>
      </c>
      <c r="AC48" s="12">
        <f>OR(AC47,AB48&gt;=VATThreshold)</f>
        <v/>
      </c>
      <c r="AD48" s="9">
        <f>IF(AC48,AA48/(1+VATRate),AA48)</f>
        <v/>
      </c>
      <c r="AE48" s="12">
        <f>AA48-AD48</f>
        <v/>
      </c>
      <c r="AF48" s="12">
        <f>IF(AC48=0,0,IF(B48=1,SUMPRODUCT(--(($C$5:$C48=$C48-1)*($B$5:$B48&gt;=10)*($B$5:$B48&lt;=12)),$AE$5:$AE48),IF(B48=4,SUMPRODUCT(--(($C$5:$C48=$C48)*($B$5:$B48&gt;=1)*($B$5:$B48&lt;=3)),$AE$5:$AE48),IF(B48=7,SUMPRODUCT(--(($C$5:$C48=$C48)*($B$5:$B48&gt;=4)*($B$5:$B48&lt;=6)),$AE$5:$AE48),IF(B48=10,SUMPRODUCT(--(($C$5:$C48=$C48)*($B$5:$B48&gt;=7)*($B$5:$B48&lt;=9)),$AE$5:$AE48),0)))))</f>
        <v/>
      </c>
      <c r="AG48" s="12">
        <f>AG47+AE48-AF48</f>
        <v/>
      </c>
      <c r="AH48" s="12">
        <f>IF(ProviderDelay&gt;=1,AD47*ProviderShare,AD48*ProviderShare)</f>
        <v/>
      </c>
      <c r="AI48" s="12">
        <f>AA48*PaymentFee</f>
        <v/>
      </c>
      <c r="AJ48" s="12">
        <f>U48*OpsAI</f>
        <v/>
      </c>
      <c r="AK48" s="12">
        <f>MonthlyFixed</f>
        <v/>
      </c>
      <c r="AL48" s="12">
        <f>I48*ReferralReward</f>
        <v/>
      </c>
      <c r="AM48" s="12">
        <f>G48</f>
        <v/>
      </c>
      <c r="AN48" s="9">
        <f>AD48-AH48-AI48-AJ48-AK48-AL48-AM48</f>
        <v/>
      </c>
      <c r="AO48" s="9">
        <f>AO47+AA48-(AH48+AI48+AJ48+AK48+AL48+AM48+AF48)</f>
        <v/>
      </c>
      <c r="AP48" s="12">
        <f>IF(U48&gt;0,V48/U48,0)</f>
        <v/>
      </c>
      <c r="AQ48" s="11">
        <f>IF(U47&gt;0,MAX(0,(U47+J48-U48)/U47),0)</f>
        <v/>
      </c>
      <c r="AS48" s="12" t="n">
        <v>44</v>
      </c>
      <c r="AT48" s="12">
        <f>MOD(AS48-1+LaunchMonth-1,12)+1</f>
        <v/>
      </c>
      <c r="AU48" s="12">
        <f>INT((AS48-1+LaunchMonth-1)/12)+1</f>
        <v/>
      </c>
      <c r="AV48" s="12">
        <f>VLOOKUP(AT48,SeasonTable,2,FALSE)</f>
        <v/>
      </c>
      <c r="AW48" s="12">
        <f>(1+InflationRate)^INT((AS48-1)/12)</f>
        <v/>
      </c>
      <c r="AX48" s="11">
        <f>MonthlyChurn*VLOOKUP(AT48,ChurnSeasonTable,4,FALSE)</f>
        <v/>
      </c>
      <c r="AY48" s="12">
        <f>MIN(MAX(MktMin19plus,BS47*MktPct19plus),MAX(0,CG47-CashBuffer))</f>
        <v/>
      </c>
      <c r="AZ48" s="12">
        <f>IF(AY48&gt;0,MAX(1,ROUND(AY48/CAC*AV48,0)),0)</f>
        <v/>
      </c>
      <c r="BA48" s="12">
        <f>IF(AZ48&gt;0,ROUND(AZ48*ReferralMix/(1-ReferralMix),0),0)</f>
        <v/>
      </c>
      <c r="BB48" s="12">
        <f>AZ48+BA48</f>
        <v/>
      </c>
      <c r="BC48" s="12">
        <f>ROUND(BB48*(1-AnnualMix),0)</f>
        <v/>
      </c>
      <c r="BD48" s="12">
        <f>BB48-BC48</f>
        <v/>
      </c>
      <c r="BE48" s="12">
        <f>ROUND(BC48*EssentialMix,0)</f>
        <v/>
      </c>
      <c r="BF48" s="12">
        <f>BC48-BE48</f>
        <v/>
      </c>
      <c r="BG48" s="12">
        <f>ROUND(BD48*EssentialMix,0)</f>
        <v/>
      </c>
      <c r="BH48" s="12">
        <f>BD48-BG48</f>
        <v/>
      </c>
      <c r="BI48" s="12">
        <f>BE48+BE47+BE46+MAX(0,BI47-BE47-BE46)*(1-AX48)</f>
        <v/>
      </c>
      <c r="BJ48" s="12">
        <f>BF48+BF47+BF46+MAX(0,BJ47-BF47-BF46)*(1-AX48)</f>
        <v/>
      </c>
      <c r="BK48" s="12">
        <f>BK47+BG48-BG36*(AnnualChurn*VLOOKUP(AT48,ChurnSeasonTable,4,FALSE))*POWER(1-(AnnualChurn*VLOOKUP(AT48,ChurnSeasonTable,4,FALSE)),0)+BG24*(AnnualChurn*VLOOKUP(AT48,ChurnSeasonTable,4,FALSE))*POWER(1-(AnnualChurn*VLOOKUP(AT48,ChurnSeasonTable,4,FALSE)),1)+BG12*(AnnualChurn*VLOOKUP(AT48,ChurnSeasonTable,4,FALSE))*POWER(1-(AnnualChurn*VLOOKUP(AT48,ChurnSeasonTable,4,FALSE)),2)</f>
        <v/>
      </c>
      <c r="BL48" s="12">
        <f>BL47+BH48-BH36*(AnnualChurn*VLOOKUP(AT48,ChurnSeasonTable,4,FALSE))*POWER(1-(AnnualChurn*VLOOKUP(AT48,ChurnSeasonTable,4,FALSE)),0)+BH24*(AnnualChurn*VLOOKUP(AT48,ChurnSeasonTable,4,FALSE))*POWER(1-(AnnualChurn*VLOOKUP(AT48,ChurnSeasonTable,4,FALSE)),1)+BH12*(AnnualChurn*VLOOKUP(AT48,ChurnSeasonTable,4,FALSE))*POWER(1-(AnnualChurn*VLOOKUP(AT48,ChurnSeasonTable,4,FALSE)),2)</f>
        <v/>
      </c>
      <c r="BM48" s="12">
        <f>BI48+BJ48+BK48+BL48</f>
        <v/>
      </c>
      <c r="BN48" s="9">
        <f>BI48*PriceEssMonthly*AW48+BJ48*PricePremMonthly*AW48+BK48*PriceEssAnnual*AW48/12+BL48*PricePremAnnual*AW48/12</f>
        <v/>
      </c>
      <c r="BO48" s="9">
        <f>BN48*12</f>
        <v/>
      </c>
      <c r="BP48" s="12">
        <f>BI48*PriceEssMonthly*AW48+BJ48*PricePremMonthly*AW48</f>
        <v/>
      </c>
      <c r="BQ48" s="12">
        <f>BG48*PriceEssAnnual*AW48+BH48*PricePremAnnual*AW48</f>
        <v/>
      </c>
      <c r="BR48" s="12">
        <f>BG36*POWER(1-(AnnualChurn*VLOOKUP(AT48,ChurnSeasonTable,4,FALSE)),1)*PriceEssAnnual*AW48+BG24*POWER(1-(AnnualChurn*VLOOKUP(AT48,ChurnSeasonTable,4,FALSE)),2)*PriceEssAnnual*AW48+BG12*POWER(1-(AnnualChurn*VLOOKUP(AT48,ChurnSeasonTable,4,FALSE)),3)*PriceEssAnnual*AW48+BH36*POWER(1-(AnnualChurn*VLOOKUP(AT48,ChurnSeasonTable,4,FALSE)),1)*PricePremAnnual*AW48+BH24*POWER(1-(AnnualChurn*VLOOKUP(AT48,ChurnSeasonTable,4,FALSE)),2)*PricePremAnnual*AW48+BH12*POWER(1-(AnnualChurn*VLOOKUP(AT48,ChurnSeasonTable,4,FALSE)),3)*PricePremAnnual*AW48</f>
        <v/>
      </c>
      <c r="BS48" s="9">
        <f>BP48+BQ48+BR48</f>
        <v/>
      </c>
      <c r="BT48" s="12">
        <f>SUM(BS37:BS48)</f>
        <v/>
      </c>
      <c r="BU48" s="12">
        <f>OR(BU47,BT48&gt;=VATThreshold)</f>
        <v/>
      </c>
      <c r="BV48" s="9">
        <f>IF(BU48,BS48/(1+VATRate),BS48)</f>
        <v/>
      </c>
      <c r="BW48" s="12">
        <f>BS48-BV48</f>
        <v/>
      </c>
      <c r="BX48" s="12">
        <f>IF(BU48=0,0,IF(AT48=1,SUMPRODUCT(--(($AU$5:$AU48=$AU48-1)*($AT$5:$AT48&gt;=10)*($AT$5:$AT48&lt;=12)),$BW$5:$BW48),IF(AT48=4,SUMPRODUCT(--(($AU$5:$AU48=$AU48)*($AT$5:$AT48&gt;=1)*($AT$5:$AT48&lt;=3)),$BW$5:$BW48),IF(AT48=7,SUMPRODUCT(--(($AU$5:$AU48=$AU48)*($AT$5:$AT48&gt;=4)*($AT$5:$AT48&lt;=6)),$BW$5:$BW48),IF(AT48=10,SUMPRODUCT(--(($AU$5:$AU48=$AU48)*($AT$5:$AT48&gt;=7)*($AT$5:$AT48&lt;=9)),$BW$5:$BW48),0)))))</f>
        <v/>
      </c>
      <c r="BY48" s="12">
        <f>BY47+BW48-BX48</f>
        <v/>
      </c>
      <c r="BZ48" s="12">
        <f>IF(ProviderDelay&gt;=1,BV47*ProviderShare,BV48*ProviderShare)</f>
        <v/>
      </c>
      <c r="CA48" s="12">
        <f>BS48*PaymentFee</f>
        <v/>
      </c>
      <c r="CB48" s="12">
        <f>BM48*OpsAI</f>
        <v/>
      </c>
      <c r="CC48" s="12">
        <f>MonthlyFixed</f>
        <v/>
      </c>
      <c r="CD48" s="12">
        <f>BA48*ReferralReward</f>
        <v/>
      </c>
      <c r="CE48" s="12">
        <f>AY48</f>
        <v/>
      </c>
      <c r="CF48" s="9">
        <f>BV48-BZ48-CA48-CB48-CC48-CD48-CE48</f>
        <v/>
      </c>
      <c r="CG48" s="9">
        <f>CG47+BS48-(BZ48+CA48+CB48+CC48+CD48+CE48+BX48)</f>
        <v/>
      </c>
      <c r="CH48" s="12">
        <f>IF(BM48&gt;0,BN48/BM48,0)</f>
        <v/>
      </c>
      <c r="CI48" s="11">
        <f>IF(BM47&gt;0,MAX(0,(BM47+BB48-BM48)/BM47),0)</f>
        <v/>
      </c>
      <c r="CK48" s="12" t="n">
        <v>44</v>
      </c>
      <c r="CL48" s="12">
        <f>MOD(CK48-1+LaunchMonth-1,12)+1</f>
        <v/>
      </c>
      <c r="CM48" s="12">
        <f>INT((CK48-1+LaunchMonth-1)/12)+1</f>
        <v/>
      </c>
      <c r="CN48" s="12">
        <f>VLOOKUP(CL48,SeasonTable,2,FALSE)</f>
        <v/>
      </c>
      <c r="CO48" s="12">
        <f>(1+InflationRate)^INT((CK48-1)/12)</f>
        <v/>
      </c>
      <c r="CP48" s="11">
        <f>'Sens - Scenarios'!$D$5*VLOOKUP(CL48,ChurnSeasonTable,4,FALSE)</f>
        <v/>
      </c>
      <c r="CQ48" s="12">
        <f>MIN(MAX(MktMin19plus,DK47*MktPct19plus),MAX(0,DY47-CashBuffer))</f>
        <v/>
      </c>
      <c r="CR48" s="12">
        <f>IF(CQ48&gt;0,MAX(1,ROUND(CQ48/'Sens - Scenarios'!$D$8*CN48,0)),0)</f>
        <v/>
      </c>
      <c r="CS48" s="12">
        <f>IF(CR48&gt;0,ROUND(CR48*ReferralMix/(1-ReferralMix),0),0)</f>
        <v/>
      </c>
      <c r="CT48" s="12">
        <f>CR48+CS48</f>
        <v/>
      </c>
      <c r="CU48" s="12">
        <f>ROUND(CT48*(1-'Sens - Scenarios'!$D$7),0)</f>
        <v/>
      </c>
      <c r="CV48" s="12">
        <f>CT48-CU48</f>
        <v/>
      </c>
      <c r="CW48" s="12">
        <f>ROUND(CU48*EssentialMix,0)</f>
        <v/>
      </c>
      <c r="CX48" s="12">
        <f>CU48-CW48</f>
        <v/>
      </c>
      <c r="CY48" s="12">
        <f>ROUND(CV48*EssentialMix,0)</f>
        <v/>
      </c>
      <c r="CZ48" s="12">
        <f>CV48-CY48</f>
        <v/>
      </c>
      <c r="DA48" s="12">
        <f>CW48+CW47+CW46+MAX(0,DA47-CW47-CW46)*(1-CP48)</f>
        <v/>
      </c>
      <c r="DB48" s="12">
        <f>CX48+CX47+CX46+MAX(0,DB47-CX47-CX46)*(1-CP48)</f>
        <v/>
      </c>
      <c r="DC48" s="12">
        <f>DC47+CY48-CY36*('Sens - Scenarios'!$D$6*VLOOKUP(CL48,ChurnSeasonTable,4,FALSE))*POWER(1-('Sens - Scenarios'!$D$6*VLOOKUP(CL48,ChurnSeasonTable,4,FALSE)),0)+CY24*('Sens - Scenarios'!$D$6*VLOOKUP(CL48,ChurnSeasonTable,4,FALSE))*POWER(1-('Sens - Scenarios'!$D$6*VLOOKUP(CL48,ChurnSeasonTable,4,FALSE)),1)+CY12*('Sens - Scenarios'!$D$6*VLOOKUP(CL48,ChurnSeasonTable,4,FALSE))*POWER(1-('Sens - Scenarios'!$D$6*VLOOKUP(CL48,ChurnSeasonTable,4,FALSE)),2)</f>
        <v/>
      </c>
      <c r="DD48" s="12">
        <f>DD47+CZ48-CZ36*('Sens - Scenarios'!$D$6*VLOOKUP(CL48,ChurnSeasonTable,4,FALSE))*POWER(1-('Sens - Scenarios'!$D$6*VLOOKUP(CL48,ChurnSeasonTable,4,FALSE)),0)+CZ24*('Sens - Scenarios'!$D$6*VLOOKUP(CL48,ChurnSeasonTable,4,FALSE))*POWER(1-('Sens - Scenarios'!$D$6*VLOOKUP(CL48,ChurnSeasonTable,4,FALSE)),1)+CZ12*('Sens - Scenarios'!$D$6*VLOOKUP(CL48,ChurnSeasonTable,4,FALSE))*POWER(1-('Sens - Scenarios'!$D$6*VLOOKUP(CL48,ChurnSeasonTable,4,FALSE)),2)</f>
        <v/>
      </c>
      <c r="DE48" s="12">
        <f>DA48+DB48+DC48+DD48</f>
        <v/>
      </c>
      <c r="DF48" s="9">
        <f>DA48*PriceEssMonthly*CO48+DB48*PricePremMonthly*CO48+DC48*PriceEssAnnual*CO48/12+DD48*PricePremAnnual*CO48/12</f>
        <v/>
      </c>
      <c r="DG48" s="9">
        <f>DF48*12</f>
        <v/>
      </c>
      <c r="DH48" s="12">
        <f>DA48*PriceEssMonthly*CO48+DB48*PricePremMonthly*CO48</f>
        <v/>
      </c>
      <c r="DI48" s="12">
        <f>CY48*PriceEssAnnual*CO48+CZ48*PricePremAnnual*CO48</f>
        <v/>
      </c>
      <c r="DJ48" s="12">
        <f>CY36*POWER(1-('Sens - Scenarios'!$D$6*VLOOKUP(CL48,ChurnSeasonTable,4,FALSE)),1)*PriceEssAnnual*CO48+CY24*POWER(1-('Sens - Scenarios'!$D$6*VLOOKUP(CL48,ChurnSeasonTable,4,FALSE)),2)*PriceEssAnnual*CO48+CY12*POWER(1-('Sens - Scenarios'!$D$6*VLOOKUP(CL48,ChurnSeasonTable,4,FALSE)),3)*PriceEssAnnual*CO48+CZ36*POWER(1-('Sens - Scenarios'!$D$6*VLOOKUP(CL48,ChurnSeasonTable,4,FALSE)),1)*PricePremAnnual*CO48+CZ24*POWER(1-('Sens - Scenarios'!$D$6*VLOOKUP(CL48,ChurnSeasonTable,4,FALSE)),2)*PricePremAnnual*CO48+CZ12*POWER(1-('Sens - Scenarios'!$D$6*VLOOKUP(CL48,ChurnSeasonTable,4,FALSE)),3)*PricePremAnnual*CO48</f>
        <v/>
      </c>
      <c r="DK48" s="9">
        <f>DH48+DI48+DJ48</f>
        <v/>
      </c>
      <c r="DL48" s="12">
        <f>SUM(DK37:DK48)</f>
        <v/>
      </c>
      <c r="DM48" s="12">
        <f>OR(DM47,DL48&gt;=VATThreshold)</f>
        <v/>
      </c>
      <c r="DN48" s="9">
        <f>IF(DM48,DK48/(1+VATRate),DK48)</f>
        <v/>
      </c>
      <c r="DO48" s="12">
        <f>DK48-DN48</f>
        <v/>
      </c>
      <c r="DP48" s="12">
        <f>IF(DM48=0,0,IF(CL48=1,SUMPRODUCT(--(($CM$5:$CM48=$CM48-1)*($CL$5:$CL48&gt;=10)*($CL$5:$CL48&lt;=12)),$DO$5:$DO48),IF(CL48=4,SUMPRODUCT(--(($CM$5:$CM48=$CM48)*($CL$5:$CL48&gt;=1)*($CL$5:$CL48&lt;=3)),$DO$5:$DO48),IF(CL48=7,SUMPRODUCT(--(($CM$5:$CM48=$CM48)*($CL$5:$CL48&gt;=4)*($CL$5:$CL48&lt;=6)),$DO$5:$DO48),IF(CL48=10,SUMPRODUCT(--(($CM$5:$CM48=$CM48)*($CL$5:$CL48&gt;=7)*($CL$5:$CL48&lt;=9)),$DO$5:$DO48),0)))))</f>
        <v/>
      </c>
      <c r="DQ48" s="12">
        <f>DQ47+DO48-DP48</f>
        <v/>
      </c>
      <c r="DR48" s="12">
        <f>IF(ProviderDelay&gt;=1,DN47*ProviderShare,DN48*ProviderShare)</f>
        <v/>
      </c>
      <c r="DS48" s="12">
        <f>DK48*PaymentFee</f>
        <v/>
      </c>
      <c r="DT48" s="12">
        <f>DE48*OpsAI</f>
        <v/>
      </c>
      <c r="DU48" s="12">
        <f>MonthlyFixed</f>
        <v/>
      </c>
      <c r="DV48" s="12">
        <f>CS48*ReferralReward</f>
        <v/>
      </c>
      <c r="DW48" s="12">
        <f>CQ48</f>
        <v/>
      </c>
      <c r="DX48" s="9">
        <f>DN48-DR48-DS48-DT48-DU48-DV48-DW48</f>
        <v/>
      </c>
      <c r="DY48" s="9">
        <f>DY47+DK48-(DR48+DS48+DT48+DU48+DV48+DW48+DP48)</f>
        <v/>
      </c>
      <c r="DZ48" s="12">
        <f>IF(DE48&gt;0,DF48/DE48,0)</f>
        <v/>
      </c>
      <c r="EA48" s="11">
        <f>IF(DE47&gt;0,MAX(0,(DE47+CT48-DE48)/DE47),0)</f>
        <v/>
      </c>
      <c r="EC48" s="12" t="n">
        <v>44</v>
      </c>
      <c r="ED48" s="12">
        <f>MOD(EC48-1+LaunchMonth-1,12)+1</f>
        <v/>
      </c>
      <c r="EE48" s="12">
        <f>INT((EC48-1+LaunchMonth-1)/12)+1</f>
        <v/>
      </c>
      <c r="EF48" s="12">
        <f>VLOOKUP(ED48,SeasonTable,2,FALSE)</f>
        <v/>
      </c>
      <c r="EG48" s="12">
        <f>(1+InflationRate)^INT((EC48-1)/12)</f>
        <v/>
      </c>
      <c r="EH48" s="11">
        <f>'Sens - Churn'!$A$13*VLOOKUP(ED48,ChurnSeasonTable,4,FALSE)</f>
        <v/>
      </c>
      <c r="EI48" s="12">
        <f>MIN(MAX(MktMin19plus,FC47*MktPct19plus),MAX(0,FQ47-CashBuffer))</f>
        <v/>
      </c>
      <c r="EJ48" s="12">
        <f>IF(EI48&gt;0,MAX(1,ROUND(EI48/CAC*EF48,0)),0)</f>
        <v/>
      </c>
      <c r="EK48" s="12">
        <f>IF(EJ48&gt;0,ROUND(EJ48*ReferralMix/(1-ReferralMix),0),0)</f>
        <v/>
      </c>
      <c r="EL48" s="12">
        <f>EJ48+EK48</f>
        <v/>
      </c>
      <c r="EM48" s="12">
        <f>ROUND(EL48*(1-AnnualMix),0)</f>
        <v/>
      </c>
      <c r="EN48" s="12">
        <f>EL48-EM48</f>
        <v/>
      </c>
      <c r="EO48" s="12">
        <f>ROUND(EM48*EssentialMix,0)</f>
        <v/>
      </c>
      <c r="EP48" s="12">
        <f>EM48-EO48</f>
        <v/>
      </c>
      <c r="EQ48" s="12">
        <f>ROUND(EN48*EssentialMix,0)</f>
        <v/>
      </c>
      <c r="ER48" s="12">
        <f>EN48-EQ48</f>
        <v/>
      </c>
      <c r="ES48" s="12">
        <f>EO48+EO47+EO46+MAX(0,ES47-EO47-EO46)*(1-EH48)</f>
        <v/>
      </c>
      <c r="ET48" s="12">
        <f>EP48+EP47+EP46+MAX(0,ET47-EP47-EP46)*(1-EH48)</f>
        <v/>
      </c>
      <c r="EU48" s="12">
        <f>EU47+EQ48-EQ36*(AnnualChurn*VLOOKUP(ED48,ChurnSeasonTable,4,FALSE))*POWER(1-(AnnualChurn*VLOOKUP(ED48,ChurnSeasonTable,4,FALSE)),0)+EQ24*(AnnualChurn*VLOOKUP(ED48,ChurnSeasonTable,4,FALSE))*POWER(1-(AnnualChurn*VLOOKUP(ED48,ChurnSeasonTable,4,FALSE)),1)+EQ12*(AnnualChurn*VLOOKUP(ED48,ChurnSeasonTable,4,FALSE))*POWER(1-(AnnualChurn*VLOOKUP(ED48,ChurnSeasonTable,4,FALSE)),2)</f>
        <v/>
      </c>
      <c r="EV48" s="12">
        <f>EV47+ER48-ER36*(AnnualChurn*VLOOKUP(ED48,ChurnSeasonTable,4,FALSE))*POWER(1-(AnnualChurn*VLOOKUP(ED48,ChurnSeasonTable,4,FALSE)),0)+ER24*(AnnualChurn*VLOOKUP(ED48,ChurnSeasonTable,4,FALSE))*POWER(1-(AnnualChurn*VLOOKUP(ED48,ChurnSeasonTable,4,FALSE)),1)+ER12*(AnnualChurn*VLOOKUP(ED48,ChurnSeasonTable,4,FALSE))*POWER(1-(AnnualChurn*VLOOKUP(ED48,ChurnSeasonTable,4,FALSE)),2)</f>
        <v/>
      </c>
      <c r="EW48" s="12">
        <f>ES48+ET48+EU48+EV48</f>
        <v/>
      </c>
      <c r="EX48" s="9">
        <f>ES48*PriceEssMonthly*EG48+ET48*PricePremMonthly*EG48+EU48*PriceEssAnnual*EG48/12+EV48*PricePremAnnual*EG48/12</f>
        <v/>
      </c>
      <c r="EY48" s="9">
        <f>EX48*12</f>
        <v/>
      </c>
      <c r="EZ48" s="12">
        <f>ES48*PriceEssMonthly*EG48+ET48*PricePremMonthly*EG48</f>
        <v/>
      </c>
      <c r="FA48" s="12">
        <f>EQ48*PriceEssAnnual*EG48+ER48*PricePremAnnual*EG48</f>
        <v/>
      </c>
      <c r="FB48" s="12">
        <f>EQ36*POWER(1-(AnnualChurn*VLOOKUP(ED48,ChurnSeasonTable,4,FALSE)),1)*PriceEssAnnual*EG48+EQ24*POWER(1-(AnnualChurn*VLOOKUP(ED48,ChurnSeasonTable,4,FALSE)),2)*PriceEssAnnual*EG48+EQ12*POWER(1-(AnnualChurn*VLOOKUP(ED48,ChurnSeasonTable,4,FALSE)),3)*PriceEssAnnual*EG48+ER36*POWER(1-(AnnualChurn*VLOOKUP(ED48,ChurnSeasonTable,4,FALSE)),1)*PricePremAnnual*EG48+ER24*POWER(1-(AnnualChurn*VLOOKUP(ED48,ChurnSeasonTable,4,FALSE)),2)*PricePremAnnual*EG48+ER12*POWER(1-(AnnualChurn*VLOOKUP(ED48,ChurnSeasonTable,4,FALSE)),3)*PricePremAnnual*EG48</f>
        <v/>
      </c>
      <c r="FC48" s="9">
        <f>EZ48+FA48+FB48</f>
        <v/>
      </c>
      <c r="FD48" s="12">
        <f>SUM(FC37:FC48)</f>
        <v/>
      </c>
      <c r="FE48" s="12">
        <f>OR(FE47,FD48&gt;=VATThreshold)</f>
        <v/>
      </c>
      <c r="FF48" s="9">
        <f>IF(FE48,FC48/(1+VATRate),FC48)</f>
        <v/>
      </c>
      <c r="FG48" s="12">
        <f>FC48-FF48</f>
        <v/>
      </c>
      <c r="FH48" s="12">
        <f>IF(FE48=0,0,IF(ED48=1,SUMPRODUCT(--(($EE$5:$EE48=$EE48-1)*($ED$5:$ED48&gt;=10)*($ED$5:$ED48&lt;=12)),$FG$5:$FG48),IF(ED48=4,SUMPRODUCT(--(($EE$5:$EE48=$EE48)*($ED$5:$ED48&gt;=1)*($ED$5:$ED48&lt;=3)),$FG$5:$FG48),IF(ED48=7,SUMPRODUCT(--(($EE$5:$EE48=$EE48)*($ED$5:$ED48&gt;=4)*($ED$5:$ED48&lt;=6)),$FG$5:$FG48),IF(ED48=10,SUMPRODUCT(--(($EE$5:$EE48=$EE48)*($ED$5:$ED48&gt;=7)*($ED$5:$ED48&lt;=9)),$FG$5:$FG48),0)))))</f>
        <v/>
      </c>
      <c r="FI48" s="12">
        <f>FI47+FG48-FH48</f>
        <v/>
      </c>
      <c r="FJ48" s="12">
        <f>IF(ProviderDelay&gt;=1,FF47*ProviderShare,FF48*ProviderShare)</f>
        <v/>
      </c>
      <c r="FK48" s="12">
        <f>FC48*PaymentFee</f>
        <v/>
      </c>
      <c r="FL48" s="12">
        <f>EW48*OpsAI</f>
        <v/>
      </c>
      <c r="FM48" s="12">
        <f>MonthlyFixed</f>
        <v/>
      </c>
      <c r="FN48" s="12">
        <f>EK48*ReferralReward</f>
        <v/>
      </c>
      <c r="FO48" s="12">
        <f>EI48</f>
        <v/>
      </c>
      <c r="FP48" s="9">
        <f>FF48-FJ48-FK48-FL48-FM48-FN48-FO48</f>
        <v/>
      </c>
      <c r="FQ48" s="9">
        <f>FQ47+FC48-(FJ48+FK48+FL48+FM48+FN48+FO48+FH48)</f>
        <v/>
      </c>
      <c r="FR48" s="12">
        <f>IF(EW48&gt;0,EX48/EW48,0)</f>
        <v/>
      </c>
      <c r="FS48" s="11">
        <f>IF(EW47&gt;0,MAX(0,(EW47+EL48-EW48)/EW47),0)</f>
        <v/>
      </c>
      <c r="FU48" s="12" t="n">
        <v>44</v>
      </c>
      <c r="FV48" s="12">
        <f>MOD(FU48-1+LaunchMonth-1,12)+1</f>
        <v/>
      </c>
      <c r="FW48" s="12">
        <f>INT((FU48-1+LaunchMonth-1)/12)+1</f>
        <v/>
      </c>
      <c r="FX48" s="12">
        <f>VLOOKUP(FV48,SeasonTable,2,FALSE)</f>
        <v/>
      </c>
      <c r="FY48" s="12">
        <f>(1+InflationRate)^INT((FU48-1)/12)</f>
        <v/>
      </c>
      <c r="FZ48" s="11">
        <f>'Sens - Churn'!$A$14*VLOOKUP(FV48,ChurnSeasonTable,4,FALSE)</f>
        <v/>
      </c>
      <c r="GA48" s="12">
        <f>MIN(MAX(MktMin19plus,GU47*MktPct19plus),MAX(0,HI47-CashBuffer))</f>
        <v/>
      </c>
      <c r="GB48" s="12">
        <f>IF(GA48&gt;0,MAX(1,ROUND(GA48/CAC*FX48,0)),0)</f>
        <v/>
      </c>
      <c r="GC48" s="12">
        <f>IF(GB48&gt;0,ROUND(GB48*ReferralMix/(1-ReferralMix),0),0)</f>
        <v/>
      </c>
      <c r="GD48" s="12">
        <f>GB48+GC48</f>
        <v/>
      </c>
      <c r="GE48" s="12">
        <f>ROUND(GD48*(1-AnnualMix),0)</f>
        <v/>
      </c>
      <c r="GF48" s="12">
        <f>GD48-GE48</f>
        <v/>
      </c>
      <c r="GG48" s="12">
        <f>ROUND(GE48*EssentialMix,0)</f>
        <v/>
      </c>
      <c r="GH48" s="12">
        <f>GE48-GG48</f>
        <v/>
      </c>
      <c r="GI48" s="12">
        <f>ROUND(GF48*EssentialMix,0)</f>
        <v/>
      </c>
      <c r="GJ48" s="12">
        <f>GF48-GI48</f>
        <v/>
      </c>
      <c r="GK48" s="12">
        <f>GG48+GG47+GG46+MAX(0,GK47-GG47-GG46)*(1-FZ48)</f>
        <v/>
      </c>
      <c r="GL48" s="12">
        <f>GH48+GH47+GH46+MAX(0,GL47-GH47-GH46)*(1-FZ48)</f>
        <v/>
      </c>
      <c r="GM48" s="12">
        <f>GM47+GI48-GI36*(AnnualChurn*VLOOKUP(FV48,ChurnSeasonTable,4,FALSE))*POWER(1-(AnnualChurn*VLOOKUP(FV48,ChurnSeasonTable,4,FALSE)),0)+GI24*(AnnualChurn*VLOOKUP(FV48,ChurnSeasonTable,4,FALSE))*POWER(1-(AnnualChurn*VLOOKUP(FV48,ChurnSeasonTable,4,FALSE)),1)+GI12*(AnnualChurn*VLOOKUP(FV48,ChurnSeasonTable,4,FALSE))*POWER(1-(AnnualChurn*VLOOKUP(FV48,ChurnSeasonTable,4,FALSE)),2)</f>
        <v/>
      </c>
      <c r="GN48" s="12">
        <f>GN47+GJ48-GJ36*(AnnualChurn*VLOOKUP(FV48,ChurnSeasonTable,4,FALSE))*POWER(1-(AnnualChurn*VLOOKUP(FV48,ChurnSeasonTable,4,FALSE)),0)+GJ24*(AnnualChurn*VLOOKUP(FV48,ChurnSeasonTable,4,FALSE))*POWER(1-(AnnualChurn*VLOOKUP(FV48,ChurnSeasonTable,4,FALSE)),1)+GJ12*(AnnualChurn*VLOOKUP(FV48,ChurnSeasonTable,4,FALSE))*POWER(1-(AnnualChurn*VLOOKUP(FV48,ChurnSeasonTable,4,FALSE)),2)</f>
        <v/>
      </c>
      <c r="GO48" s="12">
        <f>GK48+GL48+GM48+GN48</f>
        <v/>
      </c>
      <c r="GP48" s="9">
        <f>GK48*PriceEssMonthly*FY48+GL48*PricePremMonthly*FY48+GM48*PriceEssAnnual*FY48/12+GN48*PricePremAnnual*FY48/12</f>
        <v/>
      </c>
      <c r="GQ48" s="9">
        <f>GP48*12</f>
        <v/>
      </c>
      <c r="GR48" s="12">
        <f>GK48*PriceEssMonthly*FY48+GL48*PricePremMonthly*FY48</f>
        <v/>
      </c>
      <c r="GS48" s="12">
        <f>GI48*PriceEssAnnual*FY48+GJ48*PricePremAnnual*FY48</f>
        <v/>
      </c>
      <c r="GT48" s="12">
        <f>GI36*POWER(1-(AnnualChurn*VLOOKUP(FV48,ChurnSeasonTable,4,FALSE)),1)*PriceEssAnnual*FY48+GI24*POWER(1-(AnnualChurn*VLOOKUP(FV48,ChurnSeasonTable,4,FALSE)),2)*PriceEssAnnual*FY48+GI12*POWER(1-(AnnualChurn*VLOOKUP(FV48,ChurnSeasonTable,4,FALSE)),3)*PriceEssAnnual*FY48+GJ36*POWER(1-(AnnualChurn*VLOOKUP(FV48,ChurnSeasonTable,4,FALSE)),1)*PricePremAnnual*FY48+GJ24*POWER(1-(AnnualChurn*VLOOKUP(FV48,ChurnSeasonTable,4,FALSE)),2)*PricePremAnnual*FY48+GJ12*POWER(1-(AnnualChurn*VLOOKUP(FV48,ChurnSeasonTable,4,FALSE)),3)*PricePremAnnual*FY48</f>
        <v/>
      </c>
      <c r="GU48" s="9">
        <f>GR48+GS48+GT48</f>
        <v/>
      </c>
      <c r="GV48" s="12">
        <f>SUM(GU37:GU48)</f>
        <v/>
      </c>
      <c r="GW48" s="12">
        <f>OR(GW47,GV48&gt;=VATThreshold)</f>
        <v/>
      </c>
      <c r="GX48" s="9">
        <f>IF(GW48,GU48/(1+VATRate),GU48)</f>
        <v/>
      </c>
      <c r="GY48" s="12">
        <f>GU48-GX48</f>
        <v/>
      </c>
      <c r="GZ48" s="12">
        <f>IF(GW48=0,0,IF(FV48=1,SUMPRODUCT(--(($FW$5:$FW48=$FW48-1)*($FV$5:$FV48&gt;=10)*($FV$5:$FV48&lt;=12)),$GY$5:$GY48),IF(FV48=4,SUMPRODUCT(--(($FW$5:$FW48=$FW48)*($FV$5:$FV48&gt;=1)*($FV$5:$FV48&lt;=3)),$GY$5:$GY48),IF(FV48=7,SUMPRODUCT(--(($FW$5:$FW48=$FW48)*($FV$5:$FV48&gt;=4)*($FV$5:$FV48&lt;=6)),$GY$5:$GY48),IF(FV48=10,SUMPRODUCT(--(($FW$5:$FW48=$FW48)*($FV$5:$FV48&gt;=7)*($FV$5:$FV48&lt;=9)),$GY$5:$GY48),0)))))</f>
        <v/>
      </c>
      <c r="HA48" s="12">
        <f>HA47+GY48-GZ48</f>
        <v/>
      </c>
      <c r="HB48" s="12">
        <f>IF(ProviderDelay&gt;=1,GX47*ProviderShare,GX48*ProviderShare)</f>
        <v/>
      </c>
      <c r="HC48" s="12">
        <f>GU48*PaymentFee</f>
        <v/>
      </c>
      <c r="HD48" s="12">
        <f>GO48*OpsAI</f>
        <v/>
      </c>
      <c r="HE48" s="12">
        <f>MonthlyFixed</f>
        <v/>
      </c>
      <c r="HF48" s="12">
        <f>GC48*ReferralReward</f>
        <v/>
      </c>
      <c r="HG48" s="12">
        <f>GA48</f>
        <v/>
      </c>
      <c r="HH48" s="9">
        <f>GX48-HB48-HC48-HD48-HE48-HF48-HG48</f>
        <v/>
      </c>
      <c r="HI48" s="9">
        <f>HI47+GU48-(HB48+HC48+HD48+HE48+HF48+HG48+GZ48)</f>
        <v/>
      </c>
      <c r="HJ48" s="12">
        <f>IF(GO48&gt;0,GP48/GO48,0)</f>
        <v/>
      </c>
      <c r="HK48" s="11">
        <f>IF(GO47&gt;0,MAX(0,(GO47+GD48-GO48)/GO47),0)</f>
        <v/>
      </c>
      <c r="HM48" s="12" t="n">
        <v>44</v>
      </c>
      <c r="HN48" s="12">
        <f>MOD(HM48-1+LaunchMonth-1,12)+1</f>
        <v/>
      </c>
      <c r="HO48" s="12">
        <f>INT((HM48-1+LaunchMonth-1)/12)+1</f>
        <v/>
      </c>
      <c r="HP48" s="12">
        <f>VLOOKUP(HN48,SeasonTable,2,FALSE)</f>
        <v/>
      </c>
      <c r="HQ48" s="12">
        <f>(1+InflationRate)^INT((HM48-1)/12)</f>
        <v/>
      </c>
      <c r="HR48" s="11">
        <f>'Sens - Churn'!$A$15*VLOOKUP(HN48,ChurnSeasonTable,4,FALSE)</f>
        <v/>
      </c>
      <c r="HS48" s="12">
        <f>MIN(MAX(MktMin19plus,IM47*MktPct19plus),MAX(0,JA47-CashBuffer))</f>
        <v/>
      </c>
      <c r="HT48" s="12">
        <f>IF(HS48&gt;0,MAX(1,ROUND(HS48/CAC*HP48,0)),0)</f>
        <v/>
      </c>
      <c r="HU48" s="12">
        <f>IF(HT48&gt;0,ROUND(HT48*ReferralMix/(1-ReferralMix),0),0)</f>
        <v/>
      </c>
      <c r="HV48" s="12">
        <f>HT48+HU48</f>
        <v/>
      </c>
      <c r="HW48" s="12">
        <f>ROUND(HV48*(1-AnnualMix),0)</f>
        <v/>
      </c>
      <c r="HX48" s="12">
        <f>HV48-HW48</f>
        <v/>
      </c>
      <c r="HY48" s="12">
        <f>ROUND(HW48*EssentialMix,0)</f>
        <v/>
      </c>
      <c r="HZ48" s="12">
        <f>HW48-HY48</f>
        <v/>
      </c>
      <c r="IA48" s="12">
        <f>ROUND(HX48*EssentialMix,0)</f>
        <v/>
      </c>
      <c r="IB48" s="12">
        <f>HX48-IA48</f>
        <v/>
      </c>
      <c r="IC48" s="12">
        <f>HY48+HY47+HY46+MAX(0,IC47-HY47-HY46)*(1-HR48)</f>
        <v/>
      </c>
      <c r="ID48" s="12">
        <f>HZ48+HZ47+HZ46+MAX(0,ID47-HZ47-HZ46)*(1-HR48)</f>
        <v/>
      </c>
      <c r="IE48" s="12">
        <f>IE47+IA48-IA36*(AnnualChurn*VLOOKUP(HN48,ChurnSeasonTable,4,FALSE))*POWER(1-(AnnualChurn*VLOOKUP(HN48,ChurnSeasonTable,4,FALSE)),0)+IA24*(AnnualChurn*VLOOKUP(HN48,ChurnSeasonTable,4,FALSE))*POWER(1-(AnnualChurn*VLOOKUP(HN48,ChurnSeasonTable,4,FALSE)),1)+IA12*(AnnualChurn*VLOOKUP(HN48,ChurnSeasonTable,4,FALSE))*POWER(1-(AnnualChurn*VLOOKUP(HN48,ChurnSeasonTable,4,FALSE)),2)</f>
        <v/>
      </c>
      <c r="IF48" s="12">
        <f>IF47+IB48-IB36*(AnnualChurn*VLOOKUP(HN48,ChurnSeasonTable,4,FALSE))*POWER(1-(AnnualChurn*VLOOKUP(HN48,ChurnSeasonTable,4,FALSE)),0)+IB24*(AnnualChurn*VLOOKUP(HN48,ChurnSeasonTable,4,FALSE))*POWER(1-(AnnualChurn*VLOOKUP(HN48,ChurnSeasonTable,4,FALSE)),1)+IB12*(AnnualChurn*VLOOKUP(HN48,ChurnSeasonTable,4,FALSE))*POWER(1-(AnnualChurn*VLOOKUP(HN48,ChurnSeasonTable,4,FALSE)),2)</f>
        <v/>
      </c>
      <c r="IG48" s="12">
        <f>IC48+ID48+IE48+IF48</f>
        <v/>
      </c>
      <c r="IH48" s="9">
        <f>IC48*PriceEssMonthly*HQ48+ID48*PricePremMonthly*HQ48+IE48*PriceEssAnnual*HQ48/12+IF48*PricePremAnnual*HQ48/12</f>
        <v/>
      </c>
      <c r="II48" s="9">
        <f>IH48*12</f>
        <v/>
      </c>
      <c r="IJ48" s="12">
        <f>IC48*PriceEssMonthly*HQ48+ID48*PricePremMonthly*HQ48</f>
        <v/>
      </c>
      <c r="IK48" s="12">
        <f>IA48*PriceEssAnnual*HQ48+IB48*PricePremAnnual*HQ48</f>
        <v/>
      </c>
      <c r="IL48" s="12">
        <f>IA36*POWER(1-(AnnualChurn*VLOOKUP(HN48,ChurnSeasonTable,4,FALSE)),1)*PriceEssAnnual*HQ48+IA24*POWER(1-(AnnualChurn*VLOOKUP(HN48,ChurnSeasonTable,4,FALSE)),2)*PriceEssAnnual*HQ48+IA12*POWER(1-(AnnualChurn*VLOOKUP(HN48,ChurnSeasonTable,4,FALSE)),3)*PriceEssAnnual*HQ48+IB36*POWER(1-(AnnualChurn*VLOOKUP(HN48,ChurnSeasonTable,4,FALSE)),1)*PricePremAnnual*HQ48+IB24*POWER(1-(AnnualChurn*VLOOKUP(HN48,ChurnSeasonTable,4,FALSE)),2)*PricePremAnnual*HQ48+IB12*POWER(1-(AnnualChurn*VLOOKUP(HN48,ChurnSeasonTable,4,FALSE)),3)*PricePremAnnual*HQ48</f>
        <v/>
      </c>
      <c r="IM48" s="9">
        <f>IJ48+IK48+IL48</f>
        <v/>
      </c>
      <c r="IN48" s="12">
        <f>SUM(IM37:IM48)</f>
        <v/>
      </c>
      <c r="IO48" s="12">
        <f>OR(IO47,IN48&gt;=VATThreshold)</f>
        <v/>
      </c>
      <c r="IP48" s="9">
        <f>IF(IO48,IM48/(1+VATRate),IM48)</f>
        <v/>
      </c>
      <c r="IQ48" s="12">
        <f>IM48-IP48</f>
        <v/>
      </c>
      <c r="IR48" s="12">
        <f>IF(IO48=0,0,IF(HN48=1,SUMPRODUCT(--(($HO$5:$HO48=$HO48-1)*($HN$5:$HN48&gt;=10)*($HN$5:$HN48&lt;=12)),$IQ$5:$IQ48),IF(HN48=4,SUMPRODUCT(--(($HO$5:$HO48=$HO48)*($HN$5:$HN48&gt;=1)*($HN$5:$HN48&lt;=3)),$IQ$5:$IQ48),IF(HN48=7,SUMPRODUCT(--(($HO$5:$HO48=$HO48)*($HN$5:$HN48&gt;=4)*($HN$5:$HN48&lt;=6)),$IQ$5:$IQ48),IF(HN48=10,SUMPRODUCT(--(($HO$5:$HO48=$HO48)*($HN$5:$HN48&gt;=7)*($HN$5:$HN48&lt;=9)),$IQ$5:$IQ48),0)))))</f>
        <v/>
      </c>
      <c r="IS48" s="12">
        <f>IS47+IQ48-IR48</f>
        <v/>
      </c>
      <c r="IT48" s="12">
        <f>IF(ProviderDelay&gt;=1,IP47*ProviderShare,IP48*ProviderShare)</f>
        <v/>
      </c>
      <c r="IU48" s="12">
        <f>IM48*PaymentFee</f>
        <v/>
      </c>
      <c r="IV48" s="12">
        <f>IG48*OpsAI</f>
        <v/>
      </c>
      <c r="IW48" s="12">
        <f>MonthlyFixed</f>
        <v/>
      </c>
      <c r="IX48" s="12">
        <f>HU48*ReferralReward</f>
        <v/>
      </c>
      <c r="IY48" s="12">
        <f>HS48</f>
        <v/>
      </c>
      <c r="IZ48" s="9">
        <f>IP48-IT48-IU48-IV48-IW48-IX48-IY48</f>
        <v/>
      </c>
      <c r="JA48" s="9">
        <f>JA47+IM48-(IT48+IU48+IV48+IW48+IX48+IY48+IR48)</f>
        <v/>
      </c>
      <c r="JB48" s="12">
        <f>IF(IG48&gt;0,IH48/IG48,0)</f>
        <v/>
      </c>
      <c r="JC48" s="11">
        <f>IF(IG47&gt;0,MAX(0,(IG47+HV48-IG48)/IG47),0)</f>
        <v/>
      </c>
      <c r="JE48" s="12" t="n">
        <v>44</v>
      </c>
      <c r="JF48" s="12">
        <f>MOD(JE48-1+LaunchMonth-1,12)+1</f>
        <v/>
      </c>
      <c r="JG48" s="12">
        <f>INT((JE48-1+LaunchMonth-1)/12)+1</f>
        <v/>
      </c>
      <c r="JH48" s="12">
        <f>VLOOKUP(JF48,SeasonTable,2,FALSE)</f>
        <v/>
      </c>
      <c r="JI48" s="12">
        <f>(1+InflationRate)^INT((JE48-1)/12)</f>
        <v/>
      </c>
      <c r="JJ48" s="11">
        <f>'Sens - Churn'!$A$16*VLOOKUP(JF48,ChurnSeasonTable,4,FALSE)</f>
        <v/>
      </c>
      <c r="JK48" s="12">
        <f>MIN(MAX(MktMin19plus,KE47*MktPct19plus),MAX(0,KS47-CashBuffer))</f>
        <v/>
      </c>
      <c r="JL48" s="12">
        <f>IF(JK48&gt;0,MAX(1,ROUND(JK48/CAC*JH48,0)),0)</f>
        <v/>
      </c>
      <c r="JM48" s="12">
        <f>IF(JL48&gt;0,ROUND(JL48*ReferralMix/(1-ReferralMix),0),0)</f>
        <v/>
      </c>
      <c r="JN48" s="12">
        <f>JL48+JM48</f>
        <v/>
      </c>
      <c r="JO48" s="12">
        <f>ROUND(JN48*(1-AnnualMix),0)</f>
        <v/>
      </c>
      <c r="JP48" s="12">
        <f>JN48-JO48</f>
        <v/>
      </c>
      <c r="JQ48" s="12">
        <f>ROUND(JO48*EssentialMix,0)</f>
        <v/>
      </c>
      <c r="JR48" s="12">
        <f>JO48-JQ48</f>
        <v/>
      </c>
      <c r="JS48" s="12">
        <f>ROUND(JP48*EssentialMix,0)</f>
        <v/>
      </c>
      <c r="JT48" s="12">
        <f>JP48-JS48</f>
        <v/>
      </c>
      <c r="JU48" s="12">
        <f>JQ48+JQ47+JQ46+MAX(0,JU47-JQ47-JQ46)*(1-JJ48)</f>
        <v/>
      </c>
      <c r="JV48" s="12">
        <f>JR48+JR47+JR46+MAX(0,JV47-JR47-JR46)*(1-JJ48)</f>
        <v/>
      </c>
      <c r="JW48" s="12">
        <f>JW47+JS48-JS36*(AnnualChurn*VLOOKUP(JF48,ChurnSeasonTable,4,FALSE))*POWER(1-(AnnualChurn*VLOOKUP(JF48,ChurnSeasonTable,4,FALSE)),0)+JS24*(AnnualChurn*VLOOKUP(JF48,ChurnSeasonTable,4,FALSE))*POWER(1-(AnnualChurn*VLOOKUP(JF48,ChurnSeasonTable,4,FALSE)),1)+JS12*(AnnualChurn*VLOOKUP(JF48,ChurnSeasonTable,4,FALSE))*POWER(1-(AnnualChurn*VLOOKUP(JF48,ChurnSeasonTable,4,FALSE)),2)</f>
        <v/>
      </c>
      <c r="JX48" s="12">
        <f>JX47+JT48-JT36*(AnnualChurn*VLOOKUP(JF48,ChurnSeasonTable,4,FALSE))*POWER(1-(AnnualChurn*VLOOKUP(JF48,ChurnSeasonTable,4,FALSE)),0)+JT24*(AnnualChurn*VLOOKUP(JF48,ChurnSeasonTable,4,FALSE))*POWER(1-(AnnualChurn*VLOOKUP(JF48,ChurnSeasonTable,4,FALSE)),1)+JT12*(AnnualChurn*VLOOKUP(JF48,ChurnSeasonTable,4,FALSE))*POWER(1-(AnnualChurn*VLOOKUP(JF48,ChurnSeasonTable,4,FALSE)),2)</f>
        <v/>
      </c>
      <c r="JY48" s="12">
        <f>JU48+JV48+JW48+JX48</f>
        <v/>
      </c>
      <c r="JZ48" s="9">
        <f>JU48*PriceEssMonthly*JI48+JV48*PricePremMonthly*JI48+JW48*PriceEssAnnual*JI48/12+JX48*PricePremAnnual*JI48/12</f>
        <v/>
      </c>
      <c r="KA48" s="9">
        <f>JZ48*12</f>
        <v/>
      </c>
      <c r="KB48" s="12">
        <f>JU48*PriceEssMonthly*JI48+JV48*PricePremMonthly*JI48</f>
        <v/>
      </c>
      <c r="KC48" s="12">
        <f>JS48*PriceEssAnnual*JI48+JT48*PricePremAnnual*JI48</f>
        <v/>
      </c>
      <c r="KD48" s="12">
        <f>JS36*POWER(1-(AnnualChurn*VLOOKUP(JF48,ChurnSeasonTable,4,FALSE)),1)*PriceEssAnnual*JI48+JS24*POWER(1-(AnnualChurn*VLOOKUP(JF48,ChurnSeasonTable,4,FALSE)),2)*PriceEssAnnual*JI48+JS12*POWER(1-(AnnualChurn*VLOOKUP(JF48,ChurnSeasonTable,4,FALSE)),3)*PriceEssAnnual*JI48+JT36*POWER(1-(AnnualChurn*VLOOKUP(JF48,ChurnSeasonTable,4,FALSE)),1)*PricePremAnnual*JI48+JT24*POWER(1-(AnnualChurn*VLOOKUP(JF48,ChurnSeasonTable,4,FALSE)),2)*PricePremAnnual*JI48+JT12*POWER(1-(AnnualChurn*VLOOKUP(JF48,ChurnSeasonTable,4,FALSE)),3)*PricePremAnnual*JI48</f>
        <v/>
      </c>
      <c r="KE48" s="9">
        <f>KB48+KC48+KD48</f>
        <v/>
      </c>
      <c r="KF48" s="12">
        <f>SUM(KE37:KE48)</f>
        <v/>
      </c>
      <c r="KG48" s="12">
        <f>OR(KG47,KF48&gt;=VATThreshold)</f>
        <v/>
      </c>
      <c r="KH48" s="9">
        <f>IF(KG48,KE48/(1+VATRate),KE48)</f>
        <v/>
      </c>
      <c r="KI48" s="12">
        <f>KE48-KH48</f>
        <v/>
      </c>
      <c r="KJ48" s="12">
        <f>IF(KG48=0,0,IF(JF48=1,SUMPRODUCT(--(($JG$5:$JG48=$JG48-1)*($JF$5:$JF48&gt;=10)*($JF$5:$JF48&lt;=12)),$KI$5:$KI48),IF(JF48=4,SUMPRODUCT(--(($JG$5:$JG48=$JG48)*($JF$5:$JF48&gt;=1)*($JF$5:$JF48&lt;=3)),$KI$5:$KI48),IF(JF48=7,SUMPRODUCT(--(($JG$5:$JG48=$JG48)*($JF$5:$JF48&gt;=4)*($JF$5:$JF48&lt;=6)),$KI$5:$KI48),IF(JF48=10,SUMPRODUCT(--(($JG$5:$JG48=$JG48)*($JF$5:$JF48&gt;=7)*($JF$5:$JF48&lt;=9)),$KI$5:$KI48),0)))))</f>
        <v/>
      </c>
      <c r="KK48" s="12">
        <f>KK47+KI48-KJ48</f>
        <v/>
      </c>
      <c r="KL48" s="12">
        <f>IF(ProviderDelay&gt;=1,KH47*ProviderShare,KH48*ProviderShare)</f>
        <v/>
      </c>
      <c r="KM48" s="12">
        <f>KE48*PaymentFee</f>
        <v/>
      </c>
      <c r="KN48" s="12">
        <f>JY48*OpsAI</f>
        <v/>
      </c>
      <c r="KO48" s="12">
        <f>MonthlyFixed</f>
        <v/>
      </c>
      <c r="KP48" s="12">
        <f>JM48*ReferralReward</f>
        <v/>
      </c>
      <c r="KQ48" s="12">
        <f>JK48</f>
        <v/>
      </c>
      <c r="KR48" s="9">
        <f>KH48-KL48-KM48-KN48-KO48-KP48-KQ48</f>
        <v/>
      </c>
      <c r="KS48" s="9">
        <f>KS47+KE48-(KL48+KM48+KN48+KO48+KP48+KQ48+KJ48)</f>
        <v/>
      </c>
      <c r="KT48" s="12">
        <f>IF(JY48&gt;0,JZ48/JY48,0)</f>
        <v/>
      </c>
      <c r="KU48" s="11">
        <f>IF(JY47&gt;0,MAX(0,(JY47+JN48-JY48)/JY47),0)</f>
        <v/>
      </c>
      <c r="KW48" s="12" t="n">
        <v>44</v>
      </c>
      <c r="KX48" s="12">
        <f>MOD(KW48-1+LaunchMonth-1,12)+1</f>
        <v/>
      </c>
      <c r="KY48" s="12">
        <f>INT((KW48-1+LaunchMonth-1)/12)+1</f>
        <v/>
      </c>
      <c r="KZ48" s="12">
        <f>VLOOKUP(KX48,SeasonTable,2,FALSE)</f>
        <v/>
      </c>
      <c r="LA48" s="12">
        <f>(1+InflationRate)^INT((KW48-1)/12)</f>
        <v/>
      </c>
      <c r="LB48" s="11">
        <f>'Sens - Churn'!$A$17*VLOOKUP(KX48,ChurnSeasonTable,4,FALSE)</f>
        <v/>
      </c>
      <c r="LC48" s="12">
        <f>MIN(MAX(MktMin19plus,LW47*MktPct19plus),MAX(0,MK47-CashBuffer))</f>
        <v/>
      </c>
      <c r="LD48" s="12">
        <f>IF(LC48&gt;0,MAX(1,ROUND(LC48/CAC*KZ48,0)),0)</f>
        <v/>
      </c>
      <c r="LE48" s="12">
        <f>IF(LD48&gt;0,ROUND(LD48*ReferralMix/(1-ReferralMix),0),0)</f>
        <v/>
      </c>
      <c r="LF48" s="12">
        <f>LD48+LE48</f>
        <v/>
      </c>
      <c r="LG48" s="12">
        <f>ROUND(LF48*(1-AnnualMix),0)</f>
        <v/>
      </c>
      <c r="LH48" s="12">
        <f>LF48-LG48</f>
        <v/>
      </c>
      <c r="LI48" s="12">
        <f>ROUND(LG48*EssentialMix,0)</f>
        <v/>
      </c>
      <c r="LJ48" s="12">
        <f>LG48-LI48</f>
        <v/>
      </c>
      <c r="LK48" s="12">
        <f>ROUND(LH48*EssentialMix,0)</f>
        <v/>
      </c>
      <c r="LL48" s="12">
        <f>LH48-LK48</f>
        <v/>
      </c>
      <c r="LM48" s="12">
        <f>LI48+LI47+LI46+MAX(0,LM47-LI47-LI46)*(1-LB48)</f>
        <v/>
      </c>
      <c r="LN48" s="12">
        <f>LJ48+LJ47+LJ46+MAX(0,LN47-LJ47-LJ46)*(1-LB48)</f>
        <v/>
      </c>
      <c r="LO48" s="12">
        <f>LO47+LK48-LK36*(AnnualChurn*VLOOKUP(KX48,ChurnSeasonTable,4,FALSE))*POWER(1-(AnnualChurn*VLOOKUP(KX48,ChurnSeasonTable,4,FALSE)),0)+LK24*(AnnualChurn*VLOOKUP(KX48,ChurnSeasonTable,4,FALSE))*POWER(1-(AnnualChurn*VLOOKUP(KX48,ChurnSeasonTable,4,FALSE)),1)+LK12*(AnnualChurn*VLOOKUP(KX48,ChurnSeasonTable,4,FALSE))*POWER(1-(AnnualChurn*VLOOKUP(KX48,ChurnSeasonTable,4,FALSE)),2)</f>
        <v/>
      </c>
      <c r="LP48" s="12">
        <f>LP47+LL48-LL36*(AnnualChurn*VLOOKUP(KX48,ChurnSeasonTable,4,FALSE))*POWER(1-(AnnualChurn*VLOOKUP(KX48,ChurnSeasonTable,4,FALSE)),0)+LL24*(AnnualChurn*VLOOKUP(KX48,ChurnSeasonTable,4,FALSE))*POWER(1-(AnnualChurn*VLOOKUP(KX48,ChurnSeasonTable,4,FALSE)),1)+LL12*(AnnualChurn*VLOOKUP(KX48,ChurnSeasonTable,4,FALSE))*POWER(1-(AnnualChurn*VLOOKUP(KX48,ChurnSeasonTable,4,FALSE)),2)</f>
        <v/>
      </c>
      <c r="LQ48" s="12">
        <f>LM48+LN48+LO48+LP48</f>
        <v/>
      </c>
      <c r="LR48" s="9">
        <f>LM48*PriceEssMonthly*LA48+LN48*PricePremMonthly*LA48+LO48*PriceEssAnnual*LA48/12+LP48*PricePremAnnual*LA48/12</f>
        <v/>
      </c>
      <c r="LS48" s="9">
        <f>LR48*12</f>
        <v/>
      </c>
      <c r="LT48" s="12">
        <f>LM48*PriceEssMonthly*LA48+LN48*PricePremMonthly*LA48</f>
        <v/>
      </c>
      <c r="LU48" s="12">
        <f>LK48*PriceEssAnnual*LA48+LL48*PricePremAnnual*LA48</f>
        <v/>
      </c>
      <c r="LV48" s="12">
        <f>LK36*POWER(1-(AnnualChurn*VLOOKUP(KX48,ChurnSeasonTable,4,FALSE)),1)*PriceEssAnnual*LA48+LK24*POWER(1-(AnnualChurn*VLOOKUP(KX48,ChurnSeasonTable,4,FALSE)),2)*PriceEssAnnual*LA48+LK12*POWER(1-(AnnualChurn*VLOOKUP(KX48,ChurnSeasonTable,4,FALSE)),3)*PriceEssAnnual*LA48+LL36*POWER(1-(AnnualChurn*VLOOKUP(KX48,ChurnSeasonTable,4,FALSE)),1)*PricePremAnnual*LA48+LL24*POWER(1-(AnnualChurn*VLOOKUP(KX48,ChurnSeasonTable,4,FALSE)),2)*PricePremAnnual*LA48+LL12*POWER(1-(AnnualChurn*VLOOKUP(KX48,ChurnSeasonTable,4,FALSE)),3)*PricePremAnnual*LA48</f>
        <v/>
      </c>
      <c r="LW48" s="9">
        <f>LT48+LU48+LV48</f>
        <v/>
      </c>
      <c r="LX48" s="12">
        <f>SUM(LW37:LW48)</f>
        <v/>
      </c>
      <c r="LY48" s="12">
        <f>OR(LY47,LX48&gt;=VATThreshold)</f>
        <v/>
      </c>
      <c r="LZ48" s="9">
        <f>IF(LY48,LW48/(1+VATRate),LW48)</f>
        <v/>
      </c>
      <c r="MA48" s="12">
        <f>LW48-LZ48</f>
        <v/>
      </c>
      <c r="MB48" s="12">
        <f>IF(LY48=0,0,IF(KX48=1,SUMPRODUCT(--(($KY$5:$KY48=$KY48-1)*($KX$5:$KX48&gt;=10)*($KX$5:$KX48&lt;=12)),$MA$5:$MA48),IF(KX48=4,SUMPRODUCT(--(($KY$5:$KY48=$KY48)*($KX$5:$KX48&gt;=1)*($KX$5:$KX48&lt;=3)),$MA$5:$MA48),IF(KX48=7,SUMPRODUCT(--(($KY$5:$KY48=$KY48)*($KX$5:$KX48&gt;=4)*($KX$5:$KX48&lt;=6)),$MA$5:$MA48),IF(KX48=10,SUMPRODUCT(--(($KY$5:$KY48=$KY48)*($KX$5:$KX48&gt;=7)*($KX$5:$KX48&lt;=9)),$MA$5:$MA48),0)))))</f>
        <v/>
      </c>
      <c r="MC48" s="12">
        <f>MC47+MA48-MB48</f>
        <v/>
      </c>
      <c r="MD48" s="12">
        <f>IF(ProviderDelay&gt;=1,LZ47*ProviderShare,LZ48*ProviderShare)</f>
        <v/>
      </c>
      <c r="ME48" s="12">
        <f>LW48*PaymentFee</f>
        <v/>
      </c>
      <c r="MF48" s="12">
        <f>LQ48*OpsAI</f>
        <v/>
      </c>
      <c r="MG48" s="12">
        <f>MonthlyFixed</f>
        <v/>
      </c>
      <c r="MH48" s="12">
        <f>LE48*ReferralReward</f>
        <v/>
      </c>
      <c r="MI48" s="12">
        <f>LC48</f>
        <v/>
      </c>
      <c r="MJ48" s="9">
        <f>LZ48-MD48-ME48-MF48-MG48-MH48-MI48</f>
        <v/>
      </c>
      <c r="MK48" s="9">
        <f>MK47+LW48-(MD48+ME48+MF48+MG48+MH48+MI48+MB48)</f>
        <v/>
      </c>
      <c r="ML48" s="12">
        <f>IF(LQ48&gt;0,LR48/LQ48,0)</f>
        <v/>
      </c>
      <c r="MM48" s="11">
        <f>IF(LQ47&gt;0,MAX(0,(LQ47+LF48-LQ48)/LQ47),0)</f>
        <v/>
      </c>
      <c r="MO48" s="12" t="n">
        <v>44</v>
      </c>
      <c r="MP48" s="12">
        <f>MOD(MO48-1+LaunchMonth-1,12)+1</f>
        <v/>
      </c>
      <c r="MQ48" s="12">
        <f>INT((MO48-1+LaunchMonth-1)/12)+1</f>
        <v/>
      </c>
      <c r="MR48" s="12">
        <f>VLOOKUP(MP48,SeasonTable,2,FALSE)</f>
        <v/>
      </c>
      <c r="MS48" s="12">
        <f>(1+InflationRate)^INT((MO48-1)/12)</f>
        <v/>
      </c>
      <c r="MT48" s="11">
        <f>'Sens - Churn'!$A$18*VLOOKUP(MP48,ChurnSeasonTable,4,FALSE)</f>
        <v/>
      </c>
      <c r="MU48" s="12">
        <f>MIN(MAX(MktMin19plus,NO47*MktPct19plus),MAX(0,OC47-CashBuffer))</f>
        <v/>
      </c>
      <c r="MV48" s="12">
        <f>IF(MU48&gt;0,MAX(1,ROUND(MU48/CAC*MR48,0)),0)</f>
        <v/>
      </c>
      <c r="MW48" s="12">
        <f>IF(MV48&gt;0,ROUND(MV48*ReferralMix/(1-ReferralMix),0),0)</f>
        <v/>
      </c>
      <c r="MX48" s="12">
        <f>MV48+MW48</f>
        <v/>
      </c>
      <c r="MY48" s="12">
        <f>ROUND(MX48*(1-AnnualMix),0)</f>
        <v/>
      </c>
      <c r="MZ48" s="12">
        <f>MX48-MY48</f>
        <v/>
      </c>
      <c r="NA48" s="12">
        <f>ROUND(MY48*EssentialMix,0)</f>
        <v/>
      </c>
      <c r="NB48" s="12">
        <f>MY48-NA48</f>
        <v/>
      </c>
      <c r="NC48" s="12">
        <f>ROUND(MZ48*EssentialMix,0)</f>
        <v/>
      </c>
      <c r="ND48" s="12">
        <f>MZ48-NC48</f>
        <v/>
      </c>
      <c r="NE48" s="12">
        <f>NA48+NA47+NA46+MAX(0,NE47-NA47-NA46)*(1-MT48)</f>
        <v/>
      </c>
      <c r="NF48" s="12">
        <f>NB48+NB47+NB46+MAX(0,NF47-NB47-NB46)*(1-MT48)</f>
        <v/>
      </c>
      <c r="NG48" s="12">
        <f>NG47+NC48-NC36*(AnnualChurn*VLOOKUP(MP48,ChurnSeasonTable,4,FALSE))*POWER(1-(AnnualChurn*VLOOKUP(MP48,ChurnSeasonTable,4,FALSE)),0)+NC24*(AnnualChurn*VLOOKUP(MP48,ChurnSeasonTable,4,FALSE))*POWER(1-(AnnualChurn*VLOOKUP(MP48,ChurnSeasonTable,4,FALSE)),1)+NC12*(AnnualChurn*VLOOKUP(MP48,ChurnSeasonTable,4,FALSE))*POWER(1-(AnnualChurn*VLOOKUP(MP48,ChurnSeasonTable,4,FALSE)),2)</f>
        <v/>
      </c>
      <c r="NH48" s="12">
        <f>NH47+ND48-ND36*(AnnualChurn*VLOOKUP(MP48,ChurnSeasonTable,4,FALSE))*POWER(1-(AnnualChurn*VLOOKUP(MP48,ChurnSeasonTable,4,FALSE)),0)+ND24*(AnnualChurn*VLOOKUP(MP48,ChurnSeasonTable,4,FALSE))*POWER(1-(AnnualChurn*VLOOKUP(MP48,ChurnSeasonTable,4,FALSE)),1)+ND12*(AnnualChurn*VLOOKUP(MP48,ChurnSeasonTable,4,FALSE))*POWER(1-(AnnualChurn*VLOOKUP(MP48,ChurnSeasonTable,4,FALSE)),2)</f>
        <v/>
      </c>
      <c r="NI48" s="12">
        <f>NE48+NF48+NG48+NH48</f>
        <v/>
      </c>
      <c r="NJ48" s="9">
        <f>NE48*PriceEssMonthly*MS48+NF48*PricePremMonthly*MS48+NG48*PriceEssAnnual*MS48/12+NH48*PricePremAnnual*MS48/12</f>
        <v/>
      </c>
      <c r="NK48" s="9">
        <f>NJ48*12</f>
        <v/>
      </c>
      <c r="NL48" s="12">
        <f>NE48*PriceEssMonthly*MS48+NF48*PricePremMonthly*MS48</f>
        <v/>
      </c>
      <c r="NM48" s="12">
        <f>NC48*PriceEssAnnual*MS48+ND48*PricePremAnnual*MS48</f>
        <v/>
      </c>
      <c r="NN48" s="12">
        <f>NC36*POWER(1-(AnnualChurn*VLOOKUP(MP48,ChurnSeasonTable,4,FALSE)),1)*PriceEssAnnual*MS48+NC24*POWER(1-(AnnualChurn*VLOOKUP(MP48,ChurnSeasonTable,4,FALSE)),2)*PriceEssAnnual*MS48+NC12*POWER(1-(AnnualChurn*VLOOKUP(MP48,ChurnSeasonTable,4,FALSE)),3)*PriceEssAnnual*MS48+ND36*POWER(1-(AnnualChurn*VLOOKUP(MP48,ChurnSeasonTable,4,FALSE)),1)*PricePremAnnual*MS48+ND24*POWER(1-(AnnualChurn*VLOOKUP(MP48,ChurnSeasonTable,4,FALSE)),2)*PricePremAnnual*MS48+ND12*POWER(1-(AnnualChurn*VLOOKUP(MP48,ChurnSeasonTable,4,FALSE)),3)*PricePremAnnual*MS48</f>
        <v/>
      </c>
      <c r="NO48" s="9">
        <f>NL48+NM48+NN48</f>
        <v/>
      </c>
      <c r="NP48" s="12">
        <f>SUM(NO37:NO48)</f>
        <v/>
      </c>
      <c r="NQ48" s="12">
        <f>OR(NQ47,NP48&gt;=VATThreshold)</f>
        <v/>
      </c>
      <c r="NR48" s="9">
        <f>IF(NQ48,NO48/(1+VATRate),NO48)</f>
        <v/>
      </c>
      <c r="NS48" s="12">
        <f>NO48-NR48</f>
        <v/>
      </c>
      <c r="NT48" s="12">
        <f>IF(NQ48=0,0,IF(MP48=1,SUMPRODUCT(--(($MQ$5:$MQ48=$MQ48-1)*($MP$5:$MP48&gt;=10)*($MP$5:$MP48&lt;=12)),$NS$5:$NS48),IF(MP48=4,SUMPRODUCT(--(($MQ$5:$MQ48=$MQ48)*($MP$5:$MP48&gt;=1)*($MP$5:$MP48&lt;=3)),$NS$5:$NS48),IF(MP48=7,SUMPRODUCT(--(($MQ$5:$MQ48=$MQ48)*($MP$5:$MP48&gt;=4)*($MP$5:$MP48&lt;=6)),$NS$5:$NS48),IF(MP48=10,SUMPRODUCT(--(($MQ$5:$MQ48=$MQ48)*($MP$5:$MP48&gt;=7)*($MP$5:$MP48&lt;=9)),$NS$5:$NS48),0)))))</f>
        <v/>
      </c>
      <c r="NU48" s="12">
        <f>NU47+NS48-NT48</f>
        <v/>
      </c>
      <c r="NV48" s="12">
        <f>IF(ProviderDelay&gt;=1,NR47*ProviderShare,NR48*ProviderShare)</f>
        <v/>
      </c>
      <c r="NW48" s="12">
        <f>NO48*PaymentFee</f>
        <v/>
      </c>
      <c r="NX48" s="12">
        <f>NI48*OpsAI</f>
        <v/>
      </c>
      <c r="NY48" s="12">
        <f>MonthlyFixed</f>
        <v/>
      </c>
      <c r="NZ48" s="12">
        <f>MW48*ReferralReward</f>
        <v/>
      </c>
      <c r="OA48" s="12">
        <f>MU48</f>
        <v/>
      </c>
      <c r="OB48" s="9">
        <f>NR48-NV48-NW48-NX48-NY48-NZ48-OA48</f>
        <v/>
      </c>
      <c r="OC48" s="9">
        <f>OC47+NO48-(NV48+NW48+NX48+NY48+NZ48+OA48+NT48)</f>
        <v/>
      </c>
      <c r="OD48" s="12">
        <f>IF(NI48&gt;0,NJ48/NI48,0)</f>
        <v/>
      </c>
      <c r="OE48" s="11">
        <f>IF(NI47&gt;0,MAX(0,(NI47+MX48-NI48)/NI47),0)</f>
        <v/>
      </c>
      <c r="OG48" s="12" t="n">
        <v>44</v>
      </c>
      <c r="OH48" s="12">
        <f>MOD(OG48-1+LaunchMonth-1,12)+1</f>
        <v/>
      </c>
      <c r="OI48" s="12">
        <f>INT((OG48-1+LaunchMonth-1)/12)+1</f>
        <v/>
      </c>
      <c r="OJ48" s="12">
        <f>VLOOKUP(OH48,SeasonTable,2,FALSE)</f>
        <v/>
      </c>
      <c r="OK48" s="12">
        <f>(1+InflationRate)^INT((OG48-1)/12)</f>
        <v/>
      </c>
      <c r="OL48" s="11">
        <f>'Sens - Churn'!$A$19*VLOOKUP(OH48,ChurnSeasonTable,4,FALSE)</f>
        <v/>
      </c>
      <c r="OM48" s="12">
        <f>MIN(MAX(MktMin19plus,PG47*MktPct19plus),MAX(0,PU47-CashBuffer))</f>
        <v/>
      </c>
      <c r="ON48" s="12">
        <f>IF(OM48&gt;0,MAX(1,ROUND(OM48/CAC*OJ48,0)),0)</f>
        <v/>
      </c>
      <c r="OO48" s="12">
        <f>IF(ON48&gt;0,ROUND(ON48*ReferralMix/(1-ReferralMix),0),0)</f>
        <v/>
      </c>
      <c r="OP48" s="12">
        <f>ON48+OO48</f>
        <v/>
      </c>
      <c r="OQ48" s="12">
        <f>ROUND(OP48*(1-AnnualMix),0)</f>
        <v/>
      </c>
      <c r="OR48" s="12">
        <f>OP48-OQ48</f>
        <v/>
      </c>
      <c r="OS48" s="12">
        <f>ROUND(OQ48*EssentialMix,0)</f>
        <v/>
      </c>
      <c r="OT48" s="12">
        <f>OQ48-OS48</f>
        <v/>
      </c>
      <c r="OU48" s="12">
        <f>ROUND(OR48*EssentialMix,0)</f>
        <v/>
      </c>
      <c r="OV48" s="12">
        <f>OR48-OU48</f>
        <v/>
      </c>
      <c r="OW48" s="12">
        <f>OS48+OS47+OS46+MAX(0,OW47-OS47-OS46)*(1-OL48)</f>
        <v/>
      </c>
      <c r="OX48" s="12">
        <f>OT48+OT47+OT46+MAX(0,OX47-OT47-OT46)*(1-OL48)</f>
        <v/>
      </c>
      <c r="OY48" s="12">
        <f>OY47+OU48-OU36*(AnnualChurn*VLOOKUP(OH48,ChurnSeasonTable,4,FALSE))*POWER(1-(AnnualChurn*VLOOKUP(OH48,ChurnSeasonTable,4,FALSE)),0)+OU24*(AnnualChurn*VLOOKUP(OH48,ChurnSeasonTable,4,FALSE))*POWER(1-(AnnualChurn*VLOOKUP(OH48,ChurnSeasonTable,4,FALSE)),1)+OU12*(AnnualChurn*VLOOKUP(OH48,ChurnSeasonTable,4,FALSE))*POWER(1-(AnnualChurn*VLOOKUP(OH48,ChurnSeasonTable,4,FALSE)),2)</f>
        <v/>
      </c>
      <c r="OZ48" s="12">
        <f>OZ47+OV48-OV36*(AnnualChurn*VLOOKUP(OH48,ChurnSeasonTable,4,FALSE))*POWER(1-(AnnualChurn*VLOOKUP(OH48,ChurnSeasonTable,4,FALSE)),0)+OV24*(AnnualChurn*VLOOKUP(OH48,ChurnSeasonTable,4,FALSE))*POWER(1-(AnnualChurn*VLOOKUP(OH48,ChurnSeasonTable,4,FALSE)),1)+OV12*(AnnualChurn*VLOOKUP(OH48,ChurnSeasonTable,4,FALSE))*POWER(1-(AnnualChurn*VLOOKUP(OH48,ChurnSeasonTable,4,FALSE)),2)</f>
        <v/>
      </c>
      <c r="PA48" s="12">
        <f>OW48+OX48+OY48+OZ48</f>
        <v/>
      </c>
      <c r="PB48" s="9">
        <f>OW48*PriceEssMonthly*OK48+OX48*PricePremMonthly*OK48+OY48*PriceEssAnnual*OK48/12+OZ48*PricePremAnnual*OK48/12</f>
        <v/>
      </c>
      <c r="PC48" s="9">
        <f>PB48*12</f>
        <v/>
      </c>
      <c r="PD48" s="12">
        <f>OW48*PriceEssMonthly*OK48+OX48*PricePremMonthly*OK48</f>
        <v/>
      </c>
      <c r="PE48" s="12">
        <f>OU48*PriceEssAnnual*OK48+OV48*PricePremAnnual*OK48</f>
        <v/>
      </c>
      <c r="PF48" s="12">
        <f>OU36*POWER(1-(AnnualChurn*VLOOKUP(OH48,ChurnSeasonTable,4,FALSE)),1)*PriceEssAnnual*OK48+OU24*POWER(1-(AnnualChurn*VLOOKUP(OH48,ChurnSeasonTable,4,FALSE)),2)*PriceEssAnnual*OK48+OU12*POWER(1-(AnnualChurn*VLOOKUP(OH48,ChurnSeasonTable,4,FALSE)),3)*PriceEssAnnual*OK48+OV36*POWER(1-(AnnualChurn*VLOOKUP(OH48,ChurnSeasonTable,4,FALSE)),1)*PricePremAnnual*OK48+OV24*POWER(1-(AnnualChurn*VLOOKUP(OH48,ChurnSeasonTable,4,FALSE)),2)*PricePremAnnual*OK48+OV12*POWER(1-(AnnualChurn*VLOOKUP(OH48,ChurnSeasonTable,4,FALSE)),3)*PricePremAnnual*OK48</f>
        <v/>
      </c>
      <c r="PG48" s="9">
        <f>PD48+PE48+PF48</f>
        <v/>
      </c>
      <c r="PH48" s="12">
        <f>SUM(PG37:PG48)</f>
        <v/>
      </c>
      <c r="PI48" s="12">
        <f>OR(PI47,PH48&gt;=VATThreshold)</f>
        <v/>
      </c>
      <c r="PJ48" s="9">
        <f>IF(PI48,PG48/(1+VATRate),PG48)</f>
        <v/>
      </c>
      <c r="PK48" s="12">
        <f>PG48-PJ48</f>
        <v/>
      </c>
      <c r="PL48" s="12">
        <f>IF(PI48=0,0,IF(OH48=1,SUMPRODUCT(--(($OI$5:$OI48=$OI48-1)*($OH$5:$OH48&gt;=10)*($OH$5:$OH48&lt;=12)),$PK$5:$PK48),IF(OH48=4,SUMPRODUCT(--(($OI$5:$OI48=$OI48)*($OH$5:$OH48&gt;=1)*($OH$5:$OH48&lt;=3)),$PK$5:$PK48),IF(OH48=7,SUMPRODUCT(--(($OI$5:$OI48=$OI48)*($OH$5:$OH48&gt;=4)*($OH$5:$OH48&lt;=6)),$PK$5:$PK48),IF(OH48=10,SUMPRODUCT(--(($OI$5:$OI48=$OI48)*($OH$5:$OH48&gt;=7)*($OH$5:$OH48&lt;=9)),$PK$5:$PK48),0)))))</f>
        <v/>
      </c>
      <c r="PM48" s="12">
        <f>PM47+PK48-PL48</f>
        <v/>
      </c>
      <c r="PN48" s="12">
        <f>IF(ProviderDelay&gt;=1,PJ47*ProviderShare,PJ48*ProviderShare)</f>
        <v/>
      </c>
      <c r="PO48" s="12">
        <f>PG48*PaymentFee</f>
        <v/>
      </c>
      <c r="PP48" s="12">
        <f>PA48*OpsAI</f>
        <v/>
      </c>
      <c r="PQ48" s="12">
        <f>MonthlyFixed</f>
        <v/>
      </c>
      <c r="PR48" s="12">
        <f>OO48*ReferralReward</f>
        <v/>
      </c>
      <c r="PS48" s="12">
        <f>OM48</f>
        <v/>
      </c>
      <c r="PT48" s="9">
        <f>PJ48-PN48-PO48-PP48-PQ48-PR48-PS48</f>
        <v/>
      </c>
      <c r="PU48" s="9">
        <f>PU47+PG48-(PN48+PO48+PP48+PQ48+PR48+PS48+PL48)</f>
        <v/>
      </c>
      <c r="PV48" s="12">
        <f>IF(PA48&gt;0,PB48/PA48,0)</f>
        <v/>
      </c>
      <c r="PW48" s="11">
        <f>IF(PA47&gt;0,MAX(0,(PA47+OP48-PA48)/PA47),0)</f>
        <v/>
      </c>
      <c r="PY48" s="12" t="n">
        <v>44</v>
      </c>
      <c r="PZ48" s="12">
        <f>MOD(PY48-1+LaunchMonth-1,12)+1</f>
        <v/>
      </c>
      <c r="QA48" s="12">
        <f>INT((PY48-1+LaunchMonth-1)/12)+1</f>
        <v/>
      </c>
      <c r="QB48" s="12">
        <f>VLOOKUP(PZ48,SeasonTable,2,FALSE)</f>
        <v/>
      </c>
      <c r="QC48" s="12">
        <f>(1+InflationRate)^INT((PY48-1)/12)</f>
        <v/>
      </c>
      <c r="QD48" s="11">
        <f>'Sens - Churn'!$A$20*VLOOKUP(PZ48,ChurnSeasonTable,4,FALSE)</f>
        <v/>
      </c>
      <c r="QE48" s="12">
        <f>MIN(MAX(MktMin19plus,QY47*MktPct19plus),MAX(0,RM47-CashBuffer))</f>
        <v/>
      </c>
      <c r="QF48" s="12">
        <f>IF(QE48&gt;0,MAX(1,ROUND(QE48/CAC*QB48,0)),0)</f>
        <v/>
      </c>
      <c r="QG48" s="12">
        <f>IF(QF48&gt;0,ROUND(QF48*ReferralMix/(1-ReferralMix),0),0)</f>
        <v/>
      </c>
      <c r="QH48" s="12">
        <f>QF48+QG48</f>
        <v/>
      </c>
      <c r="QI48" s="12">
        <f>ROUND(QH48*(1-AnnualMix),0)</f>
        <v/>
      </c>
      <c r="QJ48" s="12">
        <f>QH48-QI48</f>
        <v/>
      </c>
      <c r="QK48" s="12">
        <f>ROUND(QI48*EssentialMix,0)</f>
        <v/>
      </c>
      <c r="QL48" s="12">
        <f>QI48-QK48</f>
        <v/>
      </c>
      <c r="QM48" s="12">
        <f>ROUND(QJ48*EssentialMix,0)</f>
        <v/>
      </c>
      <c r="QN48" s="12">
        <f>QJ48-QM48</f>
        <v/>
      </c>
      <c r="QO48" s="12">
        <f>QK48+QK47+QK46+MAX(0,QO47-QK47-QK46)*(1-QD48)</f>
        <v/>
      </c>
      <c r="QP48" s="12">
        <f>QL48+QL47+QL46+MAX(0,QP47-QL47-QL46)*(1-QD48)</f>
        <v/>
      </c>
      <c r="QQ48" s="12">
        <f>QQ47+QM48-QM36*(AnnualChurn*VLOOKUP(PZ48,ChurnSeasonTable,4,FALSE))*POWER(1-(AnnualChurn*VLOOKUP(PZ48,ChurnSeasonTable,4,FALSE)),0)+QM24*(AnnualChurn*VLOOKUP(PZ48,ChurnSeasonTable,4,FALSE))*POWER(1-(AnnualChurn*VLOOKUP(PZ48,ChurnSeasonTable,4,FALSE)),1)+QM12*(AnnualChurn*VLOOKUP(PZ48,ChurnSeasonTable,4,FALSE))*POWER(1-(AnnualChurn*VLOOKUP(PZ48,ChurnSeasonTable,4,FALSE)),2)</f>
        <v/>
      </c>
      <c r="QR48" s="12">
        <f>QR47+QN48-QN36*(AnnualChurn*VLOOKUP(PZ48,ChurnSeasonTable,4,FALSE))*POWER(1-(AnnualChurn*VLOOKUP(PZ48,ChurnSeasonTable,4,FALSE)),0)+QN24*(AnnualChurn*VLOOKUP(PZ48,ChurnSeasonTable,4,FALSE))*POWER(1-(AnnualChurn*VLOOKUP(PZ48,ChurnSeasonTable,4,FALSE)),1)+QN12*(AnnualChurn*VLOOKUP(PZ48,ChurnSeasonTable,4,FALSE))*POWER(1-(AnnualChurn*VLOOKUP(PZ48,ChurnSeasonTable,4,FALSE)),2)</f>
        <v/>
      </c>
      <c r="QS48" s="12">
        <f>QO48+QP48+QQ48+QR48</f>
        <v/>
      </c>
      <c r="QT48" s="9">
        <f>QO48*PriceEssMonthly*QC48+QP48*PricePremMonthly*QC48+QQ48*PriceEssAnnual*QC48/12+QR48*PricePremAnnual*QC48/12</f>
        <v/>
      </c>
      <c r="QU48" s="9">
        <f>QT48*12</f>
        <v/>
      </c>
      <c r="QV48" s="12">
        <f>QO48*PriceEssMonthly*QC48+QP48*PricePremMonthly*QC48</f>
        <v/>
      </c>
      <c r="QW48" s="12">
        <f>QM48*PriceEssAnnual*QC48+QN48*PricePremAnnual*QC48</f>
        <v/>
      </c>
      <c r="QX48" s="12">
        <f>QM36*POWER(1-(AnnualChurn*VLOOKUP(PZ48,ChurnSeasonTable,4,FALSE)),1)*PriceEssAnnual*QC48+QM24*POWER(1-(AnnualChurn*VLOOKUP(PZ48,ChurnSeasonTable,4,FALSE)),2)*PriceEssAnnual*QC48+QM12*POWER(1-(AnnualChurn*VLOOKUP(PZ48,ChurnSeasonTable,4,FALSE)),3)*PriceEssAnnual*QC48+QN36*POWER(1-(AnnualChurn*VLOOKUP(PZ48,ChurnSeasonTable,4,FALSE)),1)*PricePremAnnual*QC48+QN24*POWER(1-(AnnualChurn*VLOOKUP(PZ48,ChurnSeasonTable,4,FALSE)),2)*PricePremAnnual*QC48+QN12*POWER(1-(AnnualChurn*VLOOKUP(PZ48,ChurnSeasonTable,4,FALSE)),3)*PricePremAnnual*QC48</f>
        <v/>
      </c>
      <c r="QY48" s="9">
        <f>QV48+QW48+QX48</f>
        <v/>
      </c>
      <c r="QZ48" s="12">
        <f>SUM(QY37:QY48)</f>
        <v/>
      </c>
      <c r="RA48" s="12">
        <f>OR(RA47,QZ48&gt;=VATThreshold)</f>
        <v/>
      </c>
      <c r="RB48" s="9">
        <f>IF(RA48,QY48/(1+VATRate),QY48)</f>
        <v/>
      </c>
      <c r="RC48" s="12">
        <f>QY48-RB48</f>
        <v/>
      </c>
      <c r="RD48" s="12">
        <f>IF(RA48=0,0,IF(PZ48=1,SUMPRODUCT(--(($QA$5:$QA48=$QA48-1)*($PZ$5:$PZ48&gt;=10)*($PZ$5:$PZ48&lt;=12)),$RC$5:$RC48),IF(PZ48=4,SUMPRODUCT(--(($QA$5:$QA48=$QA48)*($PZ$5:$PZ48&gt;=1)*($PZ$5:$PZ48&lt;=3)),$RC$5:$RC48),IF(PZ48=7,SUMPRODUCT(--(($QA$5:$QA48=$QA48)*($PZ$5:$PZ48&gt;=4)*($PZ$5:$PZ48&lt;=6)),$RC$5:$RC48),IF(PZ48=10,SUMPRODUCT(--(($QA$5:$QA48=$QA48)*($PZ$5:$PZ48&gt;=7)*($PZ$5:$PZ48&lt;=9)),$RC$5:$RC48),0)))))</f>
        <v/>
      </c>
      <c r="RE48" s="12">
        <f>RE47+RC48-RD48</f>
        <v/>
      </c>
      <c r="RF48" s="12">
        <f>IF(ProviderDelay&gt;=1,RB47*ProviderShare,RB48*ProviderShare)</f>
        <v/>
      </c>
      <c r="RG48" s="12">
        <f>QY48*PaymentFee</f>
        <v/>
      </c>
      <c r="RH48" s="12">
        <f>QS48*OpsAI</f>
        <v/>
      </c>
      <c r="RI48" s="12">
        <f>MonthlyFixed</f>
        <v/>
      </c>
      <c r="RJ48" s="12">
        <f>QG48*ReferralReward</f>
        <v/>
      </c>
      <c r="RK48" s="12">
        <f>QE48</f>
        <v/>
      </c>
      <c r="RL48" s="9">
        <f>RB48-RF48-RG48-RH48-RI48-RJ48-RK48</f>
        <v/>
      </c>
      <c r="RM48" s="9">
        <f>RM47+QY48-(RF48+RG48+RH48+RI48+RJ48+RK48+RD48)</f>
        <v/>
      </c>
      <c r="RN48" s="12">
        <f>IF(QS48&gt;0,QT48/QS48,0)</f>
        <v/>
      </c>
      <c r="RO48" s="11">
        <f>IF(QS47&gt;0,MAX(0,(QS47+QH48-QS48)/QS47),0)</f>
        <v/>
      </c>
      <c r="RQ48" s="12" t="n">
        <v>44</v>
      </c>
      <c r="RR48" s="12">
        <f>MOD(RQ48-1+LaunchMonth-1,12)+1</f>
        <v/>
      </c>
      <c r="RS48" s="12">
        <f>INT((RQ48-1+LaunchMonth-1)/12)+1</f>
        <v/>
      </c>
      <c r="RT48" s="12">
        <f>VLOOKUP(RR48,SeasonTable,2,FALSE)</f>
        <v/>
      </c>
      <c r="RU48" s="12">
        <f>(1+InflationRate)^INT((RQ48-1)/12)</f>
        <v/>
      </c>
      <c r="RV48" s="11">
        <f>'Sens - Churn'!$A$21*VLOOKUP(RR48,ChurnSeasonTable,4,FALSE)</f>
        <v/>
      </c>
      <c r="RW48" s="12">
        <f>MIN(MAX(MktMin19plus,SQ47*MktPct19plus),MAX(0,TE47-CashBuffer))</f>
        <v/>
      </c>
      <c r="RX48" s="12">
        <f>IF(RW48&gt;0,MAX(1,ROUND(RW48/CAC*RT48,0)),0)</f>
        <v/>
      </c>
      <c r="RY48" s="12">
        <f>IF(RX48&gt;0,ROUND(RX48*ReferralMix/(1-ReferralMix),0),0)</f>
        <v/>
      </c>
      <c r="RZ48" s="12">
        <f>RX48+RY48</f>
        <v/>
      </c>
      <c r="SA48" s="12">
        <f>ROUND(RZ48*(1-AnnualMix),0)</f>
        <v/>
      </c>
      <c r="SB48" s="12">
        <f>RZ48-SA48</f>
        <v/>
      </c>
      <c r="SC48" s="12">
        <f>ROUND(SA48*EssentialMix,0)</f>
        <v/>
      </c>
      <c r="SD48" s="12">
        <f>SA48-SC48</f>
        <v/>
      </c>
      <c r="SE48" s="12">
        <f>ROUND(SB48*EssentialMix,0)</f>
        <v/>
      </c>
      <c r="SF48" s="12">
        <f>SB48-SE48</f>
        <v/>
      </c>
      <c r="SG48" s="12">
        <f>SC48+SC47+SC46+MAX(0,SG47-SC47-SC46)*(1-RV48)</f>
        <v/>
      </c>
      <c r="SH48" s="12">
        <f>SD48+SD47+SD46+MAX(0,SH47-SD47-SD46)*(1-RV48)</f>
        <v/>
      </c>
      <c r="SI48" s="12">
        <f>SI47+SE48-SE36*(AnnualChurn*VLOOKUP(RR48,ChurnSeasonTable,4,FALSE))*POWER(1-(AnnualChurn*VLOOKUP(RR48,ChurnSeasonTable,4,FALSE)),0)+SE24*(AnnualChurn*VLOOKUP(RR48,ChurnSeasonTable,4,FALSE))*POWER(1-(AnnualChurn*VLOOKUP(RR48,ChurnSeasonTable,4,FALSE)),1)+SE12*(AnnualChurn*VLOOKUP(RR48,ChurnSeasonTable,4,FALSE))*POWER(1-(AnnualChurn*VLOOKUP(RR48,ChurnSeasonTable,4,FALSE)),2)</f>
        <v/>
      </c>
      <c r="SJ48" s="12">
        <f>SJ47+SF48-SF36*(AnnualChurn*VLOOKUP(RR48,ChurnSeasonTable,4,FALSE))*POWER(1-(AnnualChurn*VLOOKUP(RR48,ChurnSeasonTable,4,FALSE)),0)+SF24*(AnnualChurn*VLOOKUP(RR48,ChurnSeasonTable,4,FALSE))*POWER(1-(AnnualChurn*VLOOKUP(RR48,ChurnSeasonTable,4,FALSE)),1)+SF12*(AnnualChurn*VLOOKUP(RR48,ChurnSeasonTable,4,FALSE))*POWER(1-(AnnualChurn*VLOOKUP(RR48,ChurnSeasonTable,4,FALSE)),2)</f>
        <v/>
      </c>
      <c r="SK48" s="12">
        <f>SG48+SH48+SI48+SJ48</f>
        <v/>
      </c>
      <c r="SL48" s="9">
        <f>SG48*PriceEssMonthly*RU48+SH48*PricePremMonthly*RU48+SI48*PriceEssAnnual*RU48/12+SJ48*PricePremAnnual*RU48/12</f>
        <v/>
      </c>
      <c r="SM48" s="9">
        <f>SL48*12</f>
        <v/>
      </c>
      <c r="SN48" s="12">
        <f>SG48*PriceEssMonthly*RU48+SH48*PricePremMonthly*RU48</f>
        <v/>
      </c>
      <c r="SO48" s="12">
        <f>SE48*PriceEssAnnual*RU48+SF48*PricePremAnnual*RU48</f>
        <v/>
      </c>
      <c r="SP48" s="12">
        <f>SE36*POWER(1-(AnnualChurn*VLOOKUP(RR48,ChurnSeasonTable,4,FALSE)),1)*PriceEssAnnual*RU48+SE24*POWER(1-(AnnualChurn*VLOOKUP(RR48,ChurnSeasonTable,4,FALSE)),2)*PriceEssAnnual*RU48+SE12*POWER(1-(AnnualChurn*VLOOKUP(RR48,ChurnSeasonTable,4,FALSE)),3)*PriceEssAnnual*RU48+SF36*POWER(1-(AnnualChurn*VLOOKUP(RR48,ChurnSeasonTable,4,FALSE)),1)*PricePremAnnual*RU48+SF24*POWER(1-(AnnualChurn*VLOOKUP(RR48,ChurnSeasonTable,4,FALSE)),2)*PricePremAnnual*RU48+SF12*POWER(1-(AnnualChurn*VLOOKUP(RR48,ChurnSeasonTable,4,FALSE)),3)*PricePremAnnual*RU48</f>
        <v/>
      </c>
      <c r="SQ48" s="9">
        <f>SN48+SO48+SP48</f>
        <v/>
      </c>
      <c r="SR48" s="12">
        <f>SUM(SQ37:SQ48)</f>
        <v/>
      </c>
      <c r="SS48" s="12">
        <f>OR(SS47,SR48&gt;=VATThreshold)</f>
        <v/>
      </c>
      <c r="ST48" s="9">
        <f>IF(SS48,SQ48/(1+VATRate),SQ48)</f>
        <v/>
      </c>
      <c r="SU48" s="12">
        <f>SQ48-ST48</f>
        <v/>
      </c>
      <c r="SV48" s="12">
        <f>IF(SS48=0,0,IF(RR48=1,SUMPRODUCT(--(($RS$5:$RS48=$RS48-1)*($RR$5:$RR48&gt;=10)*($RR$5:$RR48&lt;=12)),$SU$5:$SU48),IF(RR48=4,SUMPRODUCT(--(($RS$5:$RS48=$RS48)*($RR$5:$RR48&gt;=1)*($RR$5:$RR48&lt;=3)),$SU$5:$SU48),IF(RR48=7,SUMPRODUCT(--(($RS$5:$RS48=$RS48)*($RR$5:$RR48&gt;=4)*($RR$5:$RR48&lt;=6)),$SU$5:$SU48),IF(RR48=10,SUMPRODUCT(--(($RS$5:$RS48=$RS48)*($RR$5:$RR48&gt;=7)*($RR$5:$RR48&lt;=9)),$SU$5:$SU48),0)))))</f>
        <v/>
      </c>
      <c r="SW48" s="12">
        <f>SW47+SU48-SV48</f>
        <v/>
      </c>
      <c r="SX48" s="12">
        <f>IF(ProviderDelay&gt;=1,ST47*ProviderShare,ST48*ProviderShare)</f>
        <v/>
      </c>
      <c r="SY48" s="12">
        <f>SQ48*PaymentFee</f>
        <v/>
      </c>
      <c r="SZ48" s="12">
        <f>SK48*OpsAI</f>
        <v/>
      </c>
      <c r="TA48" s="12">
        <f>MonthlyFixed</f>
        <v/>
      </c>
      <c r="TB48" s="12">
        <f>RY48*ReferralReward</f>
        <v/>
      </c>
      <c r="TC48" s="12">
        <f>RW48</f>
        <v/>
      </c>
      <c r="TD48" s="9">
        <f>ST48-SX48-SY48-SZ48-TA48-TB48-TC48</f>
        <v/>
      </c>
      <c r="TE48" s="9">
        <f>TE47+SQ48-(SX48+SY48+SZ48+TA48+TB48+TC48+SV48)</f>
        <v/>
      </c>
      <c r="TF48" s="12">
        <f>IF(SK48&gt;0,SL48/SK48,0)</f>
        <v/>
      </c>
      <c r="TG48" s="11">
        <f>IF(SK47&gt;0,MAX(0,(SK47+RZ48-SK48)/SK47),0)</f>
        <v/>
      </c>
      <c r="TI48" s="12" t="n">
        <v>44</v>
      </c>
      <c r="TJ48" s="12">
        <f>MOD(TI48-1+LaunchMonth-1,12)+1</f>
        <v/>
      </c>
      <c r="TK48" s="12">
        <f>INT((TI48-1+LaunchMonth-1)/12)+1</f>
        <v/>
      </c>
      <c r="TL48" s="12">
        <f>VLOOKUP(TJ48,SeasonTable,2,FALSE)</f>
        <v/>
      </c>
      <c r="TM48" s="12">
        <f>(1+InflationRate)^INT((TI48-1)/12)</f>
        <v/>
      </c>
      <c r="TN48" s="11">
        <f>MonthlyChurn*VLOOKUP(TJ48,ChurnSeasonTable,4,FALSE)</f>
        <v/>
      </c>
      <c r="TO48" s="12">
        <f>MIN(MAX(MktMin19plus,UI47*MktPct19plus),MAX(0,UW47-CashBuffer))</f>
        <v/>
      </c>
      <c r="TP48" s="12">
        <f>IF(TO48&gt;0,MAX(1,ROUND(TO48/CAC*TL48,0)),0)</f>
        <v/>
      </c>
      <c r="TQ48" s="12">
        <f>IF(TP48&gt;0,ROUND(TP48*ReferralMix/(1-ReferralMix),0),0)</f>
        <v/>
      </c>
      <c r="TR48" s="12">
        <f>TP48+TQ48</f>
        <v/>
      </c>
      <c r="TS48" s="12">
        <f>ROUND(TR48*(1-'Sens - Annual Mix'!$A$9),0)</f>
        <v/>
      </c>
      <c r="TT48" s="12">
        <f>TR48-TS48</f>
        <v/>
      </c>
      <c r="TU48" s="12">
        <f>ROUND(TS48*EssentialMix,0)</f>
        <v/>
      </c>
      <c r="TV48" s="12">
        <f>TS48-TU48</f>
        <v/>
      </c>
      <c r="TW48" s="12">
        <f>ROUND(TT48*EssentialMix,0)</f>
        <v/>
      </c>
      <c r="TX48" s="12">
        <f>TT48-TW48</f>
        <v/>
      </c>
      <c r="TY48" s="12">
        <f>TU48+TU47+TU46+MAX(0,TY47-TU47-TU46)*(1-TN48)</f>
        <v/>
      </c>
      <c r="TZ48" s="12">
        <f>TV48+TV47+TV46+MAX(0,TZ47-TV47-TV46)*(1-TN48)</f>
        <v/>
      </c>
      <c r="UA48" s="12">
        <f>UA47+TW48-TW36*(AnnualChurn*VLOOKUP(TJ48,ChurnSeasonTable,4,FALSE))*POWER(1-(AnnualChurn*VLOOKUP(TJ48,ChurnSeasonTable,4,FALSE)),0)+TW24*(AnnualChurn*VLOOKUP(TJ48,ChurnSeasonTable,4,FALSE))*POWER(1-(AnnualChurn*VLOOKUP(TJ48,ChurnSeasonTable,4,FALSE)),1)+TW12*(AnnualChurn*VLOOKUP(TJ48,ChurnSeasonTable,4,FALSE))*POWER(1-(AnnualChurn*VLOOKUP(TJ48,ChurnSeasonTable,4,FALSE)),2)</f>
        <v/>
      </c>
      <c r="UB48" s="12">
        <f>UB47+TX48-TX36*(AnnualChurn*VLOOKUP(TJ48,ChurnSeasonTable,4,FALSE))*POWER(1-(AnnualChurn*VLOOKUP(TJ48,ChurnSeasonTable,4,FALSE)),0)+TX24*(AnnualChurn*VLOOKUP(TJ48,ChurnSeasonTable,4,FALSE))*POWER(1-(AnnualChurn*VLOOKUP(TJ48,ChurnSeasonTable,4,FALSE)),1)+TX12*(AnnualChurn*VLOOKUP(TJ48,ChurnSeasonTable,4,FALSE))*POWER(1-(AnnualChurn*VLOOKUP(TJ48,ChurnSeasonTable,4,FALSE)),2)</f>
        <v/>
      </c>
      <c r="UC48" s="12">
        <f>TY48+TZ48+UA48+UB48</f>
        <v/>
      </c>
      <c r="UD48" s="9">
        <f>TY48*PriceEssMonthly*TM48+TZ48*PricePremMonthly*TM48+UA48*PriceEssAnnual*TM48/12+UB48*PricePremAnnual*TM48/12</f>
        <v/>
      </c>
      <c r="UE48" s="9">
        <f>UD48*12</f>
        <v/>
      </c>
      <c r="UF48" s="12">
        <f>TY48*PriceEssMonthly*TM48+TZ48*PricePremMonthly*TM48</f>
        <v/>
      </c>
      <c r="UG48" s="12">
        <f>TW48*PriceEssAnnual*TM48+TX48*PricePremAnnual*TM48</f>
        <v/>
      </c>
      <c r="UH48" s="12">
        <f>TW36*POWER(1-(AnnualChurn*VLOOKUP(TJ48,ChurnSeasonTable,4,FALSE)),1)*PriceEssAnnual*TM48+TW24*POWER(1-(AnnualChurn*VLOOKUP(TJ48,ChurnSeasonTable,4,FALSE)),2)*PriceEssAnnual*TM48+TW12*POWER(1-(AnnualChurn*VLOOKUP(TJ48,ChurnSeasonTable,4,FALSE)),3)*PriceEssAnnual*TM48+TX36*POWER(1-(AnnualChurn*VLOOKUP(TJ48,ChurnSeasonTable,4,FALSE)),1)*PricePremAnnual*TM48+TX24*POWER(1-(AnnualChurn*VLOOKUP(TJ48,ChurnSeasonTable,4,FALSE)),2)*PricePremAnnual*TM48+TX12*POWER(1-(AnnualChurn*VLOOKUP(TJ48,ChurnSeasonTable,4,FALSE)),3)*PricePremAnnual*TM48</f>
        <v/>
      </c>
      <c r="UI48" s="9">
        <f>UF48+UG48+UH48</f>
        <v/>
      </c>
      <c r="UJ48" s="12">
        <f>SUM(UI37:UI48)</f>
        <v/>
      </c>
      <c r="UK48" s="12">
        <f>OR(UK47,UJ48&gt;=VATThreshold)</f>
        <v/>
      </c>
      <c r="UL48" s="9">
        <f>IF(UK48,UI48/(1+VATRate),UI48)</f>
        <v/>
      </c>
      <c r="UM48" s="12">
        <f>UI48-UL48</f>
        <v/>
      </c>
      <c r="UN48" s="12">
        <f>IF(UK48=0,0,IF(TJ48=1,SUMPRODUCT(--(($TK$5:$TK48=$TK48-1)*($TJ$5:$TJ48&gt;=10)*($TJ$5:$TJ48&lt;=12)),$UM$5:$UM48),IF(TJ48=4,SUMPRODUCT(--(($TK$5:$TK48=$TK48)*($TJ$5:$TJ48&gt;=1)*($TJ$5:$TJ48&lt;=3)),$UM$5:$UM48),IF(TJ48=7,SUMPRODUCT(--(($TK$5:$TK48=$TK48)*($TJ$5:$TJ48&gt;=4)*($TJ$5:$TJ48&lt;=6)),$UM$5:$UM48),IF(TJ48=10,SUMPRODUCT(--(($TK$5:$TK48=$TK48)*($TJ$5:$TJ48&gt;=7)*($TJ$5:$TJ48&lt;=9)),$UM$5:$UM48),0)))))</f>
        <v/>
      </c>
      <c r="UO48" s="12">
        <f>UO47+UM48-UN48</f>
        <v/>
      </c>
      <c r="UP48" s="12">
        <f>IF(ProviderDelay&gt;=1,UL47*ProviderShare,UL48*ProviderShare)</f>
        <v/>
      </c>
      <c r="UQ48" s="12">
        <f>UI48*PaymentFee</f>
        <v/>
      </c>
      <c r="UR48" s="12">
        <f>UC48*OpsAI</f>
        <v/>
      </c>
      <c r="US48" s="12">
        <f>MonthlyFixed</f>
        <v/>
      </c>
      <c r="UT48" s="12">
        <f>TQ48*ReferralReward</f>
        <v/>
      </c>
      <c r="UU48" s="12">
        <f>TO48</f>
        <v/>
      </c>
      <c r="UV48" s="9">
        <f>UL48-UP48-UQ48-UR48-US48-UT48-UU48</f>
        <v/>
      </c>
      <c r="UW48" s="9">
        <f>UW47+UI48-(UP48+UQ48+UR48+US48+UT48+UU48+UN48)</f>
        <v/>
      </c>
      <c r="UX48" s="12">
        <f>IF(UC48&gt;0,UD48/UC48,0)</f>
        <v/>
      </c>
      <c r="UY48" s="11">
        <f>IF(UC47&gt;0,MAX(0,(UC47+TR48-UC48)/UC47),0)</f>
        <v/>
      </c>
      <c r="VA48" s="12" t="n">
        <v>44</v>
      </c>
      <c r="VB48" s="12">
        <f>MOD(VA48-1+LaunchMonth-1,12)+1</f>
        <v/>
      </c>
      <c r="VC48" s="12">
        <f>INT((VA48-1+LaunchMonth-1)/12)+1</f>
        <v/>
      </c>
      <c r="VD48" s="12">
        <f>VLOOKUP(VB48,SeasonTable,2,FALSE)</f>
        <v/>
      </c>
      <c r="VE48" s="12">
        <f>(1+InflationRate)^INT((VA48-1)/12)</f>
        <v/>
      </c>
      <c r="VF48" s="11">
        <f>MonthlyChurn*VLOOKUP(VB48,ChurnSeasonTable,4,FALSE)</f>
        <v/>
      </c>
      <c r="VG48" s="12">
        <f>MIN(MAX(MktMin19plus,WA47*MktPct19plus),MAX(0,WO47-CashBuffer))</f>
        <v/>
      </c>
      <c r="VH48" s="12">
        <f>IF(VG48&gt;0,MAX(1,ROUND(VG48/CAC*VD48,0)),0)</f>
        <v/>
      </c>
      <c r="VI48" s="12">
        <f>IF(VH48&gt;0,ROUND(VH48*ReferralMix/(1-ReferralMix),0),0)</f>
        <v/>
      </c>
      <c r="VJ48" s="12">
        <f>VH48+VI48</f>
        <v/>
      </c>
      <c r="VK48" s="12">
        <f>ROUND(VJ48*(1-'Sens - Annual Mix'!$A$10),0)</f>
        <v/>
      </c>
      <c r="VL48" s="12">
        <f>VJ48-VK48</f>
        <v/>
      </c>
      <c r="VM48" s="12">
        <f>ROUND(VK48*EssentialMix,0)</f>
        <v/>
      </c>
      <c r="VN48" s="12">
        <f>VK48-VM48</f>
        <v/>
      </c>
      <c r="VO48" s="12">
        <f>ROUND(VL48*EssentialMix,0)</f>
        <v/>
      </c>
      <c r="VP48" s="12">
        <f>VL48-VO48</f>
        <v/>
      </c>
      <c r="VQ48" s="12">
        <f>VM48+VM47+VM46+MAX(0,VQ47-VM47-VM46)*(1-VF48)</f>
        <v/>
      </c>
      <c r="VR48" s="12">
        <f>VN48+VN47+VN46+MAX(0,VR47-VN47-VN46)*(1-VF48)</f>
        <v/>
      </c>
      <c r="VS48" s="12">
        <f>VS47+VO48-VO36*(AnnualChurn*VLOOKUP(VB48,ChurnSeasonTable,4,FALSE))*POWER(1-(AnnualChurn*VLOOKUP(VB48,ChurnSeasonTable,4,FALSE)),0)+VO24*(AnnualChurn*VLOOKUP(VB48,ChurnSeasonTable,4,FALSE))*POWER(1-(AnnualChurn*VLOOKUP(VB48,ChurnSeasonTable,4,FALSE)),1)+VO12*(AnnualChurn*VLOOKUP(VB48,ChurnSeasonTable,4,FALSE))*POWER(1-(AnnualChurn*VLOOKUP(VB48,ChurnSeasonTable,4,FALSE)),2)</f>
        <v/>
      </c>
      <c r="VT48" s="12">
        <f>VT47+VP48-VP36*(AnnualChurn*VLOOKUP(VB48,ChurnSeasonTable,4,FALSE))*POWER(1-(AnnualChurn*VLOOKUP(VB48,ChurnSeasonTable,4,FALSE)),0)+VP24*(AnnualChurn*VLOOKUP(VB48,ChurnSeasonTable,4,FALSE))*POWER(1-(AnnualChurn*VLOOKUP(VB48,ChurnSeasonTable,4,FALSE)),1)+VP12*(AnnualChurn*VLOOKUP(VB48,ChurnSeasonTable,4,FALSE))*POWER(1-(AnnualChurn*VLOOKUP(VB48,ChurnSeasonTable,4,FALSE)),2)</f>
        <v/>
      </c>
      <c r="VU48" s="12">
        <f>VQ48+VR48+VS48+VT48</f>
        <v/>
      </c>
      <c r="VV48" s="9">
        <f>VQ48*PriceEssMonthly*VE48+VR48*PricePremMonthly*VE48+VS48*PriceEssAnnual*VE48/12+VT48*PricePremAnnual*VE48/12</f>
        <v/>
      </c>
      <c r="VW48" s="9">
        <f>VV48*12</f>
        <v/>
      </c>
      <c r="VX48" s="12">
        <f>VQ48*PriceEssMonthly*VE48+VR48*PricePremMonthly*VE48</f>
        <v/>
      </c>
      <c r="VY48" s="12">
        <f>VO48*PriceEssAnnual*VE48+VP48*PricePremAnnual*VE48</f>
        <v/>
      </c>
      <c r="VZ48" s="12">
        <f>VO36*POWER(1-(AnnualChurn*VLOOKUP(VB48,ChurnSeasonTable,4,FALSE)),1)*PriceEssAnnual*VE48+VO24*POWER(1-(AnnualChurn*VLOOKUP(VB48,ChurnSeasonTable,4,FALSE)),2)*PriceEssAnnual*VE48+VO12*POWER(1-(AnnualChurn*VLOOKUP(VB48,ChurnSeasonTable,4,FALSE)),3)*PriceEssAnnual*VE48+VP36*POWER(1-(AnnualChurn*VLOOKUP(VB48,ChurnSeasonTable,4,FALSE)),1)*PricePremAnnual*VE48+VP24*POWER(1-(AnnualChurn*VLOOKUP(VB48,ChurnSeasonTable,4,FALSE)),2)*PricePremAnnual*VE48+VP12*POWER(1-(AnnualChurn*VLOOKUP(VB48,ChurnSeasonTable,4,FALSE)),3)*PricePremAnnual*VE48</f>
        <v/>
      </c>
      <c r="WA48" s="9">
        <f>VX48+VY48+VZ48</f>
        <v/>
      </c>
      <c r="WB48" s="12">
        <f>SUM(WA37:WA48)</f>
        <v/>
      </c>
      <c r="WC48" s="12">
        <f>OR(WC47,WB48&gt;=VATThreshold)</f>
        <v/>
      </c>
      <c r="WD48" s="9">
        <f>IF(WC48,WA48/(1+VATRate),WA48)</f>
        <v/>
      </c>
      <c r="WE48" s="12">
        <f>WA48-WD48</f>
        <v/>
      </c>
      <c r="WF48" s="12">
        <f>IF(WC48=0,0,IF(VB48=1,SUMPRODUCT(--(($VC$5:$VC48=$VC48-1)*($VB$5:$VB48&gt;=10)*($VB$5:$VB48&lt;=12)),$WE$5:$WE48),IF(VB48=4,SUMPRODUCT(--(($VC$5:$VC48=$VC48)*($VB$5:$VB48&gt;=1)*($VB$5:$VB48&lt;=3)),$WE$5:$WE48),IF(VB48=7,SUMPRODUCT(--(($VC$5:$VC48=$VC48)*($VB$5:$VB48&gt;=4)*($VB$5:$VB48&lt;=6)),$WE$5:$WE48),IF(VB48=10,SUMPRODUCT(--(($VC$5:$VC48=$VC48)*($VB$5:$VB48&gt;=7)*($VB$5:$VB48&lt;=9)),$WE$5:$WE48),0)))))</f>
        <v/>
      </c>
      <c r="WG48" s="12">
        <f>WG47+WE48-WF48</f>
        <v/>
      </c>
      <c r="WH48" s="12">
        <f>IF(ProviderDelay&gt;=1,WD47*ProviderShare,WD48*ProviderShare)</f>
        <v/>
      </c>
      <c r="WI48" s="12">
        <f>WA48*PaymentFee</f>
        <v/>
      </c>
      <c r="WJ48" s="12">
        <f>VU48*OpsAI</f>
        <v/>
      </c>
      <c r="WK48" s="12">
        <f>MonthlyFixed</f>
        <v/>
      </c>
      <c r="WL48" s="12">
        <f>VI48*ReferralReward</f>
        <v/>
      </c>
      <c r="WM48" s="12">
        <f>VG48</f>
        <v/>
      </c>
      <c r="WN48" s="9">
        <f>WD48-WH48-WI48-WJ48-WK48-WL48-WM48</f>
        <v/>
      </c>
      <c r="WO48" s="9">
        <f>WO47+WA48-(WH48+WI48+WJ48+WK48+WL48+WM48+WF48)</f>
        <v/>
      </c>
      <c r="WP48" s="12">
        <f>IF(VU48&gt;0,VV48/VU48,0)</f>
        <v/>
      </c>
      <c r="WQ48" s="11">
        <f>IF(VU47&gt;0,MAX(0,(VU47+VJ48-VU48)/VU47),0)</f>
        <v/>
      </c>
      <c r="WS48" s="12" t="n">
        <v>44</v>
      </c>
      <c r="WT48" s="12">
        <f>MOD(WS48-1+LaunchMonth-1,12)+1</f>
        <v/>
      </c>
      <c r="WU48" s="12">
        <f>INT((WS48-1+LaunchMonth-1)/12)+1</f>
        <v/>
      </c>
      <c r="WV48" s="12">
        <f>VLOOKUP(WT48,SeasonTable,2,FALSE)</f>
        <v/>
      </c>
      <c r="WW48" s="12">
        <f>(1+InflationRate)^INT((WS48-1)/12)</f>
        <v/>
      </c>
      <c r="WX48" s="11">
        <f>MonthlyChurn*VLOOKUP(WT48,ChurnSeasonTable,4,FALSE)</f>
        <v/>
      </c>
      <c r="WY48" s="12">
        <f>MIN(MAX(MktMin19plus,XS47*MktPct19plus),MAX(0,YG47-CashBuffer))</f>
        <v/>
      </c>
      <c r="WZ48" s="12">
        <f>IF(WY48&gt;0,MAX(1,ROUND(WY48/CAC*WV48,0)),0)</f>
        <v/>
      </c>
      <c r="XA48" s="12">
        <f>IF(WZ48&gt;0,ROUND(WZ48*ReferralMix/(1-ReferralMix),0),0)</f>
        <v/>
      </c>
      <c r="XB48" s="12">
        <f>WZ48+XA48</f>
        <v/>
      </c>
      <c r="XC48" s="12">
        <f>ROUND(XB48*(1-'Sens - Annual Mix'!$A$11),0)</f>
        <v/>
      </c>
      <c r="XD48" s="12">
        <f>XB48-XC48</f>
        <v/>
      </c>
      <c r="XE48" s="12">
        <f>ROUND(XC48*EssentialMix,0)</f>
        <v/>
      </c>
      <c r="XF48" s="12">
        <f>XC48-XE48</f>
        <v/>
      </c>
      <c r="XG48" s="12">
        <f>ROUND(XD48*EssentialMix,0)</f>
        <v/>
      </c>
      <c r="XH48" s="12">
        <f>XD48-XG48</f>
        <v/>
      </c>
      <c r="XI48" s="12">
        <f>XE48+XE47+XE46+MAX(0,XI47-XE47-XE46)*(1-WX48)</f>
        <v/>
      </c>
      <c r="XJ48" s="12">
        <f>XF48+XF47+XF46+MAX(0,XJ47-XF47-XF46)*(1-WX48)</f>
        <v/>
      </c>
      <c r="XK48" s="12">
        <f>XK47+XG48-XG36*(AnnualChurn*VLOOKUP(WT48,ChurnSeasonTable,4,FALSE))*POWER(1-(AnnualChurn*VLOOKUP(WT48,ChurnSeasonTable,4,FALSE)),0)+XG24*(AnnualChurn*VLOOKUP(WT48,ChurnSeasonTable,4,FALSE))*POWER(1-(AnnualChurn*VLOOKUP(WT48,ChurnSeasonTable,4,FALSE)),1)+XG12*(AnnualChurn*VLOOKUP(WT48,ChurnSeasonTable,4,FALSE))*POWER(1-(AnnualChurn*VLOOKUP(WT48,ChurnSeasonTable,4,FALSE)),2)</f>
        <v/>
      </c>
      <c r="XL48" s="12">
        <f>XL47+XH48-XH36*(AnnualChurn*VLOOKUP(WT48,ChurnSeasonTable,4,FALSE))*POWER(1-(AnnualChurn*VLOOKUP(WT48,ChurnSeasonTable,4,FALSE)),0)+XH24*(AnnualChurn*VLOOKUP(WT48,ChurnSeasonTable,4,FALSE))*POWER(1-(AnnualChurn*VLOOKUP(WT48,ChurnSeasonTable,4,FALSE)),1)+XH12*(AnnualChurn*VLOOKUP(WT48,ChurnSeasonTable,4,FALSE))*POWER(1-(AnnualChurn*VLOOKUP(WT48,ChurnSeasonTable,4,FALSE)),2)</f>
        <v/>
      </c>
      <c r="XM48" s="12">
        <f>XI48+XJ48+XK48+XL48</f>
        <v/>
      </c>
      <c r="XN48" s="9">
        <f>XI48*PriceEssMonthly*WW48+XJ48*PricePremMonthly*WW48+XK48*PriceEssAnnual*WW48/12+XL48*PricePremAnnual*WW48/12</f>
        <v/>
      </c>
      <c r="XO48" s="9">
        <f>XN48*12</f>
        <v/>
      </c>
      <c r="XP48" s="12">
        <f>XI48*PriceEssMonthly*WW48+XJ48*PricePremMonthly*WW48</f>
        <v/>
      </c>
      <c r="XQ48" s="12">
        <f>XG48*PriceEssAnnual*WW48+XH48*PricePremAnnual*WW48</f>
        <v/>
      </c>
      <c r="XR48" s="12">
        <f>XG36*POWER(1-(AnnualChurn*VLOOKUP(WT48,ChurnSeasonTable,4,FALSE)),1)*PriceEssAnnual*WW48+XG24*POWER(1-(AnnualChurn*VLOOKUP(WT48,ChurnSeasonTable,4,FALSE)),2)*PriceEssAnnual*WW48+XG12*POWER(1-(AnnualChurn*VLOOKUP(WT48,ChurnSeasonTable,4,FALSE)),3)*PriceEssAnnual*WW48+XH36*POWER(1-(AnnualChurn*VLOOKUP(WT48,ChurnSeasonTable,4,FALSE)),1)*PricePremAnnual*WW48+XH24*POWER(1-(AnnualChurn*VLOOKUP(WT48,ChurnSeasonTable,4,FALSE)),2)*PricePremAnnual*WW48+XH12*POWER(1-(AnnualChurn*VLOOKUP(WT48,ChurnSeasonTable,4,FALSE)),3)*PricePremAnnual*WW48</f>
        <v/>
      </c>
      <c r="XS48" s="9">
        <f>XP48+XQ48+XR48</f>
        <v/>
      </c>
      <c r="XT48" s="12">
        <f>SUM(XS37:XS48)</f>
        <v/>
      </c>
      <c r="XU48" s="12">
        <f>OR(XU47,XT48&gt;=VATThreshold)</f>
        <v/>
      </c>
      <c r="XV48" s="9">
        <f>IF(XU48,XS48/(1+VATRate),XS48)</f>
        <v/>
      </c>
      <c r="XW48" s="12">
        <f>XS48-XV48</f>
        <v/>
      </c>
      <c r="XX48" s="12">
        <f>IF(XU48=0,0,IF(WT48=1,SUMPRODUCT(--(($WU$5:$WU48=$WU48-1)*($WT$5:$WT48&gt;=10)*($WT$5:$WT48&lt;=12)),$XW$5:$XW48),IF(WT48=4,SUMPRODUCT(--(($WU$5:$WU48=$WU48)*($WT$5:$WT48&gt;=1)*($WT$5:$WT48&lt;=3)),$XW$5:$XW48),IF(WT48=7,SUMPRODUCT(--(($WU$5:$WU48=$WU48)*($WT$5:$WT48&gt;=4)*($WT$5:$WT48&lt;=6)),$XW$5:$XW48),IF(WT48=10,SUMPRODUCT(--(($WU$5:$WU48=$WU48)*($WT$5:$WT48&gt;=7)*($WT$5:$WT48&lt;=9)),$XW$5:$XW48),0)))))</f>
        <v/>
      </c>
      <c r="XY48" s="12">
        <f>XY47+XW48-XX48</f>
        <v/>
      </c>
      <c r="XZ48" s="12">
        <f>IF(ProviderDelay&gt;=1,XV47*ProviderShare,XV48*ProviderShare)</f>
        <v/>
      </c>
      <c r="YA48" s="12">
        <f>XS48*PaymentFee</f>
        <v/>
      </c>
      <c r="YB48" s="12">
        <f>XM48*OpsAI</f>
        <v/>
      </c>
      <c r="YC48" s="12">
        <f>MonthlyFixed</f>
        <v/>
      </c>
      <c r="YD48" s="12">
        <f>XA48*ReferralReward</f>
        <v/>
      </c>
      <c r="YE48" s="12">
        <f>WY48</f>
        <v/>
      </c>
      <c r="YF48" s="9">
        <f>XV48-XZ48-YA48-YB48-YC48-YD48-YE48</f>
        <v/>
      </c>
      <c r="YG48" s="9">
        <f>YG47+XS48-(XZ48+YA48+YB48+YC48+YD48+YE48+XX48)</f>
        <v/>
      </c>
      <c r="YH48" s="12">
        <f>IF(XM48&gt;0,XN48/XM48,0)</f>
        <v/>
      </c>
      <c r="YI48" s="11">
        <f>IF(XM47&gt;0,MAX(0,(XM47+XB48-XM48)/XM47),0)</f>
        <v/>
      </c>
      <c r="YK48" s="12" t="n">
        <v>44</v>
      </c>
      <c r="YL48" s="12">
        <f>MOD(YK48-1+LaunchMonth-1,12)+1</f>
        <v/>
      </c>
      <c r="YM48" s="12">
        <f>INT((YK48-1+LaunchMonth-1)/12)+1</f>
        <v/>
      </c>
      <c r="YN48" s="12">
        <f>VLOOKUP(YL48,SeasonTable,2,FALSE)</f>
        <v/>
      </c>
      <c r="YO48" s="12">
        <f>(1+InflationRate)^INT((YK48-1)/12)</f>
        <v/>
      </c>
      <c r="YP48" s="11">
        <f>MonthlyChurn*VLOOKUP(YL48,ChurnSeasonTable,4,FALSE)</f>
        <v/>
      </c>
      <c r="YQ48" s="12">
        <f>MIN(MAX(MktMin19plus,ZK47*MktPct19plus),MAX(0,ZY47-CashBuffer))</f>
        <v/>
      </c>
      <c r="YR48" s="12">
        <f>IF(YQ48&gt;0,MAX(1,ROUND(YQ48/CAC*YN48,0)),0)</f>
        <v/>
      </c>
      <c r="YS48" s="12">
        <f>IF(YR48&gt;0,ROUND(YR48*ReferralMix/(1-ReferralMix),0),0)</f>
        <v/>
      </c>
      <c r="YT48" s="12">
        <f>YR48+YS48</f>
        <v/>
      </c>
      <c r="YU48" s="12">
        <f>ROUND(YT48*(1-'Sens - Annual Mix'!$A$12),0)</f>
        <v/>
      </c>
      <c r="YV48" s="12">
        <f>YT48-YU48</f>
        <v/>
      </c>
      <c r="YW48" s="12">
        <f>ROUND(YU48*EssentialMix,0)</f>
        <v/>
      </c>
      <c r="YX48" s="12">
        <f>YU48-YW48</f>
        <v/>
      </c>
      <c r="YY48" s="12">
        <f>ROUND(YV48*EssentialMix,0)</f>
        <v/>
      </c>
      <c r="YZ48" s="12">
        <f>YV48-YY48</f>
        <v/>
      </c>
      <c r="ZA48" s="12">
        <f>YW48+YW47+YW46+MAX(0,ZA47-YW47-YW46)*(1-YP48)</f>
        <v/>
      </c>
      <c r="ZB48" s="12">
        <f>YX48+YX47+YX46+MAX(0,ZB47-YX47-YX46)*(1-YP48)</f>
        <v/>
      </c>
      <c r="ZC48" s="12">
        <f>ZC47+YY48-YY36*(AnnualChurn*VLOOKUP(YL48,ChurnSeasonTable,4,FALSE))*POWER(1-(AnnualChurn*VLOOKUP(YL48,ChurnSeasonTable,4,FALSE)),0)+YY24*(AnnualChurn*VLOOKUP(YL48,ChurnSeasonTable,4,FALSE))*POWER(1-(AnnualChurn*VLOOKUP(YL48,ChurnSeasonTable,4,FALSE)),1)+YY12*(AnnualChurn*VLOOKUP(YL48,ChurnSeasonTable,4,FALSE))*POWER(1-(AnnualChurn*VLOOKUP(YL48,ChurnSeasonTable,4,FALSE)),2)</f>
        <v/>
      </c>
      <c r="ZD48" s="12">
        <f>ZD47+YZ48-YZ36*(AnnualChurn*VLOOKUP(YL48,ChurnSeasonTable,4,FALSE))*POWER(1-(AnnualChurn*VLOOKUP(YL48,ChurnSeasonTable,4,FALSE)),0)+YZ24*(AnnualChurn*VLOOKUP(YL48,ChurnSeasonTable,4,FALSE))*POWER(1-(AnnualChurn*VLOOKUP(YL48,ChurnSeasonTable,4,FALSE)),1)+YZ12*(AnnualChurn*VLOOKUP(YL48,ChurnSeasonTable,4,FALSE))*POWER(1-(AnnualChurn*VLOOKUP(YL48,ChurnSeasonTable,4,FALSE)),2)</f>
        <v/>
      </c>
      <c r="ZE48" s="12">
        <f>ZA48+ZB48+ZC48+ZD48</f>
        <v/>
      </c>
      <c r="ZF48" s="9">
        <f>ZA48*PriceEssMonthly*YO48+ZB48*PricePremMonthly*YO48+ZC48*PriceEssAnnual*YO48/12+ZD48*PricePremAnnual*YO48/12</f>
        <v/>
      </c>
      <c r="ZG48" s="9">
        <f>ZF48*12</f>
        <v/>
      </c>
      <c r="ZH48" s="12">
        <f>ZA48*PriceEssMonthly*YO48+ZB48*PricePremMonthly*YO48</f>
        <v/>
      </c>
      <c r="ZI48" s="12">
        <f>YY48*PriceEssAnnual*YO48+YZ48*PricePremAnnual*YO48</f>
        <v/>
      </c>
      <c r="ZJ48" s="12">
        <f>YY36*POWER(1-(AnnualChurn*VLOOKUP(YL48,ChurnSeasonTable,4,FALSE)),1)*PriceEssAnnual*YO48+YY24*POWER(1-(AnnualChurn*VLOOKUP(YL48,ChurnSeasonTable,4,FALSE)),2)*PriceEssAnnual*YO48+YY12*POWER(1-(AnnualChurn*VLOOKUP(YL48,ChurnSeasonTable,4,FALSE)),3)*PriceEssAnnual*YO48+YZ36*POWER(1-(AnnualChurn*VLOOKUP(YL48,ChurnSeasonTable,4,FALSE)),1)*PricePremAnnual*YO48+YZ24*POWER(1-(AnnualChurn*VLOOKUP(YL48,ChurnSeasonTable,4,FALSE)),2)*PricePremAnnual*YO48+YZ12*POWER(1-(AnnualChurn*VLOOKUP(YL48,ChurnSeasonTable,4,FALSE)),3)*PricePremAnnual*YO48</f>
        <v/>
      </c>
      <c r="ZK48" s="9">
        <f>ZH48+ZI48+ZJ48</f>
        <v/>
      </c>
      <c r="ZL48" s="12">
        <f>SUM(ZK37:ZK48)</f>
        <v/>
      </c>
      <c r="ZM48" s="12">
        <f>OR(ZM47,ZL48&gt;=VATThreshold)</f>
        <v/>
      </c>
      <c r="ZN48" s="9">
        <f>IF(ZM48,ZK48/(1+VATRate),ZK48)</f>
        <v/>
      </c>
      <c r="ZO48" s="12">
        <f>ZK48-ZN48</f>
        <v/>
      </c>
      <c r="ZP48" s="12">
        <f>IF(ZM48=0,0,IF(YL48=1,SUMPRODUCT(--(($YM$5:$YM48=$YM48-1)*($YL$5:$YL48&gt;=10)*($YL$5:$YL48&lt;=12)),$ZO$5:$ZO48),IF(YL48=4,SUMPRODUCT(--(($YM$5:$YM48=$YM48)*($YL$5:$YL48&gt;=1)*($YL$5:$YL48&lt;=3)),$ZO$5:$ZO48),IF(YL48=7,SUMPRODUCT(--(($YM$5:$YM48=$YM48)*($YL$5:$YL48&gt;=4)*($YL$5:$YL48&lt;=6)),$ZO$5:$ZO48),IF(YL48=10,SUMPRODUCT(--(($YM$5:$YM48=$YM48)*($YL$5:$YL48&gt;=7)*($YL$5:$YL48&lt;=9)),$ZO$5:$ZO48),0)))))</f>
        <v/>
      </c>
      <c r="ZQ48" s="12">
        <f>ZQ47+ZO48-ZP48</f>
        <v/>
      </c>
      <c r="ZR48" s="12">
        <f>IF(ProviderDelay&gt;=1,ZN47*ProviderShare,ZN48*ProviderShare)</f>
        <v/>
      </c>
      <c r="ZS48" s="12">
        <f>ZK48*PaymentFee</f>
        <v/>
      </c>
      <c r="ZT48" s="12">
        <f>ZE48*OpsAI</f>
        <v/>
      </c>
      <c r="ZU48" s="12">
        <f>MonthlyFixed</f>
        <v/>
      </c>
      <c r="ZV48" s="12">
        <f>YS48*ReferralReward</f>
        <v/>
      </c>
      <c r="ZW48" s="12">
        <f>YQ48</f>
        <v/>
      </c>
      <c r="ZX48" s="9">
        <f>ZN48-ZR48-ZS48-ZT48-ZU48-ZV48-ZW48</f>
        <v/>
      </c>
      <c r="ZY48" s="9">
        <f>ZY47+ZK48-(ZR48+ZS48+ZT48+ZU48+ZV48+ZW48+ZP48)</f>
        <v/>
      </c>
      <c r="ZZ48" s="12">
        <f>IF(ZE48&gt;0,ZF48/ZE48,0)</f>
        <v/>
      </c>
      <c r="AAA48" s="11">
        <f>IF(ZE47&gt;0,MAX(0,(ZE47+YT48-ZE48)/ZE47),0)</f>
        <v/>
      </c>
      <c r="AAC48" s="12" t="n">
        <v>44</v>
      </c>
      <c r="AAD48" s="12">
        <f>MOD(AAC48-1+LaunchMonth-1,12)+1</f>
        <v/>
      </c>
      <c r="AAE48" s="12">
        <f>INT((AAC48-1+LaunchMonth-1)/12)+1</f>
        <v/>
      </c>
      <c r="AAF48" s="12">
        <f>VLOOKUP(AAD48,SeasonTable,2,FALSE)</f>
        <v/>
      </c>
      <c r="AAG48" s="12">
        <f>(1+InflationRate)^INT((AAC48-1)/12)</f>
        <v/>
      </c>
      <c r="AAH48" s="11">
        <f>MonthlyChurn*VLOOKUP(AAD48,ChurnSeasonTable,4,FALSE)</f>
        <v/>
      </c>
      <c r="AAI48" s="12">
        <f>MIN(MAX(MktMin19plus,ABC47*MktPct19plus),MAX(0,ABQ47-CashBuffer))</f>
        <v/>
      </c>
      <c r="AAJ48" s="12">
        <f>IF(AAI48&gt;0,MAX(1,ROUND(AAI48/CAC*AAF48,0)),0)</f>
        <v/>
      </c>
      <c r="AAK48" s="12">
        <f>IF(AAJ48&gt;0,ROUND(AAJ48*ReferralMix/(1-ReferralMix),0),0)</f>
        <v/>
      </c>
      <c r="AAL48" s="12">
        <f>AAJ48+AAK48</f>
        <v/>
      </c>
      <c r="AAM48" s="12">
        <f>ROUND(AAL48*(1-'Sens - Annual Mix'!$A$13),0)</f>
        <v/>
      </c>
      <c r="AAN48" s="12">
        <f>AAL48-AAM48</f>
        <v/>
      </c>
      <c r="AAO48" s="12">
        <f>ROUND(AAM48*EssentialMix,0)</f>
        <v/>
      </c>
      <c r="AAP48" s="12">
        <f>AAM48-AAO48</f>
        <v/>
      </c>
      <c r="AAQ48" s="12">
        <f>ROUND(AAN48*EssentialMix,0)</f>
        <v/>
      </c>
      <c r="AAR48" s="12">
        <f>AAN48-AAQ48</f>
        <v/>
      </c>
      <c r="AAS48" s="12">
        <f>AAO48+AAO47+AAO46+MAX(0,AAS47-AAO47-AAO46)*(1-AAH48)</f>
        <v/>
      </c>
      <c r="AAT48" s="12">
        <f>AAP48+AAP47+AAP46+MAX(0,AAT47-AAP47-AAP46)*(1-AAH48)</f>
        <v/>
      </c>
      <c r="AAU48" s="12">
        <f>AAU47+AAQ48-AAQ36*(AnnualChurn*VLOOKUP(AAD48,ChurnSeasonTable,4,FALSE))*POWER(1-(AnnualChurn*VLOOKUP(AAD48,ChurnSeasonTable,4,FALSE)),0)+AAQ24*(AnnualChurn*VLOOKUP(AAD48,ChurnSeasonTable,4,FALSE))*POWER(1-(AnnualChurn*VLOOKUP(AAD48,ChurnSeasonTable,4,FALSE)),1)+AAQ12*(AnnualChurn*VLOOKUP(AAD48,ChurnSeasonTable,4,FALSE))*POWER(1-(AnnualChurn*VLOOKUP(AAD48,ChurnSeasonTable,4,FALSE)),2)</f>
        <v/>
      </c>
      <c r="AAV48" s="12">
        <f>AAV47+AAR48-AAR36*(AnnualChurn*VLOOKUP(AAD48,ChurnSeasonTable,4,FALSE))*POWER(1-(AnnualChurn*VLOOKUP(AAD48,ChurnSeasonTable,4,FALSE)),0)+AAR24*(AnnualChurn*VLOOKUP(AAD48,ChurnSeasonTable,4,FALSE))*POWER(1-(AnnualChurn*VLOOKUP(AAD48,ChurnSeasonTable,4,FALSE)),1)+AAR12*(AnnualChurn*VLOOKUP(AAD48,ChurnSeasonTable,4,FALSE))*POWER(1-(AnnualChurn*VLOOKUP(AAD48,ChurnSeasonTable,4,FALSE)),2)</f>
        <v/>
      </c>
      <c r="AAW48" s="12">
        <f>AAS48+AAT48+AAU48+AAV48</f>
        <v/>
      </c>
      <c r="AAX48" s="9">
        <f>AAS48*PriceEssMonthly*AAG48+AAT48*PricePremMonthly*AAG48+AAU48*PriceEssAnnual*AAG48/12+AAV48*PricePremAnnual*AAG48/12</f>
        <v/>
      </c>
      <c r="AAY48" s="9">
        <f>AAX48*12</f>
        <v/>
      </c>
      <c r="AAZ48" s="12">
        <f>AAS48*PriceEssMonthly*AAG48+AAT48*PricePremMonthly*AAG48</f>
        <v/>
      </c>
      <c r="ABA48" s="12">
        <f>AAQ48*PriceEssAnnual*AAG48+AAR48*PricePremAnnual*AAG48</f>
        <v/>
      </c>
      <c r="ABB48" s="12">
        <f>AAQ36*POWER(1-(AnnualChurn*VLOOKUP(AAD48,ChurnSeasonTable,4,FALSE)),1)*PriceEssAnnual*AAG48+AAQ24*POWER(1-(AnnualChurn*VLOOKUP(AAD48,ChurnSeasonTable,4,FALSE)),2)*PriceEssAnnual*AAG48+AAQ12*POWER(1-(AnnualChurn*VLOOKUP(AAD48,ChurnSeasonTable,4,FALSE)),3)*PriceEssAnnual*AAG48+AAR36*POWER(1-(AnnualChurn*VLOOKUP(AAD48,ChurnSeasonTable,4,FALSE)),1)*PricePremAnnual*AAG48+AAR24*POWER(1-(AnnualChurn*VLOOKUP(AAD48,ChurnSeasonTable,4,FALSE)),2)*PricePremAnnual*AAG48+AAR12*POWER(1-(AnnualChurn*VLOOKUP(AAD48,ChurnSeasonTable,4,FALSE)),3)*PricePremAnnual*AAG48</f>
        <v/>
      </c>
      <c r="ABC48" s="9">
        <f>AAZ48+ABA48+ABB48</f>
        <v/>
      </c>
      <c r="ABD48" s="12">
        <f>SUM(ABC37:ABC48)</f>
        <v/>
      </c>
      <c r="ABE48" s="12">
        <f>OR(ABE47,ABD48&gt;=VATThreshold)</f>
        <v/>
      </c>
      <c r="ABF48" s="9">
        <f>IF(ABE48,ABC48/(1+VATRate),ABC48)</f>
        <v/>
      </c>
      <c r="ABG48" s="12">
        <f>ABC48-ABF48</f>
        <v/>
      </c>
      <c r="ABH48" s="12">
        <f>IF(ABE48=0,0,IF(AAD48=1,SUMPRODUCT(--(($AAE$5:$AAE48=$AAE48-1)*($AAD$5:$AAD48&gt;=10)*($AAD$5:$AAD48&lt;=12)),$ABG$5:$ABG48),IF(AAD48=4,SUMPRODUCT(--(($AAE$5:$AAE48=$AAE48)*($AAD$5:$AAD48&gt;=1)*($AAD$5:$AAD48&lt;=3)),$ABG$5:$ABG48),IF(AAD48=7,SUMPRODUCT(--(($AAE$5:$AAE48=$AAE48)*($AAD$5:$AAD48&gt;=4)*($AAD$5:$AAD48&lt;=6)),$ABG$5:$ABG48),IF(AAD48=10,SUMPRODUCT(--(($AAE$5:$AAE48=$AAE48)*($AAD$5:$AAD48&gt;=7)*($AAD$5:$AAD48&lt;=9)),$ABG$5:$ABG48),0)))))</f>
        <v/>
      </c>
      <c r="ABI48" s="12">
        <f>ABI47+ABG48-ABH48</f>
        <v/>
      </c>
      <c r="ABJ48" s="12">
        <f>IF(ProviderDelay&gt;=1,ABF47*ProviderShare,ABF48*ProviderShare)</f>
        <v/>
      </c>
      <c r="ABK48" s="12">
        <f>ABC48*PaymentFee</f>
        <v/>
      </c>
      <c r="ABL48" s="12">
        <f>AAW48*OpsAI</f>
        <v/>
      </c>
      <c r="ABM48" s="12">
        <f>MonthlyFixed</f>
        <v/>
      </c>
      <c r="ABN48" s="12">
        <f>AAK48*ReferralReward</f>
        <v/>
      </c>
      <c r="ABO48" s="12">
        <f>AAI48</f>
        <v/>
      </c>
      <c r="ABP48" s="9">
        <f>ABF48-ABJ48-ABK48-ABL48-ABM48-ABN48-ABO48</f>
        <v/>
      </c>
      <c r="ABQ48" s="9">
        <f>ABQ47+ABC48-(ABJ48+ABK48+ABL48+ABM48+ABN48+ABO48+ABH48)</f>
        <v/>
      </c>
      <c r="ABR48" s="12">
        <f>IF(AAW48&gt;0,AAX48/AAW48,0)</f>
        <v/>
      </c>
      <c r="ABS48" s="11">
        <f>IF(AAW47&gt;0,MAX(0,(AAW47+AAL48-AAW48)/AAW47),0)</f>
        <v/>
      </c>
      <c r="ABU48" s="12" t="n">
        <v>44</v>
      </c>
      <c r="ABV48" s="12">
        <f>MOD(ABU48-1+LaunchMonth-1,12)+1</f>
        <v/>
      </c>
      <c r="ABW48" s="12">
        <f>INT((ABU48-1+LaunchMonth-1)/12)+1</f>
        <v/>
      </c>
      <c r="ABX48" s="12">
        <f>VLOOKUP(ABV48,SeasonTable,2,FALSE)</f>
        <v/>
      </c>
      <c r="ABY48" s="12">
        <f>(1+InflationRate)^INT((ABU48-1)/12)</f>
        <v/>
      </c>
      <c r="ABZ48" s="11">
        <f>MonthlyChurn*VLOOKUP(ABV48,ChurnSeasonTable,4,FALSE)</f>
        <v/>
      </c>
      <c r="ACA48" s="12">
        <f>MIN(MAX(MktMin19plus,ACU47*MktPct19plus),MAX(0,ADI47-CashBuffer))</f>
        <v/>
      </c>
      <c r="ACB48" s="12">
        <f>IF(ACA48&gt;0,MAX(1,ROUND(ACA48/CAC*ABX48,0)),0)</f>
        <v/>
      </c>
      <c r="ACC48" s="12">
        <f>IF(ACB48&gt;0,ROUND(ACB48*ReferralMix/(1-ReferralMix),0),0)</f>
        <v/>
      </c>
      <c r="ACD48" s="12">
        <f>ACB48+ACC48</f>
        <v/>
      </c>
      <c r="ACE48" s="12">
        <f>ROUND(ACD48*(1-'Sens - Annual Mix'!$A$14),0)</f>
        <v/>
      </c>
      <c r="ACF48" s="12">
        <f>ACD48-ACE48</f>
        <v/>
      </c>
      <c r="ACG48" s="12">
        <f>ROUND(ACE48*EssentialMix,0)</f>
        <v/>
      </c>
      <c r="ACH48" s="12">
        <f>ACE48-ACG48</f>
        <v/>
      </c>
      <c r="ACI48" s="12">
        <f>ROUND(ACF48*EssentialMix,0)</f>
        <v/>
      </c>
      <c r="ACJ48" s="12">
        <f>ACF48-ACI48</f>
        <v/>
      </c>
      <c r="ACK48" s="12">
        <f>ACG48+ACG47+ACG46+MAX(0,ACK47-ACG47-ACG46)*(1-ABZ48)</f>
        <v/>
      </c>
      <c r="ACL48" s="12">
        <f>ACH48+ACH47+ACH46+MAX(0,ACL47-ACH47-ACH46)*(1-ABZ48)</f>
        <v/>
      </c>
      <c r="ACM48" s="12">
        <f>ACM47+ACI48-ACI36*(AnnualChurn*VLOOKUP(ABV48,ChurnSeasonTable,4,FALSE))*POWER(1-(AnnualChurn*VLOOKUP(ABV48,ChurnSeasonTable,4,FALSE)),0)+ACI24*(AnnualChurn*VLOOKUP(ABV48,ChurnSeasonTable,4,FALSE))*POWER(1-(AnnualChurn*VLOOKUP(ABV48,ChurnSeasonTable,4,FALSE)),1)+ACI12*(AnnualChurn*VLOOKUP(ABV48,ChurnSeasonTable,4,FALSE))*POWER(1-(AnnualChurn*VLOOKUP(ABV48,ChurnSeasonTable,4,FALSE)),2)</f>
        <v/>
      </c>
      <c r="ACN48" s="12">
        <f>ACN47+ACJ48-ACJ36*(AnnualChurn*VLOOKUP(ABV48,ChurnSeasonTable,4,FALSE))*POWER(1-(AnnualChurn*VLOOKUP(ABV48,ChurnSeasonTable,4,FALSE)),0)+ACJ24*(AnnualChurn*VLOOKUP(ABV48,ChurnSeasonTable,4,FALSE))*POWER(1-(AnnualChurn*VLOOKUP(ABV48,ChurnSeasonTable,4,FALSE)),1)+ACJ12*(AnnualChurn*VLOOKUP(ABV48,ChurnSeasonTable,4,FALSE))*POWER(1-(AnnualChurn*VLOOKUP(ABV48,ChurnSeasonTable,4,FALSE)),2)</f>
        <v/>
      </c>
      <c r="ACO48" s="12">
        <f>ACK48+ACL48+ACM48+ACN48</f>
        <v/>
      </c>
      <c r="ACP48" s="9">
        <f>ACK48*PriceEssMonthly*ABY48+ACL48*PricePremMonthly*ABY48+ACM48*PriceEssAnnual*ABY48/12+ACN48*PricePremAnnual*ABY48/12</f>
        <v/>
      </c>
      <c r="ACQ48" s="9">
        <f>ACP48*12</f>
        <v/>
      </c>
      <c r="ACR48" s="12">
        <f>ACK48*PriceEssMonthly*ABY48+ACL48*PricePremMonthly*ABY48</f>
        <v/>
      </c>
      <c r="ACS48" s="12">
        <f>ACI48*PriceEssAnnual*ABY48+ACJ48*PricePremAnnual*ABY48</f>
        <v/>
      </c>
      <c r="ACT48" s="12">
        <f>ACI36*POWER(1-(AnnualChurn*VLOOKUP(ABV48,ChurnSeasonTable,4,FALSE)),1)*PriceEssAnnual*ABY48+ACI24*POWER(1-(AnnualChurn*VLOOKUP(ABV48,ChurnSeasonTable,4,FALSE)),2)*PriceEssAnnual*ABY48+ACI12*POWER(1-(AnnualChurn*VLOOKUP(ABV48,ChurnSeasonTable,4,FALSE)),3)*PriceEssAnnual*ABY48+ACJ36*POWER(1-(AnnualChurn*VLOOKUP(ABV48,ChurnSeasonTable,4,FALSE)),1)*PricePremAnnual*ABY48+ACJ24*POWER(1-(AnnualChurn*VLOOKUP(ABV48,ChurnSeasonTable,4,FALSE)),2)*PricePremAnnual*ABY48+ACJ12*POWER(1-(AnnualChurn*VLOOKUP(ABV48,ChurnSeasonTable,4,FALSE)),3)*PricePremAnnual*ABY48</f>
        <v/>
      </c>
      <c r="ACU48" s="9">
        <f>ACR48+ACS48+ACT48</f>
        <v/>
      </c>
      <c r="ACV48" s="12">
        <f>SUM(ACU37:ACU48)</f>
        <v/>
      </c>
      <c r="ACW48" s="12">
        <f>OR(ACW47,ACV48&gt;=VATThreshold)</f>
        <v/>
      </c>
      <c r="ACX48" s="9">
        <f>IF(ACW48,ACU48/(1+VATRate),ACU48)</f>
        <v/>
      </c>
      <c r="ACY48" s="12">
        <f>ACU48-ACX48</f>
        <v/>
      </c>
      <c r="ACZ48" s="12">
        <f>IF(ACW48=0,0,IF(ABV48=1,SUMPRODUCT(--(($ABW$5:$ABW48=$ABW48-1)*($ABV$5:$ABV48&gt;=10)*($ABV$5:$ABV48&lt;=12)),$ACY$5:$ACY48),IF(ABV48=4,SUMPRODUCT(--(($ABW$5:$ABW48=$ABW48)*($ABV$5:$ABV48&gt;=1)*($ABV$5:$ABV48&lt;=3)),$ACY$5:$ACY48),IF(ABV48=7,SUMPRODUCT(--(($ABW$5:$ABW48=$ABW48)*($ABV$5:$ABV48&gt;=4)*($ABV$5:$ABV48&lt;=6)),$ACY$5:$ACY48),IF(ABV48=10,SUMPRODUCT(--(($ABW$5:$ABW48=$ABW48)*($ABV$5:$ABV48&gt;=7)*($ABV$5:$ABV48&lt;=9)),$ACY$5:$ACY48),0)))))</f>
        <v/>
      </c>
      <c r="ADA48" s="12">
        <f>ADA47+ACY48-ACZ48</f>
        <v/>
      </c>
      <c r="ADB48" s="12">
        <f>IF(ProviderDelay&gt;=1,ACX47*ProviderShare,ACX48*ProviderShare)</f>
        <v/>
      </c>
      <c r="ADC48" s="12">
        <f>ACU48*PaymentFee</f>
        <v/>
      </c>
      <c r="ADD48" s="12">
        <f>ACO48*OpsAI</f>
        <v/>
      </c>
      <c r="ADE48" s="12">
        <f>MonthlyFixed</f>
        <v/>
      </c>
      <c r="ADF48" s="12">
        <f>ACC48*ReferralReward</f>
        <v/>
      </c>
      <c r="ADG48" s="12">
        <f>ACA48</f>
        <v/>
      </c>
      <c r="ADH48" s="9">
        <f>ACX48-ADB48-ADC48-ADD48-ADE48-ADF48-ADG48</f>
        <v/>
      </c>
      <c r="ADI48" s="9">
        <f>ADI47+ACU48-(ADB48+ADC48+ADD48+ADE48+ADF48+ADG48+ACZ48)</f>
        <v/>
      </c>
      <c r="ADJ48" s="12">
        <f>IF(ACO48&gt;0,ACP48/ACO48,0)</f>
        <v/>
      </c>
      <c r="ADK48" s="11">
        <f>IF(ACO47&gt;0,MAX(0,(ACO47+ACD48-ACO48)/ACO47),0)</f>
        <v/>
      </c>
      <c r="ADM48" s="12" t="n">
        <v>44</v>
      </c>
      <c r="ADN48" s="12">
        <f>MOD(ADM48-1+LaunchMonth-1,12)+1</f>
        <v/>
      </c>
      <c r="ADO48" s="12">
        <f>INT((ADM48-1+LaunchMonth-1)/12)+1</f>
        <v/>
      </c>
      <c r="ADP48" s="12">
        <f>VLOOKUP(ADN48,SeasonTable,2,FALSE)</f>
        <v/>
      </c>
      <c r="ADQ48" s="12">
        <f>(1+InflationRate)^INT((ADM48-1)/12)</f>
        <v/>
      </c>
      <c r="ADR48" s="11">
        <f>MonthlyChurn*VLOOKUP(ADN48,ChurnSeasonTable,4,FALSE)</f>
        <v/>
      </c>
      <c r="ADS48" s="12">
        <f>MIN(MAX(MktMin19plus,AEM47*MktPct19plus),MAX(0,AFA47-CashBuffer))</f>
        <v/>
      </c>
      <c r="ADT48" s="12">
        <f>IF(ADS48&gt;0,MAX(1,ROUND(ADS48/CAC*ADP48,0)),0)</f>
        <v/>
      </c>
      <c r="ADU48" s="12">
        <f>IF(ADT48&gt;0,ROUND(ADT48*ReferralMix/(1-ReferralMix),0),0)</f>
        <v/>
      </c>
      <c r="ADV48" s="12">
        <f>ADT48+ADU48</f>
        <v/>
      </c>
      <c r="ADW48" s="12">
        <f>ROUND(ADV48*(1-'Sens - Annual Mix'!$A$15),0)</f>
        <v/>
      </c>
      <c r="ADX48" s="12">
        <f>ADV48-ADW48</f>
        <v/>
      </c>
      <c r="ADY48" s="12">
        <f>ROUND(ADW48*EssentialMix,0)</f>
        <v/>
      </c>
      <c r="ADZ48" s="12">
        <f>ADW48-ADY48</f>
        <v/>
      </c>
      <c r="AEA48" s="12">
        <f>ROUND(ADX48*EssentialMix,0)</f>
        <v/>
      </c>
      <c r="AEB48" s="12">
        <f>ADX48-AEA48</f>
        <v/>
      </c>
      <c r="AEC48" s="12">
        <f>ADY48+ADY47+ADY46+MAX(0,AEC47-ADY47-ADY46)*(1-ADR48)</f>
        <v/>
      </c>
      <c r="AED48" s="12">
        <f>ADZ48+ADZ47+ADZ46+MAX(0,AED47-ADZ47-ADZ46)*(1-ADR48)</f>
        <v/>
      </c>
      <c r="AEE48" s="12">
        <f>AEE47+AEA48-AEA36*(AnnualChurn*VLOOKUP(ADN48,ChurnSeasonTable,4,FALSE))*POWER(1-(AnnualChurn*VLOOKUP(ADN48,ChurnSeasonTable,4,FALSE)),0)+AEA24*(AnnualChurn*VLOOKUP(ADN48,ChurnSeasonTable,4,FALSE))*POWER(1-(AnnualChurn*VLOOKUP(ADN48,ChurnSeasonTable,4,FALSE)),1)+AEA12*(AnnualChurn*VLOOKUP(ADN48,ChurnSeasonTable,4,FALSE))*POWER(1-(AnnualChurn*VLOOKUP(ADN48,ChurnSeasonTable,4,FALSE)),2)</f>
        <v/>
      </c>
      <c r="AEF48" s="12">
        <f>AEF47+AEB48-AEB36*(AnnualChurn*VLOOKUP(ADN48,ChurnSeasonTable,4,FALSE))*POWER(1-(AnnualChurn*VLOOKUP(ADN48,ChurnSeasonTable,4,FALSE)),0)+AEB24*(AnnualChurn*VLOOKUP(ADN48,ChurnSeasonTable,4,FALSE))*POWER(1-(AnnualChurn*VLOOKUP(ADN48,ChurnSeasonTable,4,FALSE)),1)+AEB12*(AnnualChurn*VLOOKUP(ADN48,ChurnSeasonTable,4,FALSE))*POWER(1-(AnnualChurn*VLOOKUP(ADN48,ChurnSeasonTable,4,FALSE)),2)</f>
        <v/>
      </c>
      <c r="AEG48" s="12">
        <f>AEC48+AED48+AEE48+AEF48</f>
        <v/>
      </c>
      <c r="AEH48" s="9">
        <f>AEC48*PriceEssMonthly*ADQ48+AED48*PricePremMonthly*ADQ48+AEE48*PriceEssAnnual*ADQ48/12+AEF48*PricePremAnnual*ADQ48/12</f>
        <v/>
      </c>
      <c r="AEI48" s="9">
        <f>AEH48*12</f>
        <v/>
      </c>
      <c r="AEJ48" s="12">
        <f>AEC48*PriceEssMonthly*ADQ48+AED48*PricePremMonthly*ADQ48</f>
        <v/>
      </c>
      <c r="AEK48" s="12">
        <f>AEA48*PriceEssAnnual*ADQ48+AEB48*PricePremAnnual*ADQ48</f>
        <v/>
      </c>
      <c r="AEL48" s="12">
        <f>AEA36*POWER(1-(AnnualChurn*VLOOKUP(ADN48,ChurnSeasonTable,4,FALSE)),1)*PriceEssAnnual*ADQ48+AEA24*POWER(1-(AnnualChurn*VLOOKUP(ADN48,ChurnSeasonTable,4,FALSE)),2)*PriceEssAnnual*ADQ48+AEA12*POWER(1-(AnnualChurn*VLOOKUP(ADN48,ChurnSeasonTable,4,FALSE)),3)*PriceEssAnnual*ADQ48+AEB36*POWER(1-(AnnualChurn*VLOOKUP(ADN48,ChurnSeasonTable,4,FALSE)),1)*PricePremAnnual*ADQ48+AEB24*POWER(1-(AnnualChurn*VLOOKUP(ADN48,ChurnSeasonTable,4,FALSE)),2)*PricePremAnnual*ADQ48+AEB12*POWER(1-(AnnualChurn*VLOOKUP(ADN48,ChurnSeasonTable,4,FALSE)),3)*PricePremAnnual*ADQ48</f>
        <v/>
      </c>
      <c r="AEM48" s="9">
        <f>AEJ48+AEK48+AEL48</f>
        <v/>
      </c>
      <c r="AEN48" s="12">
        <f>SUM(AEM37:AEM48)</f>
        <v/>
      </c>
      <c r="AEO48" s="12">
        <f>OR(AEO47,AEN48&gt;=VATThreshold)</f>
        <v/>
      </c>
      <c r="AEP48" s="9">
        <f>IF(AEO48,AEM48/(1+VATRate),AEM48)</f>
        <v/>
      </c>
      <c r="AEQ48" s="12">
        <f>AEM48-AEP48</f>
        <v/>
      </c>
      <c r="AER48" s="12">
        <f>IF(AEO48=0,0,IF(ADN48=1,SUMPRODUCT(--(($ADO$5:$ADO48=$ADO48-1)*($ADN$5:$ADN48&gt;=10)*($ADN$5:$ADN48&lt;=12)),$AEQ$5:$AEQ48),IF(ADN48=4,SUMPRODUCT(--(($ADO$5:$ADO48=$ADO48)*($ADN$5:$ADN48&gt;=1)*($ADN$5:$ADN48&lt;=3)),$AEQ$5:$AEQ48),IF(ADN48=7,SUMPRODUCT(--(($ADO$5:$ADO48=$ADO48)*($ADN$5:$ADN48&gt;=4)*($ADN$5:$ADN48&lt;=6)),$AEQ$5:$AEQ48),IF(ADN48=10,SUMPRODUCT(--(($ADO$5:$ADO48=$ADO48)*($ADN$5:$ADN48&gt;=7)*($ADN$5:$ADN48&lt;=9)),$AEQ$5:$AEQ48),0)))))</f>
        <v/>
      </c>
      <c r="AES48" s="12">
        <f>AES47+AEQ48-AER48</f>
        <v/>
      </c>
      <c r="AET48" s="12">
        <f>IF(ProviderDelay&gt;=1,AEP47*ProviderShare,AEP48*ProviderShare)</f>
        <v/>
      </c>
      <c r="AEU48" s="12">
        <f>AEM48*PaymentFee</f>
        <v/>
      </c>
      <c r="AEV48" s="12">
        <f>AEG48*OpsAI</f>
        <v/>
      </c>
      <c r="AEW48" s="12">
        <f>MonthlyFixed</f>
        <v/>
      </c>
      <c r="AEX48" s="12">
        <f>ADU48*ReferralReward</f>
        <v/>
      </c>
      <c r="AEY48" s="12">
        <f>ADS48</f>
        <v/>
      </c>
      <c r="AEZ48" s="9">
        <f>AEP48-AET48-AEU48-AEV48-AEW48-AEX48-AEY48</f>
        <v/>
      </c>
      <c r="AFA48" s="9">
        <f>AFA47+AEM48-(AET48+AEU48+AEV48+AEW48+AEX48+AEY48+AER48)</f>
        <v/>
      </c>
      <c r="AFB48" s="12">
        <f>IF(AEG48&gt;0,AEH48/AEG48,0)</f>
        <v/>
      </c>
      <c r="AFC48" s="11">
        <f>IF(AEG47&gt;0,MAX(0,(AEG47+ADV48-AEG48)/AEG47),0)</f>
        <v/>
      </c>
      <c r="AFE48" s="12" t="n">
        <v>44</v>
      </c>
      <c r="AFF48" s="12">
        <f>MOD(AFE48-1+LaunchMonth-1,12)+1</f>
        <v/>
      </c>
      <c r="AFG48" s="12">
        <f>INT((AFE48-1+LaunchMonth-1)/12)+1</f>
        <v/>
      </c>
      <c r="AFH48" s="12">
        <f>VLOOKUP(AFF48,SeasonTable,2,FALSE)</f>
        <v/>
      </c>
      <c r="AFI48" s="12">
        <f>(1+InflationRate)^INT((AFE48-1)/12)</f>
        <v/>
      </c>
      <c r="AFJ48" s="11">
        <f>MonthlyChurn*VLOOKUP(AFF48,ChurnSeasonTable,4,FALSE)</f>
        <v/>
      </c>
      <c r="AFK48" s="12">
        <f>MIN(MAX(MktMin19plus,AGE47*MktPct19plus),MAX(0,AGS47-CashBuffer))</f>
        <v/>
      </c>
      <c r="AFL48" s="12">
        <f>IF(AFK48&gt;0,MAX(1,ROUND(AFK48/'Sens - CAC &amp; Marketing'!$A$9*AFH48,0)),0)</f>
        <v/>
      </c>
      <c r="AFM48" s="12">
        <f>IF(AFL48&gt;0,ROUND(AFL48*ReferralMix/(1-ReferralMix),0),0)</f>
        <v/>
      </c>
      <c r="AFN48" s="12">
        <f>AFL48+AFM48</f>
        <v/>
      </c>
      <c r="AFO48" s="12">
        <f>ROUND(AFN48*(1-AnnualMix),0)</f>
        <v/>
      </c>
      <c r="AFP48" s="12">
        <f>AFN48-AFO48</f>
        <v/>
      </c>
      <c r="AFQ48" s="12">
        <f>ROUND(AFO48*EssentialMix,0)</f>
        <v/>
      </c>
      <c r="AFR48" s="12">
        <f>AFO48-AFQ48</f>
        <v/>
      </c>
      <c r="AFS48" s="12">
        <f>ROUND(AFP48*EssentialMix,0)</f>
        <v/>
      </c>
      <c r="AFT48" s="12">
        <f>AFP48-AFS48</f>
        <v/>
      </c>
      <c r="AFU48" s="12">
        <f>AFQ48+AFQ47+AFQ46+MAX(0,AFU47-AFQ47-AFQ46)*(1-AFJ48)</f>
        <v/>
      </c>
      <c r="AFV48" s="12">
        <f>AFR48+AFR47+AFR46+MAX(0,AFV47-AFR47-AFR46)*(1-AFJ48)</f>
        <v/>
      </c>
      <c r="AFW48" s="12">
        <f>AFW47+AFS48-AFS36*(AnnualChurn*VLOOKUP(AFF48,ChurnSeasonTable,4,FALSE))*POWER(1-(AnnualChurn*VLOOKUP(AFF48,ChurnSeasonTable,4,FALSE)),0)+AFS24*(AnnualChurn*VLOOKUP(AFF48,ChurnSeasonTable,4,FALSE))*POWER(1-(AnnualChurn*VLOOKUP(AFF48,ChurnSeasonTable,4,FALSE)),1)+AFS12*(AnnualChurn*VLOOKUP(AFF48,ChurnSeasonTable,4,FALSE))*POWER(1-(AnnualChurn*VLOOKUP(AFF48,ChurnSeasonTable,4,FALSE)),2)</f>
        <v/>
      </c>
      <c r="AFX48" s="12">
        <f>AFX47+AFT48-AFT36*(AnnualChurn*VLOOKUP(AFF48,ChurnSeasonTable,4,FALSE))*POWER(1-(AnnualChurn*VLOOKUP(AFF48,ChurnSeasonTable,4,FALSE)),0)+AFT24*(AnnualChurn*VLOOKUP(AFF48,ChurnSeasonTable,4,FALSE))*POWER(1-(AnnualChurn*VLOOKUP(AFF48,ChurnSeasonTable,4,FALSE)),1)+AFT12*(AnnualChurn*VLOOKUP(AFF48,ChurnSeasonTable,4,FALSE))*POWER(1-(AnnualChurn*VLOOKUP(AFF48,ChurnSeasonTable,4,FALSE)),2)</f>
        <v/>
      </c>
      <c r="AFY48" s="12">
        <f>AFU48+AFV48+AFW48+AFX48</f>
        <v/>
      </c>
      <c r="AFZ48" s="9">
        <f>AFU48*PriceEssMonthly*AFI48+AFV48*PricePremMonthly*AFI48+AFW48*PriceEssAnnual*AFI48/12+AFX48*PricePremAnnual*AFI48/12</f>
        <v/>
      </c>
      <c r="AGA48" s="9">
        <f>AFZ48*12</f>
        <v/>
      </c>
      <c r="AGB48" s="12">
        <f>AFU48*PriceEssMonthly*AFI48+AFV48*PricePremMonthly*AFI48</f>
        <v/>
      </c>
      <c r="AGC48" s="12">
        <f>AFS48*PriceEssAnnual*AFI48+AFT48*PricePremAnnual*AFI48</f>
        <v/>
      </c>
      <c r="AGD48" s="12">
        <f>AFS36*POWER(1-(AnnualChurn*VLOOKUP(AFF48,ChurnSeasonTable,4,FALSE)),1)*PriceEssAnnual*AFI48+AFS24*POWER(1-(AnnualChurn*VLOOKUP(AFF48,ChurnSeasonTable,4,FALSE)),2)*PriceEssAnnual*AFI48+AFS12*POWER(1-(AnnualChurn*VLOOKUP(AFF48,ChurnSeasonTable,4,FALSE)),3)*PriceEssAnnual*AFI48+AFT36*POWER(1-(AnnualChurn*VLOOKUP(AFF48,ChurnSeasonTable,4,FALSE)),1)*PricePremAnnual*AFI48+AFT24*POWER(1-(AnnualChurn*VLOOKUP(AFF48,ChurnSeasonTable,4,FALSE)),2)*PricePremAnnual*AFI48+AFT12*POWER(1-(AnnualChurn*VLOOKUP(AFF48,ChurnSeasonTable,4,FALSE)),3)*PricePremAnnual*AFI48</f>
        <v/>
      </c>
      <c r="AGE48" s="9">
        <f>AGB48+AGC48+AGD48</f>
        <v/>
      </c>
      <c r="AGF48" s="12">
        <f>SUM(AGE37:AGE48)</f>
        <v/>
      </c>
      <c r="AGG48" s="12">
        <f>OR(AGG47,AGF48&gt;=VATThreshold)</f>
        <v/>
      </c>
      <c r="AGH48" s="9">
        <f>IF(AGG48,AGE48/(1+VATRate),AGE48)</f>
        <v/>
      </c>
      <c r="AGI48" s="12">
        <f>AGE48-AGH48</f>
        <v/>
      </c>
      <c r="AGJ48" s="12">
        <f>IF(AGG48=0,0,IF(AFF48=1,SUMPRODUCT(--(($AFG$5:$AFG48=$AFG48-1)*($AFF$5:$AFF48&gt;=10)*($AFF$5:$AFF48&lt;=12)),$AGI$5:$AGI48),IF(AFF48=4,SUMPRODUCT(--(($AFG$5:$AFG48=$AFG48)*($AFF$5:$AFF48&gt;=1)*($AFF$5:$AFF48&lt;=3)),$AGI$5:$AGI48),IF(AFF48=7,SUMPRODUCT(--(($AFG$5:$AFG48=$AFG48)*($AFF$5:$AFF48&gt;=4)*($AFF$5:$AFF48&lt;=6)),$AGI$5:$AGI48),IF(AFF48=10,SUMPRODUCT(--(($AFG$5:$AFG48=$AFG48)*($AFF$5:$AFF48&gt;=7)*($AFF$5:$AFF48&lt;=9)),$AGI$5:$AGI48),0)))))</f>
        <v/>
      </c>
      <c r="AGK48" s="12">
        <f>AGK47+AGI48-AGJ48</f>
        <v/>
      </c>
      <c r="AGL48" s="12">
        <f>IF(ProviderDelay&gt;=1,AGH47*ProviderShare,AGH48*ProviderShare)</f>
        <v/>
      </c>
      <c r="AGM48" s="12">
        <f>AGE48*PaymentFee</f>
        <v/>
      </c>
      <c r="AGN48" s="12">
        <f>AFY48*OpsAI</f>
        <v/>
      </c>
      <c r="AGO48" s="12">
        <f>MonthlyFixed</f>
        <v/>
      </c>
      <c r="AGP48" s="12">
        <f>AFM48*ReferralReward</f>
        <v/>
      </c>
      <c r="AGQ48" s="12">
        <f>AFK48</f>
        <v/>
      </c>
      <c r="AGR48" s="9">
        <f>AGH48-AGL48-AGM48-AGN48-AGO48-AGP48-AGQ48</f>
        <v/>
      </c>
      <c r="AGS48" s="9">
        <f>AGS47+AGE48-(AGL48+AGM48+AGN48+AGO48+AGP48+AGQ48+AGJ48)</f>
        <v/>
      </c>
      <c r="AGT48" s="12">
        <f>IF(AFY48&gt;0,AFZ48/AFY48,0)</f>
        <v/>
      </c>
      <c r="AGU48" s="11">
        <f>IF(AFY47&gt;0,MAX(0,(AFY47+AFN48-AFY48)/AFY47),0)</f>
        <v/>
      </c>
      <c r="AGW48" s="12" t="n">
        <v>44</v>
      </c>
      <c r="AGX48" s="12">
        <f>MOD(AGW48-1+LaunchMonth-1,12)+1</f>
        <v/>
      </c>
      <c r="AGY48" s="12">
        <f>INT((AGW48-1+LaunchMonth-1)/12)+1</f>
        <v/>
      </c>
      <c r="AGZ48" s="12">
        <f>VLOOKUP(AGX48,SeasonTable,2,FALSE)</f>
        <v/>
      </c>
      <c r="AHA48" s="12">
        <f>(1+InflationRate)^INT((AGW48-1)/12)</f>
        <v/>
      </c>
      <c r="AHB48" s="11">
        <f>MonthlyChurn*VLOOKUP(AGX48,ChurnSeasonTable,4,FALSE)</f>
        <v/>
      </c>
      <c r="AHC48" s="12">
        <f>MIN(MAX(MktMin19plus,AHW47*MktPct19plus),MAX(0,AIK47-CashBuffer))</f>
        <v/>
      </c>
      <c r="AHD48" s="12">
        <f>IF(AHC48&gt;0,MAX(1,ROUND(AHC48/'Sens - CAC &amp; Marketing'!$A$10*AGZ48,0)),0)</f>
        <v/>
      </c>
      <c r="AHE48" s="12">
        <f>IF(AHD48&gt;0,ROUND(AHD48*ReferralMix/(1-ReferralMix),0),0)</f>
        <v/>
      </c>
      <c r="AHF48" s="12">
        <f>AHD48+AHE48</f>
        <v/>
      </c>
      <c r="AHG48" s="12">
        <f>ROUND(AHF48*(1-AnnualMix),0)</f>
        <v/>
      </c>
      <c r="AHH48" s="12">
        <f>AHF48-AHG48</f>
        <v/>
      </c>
      <c r="AHI48" s="12">
        <f>ROUND(AHG48*EssentialMix,0)</f>
        <v/>
      </c>
      <c r="AHJ48" s="12">
        <f>AHG48-AHI48</f>
        <v/>
      </c>
      <c r="AHK48" s="12">
        <f>ROUND(AHH48*EssentialMix,0)</f>
        <v/>
      </c>
      <c r="AHL48" s="12">
        <f>AHH48-AHK48</f>
        <v/>
      </c>
      <c r="AHM48" s="12">
        <f>AHI48+AHI47+AHI46+MAX(0,AHM47-AHI47-AHI46)*(1-AHB48)</f>
        <v/>
      </c>
      <c r="AHN48" s="12">
        <f>AHJ48+AHJ47+AHJ46+MAX(0,AHN47-AHJ47-AHJ46)*(1-AHB48)</f>
        <v/>
      </c>
      <c r="AHO48" s="12">
        <f>AHO47+AHK48-AHK36*(AnnualChurn*VLOOKUP(AGX48,ChurnSeasonTable,4,FALSE))*POWER(1-(AnnualChurn*VLOOKUP(AGX48,ChurnSeasonTable,4,FALSE)),0)+AHK24*(AnnualChurn*VLOOKUP(AGX48,ChurnSeasonTable,4,FALSE))*POWER(1-(AnnualChurn*VLOOKUP(AGX48,ChurnSeasonTable,4,FALSE)),1)+AHK12*(AnnualChurn*VLOOKUP(AGX48,ChurnSeasonTable,4,FALSE))*POWER(1-(AnnualChurn*VLOOKUP(AGX48,ChurnSeasonTable,4,FALSE)),2)</f>
        <v/>
      </c>
      <c r="AHP48" s="12">
        <f>AHP47+AHL48-AHL36*(AnnualChurn*VLOOKUP(AGX48,ChurnSeasonTable,4,FALSE))*POWER(1-(AnnualChurn*VLOOKUP(AGX48,ChurnSeasonTable,4,FALSE)),0)+AHL24*(AnnualChurn*VLOOKUP(AGX48,ChurnSeasonTable,4,FALSE))*POWER(1-(AnnualChurn*VLOOKUP(AGX48,ChurnSeasonTable,4,FALSE)),1)+AHL12*(AnnualChurn*VLOOKUP(AGX48,ChurnSeasonTable,4,FALSE))*POWER(1-(AnnualChurn*VLOOKUP(AGX48,ChurnSeasonTable,4,FALSE)),2)</f>
        <v/>
      </c>
      <c r="AHQ48" s="12">
        <f>AHM48+AHN48+AHO48+AHP48</f>
        <v/>
      </c>
      <c r="AHR48" s="9">
        <f>AHM48*PriceEssMonthly*AHA48+AHN48*PricePremMonthly*AHA48+AHO48*PriceEssAnnual*AHA48/12+AHP48*PricePremAnnual*AHA48/12</f>
        <v/>
      </c>
      <c r="AHS48" s="9">
        <f>AHR48*12</f>
        <v/>
      </c>
      <c r="AHT48" s="12">
        <f>AHM48*PriceEssMonthly*AHA48+AHN48*PricePremMonthly*AHA48</f>
        <v/>
      </c>
      <c r="AHU48" s="12">
        <f>AHK48*PriceEssAnnual*AHA48+AHL48*PricePremAnnual*AHA48</f>
        <v/>
      </c>
      <c r="AHV48" s="12">
        <f>AHK36*POWER(1-(AnnualChurn*VLOOKUP(AGX48,ChurnSeasonTable,4,FALSE)),1)*PriceEssAnnual*AHA48+AHK24*POWER(1-(AnnualChurn*VLOOKUP(AGX48,ChurnSeasonTable,4,FALSE)),2)*PriceEssAnnual*AHA48+AHK12*POWER(1-(AnnualChurn*VLOOKUP(AGX48,ChurnSeasonTable,4,FALSE)),3)*PriceEssAnnual*AHA48+AHL36*POWER(1-(AnnualChurn*VLOOKUP(AGX48,ChurnSeasonTable,4,FALSE)),1)*PricePremAnnual*AHA48+AHL24*POWER(1-(AnnualChurn*VLOOKUP(AGX48,ChurnSeasonTable,4,FALSE)),2)*PricePremAnnual*AHA48+AHL12*POWER(1-(AnnualChurn*VLOOKUP(AGX48,ChurnSeasonTable,4,FALSE)),3)*PricePremAnnual*AHA48</f>
        <v/>
      </c>
      <c r="AHW48" s="9">
        <f>AHT48+AHU48+AHV48</f>
        <v/>
      </c>
      <c r="AHX48" s="12">
        <f>SUM(AHW37:AHW48)</f>
        <v/>
      </c>
      <c r="AHY48" s="12">
        <f>OR(AHY47,AHX48&gt;=VATThreshold)</f>
        <v/>
      </c>
      <c r="AHZ48" s="9">
        <f>IF(AHY48,AHW48/(1+VATRate),AHW48)</f>
        <v/>
      </c>
      <c r="AIA48" s="12">
        <f>AHW48-AHZ48</f>
        <v/>
      </c>
      <c r="AIB48" s="12">
        <f>IF(AHY48=0,0,IF(AGX48=1,SUMPRODUCT(--(($AGY$5:$AGY48=$AGY48-1)*($AGX$5:$AGX48&gt;=10)*($AGX$5:$AGX48&lt;=12)),$AIA$5:$AIA48),IF(AGX48=4,SUMPRODUCT(--(($AGY$5:$AGY48=$AGY48)*($AGX$5:$AGX48&gt;=1)*($AGX$5:$AGX48&lt;=3)),$AIA$5:$AIA48),IF(AGX48=7,SUMPRODUCT(--(($AGY$5:$AGY48=$AGY48)*($AGX$5:$AGX48&gt;=4)*($AGX$5:$AGX48&lt;=6)),$AIA$5:$AIA48),IF(AGX48=10,SUMPRODUCT(--(($AGY$5:$AGY48=$AGY48)*($AGX$5:$AGX48&gt;=7)*($AGX$5:$AGX48&lt;=9)),$AIA$5:$AIA48),0)))))</f>
        <v/>
      </c>
      <c r="AIC48" s="12">
        <f>AIC47+AIA48-AIB48</f>
        <v/>
      </c>
      <c r="AID48" s="12">
        <f>IF(ProviderDelay&gt;=1,AHZ47*ProviderShare,AHZ48*ProviderShare)</f>
        <v/>
      </c>
      <c r="AIE48" s="12">
        <f>AHW48*PaymentFee</f>
        <v/>
      </c>
      <c r="AIF48" s="12">
        <f>AHQ48*OpsAI</f>
        <v/>
      </c>
      <c r="AIG48" s="12">
        <f>MonthlyFixed</f>
        <v/>
      </c>
      <c r="AIH48" s="12">
        <f>AHE48*ReferralReward</f>
        <v/>
      </c>
      <c r="AII48" s="12">
        <f>AHC48</f>
        <v/>
      </c>
      <c r="AIJ48" s="9">
        <f>AHZ48-AID48-AIE48-AIF48-AIG48-AIH48-AII48</f>
        <v/>
      </c>
      <c r="AIK48" s="9">
        <f>AIK47+AHW48-(AID48+AIE48+AIF48+AIG48+AIH48+AII48+AIB48)</f>
        <v/>
      </c>
      <c r="AIL48" s="12">
        <f>IF(AHQ48&gt;0,AHR48/AHQ48,0)</f>
        <v/>
      </c>
      <c r="AIM48" s="11">
        <f>IF(AHQ47&gt;0,MAX(0,(AHQ47+AHF48-AHQ48)/AHQ47),0)</f>
        <v/>
      </c>
      <c r="AIO48" s="12" t="n">
        <v>44</v>
      </c>
      <c r="AIP48" s="12">
        <f>MOD(AIO48-1+LaunchMonth-1,12)+1</f>
        <v/>
      </c>
      <c r="AIQ48" s="12">
        <f>INT((AIO48-1+LaunchMonth-1)/12)+1</f>
        <v/>
      </c>
      <c r="AIR48" s="12">
        <f>VLOOKUP(AIP48,SeasonTable,2,FALSE)</f>
        <v/>
      </c>
      <c r="AIS48" s="12">
        <f>(1+InflationRate)^INT((AIO48-1)/12)</f>
        <v/>
      </c>
      <c r="AIT48" s="11">
        <f>MonthlyChurn*VLOOKUP(AIP48,ChurnSeasonTable,4,FALSE)</f>
        <v/>
      </c>
      <c r="AIU48" s="12">
        <f>MIN(MAX(MktMin19plus,AJO47*MktPct19plus),MAX(0,AKC47-CashBuffer))</f>
        <v/>
      </c>
      <c r="AIV48" s="12">
        <f>IF(AIU48&gt;0,MAX(1,ROUND(AIU48/'Sens - CAC &amp; Marketing'!$A$11*AIR48,0)),0)</f>
        <v/>
      </c>
      <c r="AIW48" s="12">
        <f>IF(AIV48&gt;0,ROUND(AIV48*ReferralMix/(1-ReferralMix),0),0)</f>
        <v/>
      </c>
      <c r="AIX48" s="12">
        <f>AIV48+AIW48</f>
        <v/>
      </c>
      <c r="AIY48" s="12">
        <f>ROUND(AIX48*(1-AnnualMix),0)</f>
        <v/>
      </c>
      <c r="AIZ48" s="12">
        <f>AIX48-AIY48</f>
        <v/>
      </c>
      <c r="AJA48" s="12">
        <f>ROUND(AIY48*EssentialMix,0)</f>
        <v/>
      </c>
      <c r="AJB48" s="12">
        <f>AIY48-AJA48</f>
        <v/>
      </c>
      <c r="AJC48" s="12">
        <f>ROUND(AIZ48*EssentialMix,0)</f>
        <v/>
      </c>
      <c r="AJD48" s="12">
        <f>AIZ48-AJC48</f>
        <v/>
      </c>
      <c r="AJE48" s="12">
        <f>AJA48+AJA47+AJA46+MAX(0,AJE47-AJA47-AJA46)*(1-AIT48)</f>
        <v/>
      </c>
      <c r="AJF48" s="12">
        <f>AJB48+AJB47+AJB46+MAX(0,AJF47-AJB47-AJB46)*(1-AIT48)</f>
        <v/>
      </c>
      <c r="AJG48" s="12">
        <f>AJG47+AJC48-AJC36*(AnnualChurn*VLOOKUP(AIP48,ChurnSeasonTable,4,FALSE))*POWER(1-(AnnualChurn*VLOOKUP(AIP48,ChurnSeasonTable,4,FALSE)),0)+AJC24*(AnnualChurn*VLOOKUP(AIP48,ChurnSeasonTable,4,FALSE))*POWER(1-(AnnualChurn*VLOOKUP(AIP48,ChurnSeasonTable,4,FALSE)),1)+AJC12*(AnnualChurn*VLOOKUP(AIP48,ChurnSeasonTable,4,FALSE))*POWER(1-(AnnualChurn*VLOOKUP(AIP48,ChurnSeasonTable,4,FALSE)),2)</f>
        <v/>
      </c>
      <c r="AJH48" s="12">
        <f>AJH47+AJD48-AJD36*(AnnualChurn*VLOOKUP(AIP48,ChurnSeasonTable,4,FALSE))*POWER(1-(AnnualChurn*VLOOKUP(AIP48,ChurnSeasonTable,4,FALSE)),0)+AJD24*(AnnualChurn*VLOOKUP(AIP48,ChurnSeasonTable,4,FALSE))*POWER(1-(AnnualChurn*VLOOKUP(AIP48,ChurnSeasonTable,4,FALSE)),1)+AJD12*(AnnualChurn*VLOOKUP(AIP48,ChurnSeasonTable,4,FALSE))*POWER(1-(AnnualChurn*VLOOKUP(AIP48,ChurnSeasonTable,4,FALSE)),2)</f>
        <v/>
      </c>
      <c r="AJI48" s="12">
        <f>AJE48+AJF48+AJG48+AJH48</f>
        <v/>
      </c>
      <c r="AJJ48" s="9">
        <f>AJE48*PriceEssMonthly*AIS48+AJF48*PricePremMonthly*AIS48+AJG48*PriceEssAnnual*AIS48/12+AJH48*PricePremAnnual*AIS48/12</f>
        <v/>
      </c>
      <c r="AJK48" s="9">
        <f>AJJ48*12</f>
        <v/>
      </c>
      <c r="AJL48" s="12">
        <f>AJE48*PriceEssMonthly*AIS48+AJF48*PricePremMonthly*AIS48</f>
        <v/>
      </c>
      <c r="AJM48" s="12">
        <f>AJC48*PriceEssAnnual*AIS48+AJD48*PricePremAnnual*AIS48</f>
        <v/>
      </c>
      <c r="AJN48" s="12">
        <f>AJC36*POWER(1-(AnnualChurn*VLOOKUP(AIP48,ChurnSeasonTable,4,FALSE)),1)*PriceEssAnnual*AIS48+AJC24*POWER(1-(AnnualChurn*VLOOKUP(AIP48,ChurnSeasonTable,4,FALSE)),2)*PriceEssAnnual*AIS48+AJC12*POWER(1-(AnnualChurn*VLOOKUP(AIP48,ChurnSeasonTable,4,FALSE)),3)*PriceEssAnnual*AIS48+AJD36*POWER(1-(AnnualChurn*VLOOKUP(AIP48,ChurnSeasonTable,4,FALSE)),1)*PricePremAnnual*AIS48+AJD24*POWER(1-(AnnualChurn*VLOOKUP(AIP48,ChurnSeasonTable,4,FALSE)),2)*PricePremAnnual*AIS48+AJD12*POWER(1-(AnnualChurn*VLOOKUP(AIP48,ChurnSeasonTable,4,FALSE)),3)*PricePremAnnual*AIS48</f>
        <v/>
      </c>
      <c r="AJO48" s="9">
        <f>AJL48+AJM48+AJN48</f>
        <v/>
      </c>
      <c r="AJP48" s="12">
        <f>SUM(AJO37:AJO48)</f>
        <v/>
      </c>
      <c r="AJQ48" s="12">
        <f>OR(AJQ47,AJP48&gt;=VATThreshold)</f>
        <v/>
      </c>
      <c r="AJR48" s="9">
        <f>IF(AJQ48,AJO48/(1+VATRate),AJO48)</f>
        <v/>
      </c>
      <c r="AJS48" s="12">
        <f>AJO48-AJR48</f>
        <v/>
      </c>
      <c r="AJT48" s="12">
        <f>IF(AJQ48=0,0,IF(AIP48=1,SUMPRODUCT(--(($AIQ$5:$AIQ48=$AIQ48-1)*($AIP$5:$AIP48&gt;=10)*($AIP$5:$AIP48&lt;=12)),$AJS$5:$AJS48),IF(AIP48=4,SUMPRODUCT(--(($AIQ$5:$AIQ48=$AIQ48)*($AIP$5:$AIP48&gt;=1)*($AIP$5:$AIP48&lt;=3)),$AJS$5:$AJS48),IF(AIP48=7,SUMPRODUCT(--(($AIQ$5:$AIQ48=$AIQ48)*($AIP$5:$AIP48&gt;=4)*($AIP$5:$AIP48&lt;=6)),$AJS$5:$AJS48),IF(AIP48=10,SUMPRODUCT(--(($AIQ$5:$AIQ48=$AIQ48)*($AIP$5:$AIP48&gt;=7)*($AIP$5:$AIP48&lt;=9)),$AJS$5:$AJS48),0)))))</f>
        <v/>
      </c>
      <c r="AJU48" s="12">
        <f>AJU47+AJS48-AJT48</f>
        <v/>
      </c>
      <c r="AJV48" s="12">
        <f>IF(ProviderDelay&gt;=1,AJR47*ProviderShare,AJR48*ProviderShare)</f>
        <v/>
      </c>
      <c r="AJW48" s="12">
        <f>AJO48*PaymentFee</f>
        <v/>
      </c>
      <c r="AJX48" s="12">
        <f>AJI48*OpsAI</f>
        <v/>
      </c>
      <c r="AJY48" s="12">
        <f>MonthlyFixed</f>
        <v/>
      </c>
      <c r="AJZ48" s="12">
        <f>AIW48*ReferralReward</f>
        <v/>
      </c>
      <c r="AKA48" s="12">
        <f>AIU48</f>
        <v/>
      </c>
      <c r="AKB48" s="9">
        <f>AJR48-AJV48-AJW48-AJX48-AJY48-AJZ48-AKA48</f>
        <v/>
      </c>
      <c r="AKC48" s="9">
        <f>AKC47+AJO48-(AJV48+AJW48+AJX48+AJY48+AJZ48+AKA48+AJT48)</f>
        <v/>
      </c>
      <c r="AKD48" s="12">
        <f>IF(AJI48&gt;0,AJJ48/AJI48,0)</f>
        <v/>
      </c>
      <c r="AKE48" s="11">
        <f>IF(AJI47&gt;0,MAX(0,(AJI47+AIX48-AJI48)/AJI47),0)</f>
        <v/>
      </c>
      <c r="AKG48" s="12" t="n">
        <v>44</v>
      </c>
      <c r="AKH48" s="12">
        <f>MOD(AKG48-1+LaunchMonth-1,12)+1</f>
        <v/>
      </c>
      <c r="AKI48" s="12">
        <f>INT((AKG48-1+LaunchMonth-1)/12)+1</f>
        <v/>
      </c>
      <c r="AKJ48" s="12">
        <f>VLOOKUP(AKH48,SeasonTable,2,FALSE)</f>
        <v/>
      </c>
      <c r="AKK48" s="12">
        <f>(1+InflationRate)^INT((AKG48-1)/12)</f>
        <v/>
      </c>
      <c r="AKL48" s="11">
        <f>MonthlyChurn*VLOOKUP(AKH48,ChurnSeasonTable,4,FALSE)</f>
        <v/>
      </c>
      <c r="AKM48" s="12">
        <f>MIN(MAX(MktMin19plus,ALG47*MktPct19plus),MAX(0,ALU47-CashBuffer))</f>
        <v/>
      </c>
      <c r="AKN48" s="12">
        <f>IF(AKM48&gt;0,MAX(1,ROUND(AKM48/'Sens - CAC &amp; Marketing'!$A$12*AKJ48,0)),0)</f>
        <v/>
      </c>
      <c r="AKO48" s="12">
        <f>IF(AKN48&gt;0,ROUND(AKN48*ReferralMix/(1-ReferralMix),0),0)</f>
        <v/>
      </c>
      <c r="AKP48" s="12">
        <f>AKN48+AKO48</f>
        <v/>
      </c>
      <c r="AKQ48" s="12">
        <f>ROUND(AKP48*(1-AnnualMix),0)</f>
        <v/>
      </c>
      <c r="AKR48" s="12">
        <f>AKP48-AKQ48</f>
        <v/>
      </c>
      <c r="AKS48" s="12">
        <f>ROUND(AKQ48*EssentialMix,0)</f>
        <v/>
      </c>
      <c r="AKT48" s="12">
        <f>AKQ48-AKS48</f>
        <v/>
      </c>
      <c r="AKU48" s="12">
        <f>ROUND(AKR48*EssentialMix,0)</f>
        <v/>
      </c>
      <c r="AKV48" s="12">
        <f>AKR48-AKU48</f>
        <v/>
      </c>
      <c r="AKW48" s="12">
        <f>AKS48+AKS47+AKS46+MAX(0,AKW47-AKS47-AKS46)*(1-AKL48)</f>
        <v/>
      </c>
      <c r="AKX48" s="12">
        <f>AKT48+AKT47+AKT46+MAX(0,AKX47-AKT47-AKT46)*(1-AKL48)</f>
        <v/>
      </c>
      <c r="AKY48" s="12">
        <f>AKY47+AKU48-AKU36*(AnnualChurn*VLOOKUP(AKH48,ChurnSeasonTable,4,FALSE))*POWER(1-(AnnualChurn*VLOOKUP(AKH48,ChurnSeasonTable,4,FALSE)),0)+AKU24*(AnnualChurn*VLOOKUP(AKH48,ChurnSeasonTable,4,FALSE))*POWER(1-(AnnualChurn*VLOOKUP(AKH48,ChurnSeasonTable,4,FALSE)),1)+AKU12*(AnnualChurn*VLOOKUP(AKH48,ChurnSeasonTable,4,FALSE))*POWER(1-(AnnualChurn*VLOOKUP(AKH48,ChurnSeasonTable,4,FALSE)),2)</f>
        <v/>
      </c>
      <c r="AKZ48" s="12">
        <f>AKZ47+AKV48-AKV36*(AnnualChurn*VLOOKUP(AKH48,ChurnSeasonTable,4,FALSE))*POWER(1-(AnnualChurn*VLOOKUP(AKH48,ChurnSeasonTable,4,FALSE)),0)+AKV24*(AnnualChurn*VLOOKUP(AKH48,ChurnSeasonTable,4,FALSE))*POWER(1-(AnnualChurn*VLOOKUP(AKH48,ChurnSeasonTable,4,FALSE)),1)+AKV12*(AnnualChurn*VLOOKUP(AKH48,ChurnSeasonTable,4,FALSE))*POWER(1-(AnnualChurn*VLOOKUP(AKH48,ChurnSeasonTable,4,FALSE)),2)</f>
        <v/>
      </c>
      <c r="ALA48" s="12">
        <f>AKW48+AKX48+AKY48+AKZ48</f>
        <v/>
      </c>
      <c r="ALB48" s="9">
        <f>AKW48*PriceEssMonthly*AKK48+AKX48*PricePremMonthly*AKK48+AKY48*PriceEssAnnual*AKK48/12+AKZ48*PricePremAnnual*AKK48/12</f>
        <v/>
      </c>
      <c r="ALC48" s="9">
        <f>ALB48*12</f>
        <v/>
      </c>
      <c r="ALD48" s="12">
        <f>AKW48*PriceEssMonthly*AKK48+AKX48*PricePremMonthly*AKK48</f>
        <v/>
      </c>
      <c r="ALE48" s="12">
        <f>AKU48*PriceEssAnnual*AKK48+AKV48*PricePremAnnual*AKK48</f>
        <v/>
      </c>
      <c r="ALF48" s="12">
        <f>AKU36*POWER(1-(AnnualChurn*VLOOKUP(AKH48,ChurnSeasonTable,4,FALSE)),1)*PriceEssAnnual*AKK48+AKU24*POWER(1-(AnnualChurn*VLOOKUP(AKH48,ChurnSeasonTable,4,FALSE)),2)*PriceEssAnnual*AKK48+AKU12*POWER(1-(AnnualChurn*VLOOKUP(AKH48,ChurnSeasonTable,4,FALSE)),3)*PriceEssAnnual*AKK48+AKV36*POWER(1-(AnnualChurn*VLOOKUP(AKH48,ChurnSeasonTable,4,FALSE)),1)*PricePremAnnual*AKK48+AKV24*POWER(1-(AnnualChurn*VLOOKUP(AKH48,ChurnSeasonTable,4,FALSE)),2)*PricePremAnnual*AKK48+AKV12*POWER(1-(AnnualChurn*VLOOKUP(AKH48,ChurnSeasonTable,4,FALSE)),3)*PricePremAnnual*AKK48</f>
        <v/>
      </c>
      <c r="ALG48" s="9">
        <f>ALD48+ALE48+ALF48</f>
        <v/>
      </c>
      <c r="ALH48" s="12">
        <f>SUM(ALG37:ALG48)</f>
        <v/>
      </c>
      <c r="ALI48" s="12">
        <f>OR(ALI47,ALH48&gt;=VATThreshold)</f>
        <v/>
      </c>
      <c r="ALJ48" s="9">
        <f>IF(ALI48,ALG48/(1+VATRate),ALG48)</f>
        <v/>
      </c>
      <c r="ALK48" s="12">
        <f>ALG48-ALJ48</f>
        <v/>
      </c>
      <c r="ALL48" s="12">
        <f>IF(ALI48=0,0,IF(AKH48=1,SUMPRODUCT(--(($AKI$5:$AKI48=$AKI48-1)*($AKH$5:$AKH48&gt;=10)*($AKH$5:$AKH48&lt;=12)),$ALK$5:$ALK48),IF(AKH48=4,SUMPRODUCT(--(($AKI$5:$AKI48=$AKI48)*($AKH$5:$AKH48&gt;=1)*($AKH$5:$AKH48&lt;=3)),$ALK$5:$ALK48),IF(AKH48=7,SUMPRODUCT(--(($AKI$5:$AKI48=$AKI48)*($AKH$5:$AKH48&gt;=4)*($AKH$5:$AKH48&lt;=6)),$ALK$5:$ALK48),IF(AKH48=10,SUMPRODUCT(--(($AKI$5:$AKI48=$AKI48)*($AKH$5:$AKH48&gt;=7)*($AKH$5:$AKH48&lt;=9)),$ALK$5:$ALK48),0)))))</f>
        <v/>
      </c>
      <c r="ALM48" s="12">
        <f>ALM47+ALK48-ALL48</f>
        <v/>
      </c>
      <c r="ALN48" s="12">
        <f>IF(ProviderDelay&gt;=1,ALJ47*ProviderShare,ALJ48*ProviderShare)</f>
        <v/>
      </c>
      <c r="ALO48" s="12">
        <f>ALG48*PaymentFee</f>
        <v/>
      </c>
      <c r="ALP48" s="12">
        <f>ALA48*OpsAI</f>
        <v/>
      </c>
      <c r="ALQ48" s="12">
        <f>MonthlyFixed</f>
        <v/>
      </c>
      <c r="ALR48" s="12">
        <f>AKO48*ReferralReward</f>
        <v/>
      </c>
      <c r="ALS48" s="12">
        <f>AKM48</f>
        <v/>
      </c>
      <c r="ALT48" s="9">
        <f>ALJ48-ALN48-ALO48-ALP48-ALQ48-ALR48-ALS48</f>
        <v/>
      </c>
      <c r="ALU48" s="9">
        <f>ALU47+ALG48-(ALN48+ALO48+ALP48+ALQ48+ALR48+ALS48+ALL48)</f>
        <v/>
      </c>
      <c r="ALV48" s="12">
        <f>IF(ALA48&gt;0,ALB48/ALA48,0)</f>
        <v/>
      </c>
      <c r="ALW48" s="11">
        <f>IF(ALA47&gt;0,MAX(0,(ALA47+AKP48-ALA48)/ALA47),0)</f>
        <v/>
      </c>
      <c r="ALY48" s="12" t="n">
        <v>44</v>
      </c>
      <c r="ALZ48" s="12">
        <f>MOD(ALY48-1+LaunchMonth-1,12)+1</f>
        <v/>
      </c>
      <c r="AMA48" s="12">
        <f>INT((ALY48-1+LaunchMonth-1)/12)+1</f>
        <v/>
      </c>
      <c r="AMB48" s="12">
        <f>VLOOKUP(ALZ48,SeasonTable,2,FALSE)</f>
        <v/>
      </c>
      <c r="AMC48" s="12">
        <f>(1+InflationRate)^INT((ALY48-1)/12)</f>
        <v/>
      </c>
      <c r="AMD48" s="11">
        <f>MonthlyChurn*VLOOKUP(ALZ48,ChurnSeasonTable,4,FALSE)</f>
        <v/>
      </c>
      <c r="AME48" s="12">
        <f>MIN(MAX(MktMin19plus,AMY47*MktPct19plus),MAX(0,ANM47-CashBuffer))</f>
        <v/>
      </c>
      <c r="AMF48" s="12">
        <f>IF(AME48&gt;0,MAX(1,ROUND(AME48/'Sens - CAC &amp; Marketing'!$A$13*AMB48,0)),0)</f>
        <v/>
      </c>
      <c r="AMG48" s="12">
        <f>IF(AMF48&gt;0,ROUND(AMF48*ReferralMix/(1-ReferralMix),0),0)</f>
        <v/>
      </c>
      <c r="AMH48" s="12">
        <f>AMF48+AMG48</f>
        <v/>
      </c>
      <c r="AMI48" s="12">
        <f>ROUND(AMH48*(1-AnnualMix),0)</f>
        <v/>
      </c>
      <c r="AMJ48" s="12">
        <f>AMH48-AMI48</f>
        <v/>
      </c>
      <c r="AMK48" s="12">
        <f>ROUND(AMI48*EssentialMix,0)</f>
        <v/>
      </c>
      <c r="AML48" s="12">
        <f>AMI48-AMK48</f>
        <v/>
      </c>
      <c r="AMM48" s="12">
        <f>ROUND(AMJ48*EssentialMix,0)</f>
        <v/>
      </c>
      <c r="AMN48" s="12">
        <f>AMJ48-AMM48</f>
        <v/>
      </c>
      <c r="AMO48" s="12">
        <f>AMK48+AMK47+AMK46+MAX(0,AMO47-AMK47-AMK46)*(1-AMD48)</f>
        <v/>
      </c>
      <c r="AMP48" s="12">
        <f>AML48+AML47+AML46+MAX(0,AMP47-AML47-AML46)*(1-AMD48)</f>
        <v/>
      </c>
      <c r="AMQ48" s="12">
        <f>AMQ47+AMM48-AMM36*(AnnualChurn*VLOOKUP(ALZ48,ChurnSeasonTable,4,FALSE))*POWER(1-(AnnualChurn*VLOOKUP(ALZ48,ChurnSeasonTable,4,FALSE)),0)+AMM24*(AnnualChurn*VLOOKUP(ALZ48,ChurnSeasonTable,4,FALSE))*POWER(1-(AnnualChurn*VLOOKUP(ALZ48,ChurnSeasonTable,4,FALSE)),1)+AMM12*(AnnualChurn*VLOOKUP(ALZ48,ChurnSeasonTable,4,FALSE))*POWER(1-(AnnualChurn*VLOOKUP(ALZ48,ChurnSeasonTable,4,FALSE)),2)</f>
        <v/>
      </c>
      <c r="AMR48" s="12">
        <f>AMR47+AMN48-AMN36*(AnnualChurn*VLOOKUP(ALZ48,ChurnSeasonTable,4,FALSE))*POWER(1-(AnnualChurn*VLOOKUP(ALZ48,ChurnSeasonTable,4,FALSE)),0)+AMN24*(AnnualChurn*VLOOKUP(ALZ48,ChurnSeasonTable,4,FALSE))*POWER(1-(AnnualChurn*VLOOKUP(ALZ48,ChurnSeasonTable,4,FALSE)),1)+AMN12*(AnnualChurn*VLOOKUP(ALZ48,ChurnSeasonTable,4,FALSE))*POWER(1-(AnnualChurn*VLOOKUP(ALZ48,ChurnSeasonTable,4,FALSE)),2)</f>
        <v/>
      </c>
      <c r="AMS48" s="12">
        <f>AMO48+AMP48+AMQ48+AMR48</f>
        <v/>
      </c>
      <c r="AMT48" s="9">
        <f>AMO48*PriceEssMonthly*AMC48+AMP48*PricePremMonthly*AMC48+AMQ48*PriceEssAnnual*AMC48/12+AMR48*PricePremAnnual*AMC48/12</f>
        <v/>
      </c>
      <c r="AMU48" s="9">
        <f>AMT48*12</f>
        <v/>
      </c>
      <c r="AMV48" s="12">
        <f>AMO48*PriceEssMonthly*AMC48+AMP48*PricePremMonthly*AMC48</f>
        <v/>
      </c>
      <c r="AMW48" s="12">
        <f>AMM48*PriceEssAnnual*AMC48+AMN48*PricePremAnnual*AMC48</f>
        <v/>
      </c>
      <c r="AMX48" s="12">
        <f>AMM36*POWER(1-(AnnualChurn*VLOOKUP(ALZ48,ChurnSeasonTable,4,FALSE)),1)*PriceEssAnnual*AMC48+AMM24*POWER(1-(AnnualChurn*VLOOKUP(ALZ48,ChurnSeasonTable,4,FALSE)),2)*PriceEssAnnual*AMC48+AMM12*POWER(1-(AnnualChurn*VLOOKUP(ALZ48,ChurnSeasonTable,4,FALSE)),3)*PriceEssAnnual*AMC48+AMN36*POWER(1-(AnnualChurn*VLOOKUP(ALZ48,ChurnSeasonTable,4,FALSE)),1)*PricePremAnnual*AMC48+AMN24*POWER(1-(AnnualChurn*VLOOKUP(ALZ48,ChurnSeasonTable,4,FALSE)),2)*PricePremAnnual*AMC48+AMN12*POWER(1-(AnnualChurn*VLOOKUP(ALZ48,ChurnSeasonTable,4,FALSE)),3)*PricePremAnnual*AMC48</f>
        <v/>
      </c>
      <c r="AMY48" s="9">
        <f>AMV48+AMW48+AMX48</f>
        <v/>
      </c>
      <c r="AMZ48" s="12">
        <f>SUM(AMY37:AMY48)</f>
        <v/>
      </c>
      <c r="ANA48" s="12">
        <f>OR(ANA47,AMZ48&gt;=VATThreshold)</f>
        <v/>
      </c>
      <c r="ANB48" s="9">
        <f>IF(ANA48,AMY48/(1+VATRate),AMY48)</f>
        <v/>
      </c>
      <c r="ANC48" s="12">
        <f>AMY48-ANB48</f>
        <v/>
      </c>
      <c r="AND48" s="12">
        <f>IF(ANA48=0,0,IF(ALZ48=1,SUMPRODUCT(--(($AMA$5:$AMA48=$AMA48-1)*($ALZ$5:$ALZ48&gt;=10)*($ALZ$5:$ALZ48&lt;=12)),$ANC$5:$ANC48),IF(ALZ48=4,SUMPRODUCT(--(($AMA$5:$AMA48=$AMA48)*($ALZ$5:$ALZ48&gt;=1)*($ALZ$5:$ALZ48&lt;=3)),$ANC$5:$ANC48),IF(ALZ48=7,SUMPRODUCT(--(($AMA$5:$AMA48=$AMA48)*($ALZ$5:$ALZ48&gt;=4)*($ALZ$5:$ALZ48&lt;=6)),$ANC$5:$ANC48),IF(ALZ48=10,SUMPRODUCT(--(($AMA$5:$AMA48=$AMA48)*($ALZ$5:$ALZ48&gt;=7)*($ALZ$5:$ALZ48&lt;=9)),$ANC$5:$ANC48),0)))))</f>
        <v/>
      </c>
      <c r="ANE48" s="12">
        <f>ANE47+ANC48-AND48</f>
        <v/>
      </c>
      <c r="ANF48" s="12">
        <f>IF(ProviderDelay&gt;=1,ANB47*ProviderShare,ANB48*ProviderShare)</f>
        <v/>
      </c>
      <c r="ANG48" s="12">
        <f>AMY48*PaymentFee</f>
        <v/>
      </c>
      <c r="ANH48" s="12">
        <f>AMS48*OpsAI</f>
        <v/>
      </c>
      <c r="ANI48" s="12">
        <f>MonthlyFixed</f>
        <v/>
      </c>
      <c r="ANJ48" s="12">
        <f>AMG48*ReferralReward</f>
        <v/>
      </c>
      <c r="ANK48" s="12">
        <f>AME48</f>
        <v/>
      </c>
      <c r="ANL48" s="9">
        <f>ANB48-ANF48-ANG48-ANH48-ANI48-ANJ48-ANK48</f>
        <v/>
      </c>
      <c r="ANM48" s="9">
        <f>ANM47+AMY48-(ANF48+ANG48+ANH48+ANI48+ANJ48+ANK48+AND48)</f>
        <v/>
      </c>
      <c r="ANN48" s="12">
        <f>IF(AMS48&gt;0,AMT48/AMS48,0)</f>
        <v/>
      </c>
      <c r="ANO48" s="11">
        <f>IF(AMS47&gt;0,MAX(0,(AMS47+AMH48-AMS48)/AMS47),0)</f>
        <v/>
      </c>
      <c r="ANQ48" s="12" t="n">
        <v>44</v>
      </c>
      <c r="ANR48" s="12">
        <f>MOD(ANQ48-1+LaunchMonth-1,12)+1</f>
        <v/>
      </c>
      <c r="ANS48" s="12">
        <f>INT((ANQ48-1+LaunchMonth-1)/12)+1</f>
        <v/>
      </c>
      <c r="ANT48" s="12">
        <f>VLOOKUP(ANR48,SeasonTable,2,FALSE)</f>
        <v/>
      </c>
      <c r="ANU48" s="12">
        <f>(1+InflationRate)^INT((ANQ48-1)/12)</f>
        <v/>
      </c>
      <c r="ANV48" s="11">
        <f>MonthlyChurn*VLOOKUP(ANR48,ChurnSeasonTable,4,FALSE)</f>
        <v/>
      </c>
      <c r="ANW48" s="12">
        <f>MIN(MAX(MktMin19plus,AOQ47*MktPct19plus),MAX(0,APE47-CashBuffer))</f>
        <v/>
      </c>
      <c r="ANX48" s="12">
        <f>IF(ANW48&gt;0,MAX(1,ROUND(ANW48/'Sens - CAC &amp; Marketing'!$A$14*ANT48,0)),0)</f>
        <v/>
      </c>
      <c r="ANY48" s="12">
        <f>IF(ANX48&gt;0,ROUND(ANX48*ReferralMix/(1-ReferralMix),0),0)</f>
        <v/>
      </c>
      <c r="ANZ48" s="12">
        <f>ANX48+ANY48</f>
        <v/>
      </c>
      <c r="AOA48" s="12">
        <f>ROUND(ANZ48*(1-AnnualMix),0)</f>
        <v/>
      </c>
      <c r="AOB48" s="12">
        <f>ANZ48-AOA48</f>
        <v/>
      </c>
      <c r="AOC48" s="12">
        <f>ROUND(AOA48*EssentialMix,0)</f>
        <v/>
      </c>
      <c r="AOD48" s="12">
        <f>AOA48-AOC48</f>
        <v/>
      </c>
      <c r="AOE48" s="12">
        <f>ROUND(AOB48*EssentialMix,0)</f>
        <v/>
      </c>
      <c r="AOF48" s="12">
        <f>AOB48-AOE48</f>
        <v/>
      </c>
      <c r="AOG48" s="12">
        <f>AOC48+AOC47+AOC46+MAX(0,AOG47-AOC47-AOC46)*(1-ANV48)</f>
        <v/>
      </c>
      <c r="AOH48" s="12">
        <f>AOD48+AOD47+AOD46+MAX(0,AOH47-AOD47-AOD46)*(1-ANV48)</f>
        <v/>
      </c>
      <c r="AOI48" s="12">
        <f>AOI47+AOE48-AOE36*(AnnualChurn*VLOOKUP(ANR48,ChurnSeasonTable,4,FALSE))*POWER(1-(AnnualChurn*VLOOKUP(ANR48,ChurnSeasonTable,4,FALSE)),0)+AOE24*(AnnualChurn*VLOOKUP(ANR48,ChurnSeasonTable,4,FALSE))*POWER(1-(AnnualChurn*VLOOKUP(ANR48,ChurnSeasonTable,4,FALSE)),1)+AOE12*(AnnualChurn*VLOOKUP(ANR48,ChurnSeasonTable,4,FALSE))*POWER(1-(AnnualChurn*VLOOKUP(ANR48,ChurnSeasonTable,4,FALSE)),2)</f>
        <v/>
      </c>
      <c r="AOJ48" s="12">
        <f>AOJ47+AOF48-AOF36*(AnnualChurn*VLOOKUP(ANR48,ChurnSeasonTable,4,FALSE))*POWER(1-(AnnualChurn*VLOOKUP(ANR48,ChurnSeasonTable,4,FALSE)),0)+AOF24*(AnnualChurn*VLOOKUP(ANR48,ChurnSeasonTable,4,FALSE))*POWER(1-(AnnualChurn*VLOOKUP(ANR48,ChurnSeasonTable,4,FALSE)),1)+AOF12*(AnnualChurn*VLOOKUP(ANR48,ChurnSeasonTable,4,FALSE))*POWER(1-(AnnualChurn*VLOOKUP(ANR48,ChurnSeasonTable,4,FALSE)),2)</f>
        <v/>
      </c>
      <c r="AOK48" s="12">
        <f>AOG48+AOH48+AOI48+AOJ48</f>
        <v/>
      </c>
      <c r="AOL48" s="9">
        <f>AOG48*PriceEssMonthly*ANU48+AOH48*PricePremMonthly*ANU48+AOI48*PriceEssAnnual*ANU48/12+AOJ48*PricePremAnnual*ANU48/12</f>
        <v/>
      </c>
      <c r="AOM48" s="9">
        <f>AOL48*12</f>
        <v/>
      </c>
      <c r="AON48" s="12">
        <f>AOG48*PriceEssMonthly*ANU48+AOH48*PricePremMonthly*ANU48</f>
        <v/>
      </c>
      <c r="AOO48" s="12">
        <f>AOE48*PriceEssAnnual*ANU48+AOF48*PricePremAnnual*ANU48</f>
        <v/>
      </c>
      <c r="AOP48" s="12">
        <f>AOE36*POWER(1-(AnnualChurn*VLOOKUP(ANR48,ChurnSeasonTable,4,FALSE)),1)*PriceEssAnnual*ANU48+AOE24*POWER(1-(AnnualChurn*VLOOKUP(ANR48,ChurnSeasonTable,4,FALSE)),2)*PriceEssAnnual*ANU48+AOE12*POWER(1-(AnnualChurn*VLOOKUP(ANR48,ChurnSeasonTable,4,FALSE)),3)*PriceEssAnnual*ANU48+AOF36*POWER(1-(AnnualChurn*VLOOKUP(ANR48,ChurnSeasonTable,4,FALSE)),1)*PricePremAnnual*ANU48+AOF24*POWER(1-(AnnualChurn*VLOOKUP(ANR48,ChurnSeasonTable,4,FALSE)),2)*PricePremAnnual*ANU48+AOF12*POWER(1-(AnnualChurn*VLOOKUP(ANR48,ChurnSeasonTable,4,FALSE)),3)*PricePremAnnual*ANU48</f>
        <v/>
      </c>
      <c r="AOQ48" s="9">
        <f>AON48+AOO48+AOP48</f>
        <v/>
      </c>
      <c r="AOR48" s="12">
        <f>SUM(AOQ37:AOQ48)</f>
        <v/>
      </c>
      <c r="AOS48" s="12">
        <f>OR(AOS47,AOR48&gt;=VATThreshold)</f>
        <v/>
      </c>
      <c r="AOT48" s="9">
        <f>IF(AOS48,AOQ48/(1+VATRate),AOQ48)</f>
        <v/>
      </c>
      <c r="AOU48" s="12">
        <f>AOQ48-AOT48</f>
        <v/>
      </c>
      <c r="AOV48" s="12">
        <f>IF(AOS48=0,0,IF(ANR48=1,SUMPRODUCT(--(($ANS$5:$ANS48=$ANS48-1)*($ANR$5:$ANR48&gt;=10)*($ANR$5:$ANR48&lt;=12)),$AOU$5:$AOU48),IF(ANR48=4,SUMPRODUCT(--(($ANS$5:$ANS48=$ANS48)*($ANR$5:$ANR48&gt;=1)*($ANR$5:$ANR48&lt;=3)),$AOU$5:$AOU48),IF(ANR48=7,SUMPRODUCT(--(($ANS$5:$ANS48=$ANS48)*($ANR$5:$ANR48&gt;=4)*($ANR$5:$ANR48&lt;=6)),$AOU$5:$AOU48),IF(ANR48=10,SUMPRODUCT(--(($ANS$5:$ANS48=$ANS48)*($ANR$5:$ANR48&gt;=7)*($ANR$5:$ANR48&lt;=9)),$AOU$5:$AOU48),0)))))</f>
        <v/>
      </c>
      <c r="AOW48" s="12">
        <f>AOW47+AOU48-AOV48</f>
        <v/>
      </c>
      <c r="AOX48" s="12">
        <f>IF(ProviderDelay&gt;=1,AOT47*ProviderShare,AOT48*ProviderShare)</f>
        <v/>
      </c>
      <c r="AOY48" s="12">
        <f>AOQ48*PaymentFee</f>
        <v/>
      </c>
      <c r="AOZ48" s="12">
        <f>AOK48*OpsAI</f>
        <v/>
      </c>
      <c r="APA48" s="12">
        <f>MonthlyFixed</f>
        <v/>
      </c>
      <c r="APB48" s="12">
        <f>ANY48*ReferralReward</f>
        <v/>
      </c>
      <c r="APC48" s="12">
        <f>ANW48</f>
        <v/>
      </c>
      <c r="APD48" s="9">
        <f>AOT48-AOX48-AOY48-AOZ48-APA48-APB48-APC48</f>
        <v/>
      </c>
      <c r="APE48" s="9">
        <f>APE47+AOQ48-(AOX48+AOY48+AOZ48+APA48+APB48+APC48+AOV48)</f>
        <v/>
      </c>
      <c r="APF48" s="12">
        <f>IF(AOK48&gt;0,AOL48/AOK48,0)</f>
        <v/>
      </c>
      <c r="APG48" s="11">
        <f>IF(AOK47&gt;0,MAX(0,(AOK47+ANZ48-AOK48)/AOK47),0)</f>
        <v/>
      </c>
      <c r="API48" s="12" t="n">
        <v>44</v>
      </c>
      <c r="APJ48" s="12">
        <f>MOD(API48-1+LaunchMonth-1,12)+1</f>
        <v/>
      </c>
      <c r="APK48" s="12">
        <f>INT((API48-1+LaunchMonth-1)/12)+1</f>
        <v/>
      </c>
      <c r="APL48" s="12">
        <f>VLOOKUP(APJ48,SeasonTable,2,FALSE)</f>
        <v/>
      </c>
      <c r="APM48" s="12">
        <f>(1+InflationRate)^INT((API48-1)/12)</f>
        <v/>
      </c>
      <c r="APN48" s="11">
        <f>MonthlyChurn*VLOOKUP(APJ48,ChurnSeasonTable,4,FALSE)</f>
        <v/>
      </c>
      <c r="APO48" s="12">
        <f>MIN(MAX(MktMin19plus,AQI47*MktPct19plus),MAX(0,AQW47-CashBuffer))</f>
        <v/>
      </c>
      <c r="APP48" s="12">
        <f>IF(APO48&gt;0,MAX(1,ROUND(APO48/'Sens - CAC &amp; Marketing'!$A$15*APL48,0)),0)</f>
        <v/>
      </c>
      <c r="APQ48" s="12">
        <f>IF(APP48&gt;0,ROUND(APP48*ReferralMix/(1-ReferralMix),0),0)</f>
        <v/>
      </c>
      <c r="APR48" s="12">
        <f>APP48+APQ48</f>
        <v/>
      </c>
      <c r="APS48" s="12">
        <f>ROUND(APR48*(1-AnnualMix),0)</f>
        <v/>
      </c>
      <c r="APT48" s="12">
        <f>APR48-APS48</f>
        <v/>
      </c>
      <c r="APU48" s="12">
        <f>ROUND(APS48*EssentialMix,0)</f>
        <v/>
      </c>
      <c r="APV48" s="12">
        <f>APS48-APU48</f>
        <v/>
      </c>
      <c r="APW48" s="12">
        <f>ROUND(APT48*EssentialMix,0)</f>
        <v/>
      </c>
      <c r="APX48" s="12">
        <f>APT48-APW48</f>
        <v/>
      </c>
      <c r="APY48" s="12">
        <f>APU48+APU47+APU46+MAX(0,APY47-APU47-APU46)*(1-APN48)</f>
        <v/>
      </c>
      <c r="APZ48" s="12">
        <f>APV48+APV47+APV46+MAX(0,APZ47-APV47-APV46)*(1-APN48)</f>
        <v/>
      </c>
      <c r="AQA48" s="12">
        <f>AQA47+APW48-APW36*(AnnualChurn*VLOOKUP(APJ48,ChurnSeasonTable,4,FALSE))*POWER(1-(AnnualChurn*VLOOKUP(APJ48,ChurnSeasonTable,4,FALSE)),0)+APW24*(AnnualChurn*VLOOKUP(APJ48,ChurnSeasonTable,4,FALSE))*POWER(1-(AnnualChurn*VLOOKUP(APJ48,ChurnSeasonTable,4,FALSE)),1)+APW12*(AnnualChurn*VLOOKUP(APJ48,ChurnSeasonTable,4,FALSE))*POWER(1-(AnnualChurn*VLOOKUP(APJ48,ChurnSeasonTable,4,FALSE)),2)</f>
        <v/>
      </c>
      <c r="AQB48" s="12">
        <f>AQB47+APX48-APX36*(AnnualChurn*VLOOKUP(APJ48,ChurnSeasonTable,4,FALSE))*POWER(1-(AnnualChurn*VLOOKUP(APJ48,ChurnSeasonTable,4,FALSE)),0)+APX24*(AnnualChurn*VLOOKUP(APJ48,ChurnSeasonTable,4,FALSE))*POWER(1-(AnnualChurn*VLOOKUP(APJ48,ChurnSeasonTable,4,FALSE)),1)+APX12*(AnnualChurn*VLOOKUP(APJ48,ChurnSeasonTable,4,FALSE))*POWER(1-(AnnualChurn*VLOOKUP(APJ48,ChurnSeasonTable,4,FALSE)),2)</f>
        <v/>
      </c>
      <c r="AQC48" s="12">
        <f>APY48+APZ48+AQA48+AQB48</f>
        <v/>
      </c>
      <c r="AQD48" s="9">
        <f>APY48*PriceEssMonthly*APM48+APZ48*PricePremMonthly*APM48+AQA48*PriceEssAnnual*APM48/12+AQB48*PricePremAnnual*APM48/12</f>
        <v/>
      </c>
      <c r="AQE48" s="9">
        <f>AQD48*12</f>
        <v/>
      </c>
      <c r="AQF48" s="12">
        <f>APY48*PriceEssMonthly*APM48+APZ48*PricePremMonthly*APM48</f>
        <v/>
      </c>
      <c r="AQG48" s="12">
        <f>APW48*PriceEssAnnual*APM48+APX48*PricePremAnnual*APM48</f>
        <v/>
      </c>
      <c r="AQH48" s="12">
        <f>APW36*POWER(1-(AnnualChurn*VLOOKUP(APJ48,ChurnSeasonTable,4,FALSE)),1)*PriceEssAnnual*APM48+APW24*POWER(1-(AnnualChurn*VLOOKUP(APJ48,ChurnSeasonTable,4,FALSE)),2)*PriceEssAnnual*APM48+APW12*POWER(1-(AnnualChurn*VLOOKUP(APJ48,ChurnSeasonTable,4,FALSE)),3)*PriceEssAnnual*APM48+APX36*POWER(1-(AnnualChurn*VLOOKUP(APJ48,ChurnSeasonTable,4,FALSE)),1)*PricePremAnnual*APM48+APX24*POWER(1-(AnnualChurn*VLOOKUP(APJ48,ChurnSeasonTable,4,FALSE)),2)*PricePremAnnual*APM48+APX12*POWER(1-(AnnualChurn*VLOOKUP(APJ48,ChurnSeasonTable,4,FALSE)),3)*PricePremAnnual*APM48</f>
        <v/>
      </c>
      <c r="AQI48" s="9">
        <f>AQF48+AQG48+AQH48</f>
        <v/>
      </c>
      <c r="AQJ48" s="12">
        <f>SUM(AQI37:AQI48)</f>
        <v/>
      </c>
      <c r="AQK48" s="12">
        <f>OR(AQK47,AQJ48&gt;=VATThreshold)</f>
        <v/>
      </c>
      <c r="AQL48" s="9">
        <f>IF(AQK48,AQI48/(1+VATRate),AQI48)</f>
        <v/>
      </c>
      <c r="AQM48" s="12">
        <f>AQI48-AQL48</f>
        <v/>
      </c>
      <c r="AQN48" s="12">
        <f>IF(AQK48=0,0,IF(APJ48=1,SUMPRODUCT(--(($APK$5:$APK48=$APK48-1)*($APJ$5:$APJ48&gt;=10)*($APJ$5:$APJ48&lt;=12)),$AQM$5:$AQM48),IF(APJ48=4,SUMPRODUCT(--(($APK$5:$APK48=$APK48)*($APJ$5:$APJ48&gt;=1)*($APJ$5:$APJ48&lt;=3)),$AQM$5:$AQM48),IF(APJ48=7,SUMPRODUCT(--(($APK$5:$APK48=$APK48)*($APJ$5:$APJ48&gt;=4)*($APJ$5:$APJ48&lt;=6)),$AQM$5:$AQM48),IF(APJ48=10,SUMPRODUCT(--(($APK$5:$APK48=$APK48)*($APJ$5:$APJ48&gt;=7)*($APJ$5:$APJ48&lt;=9)),$AQM$5:$AQM48),0)))))</f>
        <v/>
      </c>
      <c r="AQO48" s="12">
        <f>AQO47+AQM48-AQN48</f>
        <v/>
      </c>
      <c r="AQP48" s="12">
        <f>IF(ProviderDelay&gt;=1,AQL47*ProviderShare,AQL48*ProviderShare)</f>
        <v/>
      </c>
      <c r="AQQ48" s="12">
        <f>AQI48*PaymentFee</f>
        <v/>
      </c>
      <c r="AQR48" s="12">
        <f>AQC48*OpsAI</f>
        <v/>
      </c>
      <c r="AQS48" s="12">
        <f>MonthlyFixed</f>
        <v/>
      </c>
      <c r="AQT48" s="12">
        <f>APQ48*ReferralReward</f>
        <v/>
      </c>
      <c r="AQU48" s="12">
        <f>APO48</f>
        <v/>
      </c>
      <c r="AQV48" s="9">
        <f>AQL48-AQP48-AQQ48-AQR48-AQS48-AQT48-AQU48</f>
        <v/>
      </c>
      <c r="AQW48" s="9">
        <f>AQW47+AQI48-(AQP48+AQQ48+AQR48+AQS48+AQT48+AQU48+AQN48)</f>
        <v/>
      </c>
      <c r="AQX48" s="12">
        <f>IF(AQC48&gt;0,AQD48/AQC48,0)</f>
        <v/>
      </c>
      <c r="AQY48" s="11">
        <f>IF(AQC47&gt;0,MAX(0,(AQC47+APR48-AQC48)/AQC47),0)</f>
        <v/>
      </c>
      <c r="ARA48" s="12" t="n">
        <v>44</v>
      </c>
      <c r="ARB48" s="12">
        <f>MOD(ARA48-1+LaunchMonth-1,12)+1</f>
        <v/>
      </c>
      <c r="ARC48" s="12">
        <f>INT((ARA48-1+LaunchMonth-1)/12)+1</f>
        <v/>
      </c>
      <c r="ARD48" s="12">
        <f>VLOOKUP(ARB48,WinterPivotSeasonTable,5,FALSE)</f>
        <v/>
      </c>
      <c r="ARE48" s="12">
        <f>(1+InflationRate)^INT((ARA48-1)/12)</f>
        <v/>
      </c>
      <c r="ARF48" s="11">
        <f>MonthlyChurn*VLOOKUP(ARB48,WinterPivotChurnTable,6,FALSE)</f>
        <v/>
      </c>
      <c r="ARG48" s="12">
        <f>MIN(MAX(MktMin19plus,ASA47*MktPct19plus),MAX(0,ASO47-CashBuffer))</f>
        <v/>
      </c>
      <c r="ARH48" s="12">
        <f>IF(ARG48&gt;0,MAX(1,ROUND(ARG48/CAC*ARD48,0)),0)</f>
        <v/>
      </c>
      <c r="ARI48" s="12">
        <f>IF(ARH48&gt;0,ROUND(ARH48*ReferralMix/(1-ReferralMix),0),0)</f>
        <v/>
      </c>
      <c r="ARJ48" s="12">
        <f>ARH48+ARI48</f>
        <v/>
      </c>
      <c r="ARK48" s="12">
        <f>ROUND(ARJ48*(1-AnnualMix),0)</f>
        <v/>
      </c>
      <c r="ARL48" s="12">
        <f>ARJ48-ARK48</f>
        <v/>
      </c>
      <c r="ARM48" s="12">
        <f>ROUND(ARK48*'Sens - Winter Pivot'!$B$6,0)</f>
        <v/>
      </c>
      <c r="ARN48" s="12">
        <f>ARK48-ARM48</f>
        <v/>
      </c>
      <c r="ARO48" s="12">
        <f>ROUND(ARL48*'Sens - Winter Pivot'!$B$6,0)</f>
        <v/>
      </c>
      <c r="ARP48" s="12">
        <f>ARL48-ARO48</f>
        <v/>
      </c>
      <c r="ARQ48" s="12">
        <f>ARM48+ARM47+ARM46+MAX(0,ARQ47-ARM47-ARM46)*(1-ARF48)</f>
        <v/>
      </c>
      <c r="ARR48" s="12">
        <f>ARN48+ARN47+ARN46+MAX(0,ARR47-ARN47-ARN46)*(1-ARF48)</f>
        <v/>
      </c>
      <c r="ARS48" s="12">
        <f>ARS47+ARO48-ARO36*(AnnualChurn*VLOOKUP(ARB48,WinterPivotChurnTable,6,FALSE))*POWER(1-(AnnualChurn*VLOOKUP(ARB48,WinterPivotChurnTable,6,FALSE)),0)+ARO24*(AnnualChurn*VLOOKUP(ARB48,WinterPivotChurnTable,6,FALSE))*POWER(1-(AnnualChurn*VLOOKUP(ARB48,WinterPivotChurnTable,6,FALSE)),1)+ARO12*(AnnualChurn*VLOOKUP(ARB48,WinterPivotChurnTable,6,FALSE))*POWER(1-(AnnualChurn*VLOOKUP(ARB48,WinterPivotChurnTable,6,FALSE)),2)</f>
        <v/>
      </c>
      <c r="ART48" s="12">
        <f>ART47+ARP48-ARP36*(AnnualChurn*VLOOKUP(ARB48,WinterPivotChurnTable,6,FALSE))*POWER(1-(AnnualChurn*VLOOKUP(ARB48,WinterPivotChurnTable,6,FALSE)),0)+ARP24*(AnnualChurn*VLOOKUP(ARB48,WinterPivotChurnTable,6,FALSE))*POWER(1-(AnnualChurn*VLOOKUP(ARB48,WinterPivotChurnTable,6,FALSE)),1)+ARP12*(AnnualChurn*VLOOKUP(ARB48,WinterPivotChurnTable,6,FALSE))*POWER(1-(AnnualChurn*VLOOKUP(ARB48,WinterPivotChurnTable,6,FALSE)),2)</f>
        <v/>
      </c>
      <c r="ARU48" s="12">
        <f>ARQ48+ARR48+ARS48+ART48</f>
        <v/>
      </c>
      <c r="ARV48" s="9">
        <f>ARQ48*PriceEssMonthly*ARE48+ARR48*(PricePremMonthly+'Sens - Winter Pivot'!$B$7)*ARE48+ARS48*PriceEssAnnual*ARE48/12+ART48*(PricePremAnnual+'Sens - Winter Pivot'!$B$7*12)*ARE48/12</f>
        <v/>
      </c>
      <c r="ARW48" s="9">
        <f>ARV48*12</f>
        <v/>
      </c>
      <c r="ARX48" s="12">
        <f>ARQ48*PriceEssMonthly*ARE48+ARR48*(PricePremMonthly+'Sens - Winter Pivot'!$B$7)*ARE48</f>
        <v/>
      </c>
      <c r="ARY48" s="12">
        <f>ARO48*PriceEssAnnual*ARE48+ARP48*(PricePremAnnual+'Sens - Winter Pivot'!$B$7*12)*ARE48</f>
        <v/>
      </c>
      <c r="ARZ48" s="12">
        <f>ARO36*POWER(1-(AnnualChurn*VLOOKUP(ARB48,WinterPivotChurnTable,6,FALSE)),1)*PriceEssAnnual*ARE48+ARO24*POWER(1-(AnnualChurn*VLOOKUP(ARB48,WinterPivotChurnTable,6,FALSE)),2)*PriceEssAnnual*ARE48+ARO12*POWER(1-(AnnualChurn*VLOOKUP(ARB48,WinterPivotChurnTable,6,FALSE)),3)*PriceEssAnnual*ARE48+ARP36*POWER(1-(AnnualChurn*VLOOKUP(ARB48,WinterPivotChurnTable,6,FALSE)),1)*PricePremAnnual*ARE48+ARP24*POWER(1-(AnnualChurn*VLOOKUP(ARB48,WinterPivotChurnTable,6,FALSE)),2)*PricePremAnnual*ARE48+ARP12*POWER(1-(AnnualChurn*VLOOKUP(ARB48,WinterPivotChurnTable,6,FALSE)),3)*PricePremAnnual*ARE48</f>
        <v/>
      </c>
      <c r="ASA48" s="9">
        <f>ARX48+ARY48+ARZ48</f>
        <v/>
      </c>
      <c r="ASB48" s="12">
        <f>SUM(ASA37:ASA48)</f>
        <v/>
      </c>
      <c r="ASC48" s="12">
        <f>OR(ASC47,ASB48&gt;=VATThreshold)</f>
        <v/>
      </c>
      <c r="ASD48" s="9">
        <f>IF(ASC48,ASA48/(1+VATRate),ASA48)</f>
        <v/>
      </c>
      <c r="ASE48" s="12">
        <f>ASA48-ASD48</f>
        <v/>
      </c>
      <c r="ASF48" s="12">
        <f>IF(ASC48=0,0,IF(ARB48=1,SUMPRODUCT(--(($ARC$5:$ARC48=$ARC48-1)*($ARB$5:$ARB48&gt;=10)*($ARB$5:$ARB48&lt;=12)),$ASE$5:$ASE48),IF(ARB48=4,SUMPRODUCT(--(($ARC$5:$ARC48=$ARC48)*($ARB$5:$ARB48&gt;=1)*($ARB$5:$ARB48&lt;=3)),$ASE$5:$ASE48),IF(ARB48=7,SUMPRODUCT(--(($ARC$5:$ARC48=$ARC48)*($ARB$5:$ARB48&gt;=4)*($ARB$5:$ARB48&lt;=6)),$ASE$5:$ASE48),IF(ARB48=10,SUMPRODUCT(--(($ARC$5:$ARC48=$ARC48)*($ARB$5:$ARB48&gt;=7)*($ARB$5:$ARB48&lt;=9)),$ASE$5:$ASE48),0)))))</f>
        <v/>
      </c>
      <c r="ASG48" s="12">
        <f>ASG47+ASE48-ASF48</f>
        <v/>
      </c>
      <c r="ASH48" s="12">
        <f>IF(ProviderDelay&gt;=1,ASD47*ProviderShare,ASD48*ProviderShare)</f>
        <v/>
      </c>
      <c r="ASI48" s="12">
        <f>ASA48*PaymentFee</f>
        <v/>
      </c>
      <c r="ASJ48" s="12">
        <f>ARU48*OpsAI</f>
        <v/>
      </c>
      <c r="ASK48" s="12">
        <f>MonthlyFixed</f>
        <v/>
      </c>
      <c r="ASL48" s="12">
        <f>ARI48*ReferralReward</f>
        <v/>
      </c>
      <c r="ASM48" s="12">
        <f>ARG48</f>
        <v/>
      </c>
      <c r="ASN48" s="9">
        <f>ASD48-ASH48-ASI48-ASJ48-ASK48-ASL48-ASM48</f>
        <v/>
      </c>
      <c r="ASO48" s="9">
        <f>ASO47+ASA48-(ASH48+ASI48+ASJ48+ASK48+ASL48+ASM48+ASF48)</f>
        <v/>
      </c>
      <c r="ASP48" s="12">
        <f>IF(ARU48&gt;0,ARV48/ARU48,0)</f>
        <v/>
      </c>
      <c r="ASQ48" s="11">
        <f>IF(ARU47&gt;0,MAX(0,(ARU47+ARJ48-ARU48)/ARU47),0)</f>
        <v/>
      </c>
    </row>
    <row r="49">
      <c r="A49" s="12" t="n">
        <v>45</v>
      </c>
      <c r="B49" s="12">
        <f>MOD(A49-1+LaunchMonth-1,12)+1</f>
        <v/>
      </c>
      <c r="C49" s="12">
        <f>INT((A49-1+LaunchMonth-1)/12)+1</f>
        <v/>
      </c>
      <c r="D49" s="12">
        <f>VLOOKUP(B49,SeasonTable,2,FALSE)</f>
        <v/>
      </c>
      <c r="E49" s="12">
        <f>(1+InflationRate)^INT((A49-1)/12)</f>
        <v/>
      </c>
      <c r="F49" s="11">
        <f>'Sens - Scenarios'!$B$5*VLOOKUP(B49,ChurnSeasonTable,4,FALSE)</f>
        <v/>
      </c>
      <c r="G49" s="12">
        <f>MIN(MAX(MktMin19plus,AA48*MktPct19plus),MAX(0,AO48-CashBuffer))</f>
        <v/>
      </c>
      <c r="H49" s="12">
        <f>IF(G49&gt;0,MAX(1,ROUND(G49/'Sens - Scenarios'!$B$8*D49,0)),0)</f>
        <v/>
      </c>
      <c r="I49" s="12">
        <f>IF(H49&gt;0,ROUND(H49*ReferralMix/(1-ReferralMix),0),0)</f>
        <v/>
      </c>
      <c r="J49" s="12">
        <f>H49+I49</f>
        <v/>
      </c>
      <c r="K49" s="12">
        <f>ROUND(J49*(1-'Sens - Scenarios'!$B$7),0)</f>
        <v/>
      </c>
      <c r="L49" s="12">
        <f>J49-K49</f>
        <v/>
      </c>
      <c r="M49" s="12">
        <f>ROUND(K49*EssentialMix,0)</f>
        <v/>
      </c>
      <c r="N49" s="12">
        <f>K49-M49</f>
        <v/>
      </c>
      <c r="O49" s="12">
        <f>ROUND(L49*EssentialMix,0)</f>
        <v/>
      </c>
      <c r="P49" s="12">
        <f>L49-O49</f>
        <v/>
      </c>
      <c r="Q49" s="12">
        <f>M49+M48+M47+MAX(0,Q48-M48-M47)*(1-F49)</f>
        <v/>
      </c>
      <c r="R49" s="12">
        <f>N49+N48+N47+MAX(0,R48-N48-N47)*(1-F49)</f>
        <v/>
      </c>
      <c r="S49" s="12">
        <f>S48+O49-O37*('Sens - Scenarios'!$B$6*VLOOKUP(B49,ChurnSeasonTable,4,FALSE))*POWER(1-('Sens - Scenarios'!$B$6*VLOOKUP(B49,ChurnSeasonTable,4,FALSE)),0)+O25*('Sens - Scenarios'!$B$6*VLOOKUP(B49,ChurnSeasonTable,4,FALSE))*POWER(1-('Sens - Scenarios'!$B$6*VLOOKUP(B49,ChurnSeasonTable,4,FALSE)),1)+O13*('Sens - Scenarios'!$B$6*VLOOKUP(B49,ChurnSeasonTable,4,FALSE))*POWER(1-('Sens - Scenarios'!$B$6*VLOOKUP(B49,ChurnSeasonTable,4,FALSE)),2)</f>
        <v/>
      </c>
      <c r="T49" s="12">
        <f>T48+P49-P37*('Sens - Scenarios'!$B$6*VLOOKUP(B49,ChurnSeasonTable,4,FALSE))*POWER(1-('Sens - Scenarios'!$B$6*VLOOKUP(B49,ChurnSeasonTable,4,FALSE)),0)+P25*('Sens - Scenarios'!$B$6*VLOOKUP(B49,ChurnSeasonTable,4,FALSE))*POWER(1-('Sens - Scenarios'!$B$6*VLOOKUP(B49,ChurnSeasonTable,4,FALSE)),1)+P13*('Sens - Scenarios'!$B$6*VLOOKUP(B49,ChurnSeasonTable,4,FALSE))*POWER(1-('Sens - Scenarios'!$B$6*VLOOKUP(B49,ChurnSeasonTable,4,FALSE)),2)</f>
        <v/>
      </c>
      <c r="U49" s="12">
        <f>Q49+R49+S49+T49</f>
        <v/>
      </c>
      <c r="V49" s="9">
        <f>Q49*PriceEssMonthly*E49+R49*PricePremMonthly*E49+S49*PriceEssAnnual*E49/12+T49*PricePremAnnual*E49/12</f>
        <v/>
      </c>
      <c r="W49" s="9">
        <f>V49*12</f>
        <v/>
      </c>
      <c r="X49" s="12">
        <f>Q49*PriceEssMonthly*E49+R49*PricePremMonthly*E49</f>
        <v/>
      </c>
      <c r="Y49" s="12">
        <f>O49*PriceEssAnnual*E49+P49*PricePremAnnual*E49</f>
        <v/>
      </c>
      <c r="Z49" s="12">
        <f>O37*POWER(1-('Sens - Scenarios'!$B$6*VLOOKUP(B49,ChurnSeasonTable,4,FALSE)),1)*PriceEssAnnual*E49+O25*POWER(1-('Sens - Scenarios'!$B$6*VLOOKUP(B49,ChurnSeasonTable,4,FALSE)),2)*PriceEssAnnual*E49+O13*POWER(1-('Sens - Scenarios'!$B$6*VLOOKUP(B49,ChurnSeasonTable,4,FALSE)),3)*PriceEssAnnual*E49+P37*POWER(1-('Sens - Scenarios'!$B$6*VLOOKUP(B49,ChurnSeasonTable,4,FALSE)),1)*PricePremAnnual*E49+P25*POWER(1-('Sens - Scenarios'!$B$6*VLOOKUP(B49,ChurnSeasonTable,4,FALSE)),2)*PricePremAnnual*E49+P13*POWER(1-('Sens - Scenarios'!$B$6*VLOOKUP(B49,ChurnSeasonTable,4,FALSE)),3)*PricePremAnnual*E49</f>
        <v/>
      </c>
      <c r="AA49" s="9">
        <f>X49+Y49+Z49</f>
        <v/>
      </c>
      <c r="AB49" s="12">
        <f>SUM(AA38:AA49)</f>
        <v/>
      </c>
      <c r="AC49" s="12">
        <f>OR(AC48,AB49&gt;=VATThreshold)</f>
        <v/>
      </c>
      <c r="AD49" s="9">
        <f>IF(AC49,AA49/(1+VATRate),AA49)</f>
        <v/>
      </c>
      <c r="AE49" s="12">
        <f>AA49-AD49</f>
        <v/>
      </c>
      <c r="AF49" s="12">
        <f>IF(AC49=0,0,IF(B49=1,SUMPRODUCT(--(($C$5:$C49=$C49-1)*($B$5:$B49&gt;=10)*($B$5:$B49&lt;=12)),$AE$5:$AE49),IF(B49=4,SUMPRODUCT(--(($C$5:$C49=$C49)*($B$5:$B49&gt;=1)*($B$5:$B49&lt;=3)),$AE$5:$AE49),IF(B49=7,SUMPRODUCT(--(($C$5:$C49=$C49)*($B$5:$B49&gt;=4)*($B$5:$B49&lt;=6)),$AE$5:$AE49),IF(B49=10,SUMPRODUCT(--(($C$5:$C49=$C49)*($B$5:$B49&gt;=7)*($B$5:$B49&lt;=9)),$AE$5:$AE49),0)))))</f>
        <v/>
      </c>
      <c r="AG49" s="12">
        <f>AG48+AE49-AF49</f>
        <v/>
      </c>
      <c r="AH49" s="12">
        <f>IF(ProviderDelay&gt;=1,AD48*ProviderShare,AD49*ProviderShare)</f>
        <v/>
      </c>
      <c r="AI49" s="12">
        <f>AA49*PaymentFee</f>
        <v/>
      </c>
      <c r="AJ49" s="12">
        <f>U49*OpsAI</f>
        <v/>
      </c>
      <c r="AK49" s="12">
        <f>MonthlyFixed</f>
        <v/>
      </c>
      <c r="AL49" s="12">
        <f>I49*ReferralReward</f>
        <v/>
      </c>
      <c r="AM49" s="12">
        <f>G49</f>
        <v/>
      </c>
      <c r="AN49" s="9">
        <f>AD49-AH49-AI49-AJ49-AK49-AL49-AM49</f>
        <v/>
      </c>
      <c r="AO49" s="9">
        <f>AO48+AA49-(AH49+AI49+AJ49+AK49+AL49+AM49+AF49)</f>
        <v/>
      </c>
      <c r="AP49" s="12">
        <f>IF(U49&gt;0,V49/U49,0)</f>
        <v/>
      </c>
      <c r="AQ49" s="11">
        <f>IF(U48&gt;0,MAX(0,(U48+J49-U49)/U48),0)</f>
        <v/>
      </c>
      <c r="AS49" s="12" t="n">
        <v>45</v>
      </c>
      <c r="AT49" s="12">
        <f>MOD(AS49-1+LaunchMonth-1,12)+1</f>
        <v/>
      </c>
      <c r="AU49" s="12">
        <f>INT((AS49-1+LaunchMonth-1)/12)+1</f>
        <v/>
      </c>
      <c r="AV49" s="12">
        <f>VLOOKUP(AT49,SeasonTable,2,FALSE)</f>
        <v/>
      </c>
      <c r="AW49" s="12">
        <f>(1+InflationRate)^INT((AS49-1)/12)</f>
        <v/>
      </c>
      <c r="AX49" s="11">
        <f>MonthlyChurn*VLOOKUP(AT49,ChurnSeasonTable,4,FALSE)</f>
        <v/>
      </c>
      <c r="AY49" s="12">
        <f>MIN(MAX(MktMin19plus,BS48*MktPct19plus),MAX(0,CG48-CashBuffer))</f>
        <v/>
      </c>
      <c r="AZ49" s="12">
        <f>IF(AY49&gt;0,MAX(1,ROUND(AY49/CAC*AV49,0)),0)</f>
        <v/>
      </c>
      <c r="BA49" s="12">
        <f>IF(AZ49&gt;0,ROUND(AZ49*ReferralMix/(1-ReferralMix),0),0)</f>
        <v/>
      </c>
      <c r="BB49" s="12">
        <f>AZ49+BA49</f>
        <v/>
      </c>
      <c r="BC49" s="12">
        <f>ROUND(BB49*(1-AnnualMix),0)</f>
        <v/>
      </c>
      <c r="BD49" s="12">
        <f>BB49-BC49</f>
        <v/>
      </c>
      <c r="BE49" s="12">
        <f>ROUND(BC49*EssentialMix,0)</f>
        <v/>
      </c>
      <c r="BF49" s="12">
        <f>BC49-BE49</f>
        <v/>
      </c>
      <c r="BG49" s="12">
        <f>ROUND(BD49*EssentialMix,0)</f>
        <v/>
      </c>
      <c r="BH49" s="12">
        <f>BD49-BG49</f>
        <v/>
      </c>
      <c r="BI49" s="12">
        <f>BE49+BE48+BE47+MAX(0,BI48-BE48-BE47)*(1-AX49)</f>
        <v/>
      </c>
      <c r="BJ49" s="12">
        <f>BF49+BF48+BF47+MAX(0,BJ48-BF48-BF47)*(1-AX49)</f>
        <v/>
      </c>
      <c r="BK49" s="12">
        <f>BK48+BG49-BG37*(AnnualChurn*VLOOKUP(AT49,ChurnSeasonTable,4,FALSE))*POWER(1-(AnnualChurn*VLOOKUP(AT49,ChurnSeasonTable,4,FALSE)),0)+BG25*(AnnualChurn*VLOOKUP(AT49,ChurnSeasonTable,4,FALSE))*POWER(1-(AnnualChurn*VLOOKUP(AT49,ChurnSeasonTable,4,FALSE)),1)+BG13*(AnnualChurn*VLOOKUP(AT49,ChurnSeasonTable,4,FALSE))*POWER(1-(AnnualChurn*VLOOKUP(AT49,ChurnSeasonTable,4,FALSE)),2)</f>
        <v/>
      </c>
      <c r="BL49" s="12">
        <f>BL48+BH49-BH37*(AnnualChurn*VLOOKUP(AT49,ChurnSeasonTable,4,FALSE))*POWER(1-(AnnualChurn*VLOOKUP(AT49,ChurnSeasonTable,4,FALSE)),0)+BH25*(AnnualChurn*VLOOKUP(AT49,ChurnSeasonTable,4,FALSE))*POWER(1-(AnnualChurn*VLOOKUP(AT49,ChurnSeasonTable,4,FALSE)),1)+BH13*(AnnualChurn*VLOOKUP(AT49,ChurnSeasonTable,4,FALSE))*POWER(1-(AnnualChurn*VLOOKUP(AT49,ChurnSeasonTable,4,FALSE)),2)</f>
        <v/>
      </c>
      <c r="BM49" s="12">
        <f>BI49+BJ49+BK49+BL49</f>
        <v/>
      </c>
      <c r="BN49" s="9">
        <f>BI49*PriceEssMonthly*AW49+BJ49*PricePremMonthly*AW49+BK49*PriceEssAnnual*AW49/12+BL49*PricePremAnnual*AW49/12</f>
        <v/>
      </c>
      <c r="BO49" s="9">
        <f>BN49*12</f>
        <v/>
      </c>
      <c r="BP49" s="12">
        <f>BI49*PriceEssMonthly*AW49+BJ49*PricePremMonthly*AW49</f>
        <v/>
      </c>
      <c r="BQ49" s="12">
        <f>BG49*PriceEssAnnual*AW49+BH49*PricePremAnnual*AW49</f>
        <v/>
      </c>
      <c r="BR49" s="12">
        <f>BG37*POWER(1-(AnnualChurn*VLOOKUP(AT49,ChurnSeasonTable,4,FALSE)),1)*PriceEssAnnual*AW49+BG25*POWER(1-(AnnualChurn*VLOOKUP(AT49,ChurnSeasonTable,4,FALSE)),2)*PriceEssAnnual*AW49+BG13*POWER(1-(AnnualChurn*VLOOKUP(AT49,ChurnSeasonTable,4,FALSE)),3)*PriceEssAnnual*AW49+BH37*POWER(1-(AnnualChurn*VLOOKUP(AT49,ChurnSeasonTable,4,FALSE)),1)*PricePremAnnual*AW49+BH25*POWER(1-(AnnualChurn*VLOOKUP(AT49,ChurnSeasonTable,4,FALSE)),2)*PricePremAnnual*AW49+BH13*POWER(1-(AnnualChurn*VLOOKUP(AT49,ChurnSeasonTable,4,FALSE)),3)*PricePremAnnual*AW49</f>
        <v/>
      </c>
      <c r="BS49" s="9">
        <f>BP49+BQ49+BR49</f>
        <v/>
      </c>
      <c r="BT49" s="12">
        <f>SUM(BS38:BS49)</f>
        <v/>
      </c>
      <c r="BU49" s="12">
        <f>OR(BU48,BT49&gt;=VATThreshold)</f>
        <v/>
      </c>
      <c r="BV49" s="9">
        <f>IF(BU49,BS49/(1+VATRate),BS49)</f>
        <v/>
      </c>
      <c r="BW49" s="12">
        <f>BS49-BV49</f>
        <v/>
      </c>
      <c r="BX49" s="12">
        <f>IF(BU49=0,0,IF(AT49=1,SUMPRODUCT(--(($AU$5:$AU49=$AU49-1)*($AT$5:$AT49&gt;=10)*($AT$5:$AT49&lt;=12)),$BW$5:$BW49),IF(AT49=4,SUMPRODUCT(--(($AU$5:$AU49=$AU49)*($AT$5:$AT49&gt;=1)*($AT$5:$AT49&lt;=3)),$BW$5:$BW49),IF(AT49=7,SUMPRODUCT(--(($AU$5:$AU49=$AU49)*($AT$5:$AT49&gt;=4)*($AT$5:$AT49&lt;=6)),$BW$5:$BW49),IF(AT49=10,SUMPRODUCT(--(($AU$5:$AU49=$AU49)*($AT$5:$AT49&gt;=7)*($AT$5:$AT49&lt;=9)),$BW$5:$BW49),0)))))</f>
        <v/>
      </c>
      <c r="BY49" s="12">
        <f>BY48+BW49-BX49</f>
        <v/>
      </c>
      <c r="BZ49" s="12">
        <f>IF(ProviderDelay&gt;=1,BV48*ProviderShare,BV49*ProviderShare)</f>
        <v/>
      </c>
      <c r="CA49" s="12">
        <f>BS49*PaymentFee</f>
        <v/>
      </c>
      <c r="CB49" s="12">
        <f>BM49*OpsAI</f>
        <v/>
      </c>
      <c r="CC49" s="12">
        <f>MonthlyFixed</f>
        <v/>
      </c>
      <c r="CD49" s="12">
        <f>BA49*ReferralReward</f>
        <v/>
      </c>
      <c r="CE49" s="12">
        <f>AY49</f>
        <v/>
      </c>
      <c r="CF49" s="9">
        <f>BV49-BZ49-CA49-CB49-CC49-CD49-CE49</f>
        <v/>
      </c>
      <c r="CG49" s="9">
        <f>CG48+BS49-(BZ49+CA49+CB49+CC49+CD49+CE49+BX49)</f>
        <v/>
      </c>
      <c r="CH49" s="12">
        <f>IF(BM49&gt;0,BN49/BM49,0)</f>
        <v/>
      </c>
      <c r="CI49" s="11">
        <f>IF(BM48&gt;0,MAX(0,(BM48+BB49-BM49)/BM48),0)</f>
        <v/>
      </c>
      <c r="CK49" s="12" t="n">
        <v>45</v>
      </c>
      <c r="CL49" s="12">
        <f>MOD(CK49-1+LaunchMonth-1,12)+1</f>
        <v/>
      </c>
      <c r="CM49" s="12">
        <f>INT((CK49-1+LaunchMonth-1)/12)+1</f>
        <v/>
      </c>
      <c r="CN49" s="12">
        <f>VLOOKUP(CL49,SeasonTable,2,FALSE)</f>
        <v/>
      </c>
      <c r="CO49" s="12">
        <f>(1+InflationRate)^INT((CK49-1)/12)</f>
        <v/>
      </c>
      <c r="CP49" s="11">
        <f>'Sens - Scenarios'!$D$5*VLOOKUP(CL49,ChurnSeasonTable,4,FALSE)</f>
        <v/>
      </c>
      <c r="CQ49" s="12">
        <f>MIN(MAX(MktMin19plus,DK48*MktPct19plus),MAX(0,DY48-CashBuffer))</f>
        <v/>
      </c>
      <c r="CR49" s="12">
        <f>IF(CQ49&gt;0,MAX(1,ROUND(CQ49/'Sens - Scenarios'!$D$8*CN49,0)),0)</f>
        <v/>
      </c>
      <c r="CS49" s="12">
        <f>IF(CR49&gt;0,ROUND(CR49*ReferralMix/(1-ReferralMix),0),0)</f>
        <v/>
      </c>
      <c r="CT49" s="12">
        <f>CR49+CS49</f>
        <v/>
      </c>
      <c r="CU49" s="12">
        <f>ROUND(CT49*(1-'Sens - Scenarios'!$D$7),0)</f>
        <v/>
      </c>
      <c r="CV49" s="12">
        <f>CT49-CU49</f>
        <v/>
      </c>
      <c r="CW49" s="12">
        <f>ROUND(CU49*EssentialMix,0)</f>
        <v/>
      </c>
      <c r="CX49" s="12">
        <f>CU49-CW49</f>
        <v/>
      </c>
      <c r="CY49" s="12">
        <f>ROUND(CV49*EssentialMix,0)</f>
        <v/>
      </c>
      <c r="CZ49" s="12">
        <f>CV49-CY49</f>
        <v/>
      </c>
      <c r="DA49" s="12">
        <f>CW49+CW48+CW47+MAX(0,DA48-CW48-CW47)*(1-CP49)</f>
        <v/>
      </c>
      <c r="DB49" s="12">
        <f>CX49+CX48+CX47+MAX(0,DB48-CX48-CX47)*(1-CP49)</f>
        <v/>
      </c>
      <c r="DC49" s="12">
        <f>DC48+CY49-CY37*('Sens - Scenarios'!$D$6*VLOOKUP(CL49,ChurnSeasonTable,4,FALSE))*POWER(1-('Sens - Scenarios'!$D$6*VLOOKUP(CL49,ChurnSeasonTable,4,FALSE)),0)+CY25*('Sens - Scenarios'!$D$6*VLOOKUP(CL49,ChurnSeasonTable,4,FALSE))*POWER(1-('Sens - Scenarios'!$D$6*VLOOKUP(CL49,ChurnSeasonTable,4,FALSE)),1)+CY13*('Sens - Scenarios'!$D$6*VLOOKUP(CL49,ChurnSeasonTable,4,FALSE))*POWER(1-('Sens - Scenarios'!$D$6*VLOOKUP(CL49,ChurnSeasonTable,4,FALSE)),2)</f>
        <v/>
      </c>
      <c r="DD49" s="12">
        <f>DD48+CZ49-CZ37*('Sens - Scenarios'!$D$6*VLOOKUP(CL49,ChurnSeasonTable,4,FALSE))*POWER(1-('Sens - Scenarios'!$D$6*VLOOKUP(CL49,ChurnSeasonTable,4,FALSE)),0)+CZ25*('Sens - Scenarios'!$D$6*VLOOKUP(CL49,ChurnSeasonTable,4,FALSE))*POWER(1-('Sens - Scenarios'!$D$6*VLOOKUP(CL49,ChurnSeasonTable,4,FALSE)),1)+CZ13*('Sens - Scenarios'!$D$6*VLOOKUP(CL49,ChurnSeasonTable,4,FALSE))*POWER(1-('Sens - Scenarios'!$D$6*VLOOKUP(CL49,ChurnSeasonTable,4,FALSE)),2)</f>
        <v/>
      </c>
      <c r="DE49" s="12">
        <f>DA49+DB49+DC49+DD49</f>
        <v/>
      </c>
      <c r="DF49" s="9">
        <f>DA49*PriceEssMonthly*CO49+DB49*PricePremMonthly*CO49+DC49*PriceEssAnnual*CO49/12+DD49*PricePremAnnual*CO49/12</f>
        <v/>
      </c>
      <c r="DG49" s="9">
        <f>DF49*12</f>
        <v/>
      </c>
      <c r="DH49" s="12">
        <f>DA49*PriceEssMonthly*CO49+DB49*PricePremMonthly*CO49</f>
        <v/>
      </c>
      <c r="DI49" s="12">
        <f>CY49*PriceEssAnnual*CO49+CZ49*PricePremAnnual*CO49</f>
        <v/>
      </c>
      <c r="DJ49" s="12">
        <f>CY37*POWER(1-('Sens - Scenarios'!$D$6*VLOOKUP(CL49,ChurnSeasonTable,4,FALSE)),1)*PriceEssAnnual*CO49+CY25*POWER(1-('Sens - Scenarios'!$D$6*VLOOKUP(CL49,ChurnSeasonTable,4,FALSE)),2)*PriceEssAnnual*CO49+CY13*POWER(1-('Sens - Scenarios'!$D$6*VLOOKUP(CL49,ChurnSeasonTable,4,FALSE)),3)*PriceEssAnnual*CO49+CZ37*POWER(1-('Sens - Scenarios'!$D$6*VLOOKUP(CL49,ChurnSeasonTable,4,FALSE)),1)*PricePremAnnual*CO49+CZ25*POWER(1-('Sens - Scenarios'!$D$6*VLOOKUP(CL49,ChurnSeasonTable,4,FALSE)),2)*PricePremAnnual*CO49+CZ13*POWER(1-('Sens - Scenarios'!$D$6*VLOOKUP(CL49,ChurnSeasonTable,4,FALSE)),3)*PricePremAnnual*CO49</f>
        <v/>
      </c>
      <c r="DK49" s="9">
        <f>DH49+DI49+DJ49</f>
        <v/>
      </c>
      <c r="DL49" s="12">
        <f>SUM(DK38:DK49)</f>
        <v/>
      </c>
      <c r="DM49" s="12">
        <f>OR(DM48,DL49&gt;=VATThreshold)</f>
        <v/>
      </c>
      <c r="DN49" s="9">
        <f>IF(DM49,DK49/(1+VATRate),DK49)</f>
        <v/>
      </c>
      <c r="DO49" s="12">
        <f>DK49-DN49</f>
        <v/>
      </c>
      <c r="DP49" s="12">
        <f>IF(DM49=0,0,IF(CL49=1,SUMPRODUCT(--(($CM$5:$CM49=$CM49-1)*($CL$5:$CL49&gt;=10)*($CL$5:$CL49&lt;=12)),$DO$5:$DO49),IF(CL49=4,SUMPRODUCT(--(($CM$5:$CM49=$CM49)*($CL$5:$CL49&gt;=1)*($CL$5:$CL49&lt;=3)),$DO$5:$DO49),IF(CL49=7,SUMPRODUCT(--(($CM$5:$CM49=$CM49)*($CL$5:$CL49&gt;=4)*($CL$5:$CL49&lt;=6)),$DO$5:$DO49),IF(CL49=10,SUMPRODUCT(--(($CM$5:$CM49=$CM49)*($CL$5:$CL49&gt;=7)*($CL$5:$CL49&lt;=9)),$DO$5:$DO49),0)))))</f>
        <v/>
      </c>
      <c r="DQ49" s="12">
        <f>DQ48+DO49-DP49</f>
        <v/>
      </c>
      <c r="DR49" s="12">
        <f>IF(ProviderDelay&gt;=1,DN48*ProviderShare,DN49*ProviderShare)</f>
        <v/>
      </c>
      <c r="DS49" s="12">
        <f>DK49*PaymentFee</f>
        <v/>
      </c>
      <c r="DT49" s="12">
        <f>DE49*OpsAI</f>
        <v/>
      </c>
      <c r="DU49" s="12">
        <f>MonthlyFixed</f>
        <v/>
      </c>
      <c r="DV49" s="12">
        <f>CS49*ReferralReward</f>
        <v/>
      </c>
      <c r="DW49" s="12">
        <f>CQ49</f>
        <v/>
      </c>
      <c r="DX49" s="9">
        <f>DN49-DR49-DS49-DT49-DU49-DV49-DW49</f>
        <v/>
      </c>
      <c r="DY49" s="9">
        <f>DY48+DK49-(DR49+DS49+DT49+DU49+DV49+DW49+DP49)</f>
        <v/>
      </c>
      <c r="DZ49" s="12">
        <f>IF(DE49&gt;0,DF49/DE49,0)</f>
        <v/>
      </c>
      <c r="EA49" s="11">
        <f>IF(DE48&gt;0,MAX(0,(DE48+CT49-DE49)/DE48),0)</f>
        <v/>
      </c>
      <c r="EC49" s="12" t="n">
        <v>45</v>
      </c>
      <c r="ED49" s="12">
        <f>MOD(EC49-1+LaunchMonth-1,12)+1</f>
        <v/>
      </c>
      <c r="EE49" s="12">
        <f>INT((EC49-1+LaunchMonth-1)/12)+1</f>
        <v/>
      </c>
      <c r="EF49" s="12">
        <f>VLOOKUP(ED49,SeasonTable,2,FALSE)</f>
        <v/>
      </c>
      <c r="EG49" s="12">
        <f>(1+InflationRate)^INT((EC49-1)/12)</f>
        <v/>
      </c>
      <c r="EH49" s="11">
        <f>'Sens - Churn'!$A$13*VLOOKUP(ED49,ChurnSeasonTable,4,FALSE)</f>
        <v/>
      </c>
      <c r="EI49" s="12">
        <f>MIN(MAX(MktMin19plus,FC48*MktPct19plus),MAX(0,FQ48-CashBuffer))</f>
        <v/>
      </c>
      <c r="EJ49" s="12">
        <f>IF(EI49&gt;0,MAX(1,ROUND(EI49/CAC*EF49,0)),0)</f>
        <v/>
      </c>
      <c r="EK49" s="12">
        <f>IF(EJ49&gt;0,ROUND(EJ49*ReferralMix/(1-ReferralMix),0),0)</f>
        <v/>
      </c>
      <c r="EL49" s="12">
        <f>EJ49+EK49</f>
        <v/>
      </c>
      <c r="EM49" s="12">
        <f>ROUND(EL49*(1-AnnualMix),0)</f>
        <v/>
      </c>
      <c r="EN49" s="12">
        <f>EL49-EM49</f>
        <v/>
      </c>
      <c r="EO49" s="12">
        <f>ROUND(EM49*EssentialMix,0)</f>
        <v/>
      </c>
      <c r="EP49" s="12">
        <f>EM49-EO49</f>
        <v/>
      </c>
      <c r="EQ49" s="12">
        <f>ROUND(EN49*EssentialMix,0)</f>
        <v/>
      </c>
      <c r="ER49" s="12">
        <f>EN49-EQ49</f>
        <v/>
      </c>
      <c r="ES49" s="12">
        <f>EO49+EO48+EO47+MAX(0,ES48-EO48-EO47)*(1-EH49)</f>
        <v/>
      </c>
      <c r="ET49" s="12">
        <f>EP49+EP48+EP47+MAX(0,ET48-EP48-EP47)*(1-EH49)</f>
        <v/>
      </c>
      <c r="EU49" s="12">
        <f>EU48+EQ49-EQ37*(AnnualChurn*VLOOKUP(ED49,ChurnSeasonTable,4,FALSE))*POWER(1-(AnnualChurn*VLOOKUP(ED49,ChurnSeasonTable,4,FALSE)),0)+EQ25*(AnnualChurn*VLOOKUP(ED49,ChurnSeasonTable,4,FALSE))*POWER(1-(AnnualChurn*VLOOKUP(ED49,ChurnSeasonTable,4,FALSE)),1)+EQ13*(AnnualChurn*VLOOKUP(ED49,ChurnSeasonTable,4,FALSE))*POWER(1-(AnnualChurn*VLOOKUP(ED49,ChurnSeasonTable,4,FALSE)),2)</f>
        <v/>
      </c>
      <c r="EV49" s="12">
        <f>EV48+ER49-ER37*(AnnualChurn*VLOOKUP(ED49,ChurnSeasonTable,4,FALSE))*POWER(1-(AnnualChurn*VLOOKUP(ED49,ChurnSeasonTable,4,FALSE)),0)+ER25*(AnnualChurn*VLOOKUP(ED49,ChurnSeasonTable,4,FALSE))*POWER(1-(AnnualChurn*VLOOKUP(ED49,ChurnSeasonTable,4,FALSE)),1)+ER13*(AnnualChurn*VLOOKUP(ED49,ChurnSeasonTable,4,FALSE))*POWER(1-(AnnualChurn*VLOOKUP(ED49,ChurnSeasonTable,4,FALSE)),2)</f>
        <v/>
      </c>
      <c r="EW49" s="12">
        <f>ES49+ET49+EU49+EV49</f>
        <v/>
      </c>
      <c r="EX49" s="9">
        <f>ES49*PriceEssMonthly*EG49+ET49*PricePremMonthly*EG49+EU49*PriceEssAnnual*EG49/12+EV49*PricePremAnnual*EG49/12</f>
        <v/>
      </c>
      <c r="EY49" s="9">
        <f>EX49*12</f>
        <v/>
      </c>
      <c r="EZ49" s="12">
        <f>ES49*PriceEssMonthly*EG49+ET49*PricePremMonthly*EG49</f>
        <v/>
      </c>
      <c r="FA49" s="12">
        <f>EQ49*PriceEssAnnual*EG49+ER49*PricePremAnnual*EG49</f>
        <v/>
      </c>
      <c r="FB49" s="12">
        <f>EQ37*POWER(1-(AnnualChurn*VLOOKUP(ED49,ChurnSeasonTable,4,FALSE)),1)*PriceEssAnnual*EG49+EQ25*POWER(1-(AnnualChurn*VLOOKUP(ED49,ChurnSeasonTable,4,FALSE)),2)*PriceEssAnnual*EG49+EQ13*POWER(1-(AnnualChurn*VLOOKUP(ED49,ChurnSeasonTable,4,FALSE)),3)*PriceEssAnnual*EG49+ER37*POWER(1-(AnnualChurn*VLOOKUP(ED49,ChurnSeasonTable,4,FALSE)),1)*PricePremAnnual*EG49+ER25*POWER(1-(AnnualChurn*VLOOKUP(ED49,ChurnSeasonTable,4,FALSE)),2)*PricePremAnnual*EG49+ER13*POWER(1-(AnnualChurn*VLOOKUP(ED49,ChurnSeasonTable,4,FALSE)),3)*PricePremAnnual*EG49</f>
        <v/>
      </c>
      <c r="FC49" s="9">
        <f>EZ49+FA49+FB49</f>
        <v/>
      </c>
      <c r="FD49" s="12">
        <f>SUM(FC38:FC49)</f>
        <v/>
      </c>
      <c r="FE49" s="12">
        <f>OR(FE48,FD49&gt;=VATThreshold)</f>
        <v/>
      </c>
      <c r="FF49" s="9">
        <f>IF(FE49,FC49/(1+VATRate),FC49)</f>
        <v/>
      </c>
      <c r="FG49" s="12">
        <f>FC49-FF49</f>
        <v/>
      </c>
      <c r="FH49" s="12">
        <f>IF(FE49=0,0,IF(ED49=1,SUMPRODUCT(--(($EE$5:$EE49=$EE49-1)*($ED$5:$ED49&gt;=10)*($ED$5:$ED49&lt;=12)),$FG$5:$FG49),IF(ED49=4,SUMPRODUCT(--(($EE$5:$EE49=$EE49)*($ED$5:$ED49&gt;=1)*($ED$5:$ED49&lt;=3)),$FG$5:$FG49),IF(ED49=7,SUMPRODUCT(--(($EE$5:$EE49=$EE49)*($ED$5:$ED49&gt;=4)*($ED$5:$ED49&lt;=6)),$FG$5:$FG49),IF(ED49=10,SUMPRODUCT(--(($EE$5:$EE49=$EE49)*($ED$5:$ED49&gt;=7)*($ED$5:$ED49&lt;=9)),$FG$5:$FG49),0)))))</f>
        <v/>
      </c>
      <c r="FI49" s="12">
        <f>FI48+FG49-FH49</f>
        <v/>
      </c>
      <c r="FJ49" s="12">
        <f>IF(ProviderDelay&gt;=1,FF48*ProviderShare,FF49*ProviderShare)</f>
        <v/>
      </c>
      <c r="FK49" s="12">
        <f>FC49*PaymentFee</f>
        <v/>
      </c>
      <c r="FL49" s="12">
        <f>EW49*OpsAI</f>
        <v/>
      </c>
      <c r="FM49" s="12">
        <f>MonthlyFixed</f>
        <v/>
      </c>
      <c r="FN49" s="12">
        <f>EK49*ReferralReward</f>
        <v/>
      </c>
      <c r="FO49" s="12">
        <f>EI49</f>
        <v/>
      </c>
      <c r="FP49" s="9">
        <f>FF49-FJ49-FK49-FL49-FM49-FN49-FO49</f>
        <v/>
      </c>
      <c r="FQ49" s="9">
        <f>FQ48+FC49-(FJ49+FK49+FL49+FM49+FN49+FO49+FH49)</f>
        <v/>
      </c>
      <c r="FR49" s="12">
        <f>IF(EW49&gt;0,EX49/EW49,0)</f>
        <v/>
      </c>
      <c r="FS49" s="11">
        <f>IF(EW48&gt;0,MAX(0,(EW48+EL49-EW49)/EW48),0)</f>
        <v/>
      </c>
      <c r="FU49" s="12" t="n">
        <v>45</v>
      </c>
      <c r="FV49" s="12">
        <f>MOD(FU49-1+LaunchMonth-1,12)+1</f>
        <v/>
      </c>
      <c r="FW49" s="12">
        <f>INT((FU49-1+LaunchMonth-1)/12)+1</f>
        <v/>
      </c>
      <c r="FX49" s="12">
        <f>VLOOKUP(FV49,SeasonTable,2,FALSE)</f>
        <v/>
      </c>
      <c r="FY49" s="12">
        <f>(1+InflationRate)^INT((FU49-1)/12)</f>
        <v/>
      </c>
      <c r="FZ49" s="11">
        <f>'Sens - Churn'!$A$14*VLOOKUP(FV49,ChurnSeasonTable,4,FALSE)</f>
        <v/>
      </c>
      <c r="GA49" s="12">
        <f>MIN(MAX(MktMin19plus,GU48*MktPct19plus),MAX(0,HI48-CashBuffer))</f>
        <v/>
      </c>
      <c r="GB49" s="12">
        <f>IF(GA49&gt;0,MAX(1,ROUND(GA49/CAC*FX49,0)),0)</f>
        <v/>
      </c>
      <c r="GC49" s="12">
        <f>IF(GB49&gt;0,ROUND(GB49*ReferralMix/(1-ReferralMix),0),0)</f>
        <v/>
      </c>
      <c r="GD49" s="12">
        <f>GB49+GC49</f>
        <v/>
      </c>
      <c r="GE49" s="12">
        <f>ROUND(GD49*(1-AnnualMix),0)</f>
        <v/>
      </c>
      <c r="GF49" s="12">
        <f>GD49-GE49</f>
        <v/>
      </c>
      <c r="GG49" s="12">
        <f>ROUND(GE49*EssentialMix,0)</f>
        <v/>
      </c>
      <c r="GH49" s="12">
        <f>GE49-GG49</f>
        <v/>
      </c>
      <c r="GI49" s="12">
        <f>ROUND(GF49*EssentialMix,0)</f>
        <v/>
      </c>
      <c r="GJ49" s="12">
        <f>GF49-GI49</f>
        <v/>
      </c>
      <c r="GK49" s="12">
        <f>GG49+GG48+GG47+MAX(0,GK48-GG48-GG47)*(1-FZ49)</f>
        <v/>
      </c>
      <c r="GL49" s="12">
        <f>GH49+GH48+GH47+MAX(0,GL48-GH48-GH47)*(1-FZ49)</f>
        <v/>
      </c>
      <c r="GM49" s="12">
        <f>GM48+GI49-GI37*(AnnualChurn*VLOOKUP(FV49,ChurnSeasonTable,4,FALSE))*POWER(1-(AnnualChurn*VLOOKUP(FV49,ChurnSeasonTable,4,FALSE)),0)+GI25*(AnnualChurn*VLOOKUP(FV49,ChurnSeasonTable,4,FALSE))*POWER(1-(AnnualChurn*VLOOKUP(FV49,ChurnSeasonTable,4,FALSE)),1)+GI13*(AnnualChurn*VLOOKUP(FV49,ChurnSeasonTable,4,FALSE))*POWER(1-(AnnualChurn*VLOOKUP(FV49,ChurnSeasonTable,4,FALSE)),2)</f>
        <v/>
      </c>
      <c r="GN49" s="12">
        <f>GN48+GJ49-GJ37*(AnnualChurn*VLOOKUP(FV49,ChurnSeasonTable,4,FALSE))*POWER(1-(AnnualChurn*VLOOKUP(FV49,ChurnSeasonTable,4,FALSE)),0)+GJ25*(AnnualChurn*VLOOKUP(FV49,ChurnSeasonTable,4,FALSE))*POWER(1-(AnnualChurn*VLOOKUP(FV49,ChurnSeasonTable,4,FALSE)),1)+GJ13*(AnnualChurn*VLOOKUP(FV49,ChurnSeasonTable,4,FALSE))*POWER(1-(AnnualChurn*VLOOKUP(FV49,ChurnSeasonTable,4,FALSE)),2)</f>
        <v/>
      </c>
      <c r="GO49" s="12">
        <f>GK49+GL49+GM49+GN49</f>
        <v/>
      </c>
      <c r="GP49" s="9">
        <f>GK49*PriceEssMonthly*FY49+GL49*PricePremMonthly*FY49+GM49*PriceEssAnnual*FY49/12+GN49*PricePremAnnual*FY49/12</f>
        <v/>
      </c>
      <c r="GQ49" s="9">
        <f>GP49*12</f>
        <v/>
      </c>
      <c r="GR49" s="12">
        <f>GK49*PriceEssMonthly*FY49+GL49*PricePremMonthly*FY49</f>
        <v/>
      </c>
      <c r="GS49" s="12">
        <f>GI49*PriceEssAnnual*FY49+GJ49*PricePremAnnual*FY49</f>
        <v/>
      </c>
      <c r="GT49" s="12">
        <f>GI37*POWER(1-(AnnualChurn*VLOOKUP(FV49,ChurnSeasonTable,4,FALSE)),1)*PriceEssAnnual*FY49+GI25*POWER(1-(AnnualChurn*VLOOKUP(FV49,ChurnSeasonTable,4,FALSE)),2)*PriceEssAnnual*FY49+GI13*POWER(1-(AnnualChurn*VLOOKUP(FV49,ChurnSeasonTable,4,FALSE)),3)*PriceEssAnnual*FY49+GJ37*POWER(1-(AnnualChurn*VLOOKUP(FV49,ChurnSeasonTable,4,FALSE)),1)*PricePremAnnual*FY49+GJ25*POWER(1-(AnnualChurn*VLOOKUP(FV49,ChurnSeasonTable,4,FALSE)),2)*PricePremAnnual*FY49+GJ13*POWER(1-(AnnualChurn*VLOOKUP(FV49,ChurnSeasonTable,4,FALSE)),3)*PricePremAnnual*FY49</f>
        <v/>
      </c>
      <c r="GU49" s="9">
        <f>GR49+GS49+GT49</f>
        <v/>
      </c>
      <c r="GV49" s="12">
        <f>SUM(GU38:GU49)</f>
        <v/>
      </c>
      <c r="GW49" s="12">
        <f>OR(GW48,GV49&gt;=VATThreshold)</f>
        <v/>
      </c>
      <c r="GX49" s="9">
        <f>IF(GW49,GU49/(1+VATRate),GU49)</f>
        <v/>
      </c>
      <c r="GY49" s="12">
        <f>GU49-GX49</f>
        <v/>
      </c>
      <c r="GZ49" s="12">
        <f>IF(GW49=0,0,IF(FV49=1,SUMPRODUCT(--(($FW$5:$FW49=$FW49-1)*($FV$5:$FV49&gt;=10)*($FV$5:$FV49&lt;=12)),$GY$5:$GY49),IF(FV49=4,SUMPRODUCT(--(($FW$5:$FW49=$FW49)*($FV$5:$FV49&gt;=1)*($FV$5:$FV49&lt;=3)),$GY$5:$GY49),IF(FV49=7,SUMPRODUCT(--(($FW$5:$FW49=$FW49)*($FV$5:$FV49&gt;=4)*($FV$5:$FV49&lt;=6)),$GY$5:$GY49),IF(FV49=10,SUMPRODUCT(--(($FW$5:$FW49=$FW49)*($FV$5:$FV49&gt;=7)*($FV$5:$FV49&lt;=9)),$GY$5:$GY49),0)))))</f>
        <v/>
      </c>
      <c r="HA49" s="12">
        <f>HA48+GY49-GZ49</f>
        <v/>
      </c>
      <c r="HB49" s="12">
        <f>IF(ProviderDelay&gt;=1,GX48*ProviderShare,GX49*ProviderShare)</f>
        <v/>
      </c>
      <c r="HC49" s="12">
        <f>GU49*PaymentFee</f>
        <v/>
      </c>
      <c r="HD49" s="12">
        <f>GO49*OpsAI</f>
        <v/>
      </c>
      <c r="HE49" s="12">
        <f>MonthlyFixed</f>
        <v/>
      </c>
      <c r="HF49" s="12">
        <f>GC49*ReferralReward</f>
        <v/>
      </c>
      <c r="HG49" s="12">
        <f>GA49</f>
        <v/>
      </c>
      <c r="HH49" s="9">
        <f>GX49-HB49-HC49-HD49-HE49-HF49-HG49</f>
        <v/>
      </c>
      <c r="HI49" s="9">
        <f>HI48+GU49-(HB49+HC49+HD49+HE49+HF49+HG49+GZ49)</f>
        <v/>
      </c>
      <c r="HJ49" s="12">
        <f>IF(GO49&gt;0,GP49/GO49,0)</f>
        <v/>
      </c>
      <c r="HK49" s="11">
        <f>IF(GO48&gt;0,MAX(0,(GO48+GD49-GO49)/GO48),0)</f>
        <v/>
      </c>
      <c r="HM49" s="12" t="n">
        <v>45</v>
      </c>
      <c r="HN49" s="12">
        <f>MOD(HM49-1+LaunchMonth-1,12)+1</f>
        <v/>
      </c>
      <c r="HO49" s="12">
        <f>INT((HM49-1+LaunchMonth-1)/12)+1</f>
        <v/>
      </c>
      <c r="HP49" s="12">
        <f>VLOOKUP(HN49,SeasonTable,2,FALSE)</f>
        <v/>
      </c>
      <c r="HQ49" s="12">
        <f>(1+InflationRate)^INT((HM49-1)/12)</f>
        <v/>
      </c>
      <c r="HR49" s="11">
        <f>'Sens - Churn'!$A$15*VLOOKUP(HN49,ChurnSeasonTable,4,FALSE)</f>
        <v/>
      </c>
      <c r="HS49" s="12">
        <f>MIN(MAX(MktMin19plus,IM48*MktPct19plus),MAX(0,JA48-CashBuffer))</f>
        <v/>
      </c>
      <c r="HT49" s="12">
        <f>IF(HS49&gt;0,MAX(1,ROUND(HS49/CAC*HP49,0)),0)</f>
        <v/>
      </c>
      <c r="HU49" s="12">
        <f>IF(HT49&gt;0,ROUND(HT49*ReferralMix/(1-ReferralMix),0),0)</f>
        <v/>
      </c>
      <c r="HV49" s="12">
        <f>HT49+HU49</f>
        <v/>
      </c>
      <c r="HW49" s="12">
        <f>ROUND(HV49*(1-AnnualMix),0)</f>
        <v/>
      </c>
      <c r="HX49" s="12">
        <f>HV49-HW49</f>
        <v/>
      </c>
      <c r="HY49" s="12">
        <f>ROUND(HW49*EssentialMix,0)</f>
        <v/>
      </c>
      <c r="HZ49" s="12">
        <f>HW49-HY49</f>
        <v/>
      </c>
      <c r="IA49" s="12">
        <f>ROUND(HX49*EssentialMix,0)</f>
        <v/>
      </c>
      <c r="IB49" s="12">
        <f>HX49-IA49</f>
        <v/>
      </c>
      <c r="IC49" s="12">
        <f>HY49+HY48+HY47+MAX(0,IC48-HY48-HY47)*(1-HR49)</f>
        <v/>
      </c>
      <c r="ID49" s="12">
        <f>HZ49+HZ48+HZ47+MAX(0,ID48-HZ48-HZ47)*(1-HR49)</f>
        <v/>
      </c>
      <c r="IE49" s="12">
        <f>IE48+IA49-IA37*(AnnualChurn*VLOOKUP(HN49,ChurnSeasonTable,4,FALSE))*POWER(1-(AnnualChurn*VLOOKUP(HN49,ChurnSeasonTable,4,FALSE)),0)+IA25*(AnnualChurn*VLOOKUP(HN49,ChurnSeasonTable,4,FALSE))*POWER(1-(AnnualChurn*VLOOKUP(HN49,ChurnSeasonTable,4,FALSE)),1)+IA13*(AnnualChurn*VLOOKUP(HN49,ChurnSeasonTable,4,FALSE))*POWER(1-(AnnualChurn*VLOOKUP(HN49,ChurnSeasonTable,4,FALSE)),2)</f>
        <v/>
      </c>
      <c r="IF49" s="12">
        <f>IF48+IB49-IB37*(AnnualChurn*VLOOKUP(HN49,ChurnSeasonTable,4,FALSE))*POWER(1-(AnnualChurn*VLOOKUP(HN49,ChurnSeasonTable,4,FALSE)),0)+IB25*(AnnualChurn*VLOOKUP(HN49,ChurnSeasonTable,4,FALSE))*POWER(1-(AnnualChurn*VLOOKUP(HN49,ChurnSeasonTable,4,FALSE)),1)+IB13*(AnnualChurn*VLOOKUP(HN49,ChurnSeasonTable,4,FALSE))*POWER(1-(AnnualChurn*VLOOKUP(HN49,ChurnSeasonTable,4,FALSE)),2)</f>
        <v/>
      </c>
      <c r="IG49" s="12">
        <f>IC49+ID49+IE49+IF49</f>
        <v/>
      </c>
      <c r="IH49" s="9">
        <f>IC49*PriceEssMonthly*HQ49+ID49*PricePremMonthly*HQ49+IE49*PriceEssAnnual*HQ49/12+IF49*PricePremAnnual*HQ49/12</f>
        <v/>
      </c>
      <c r="II49" s="9">
        <f>IH49*12</f>
        <v/>
      </c>
      <c r="IJ49" s="12">
        <f>IC49*PriceEssMonthly*HQ49+ID49*PricePremMonthly*HQ49</f>
        <v/>
      </c>
      <c r="IK49" s="12">
        <f>IA49*PriceEssAnnual*HQ49+IB49*PricePremAnnual*HQ49</f>
        <v/>
      </c>
      <c r="IL49" s="12">
        <f>IA37*POWER(1-(AnnualChurn*VLOOKUP(HN49,ChurnSeasonTable,4,FALSE)),1)*PriceEssAnnual*HQ49+IA25*POWER(1-(AnnualChurn*VLOOKUP(HN49,ChurnSeasonTable,4,FALSE)),2)*PriceEssAnnual*HQ49+IA13*POWER(1-(AnnualChurn*VLOOKUP(HN49,ChurnSeasonTable,4,FALSE)),3)*PriceEssAnnual*HQ49+IB37*POWER(1-(AnnualChurn*VLOOKUP(HN49,ChurnSeasonTable,4,FALSE)),1)*PricePremAnnual*HQ49+IB25*POWER(1-(AnnualChurn*VLOOKUP(HN49,ChurnSeasonTable,4,FALSE)),2)*PricePremAnnual*HQ49+IB13*POWER(1-(AnnualChurn*VLOOKUP(HN49,ChurnSeasonTable,4,FALSE)),3)*PricePremAnnual*HQ49</f>
        <v/>
      </c>
      <c r="IM49" s="9">
        <f>IJ49+IK49+IL49</f>
        <v/>
      </c>
      <c r="IN49" s="12">
        <f>SUM(IM38:IM49)</f>
        <v/>
      </c>
      <c r="IO49" s="12">
        <f>OR(IO48,IN49&gt;=VATThreshold)</f>
        <v/>
      </c>
      <c r="IP49" s="9">
        <f>IF(IO49,IM49/(1+VATRate),IM49)</f>
        <v/>
      </c>
      <c r="IQ49" s="12">
        <f>IM49-IP49</f>
        <v/>
      </c>
      <c r="IR49" s="12">
        <f>IF(IO49=0,0,IF(HN49=1,SUMPRODUCT(--(($HO$5:$HO49=$HO49-1)*($HN$5:$HN49&gt;=10)*($HN$5:$HN49&lt;=12)),$IQ$5:$IQ49),IF(HN49=4,SUMPRODUCT(--(($HO$5:$HO49=$HO49)*($HN$5:$HN49&gt;=1)*($HN$5:$HN49&lt;=3)),$IQ$5:$IQ49),IF(HN49=7,SUMPRODUCT(--(($HO$5:$HO49=$HO49)*($HN$5:$HN49&gt;=4)*($HN$5:$HN49&lt;=6)),$IQ$5:$IQ49),IF(HN49=10,SUMPRODUCT(--(($HO$5:$HO49=$HO49)*($HN$5:$HN49&gt;=7)*($HN$5:$HN49&lt;=9)),$IQ$5:$IQ49),0)))))</f>
        <v/>
      </c>
      <c r="IS49" s="12">
        <f>IS48+IQ49-IR49</f>
        <v/>
      </c>
      <c r="IT49" s="12">
        <f>IF(ProviderDelay&gt;=1,IP48*ProviderShare,IP49*ProviderShare)</f>
        <v/>
      </c>
      <c r="IU49" s="12">
        <f>IM49*PaymentFee</f>
        <v/>
      </c>
      <c r="IV49" s="12">
        <f>IG49*OpsAI</f>
        <v/>
      </c>
      <c r="IW49" s="12">
        <f>MonthlyFixed</f>
        <v/>
      </c>
      <c r="IX49" s="12">
        <f>HU49*ReferralReward</f>
        <v/>
      </c>
      <c r="IY49" s="12">
        <f>HS49</f>
        <v/>
      </c>
      <c r="IZ49" s="9">
        <f>IP49-IT49-IU49-IV49-IW49-IX49-IY49</f>
        <v/>
      </c>
      <c r="JA49" s="9">
        <f>JA48+IM49-(IT49+IU49+IV49+IW49+IX49+IY49+IR49)</f>
        <v/>
      </c>
      <c r="JB49" s="12">
        <f>IF(IG49&gt;0,IH49/IG49,0)</f>
        <v/>
      </c>
      <c r="JC49" s="11">
        <f>IF(IG48&gt;0,MAX(0,(IG48+HV49-IG49)/IG48),0)</f>
        <v/>
      </c>
      <c r="JE49" s="12" t="n">
        <v>45</v>
      </c>
      <c r="JF49" s="12">
        <f>MOD(JE49-1+LaunchMonth-1,12)+1</f>
        <v/>
      </c>
      <c r="JG49" s="12">
        <f>INT((JE49-1+LaunchMonth-1)/12)+1</f>
        <v/>
      </c>
      <c r="JH49" s="12">
        <f>VLOOKUP(JF49,SeasonTable,2,FALSE)</f>
        <v/>
      </c>
      <c r="JI49" s="12">
        <f>(1+InflationRate)^INT((JE49-1)/12)</f>
        <v/>
      </c>
      <c r="JJ49" s="11">
        <f>'Sens - Churn'!$A$16*VLOOKUP(JF49,ChurnSeasonTable,4,FALSE)</f>
        <v/>
      </c>
      <c r="JK49" s="12">
        <f>MIN(MAX(MktMin19plus,KE48*MktPct19plus),MAX(0,KS48-CashBuffer))</f>
        <v/>
      </c>
      <c r="JL49" s="12">
        <f>IF(JK49&gt;0,MAX(1,ROUND(JK49/CAC*JH49,0)),0)</f>
        <v/>
      </c>
      <c r="JM49" s="12">
        <f>IF(JL49&gt;0,ROUND(JL49*ReferralMix/(1-ReferralMix),0),0)</f>
        <v/>
      </c>
      <c r="JN49" s="12">
        <f>JL49+JM49</f>
        <v/>
      </c>
      <c r="JO49" s="12">
        <f>ROUND(JN49*(1-AnnualMix),0)</f>
        <v/>
      </c>
      <c r="JP49" s="12">
        <f>JN49-JO49</f>
        <v/>
      </c>
      <c r="JQ49" s="12">
        <f>ROUND(JO49*EssentialMix,0)</f>
        <v/>
      </c>
      <c r="JR49" s="12">
        <f>JO49-JQ49</f>
        <v/>
      </c>
      <c r="JS49" s="12">
        <f>ROUND(JP49*EssentialMix,0)</f>
        <v/>
      </c>
      <c r="JT49" s="12">
        <f>JP49-JS49</f>
        <v/>
      </c>
      <c r="JU49" s="12">
        <f>JQ49+JQ48+JQ47+MAX(0,JU48-JQ48-JQ47)*(1-JJ49)</f>
        <v/>
      </c>
      <c r="JV49" s="12">
        <f>JR49+JR48+JR47+MAX(0,JV48-JR48-JR47)*(1-JJ49)</f>
        <v/>
      </c>
      <c r="JW49" s="12">
        <f>JW48+JS49-JS37*(AnnualChurn*VLOOKUP(JF49,ChurnSeasonTable,4,FALSE))*POWER(1-(AnnualChurn*VLOOKUP(JF49,ChurnSeasonTable,4,FALSE)),0)+JS25*(AnnualChurn*VLOOKUP(JF49,ChurnSeasonTable,4,FALSE))*POWER(1-(AnnualChurn*VLOOKUP(JF49,ChurnSeasonTable,4,FALSE)),1)+JS13*(AnnualChurn*VLOOKUP(JF49,ChurnSeasonTable,4,FALSE))*POWER(1-(AnnualChurn*VLOOKUP(JF49,ChurnSeasonTable,4,FALSE)),2)</f>
        <v/>
      </c>
      <c r="JX49" s="12">
        <f>JX48+JT49-JT37*(AnnualChurn*VLOOKUP(JF49,ChurnSeasonTable,4,FALSE))*POWER(1-(AnnualChurn*VLOOKUP(JF49,ChurnSeasonTable,4,FALSE)),0)+JT25*(AnnualChurn*VLOOKUP(JF49,ChurnSeasonTable,4,FALSE))*POWER(1-(AnnualChurn*VLOOKUP(JF49,ChurnSeasonTable,4,FALSE)),1)+JT13*(AnnualChurn*VLOOKUP(JF49,ChurnSeasonTable,4,FALSE))*POWER(1-(AnnualChurn*VLOOKUP(JF49,ChurnSeasonTable,4,FALSE)),2)</f>
        <v/>
      </c>
      <c r="JY49" s="12">
        <f>JU49+JV49+JW49+JX49</f>
        <v/>
      </c>
      <c r="JZ49" s="9">
        <f>JU49*PriceEssMonthly*JI49+JV49*PricePremMonthly*JI49+JW49*PriceEssAnnual*JI49/12+JX49*PricePremAnnual*JI49/12</f>
        <v/>
      </c>
      <c r="KA49" s="9">
        <f>JZ49*12</f>
        <v/>
      </c>
      <c r="KB49" s="12">
        <f>JU49*PriceEssMonthly*JI49+JV49*PricePremMonthly*JI49</f>
        <v/>
      </c>
      <c r="KC49" s="12">
        <f>JS49*PriceEssAnnual*JI49+JT49*PricePremAnnual*JI49</f>
        <v/>
      </c>
      <c r="KD49" s="12">
        <f>JS37*POWER(1-(AnnualChurn*VLOOKUP(JF49,ChurnSeasonTable,4,FALSE)),1)*PriceEssAnnual*JI49+JS25*POWER(1-(AnnualChurn*VLOOKUP(JF49,ChurnSeasonTable,4,FALSE)),2)*PriceEssAnnual*JI49+JS13*POWER(1-(AnnualChurn*VLOOKUP(JF49,ChurnSeasonTable,4,FALSE)),3)*PriceEssAnnual*JI49+JT37*POWER(1-(AnnualChurn*VLOOKUP(JF49,ChurnSeasonTable,4,FALSE)),1)*PricePremAnnual*JI49+JT25*POWER(1-(AnnualChurn*VLOOKUP(JF49,ChurnSeasonTable,4,FALSE)),2)*PricePremAnnual*JI49+JT13*POWER(1-(AnnualChurn*VLOOKUP(JF49,ChurnSeasonTable,4,FALSE)),3)*PricePremAnnual*JI49</f>
        <v/>
      </c>
      <c r="KE49" s="9">
        <f>KB49+KC49+KD49</f>
        <v/>
      </c>
      <c r="KF49" s="12">
        <f>SUM(KE38:KE49)</f>
        <v/>
      </c>
      <c r="KG49" s="12">
        <f>OR(KG48,KF49&gt;=VATThreshold)</f>
        <v/>
      </c>
      <c r="KH49" s="9">
        <f>IF(KG49,KE49/(1+VATRate),KE49)</f>
        <v/>
      </c>
      <c r="KI49" s="12">
        <f>KE49-KH49</f>
        <v/>
      </c>
      <c r="KJ49" s="12">
        <f>IF(KG49=0,0,IF(JF49=1,SUMPRODUCT(--(($JG$5:$JG49=$JG49-1)*($JF$5:$JF49&gt;=10)*($JF$5:$JF49&lt;=12)),$KI$5:$KI49),IF(JF49=4,SUMPRODUCT(--(($JG$5:$JG49=$JG49)*($JF$5:$JF49&gt;=1)*($JF$5:$JF49&lt;=3)),$KI$5:$KI49),IF(JF49=7,SUMPRODUCT(--(($JG$5:$JG49=$JG49)*($JF$5:$JF49&gt;=4)*($JF$5:$JF49&lt;=6)),$KI$5:$KI49),IF(JF49=10,SUMPRODUCT(--(($JG$5:$JG49=$JG49)*($JF$5:$JF49&gt;=7)*($JF$5:$JF49&lt;=9)),$KI$5:$KI49),0)))))</f>
        <v/>
      </c>
      <c r="KK49" s="12">
        <f>KK48+KI49-KJ49</f>
        <v/>
      </c>
      <c r="KL49" s="12">
        <f>IF(ProviderDelay&gt;=1,KH48*ProviderShare,KH49*ProviderShare)</f>
        <v/>
      </c>
      <c r="KM49" s="12">
        <f>KE49*PaymentFee</f>
        <v/>
      </c>
      <c r="KN49" s="12">
        <f>JY49*OpsAI</f>
        <v/>
      </c>
      <c r="KO49" s="12">
        <f>MonthlyFixed</f>
        <v/>
      </c>
      <c r="KP49" s="12">
        <f>JM49*ReferralReward</f>
        <v/>
      </c>
      <c r="KQ49" s="12">
        <f>JK49</f>
        <v/>
      </c>
      <c r="KR49" s="9">
        <f>KH49-KL49-KM49-KN49-KO49-KP49-KQ49</f>
        <v/>
      </c>
      <c r="KS49" s="9">
        <f>KS48+KE49-(KL49+KM49+KN49+KO49+KP49+KQ49+KJ49)</f>
        <v/>
      </c>
      <c r="KT49" s="12">
        <f>IF(JY49&gt;0,JZ49/JY49,0)</f>
        <v/>
      </c>
      <c r="KU49" s="11">
        <f>IF(JY48&gt;0,MAX(0,(JY48+JN49-JY49)/JY48),0)</f>
        <v/>
      </c>
      <c r="KW49" s="12" t="n">
        <v>45</v>
      </c>
      <c r="KX49" s="12">
        <f>MOD(KW49-1+LaunchMonth-1,12)+1</f>
        <v/>
      </c>
      <c r="KY49" s="12">
        <f>INT((KW49-1+LaunchMonth-1)/12)+1</f>
        <v/>
      </c>
      <c r="KZ49" s="12">
        <f>VLOOKUP(KX49,SeasonTable,2,FALSE)</f>
        <v/>
      </c>
      <c r="LA49" s="12">
        <f>(1+InflationRate)^INT((KW49-1)/12)</f>
        <v/>
      </c>
      <c r="LB49" s="11">
        <f>'Sens - Churn'!$A$17*VLOOKUP(KX49,ChurnSeasonTable,4,FALSE)</f>
        <v/>
      </c>
      <c r="LC49" s="12">
        <f>MIN(MAX(MktMin19plus,LW48*MktPct19plus),MAX(0,MK48-CashBuffer))</f>
        <v/>
      </c>
      <c r="LD49" s="12">
        <f>IF(LC49&gt;0,MAX(1,ROUND(LC49/CAC*KZ49,0)),0)</f>
        <v/>
      </c>
      <c r="LE49" s="12">
        <f>IF(LD49&gt;0,ROUND(LD49*ReferralMix/(1-ReferralMix),0),0)</f>
        <v/>
      </c>
      <c r="LF49" s="12">
        <f>LD49+LE49</f>
        <v/>
      </c>
      <c r="LG49" s="12">
        <f>ROUND(LF49*(1-AnnualMix),0)</f>
        <v/>
      </c>
      <c r="LH49" s="12">
        <f>LF49-LG49</f>
        <v/>
      </c>
      <c r="LI49" s="12">
        <f>ROUND(LG49*EssentialMix,0)</f>
        <v/>
      </c>
      <c r="LJ49" s="12">
        <f>LG49-LI49</f>
        <v/>
      </c>
      <c r="LK49" s="12">
        <f>ROUND(LH49*EssentialMix,0)</f>
        <v/>
      </c>
      <c r="LL49" s="12">
        <f>LH49-LK49</f>
        <v/>
      </c>
      <c r="LM49" s="12">
        <f>LI49+LI48+LI47+MAX(0,LM48-LI48-LI47)*(1-LB49)</f>
        <v/>
      </c>
      <c r="LN49" s="12">
        <f>LJ49+LJ48+LJ47+MAX(0,LN48-LJ48-LJ47)*(1-LB49)</f>
        <v/>
      </c>
      <c r="LO49" s="12">
        <f>LO48+LK49-LK37*(AnnualChurn*VLOOKUP(KX49,ChurnSeasonTable,4,FALSE))*POWER(1-(AnnualChurn*VLOOKUP(KX49,ChurnSeasonTable,4,FALSE)),0)+LK25*(AnnualChurn*VLOOKUP(KX49,ChurnSeasonTable,4,FALSE))*POWER(1-(AnnualChurn*VLOOKUP(KX49,ChurnSeasonTable,4,FALSE)),1)+LK13*(AnnualChurn*VLOOKUP(KX49,ChurnSeasonTable,4,FALSE))*POWER(1-(AnnualChurn*VLOOKUP(KX49,ChurnSeasonTable,4,FALSE)),2)</f>
        <v/>
      </c>
      <c r="LP49" s="12">
        <f>LP48+LL49-LL37*(AnnualChurn*VLOOKUP(KX49,ChurnSeasonTable,4,FALSE))*POWER(1-(AnnualChurn*VLOOKUP(KX49,ChurnSeasonTable,4,FALSE)),0)+LL25*(AnnualChurn*VLOOKUP(KX49,ChurnSeasonTable,4,FALSE))*POWER(1-(AnnualChurn*VLOOKUP(KX49,ChurnSeasonTable,4,FALSE)),1)+LL13*(AnnualChurn*VLOOKUP(KX49,ChurnSeasonTable,4,FALSE))*POWER(1-(AnnualChurn*VLOOKUP(KX49,ChurnSeasonTable,4,FALSE)),2)</f>
        <v/>
      </c>
      <c r="LQ49" s="12">
        <f>LM49+LN49+LO49+LP49</f>
        <v/>
      </c>
      <c r="LR49" s="9">
        <f>LM49*PriceEssMonthly*LA49+LN49*PricePremMonthly*LA49+LO49*PriceEssAnnual*LA49/12+LP49*PricePremAnnual*LA49/12</f>
        <v/>
      </c>
      <c r="LS49" s="9">
        <f>LR49*12</f>
        <v/>
      </c>
      <c r="LT49" s="12">
        <f>LM49*PriceEssMonthly*LA49+LN49*PricePremMonthly*LA49</f>
        <v/>
      </c>
      <c r="LU49" s="12">
        <f>LK49*PriceEssAnnual*LA49+LL49*PricePremAnnual*LA49</f>
        <v/>
      </c>
      <c r="LV49" s="12">
        <f>LK37*POWER(1-(AnnualChurn*VLOOKUP(KX49,ChurnSeasonTable,4,FALSE)),1)*PriceEssAnnual*LA49+LK25*POWER(1-(AnnualChurn*VLOOKUP(KX49,ChurnSeasonTable,4,FALSE)),2)*PriceEssAnnual*LA49+LK13*POWER(1-(AnnualChurn*VLOOKUP(KX49,ChurnSeasonTable,4,FALSE)),3)*PriceEssAnnual*LA49+LL37*POWER(1-(AnnualChurn*VLOOKUP(KX49,ChurnSeasonTable,4,FALSE)),1)*PricePremAnnual*LA49+LL25*POWER(1-(AnnualChurn*VLOOKUP(KX49,ChurnSeasonTable,4,FALSE)),2)*PricePremAnnual*LA49+LL13*POWER(1-(AnnualChurn*VLOOKUP(KX49,ChurnSeasonTable,4,FALSE)),3)*PricePremAnnual*LA49</f>
        <v/>
      </c>
      <c r="LW49" s="9">
        <f>LT49+LU49+LV49</f>
        <v/>
      </c>
      <c r="LX49" s="12">
        <f>SUM(LW38:LW49)</f>
        <v/>
      </c>
      <c r="LY49" s="12">
        <f>OR(LY48,LX49&gt;=VATThreshold)</f>
        <v/>
      </c>
      <c r="LZ49" s="9">
        <f>IF(LY49,LW49/(1+VATRate),LW49)</f>
        <v/>
      </c>
      <c r="MA49" s="12">
        <f>LW49-LZ49</f>
        <v/>
      </c>
      <c r="MB49" s="12">
        <f>IF(LY49=0,0,IF(KX49=1,SUMPRODUCT(--(($KY$5:$KY49=$KY49-1)*($KX$5:$KX49&gt;=10)*($KX$5:$KX49&lt;=12)),$MA$5:$MA49),IF(KX49=4,SUMPRODUCT(--(($KY$5:$KY49=$KY49)*($KX$5:$KX49&gt;=1)*($KX$5:$KX49&lt;=3)),$MA$5:$MA49),IF(KX49=7,SUMPRODUCT(--(($KY$5:$KY49=$KY49)*($KX$5:$KX49&gt;=4)*($KX$5:$KX49&lt;=6)),$MA$5:$MA49),IF(KX49=10,SUMPRODUCT(--(($KY$5:$KY49=$KY49)*($KX$5:$KX49&gt;=7)*($KX$5:$KX49&lt;=9)),$MA$5:$MA49),0)))))</f>
        <v/>
      </c>
      <c r="MC49" s="12">
        <f>MC48+MA49-MB49</f>
        <v/>
      </c>
      <c r="MD49" s="12">
        <f>IF(ProviderDelay&gt;=1,LZ48*ProviderShare,LZ49*ProviderShare)</f>
        <v/>
      </c>
      <c r="ME49" s="12">
        <f>LW49*PaymentFee</f>
        <v/>
      </c>
      <c r="MF49" s="12">
        <f>LQ49*OpsAI</f>
        <v/>
      </c>
      <c r="MG49" s="12">
        <f>MonthlyFixed</f>
        <v/>
      </c>
      <c r="MH49" s="12">
        <f>LE49*ReferralReward</f>
        <v/>
      </c>
      <c r="MI49" s="12">
        <f>LC49</f>
        <v/>
      </c>
      <c r="MJ49" s="9">
        <f>LZ49-MD49-ME49-MF49-MG49-MH49-MI49</f>
        <v/>
      </c>
      <c r="MK49" s="9">
        <f>MK48+LW49-(MD49+ME49+MF49+MG49+MH49+MI49+MB49)</f>
        <v/>
      </c>
      <c r="ML49" s="12">
        <f>IF(LQ49&gt;0,LR49/LQ49,0)</f>
        <v/>
      </c>
      <c r="MM49" s="11">
        <f>IF(LQ48&gt;0,MAX(0,(LQ48+LF49-LQ49)/LQ48),0)</f>
        <v/>
      </c>
      <c r="MO49" s="12" t="n">
        <v>45</v>
      </c>
      <c r="MP49" s="12">
        <f>MOD(MO49-1+LaunchMonth-1,12)+1</f>
        <v/>
      </c>
      <c r="MQ49" s="12">
        <f>INT((MO49-1+LaunchMonth-1)/12)+1</f>
        <v/>
      </c>
      <c r="MR49" s="12">
        <f>VLOOKUP(MP49,SeasonTable,2,FALSE)</f>
        <v/>
      </c>
      <c r="MS49" s="12">
        <f>(1+InflationRate)^INT((MO49-1)/12)</f>
        <v/>
      </c>
      <c r="MT49" s="11">
        <f>'Sens - Churn'!$A$18*VLOOKUP(MP49,ChurnSeasonTable,4,FALSE)</f>
        <v/>
      </c>
      <c r="MU49" s="12">
        <f>MIN(MAX(MktMin19plus,NO48*MktPct19plus),MAX(0,OC48-CashBuffer))</f>
        <v/>
      </c>
      <c r="MV49" s="12">
        <f>IF(MU49&gt;0,MAX(1,ROUND(MU49/CAC*MR49,0)),0)</f>
        <v/>
      </c>
      <c r="MW49" s="12">
        <f>IF(MV49&gt;0,ROUND(MV49*ReferralMix/(1-ReferralMix),0),0)</f>
        <v/>
      </c>
      <c r="MX49" s="12">
        <f>MV49+MW49</f>
        <v/>
      </c>
      <c r="MY49" s="12">
        <f>ROUND(MX49*(1-AnnualMix),0)</f>
        <v/>
      </c>
      <c r="MZ49" s="12">
        <f>MX49-MY49</f>
        <v/>
      </c>
      <c r="NA49" s="12">
        <f>ROUND(MY49*EssentialMix,0)</f>
        <v/>
      </c>
      <c r="NB49" s="12">
        <f>MY49-NA49</f>
        <v/>
      </c>
      <c r="NC49" s="12">
        <f>ROUND(MZ49*EssentialMix,0)</f>
        <v/>
      </c>
      <c r="ND49" s="12">
        <f>MZ49-NC49</f>
        <v/>
      </c>
      <c r="NE49" s="12">
        <f>NA49+NA48+NA47+MAX(0,NE48-NA48-NA47)*(1-MT49)</f>
        <v/>
      </c>
      <c r="NF49" s="12">
        <f>NB49+NB48+NB47+MAX(0,NF48-NB48-NB47)*(1-MT49)</f>
        <v/>
      </c>
      <c r="NG49" s="12">
        <f>NG48+NC49-NC37*(AnnualChurn*VLOOKUP(MP49,ChurnSeasonTable,4,FALSE))*POWER(1-(AnnualChurn*VLOOKUP(MP49,ChurnSeasonTable,4,FALSE)),0)+NC25*(AnnualChurn*VLOOKUP(MP49,ChurnSeasonTable,4,FALSE))*POWER(1-(AnnualChurn*VLOOKUP(MP49,ChurnSeasonTable,4,FALSE)),1)+NC13*(AnnualChurn*VLOOKUP(MP49,ChurnSeasonTable,4,FALSE))*POWER(1-(AnnualChurn*VLOOKUP(MP49,ChurnSeasonTable,4,FALSE)),2)</f>
        <v/>
      </c>
      <c r="NH49" s="12">
        <f>NH48+ND49-ND37*(AnnualChurn*VLOOKUP(MP49,ChurnSeasonTable,4,FALSE))*POWER(1-(AnnualChurn*VLOOKUP(MP49,ChurnSeasonTable,4,FALSE)),0)+ND25*(AnnualChurn*VLOOKUP(MP49,ChurnSeasonTable,4,FALSE))*POWER(1-(AnnualChurn*VLOOKUP(MP49,ChurnSeasonTable,4,FALSE)),1)+ND13*(AnnualChurn*VLOOKUP(MP49,ChurnSeasonTable,4,FALSE))*POWER(1-(AnnualChurn*VLOOKUP(MP49,ChurnSeasonTable,4,FALSE)),2)</f>
        <v/>
      </c>
      <c r="NI49" s="12">
        <f>NE49+NF49+NG49+NH49</f>
        <v/>
      </c>
      <c r="NJ49" s="9">
        <f>NE49*PriceEssMonthly*MS49+NF49*PricePremMonthly*MS49+NG49*PriceEssAnnual*MS49/12+NH49*PricePremAnnual*MS49/12</f>
        <v/>
      </c>
      <c r="NK49" s="9">
        <f>NJ49*12</f>
        <v/>
      </c>
      <c r="NL49" s="12">
        <f>NE49*PriceEssMonthly*MS49+NF49*PricePremMonthly*MS49</f>
        <v/>
      </c>
      <c r="NM49" s="12">
        <f>NC49*PriceEssAnnual*MS49+ND49*PricePremAnnual*MS49</f>
        <v/>
      </c>
      <c r="NN49" s="12">
        <f>NC37*POWER(1-(AnnualChurn*VLOOKUP(MP49,ChurnSeasonTable,4,FALSE)),1)*PriceEssAnnual*MS49+NC25*POWER(1-(AnnualChurn*VLOOKUP(MP49,ChurnSeasonTable,4,FALSE)),2)*PriceEssAnnual*MS49+NC13*POWER(1-(AnnualChurn*VLOOKUP(MP49,ChurnSeasonTable,4,FALSE)),3)*PriceEssAnnual*MS49+ND37*POWER(1-(AnnualChurn*VLOOKUP(MP49,ChurnSeasonTable,4,FALSE)),1)*PricePremAnnual*MS49+ND25*POWER(1-(AnnualChurn*VLOOKUP(MP49,ChurnSeasonTable,4,FALSE)),2)*PricePremAnnual*MS49+ND13*POWER(1-(AnnualChurn*VLOOKUP(MP49,ChurnSeasonTable,4,FALSE)),3)*PricePremAnnual*MS49</f>
        <v/>
      </c>
      <c r="NO49" s="9">
        <f>NL49+NM49+NN49</f>
        <v/>
      </c>
      <c r="NP49" s="12">
        <f>SUM(NO38:NO49)</f>
        <v/>
      </c>
      <c r="NQ49" s="12">
        <f>OR(NQ48,NP49&gt;=VATThreshold)</f>
        <v/>
      </c>
      <c r="NR49" s="9">
        <f>IF(NQ49,NO49/(1+VATRate),NO49)</f>
        <v/>
      </c>
      <c r="NS49" s="12">
        <f>NO49-NR49</f>
        <v/>
      </c>
      <c r="NT49" s="12">
        <f>IF(NQ49=0,0,IF(MP49=1,SUMPRODUCT(--(($MQ$5:$MQ49=$MQ49-1)*($MP$5:$MP49&gt;=10)*($MP$5:$MP49&lt;=12)),$NS$5:$NS49),IF(MP49=4,SUMPRODUCT(--(($MQ$5:$MQ49=$MQ49)*($MP$5:$MP49&gt;=1)*($MP$5:$MP49&lt;=3)),$NS$5:$NS49),IF(MP49=7,SUMPRODUCT(--(($MQ$5:$MQ49=$MQ49)*($MP$5:$MP49&gt;=4)*($MP$5:$MP49&lt;=6)),$NS$5:$NS49),IF(MP49=10,SUMPRODUCT(--(($MQ$5:$MQ49=$MQ49)*($MP$5:$MP49&gt;=7)*($MP$5:$MP49&lt;=9)),$NS$5:$NS49),0)))))</f>
        <v/>
      </c>
      <c r="NU49" s="12">
        <f>NU48+NS49-NT49</f>
        <v/>
      </c>
      <c r="NV49" s="12">
        <f>IF(ProviderDelay&gt;=1,NR48*ProviderShare,NR49*ProviderShare)</f>
        <v/>
      </c>
      <c r="NW49" s="12">
        <f>NO49*PaymentFee</f>
        <v/>
      </c>
      <c r="NX49" s="12">
        <f>NI49*OpsAI</f>
        <v/>
      </c>
      <c r="NY49" s="12">
        <f>MonthlyFixed</f>
        <v/>
      </c>
      <c r="NZ49" s="12">
        <f>MW49*ReferralReward</f>
        <v/>
      </c>
      <c r="OA49" s="12">
        <f>MU49</f>
        <v/>
      </c>
      <c r="OB49" s="9">
        <f>NR49-NV49-NW49-NX49-NY49-NZ49-OA49</f>
        <v/>
      </c>
      <c r="OC49" s="9">
        <f>OC48+NO49-(NV49+NW49+NX49+NY49+NZ49+OA49+NT49)</f>
        <v/>
      </c>
      <c r="OD49" s="12">
        <f>IF(NI49&gt;0,NJ49/NI49,0)</f>
        <v/>
      </c>
      <c r="OE49" s="11">
        <f>IF(NI48&gt;0,MAX(0,(NI48+MX49-NI49)/NI48),0)</f>
        <v/>
      </c>
      <c r="OG49" s="12" t="n">
        <v>45</v>
      </c>
      <c r="OH49" s="12">
        <f>MOD(OG49-1+LaunchMonth-1,12)+1</f>
        <v/>
      </c>
      <c r="OI49" s="12">
        <f>INT((OG49-1+LaunchMonth-1)/12)+1</f>
        <v/>
      </c>
      <c r="OJ49" s="12">
        <f>VLOOKUP(OH49,SeasonTable,2,FALSE)</f>
        <v/>
      </c>
      <c r="OK49" s="12">
        <f>(1+InflationRate)^INT((OG49-1)/12)</f>
        <v/>
      </c>
      <c r="OL49" s="11">
        <f>'Sens - Churn'!$A$19*VLOOKUP(OH49,ChurnSeasonTable,4,FALSE)</f>
        <v/>
      </c>
      <c r="OM49" s="12">
        <f>MIN(MAX(MktMin19plus,PG48*MktPct19plus),MAX(0,PU48-CashBuffer))</f>
        <v/>
      </c>
      <c r="ON49" s="12">
        <f>IF(OM49&gt;0,MAX(1,ROUND(OM49/CAC*OJ49,0)),0)</f>
        <v/>
      </c>
      <c r="OO49" s="12">
        <f>IF(ON49&gt;0,ROUND(ON49*ReferralMix/(1-ReferralMix),0),0)</f>
        <v/>
      </c>
      <c r="OP49" s="12">
        <f>ON49+OO49</f>
        <v/>
      </c>
      <c r="OQ49" s="12">
        <f>ROUND(OP49*(1-AnnualMix),0)</f>
        <v/>
      </c>
      <c r="OR49" s="12">
        <f>OP49-OQ49</f>
        <v/>
      </c>
      <c r="OS49" s="12">
        <f>ROUND(OQ49*EssentialMix,0)</f>
        <v/>
      </c>
      <c r="OT49" s="12">
        <f>OQ49-OS49</f>
        <v/>
      </c>
      <c r="OU49" s="12">
        <f>ROUND(OR49*EssentialMix,0)</f>
        <v/>
      </c>
      <c r="OV49" s="12">
        <f>OR49-OU49</f>
        <v/>
      </c>
      <c r="OW49" s="12">
        <f>OS49+OS48+OS47+MAX(0,OW48-OS48-OS47)*(1-OL49)</f>
        <v/>
      </c>
      <c r="OX49" s="12">
        <f>OT49+OT48+OT47+MAX(0,OX48-OT48-OT47)*(1-OL49)</f>
        <v/>
      </c>
      <c r="OY49" s="12">
        <f>OY48+OU49-OU37*(AnnualChurn*VLOOKUP(OH49,ChurnSeasonTable,4,FALSE))*POWER(1-(AnnualChurn*VLOOKUP(OH49,ChurnSeasonTable,4,FALSE)),0)+OU25*(AnnualChurn*VLOOKUP(OH49,ChurnSeasonTable,4,FALSE))*POWER(1-(AnnualChurn*VLOOKUP(OH49,ChurnSeasonTable,4,FALSE)),1)+OU13*(AnnualChurn*VLOOKUP(OH49,ChurnSeasonTable,4,FALSE))*POWER(1-(AnnualChurn*VLOOKUP(OH49,ChurnSeasonTable,4,FALSE)),2)</f>
        <v/>
      </c>
      <c r="OZ49" s="12">
        <f>OZ48+OV49-OV37*(AnnualChurn*VLOOKUP(OH49,ChurnSeasonTable,4,FALSE))*POWER(1-(AnnualChurn*VLOOKUP(OH49,ChurnSeasonTable,4,FALSE)),0)+OV25*(AnnualChurn*VLOOKUP(OH49,ChurnSeasonTable,4,FALSE))*POWER(1-(AnnualChurn*VLOOKUP(OH49,ChurnSeasonTable,4,FALSE)),1)+OV13*(AnnualChurn*VLOOKUP(OH49,ChurnSeasonTable,4,FALSE))*POWER(1-(AnnualChurn*VLOOKUP(OH49,ChurnSeasonTable,4,FALSE)),2)</f>
        <v/>
      </c>
      <c r="PA49" s="12">
        <f>OW49+OX49+OY49+OZ49</f>
        <v/>
      </c>
      <c r="PB49" s="9">
        <f>OW49*PriceEssMonthly*OK49+OX49*PricePremMonthly*OK49+OY49*PriceEssAnnual*OK49/12+OZ49*PricePremAnnual*OK49/12</f>
        <v/>
      </c>
      <c r="PC49" s="9">
        <f>PB49*12</f>
        <v/>
      </c>
      <c r="PD49" s="12">
        <f>OW49*PriceEssMonthly*OK49+OX49*PricePremMonthly*OK49</f>
        <v/>
      </c>
      <c r="PE49" s="12">
        <f>OU49*PriceEssAnnual*OK49+OV49*PricePremAnnual*OK49</f>
        <v/>
      </c>
      <c r="PF49" s="12">
        <f>OU37*POWER(1-(AnnualChurn*VLOOKUP(OH49,ChurnSeasonTable,4,FALSE)),1)*PriceEssAnnual*OK49+OU25*POWER(1-(AnnualChurn*VLOOKUP(OH49,ChurnSeasonTable,4,FALSE)),2)*PriceEssAnnual*OK49+OU13*POWER(1-(AnnualChurn*VLOOKUP(OH49,ChurnSeasonTable,4,FALSE)),3)*PriceEssAnnual*OK49+OV37*POWER(1-(AnnualChurn*VLOOKUP(OH49,ChurnSeasonTable,4,FALSE)),1)*PricePremAnnual*OK49+OV25*POWER(1-(AnnualChurn*VLOOKUP(OH49,ChurnSeasonTable,4,FALSE)),2)*PricePremAnnual*OK49+OV13*POWER(1-(AnnualChurn*VLOOKUP(OH49,ChurnSeasonTable,4,FALSE)),3)*PricePremAnnual*OK49</f>
        <v/>
      </c>
      <c r="PG49" s="9">
        <f>PD49+PE49+PF49</f>
        <v/>
      </c>
      <c r="PH49" s="12">
        <f>SUM(PG38:PG49)</f>
        <v/>
      </c>
      <c r="PI49" s="12">
        <f>OR(PI48,PH49&gt;=VATThreshold)</f>
        <v/>
      </c>
      <c r="PJ49" s="9">
        <f>IF(PI49,PG49/(1+VATRate),PG49)</f>
        <v/>
      </c>
      <c r="PK49" s="12">
        <f>PG49-PJ49</f>
        <v/>
      </c>
      <c r="PL49" s="12">
        <f>IF(PI49=0,0,IF(OH49=1,SUMPRODUCT(--(($OI$5:$OI49=$OI49-1)*($OH$5:$OH49&gt;=10)*($OH$5:$OH49&lt;=12)),$PK$5:$PK49),IF(OH49=4,SUMPRODUCT(--(($OI$5:$OI49=$OI49)*($OH$5:$OH49&gt;=1)*($OH$5:$OH49&lt;=3)),$PK$5:$PK49),IF(OH49=7,SUMPRODUCT(--(($OI$5:$OI49=$OI49)*($OH$5:$OH49&gt;=4)*($OH$5:$OH49&lt;=6)),$PK$5:$PK49),IF(OH49=10,SUMPRODUCT(--(($OI$5:$OI49=$OI49)*($OH$5:$OH49&gt;=7)*($OH$5:$OH49&lt;=9)),$PK$5:$PK49),0)))))</f>
        <v/>
      </c>
      <c r="PM49" s="12">
        <f>PM48+PK49-PL49</f>
        <v/>
      </c>
      <c r="PN49" s="12">
        <f>IF(ProviderDelay&gt;=1,PJ48*ProviderShare,PJ49*ProviderShare)</f>
        <v/>
      </c>
      <c r="PO49" s="12">
        <f>PG49*PaymentFee</f>
        <v/>
      </c>
      <c r="PP49" s="12">
        <f>PA49*OpsAI</f>
        <v/>
      </c>
      <c r="PQ49" s="12">
        <f>MonthlyFixed</f>
        <v/>
      </c>
      <c r="PR49" s="12">
        <f>OO49*ReferralReward</f>
        <v/>
      </c>
      <c r="PS49" s="12">
        <f>OM49</f>
        <v/>
      </c>
      <c r="PT49" s="9">
        <f>PJ49-PN49-PO49-PP49-PQ49-PR49-PS49</f>
        <v/>
      </c>
      <c r="PU49" s="9">
        <f>PU48+PG49-(PN49+PO49+PP49+PQ49+PR49+PS49+PL49)</f>
        <v/>
      </c>
      <c r="PV49" s="12">
        <f>IF(PA49&gt;0,PB49/PA49,0)</f>
        <v/>
      </c>
      <c r="PW49" s="11">
        <f>IF(PA48&gt;0,MAX(0,(PA48+OP49-PA49)/PA48),0)</f>
        <v/>
      </c>
      <c r="PY49" s="12" t="n">
        <v>45</v>
      </c>
      <c r="PZ49" s="12">
        <f>MOD(PY49-1+LaunchMonth-1,12)+1</f>
        <v/>
      </c>
      <c r="QA49" s="12">
        <f>INT((PY49-1+LaunchMonth-1)/12)+1</f>
        <v/>
      </c>
      <c r="QB49" s="12">
        <f>VLOOKUP(PZ49,SeasonTable,2,FALSE)</f>
        <v/>
      </c>
      <c r="QC49" s="12">
        <f>(1+InflationRate)^INT((PY49-1)/12)</f>
        <v/>
      </c>
      <c r="QD49" s="11">
        <f>'Sens - Churn'!$A$20*VLOOKUP(PZ49,ChurnSeasonTable,4,FALSE)</f>
        <v/>
      </c>
      <c r="QE49" s="12">
        <f>MIN(MAX(MktMin19plus,QY48*MktPct19plus),MAX(0,RM48-CashBuffer))</f>
        <v/>
      </c>
      <c r="QF49" s="12">
        <f>IF(QE49&gt;0,MAX(1,ROUND(QE49/CAC*QB49,0)),0)</f>
        <v/>
      </c>
      <c r="QG49" s="12">
        <f>IF(QF49&gt;0,ROUND(QF49*ReferralMix/(1-ReferralMix),0),0)</f>
        <v/>
      </c>
      <c r="QH49" s="12">
        <f>QF49+QG49</f>
        <v/>
      </c>
      <c r="QI49" s="12">
        <f>ROUND(QH49*(1-AnnualMix),0)</f>
        <v/>
      </c>
      <c r="QJ49" s="12">
        <f>QH49-QI49</f>
        <v/>
      </c>
      <c r="QK49" s="12">
        <f>ROUND(QI49*EssentialMix,0)</f>
        <v/>
      </c>
      <c r="QL49" s="12">
        <f>QI49-QK49</f>
        <v/>
      </c>
      <c r="QM49" s="12">
        <f>ROUND(QJ49*EssentialMix,0)</f>
        <v/>
      </c>
      <c r="QN49" s="12">
        <f>QJ49-QM49</f>
        <v/>
      </c>
      <c r="QO49" s="12">
        <f>QK49+QK48+QK47+MAX(0,QO48-QK48-QK47)*(1-QD49)</f>
        <v/>
      </c>
      <c r="QP49" s="12">
        <f>QL49+QL48+QL47+MAX(0,QP48-QL48-QL47)*(1-QD49)</f>
        <v/>
      </c>
      <c r="QQ49" s="12">
        <f>QQ48+QM49-QM37*(AnnualChurn*VLOOKUP(PZ49,ChurnSeasonTable,4,FALSE))*POWER(1-(AnnualChurn*VLOOKUP(PZ49,ChurnSeasonTable,4,FALSE)),0)+QM25*(AnnualChurn*VLOOKUP(PZ49,ChurnSeasonTable,4,FALSE))*POWER(1-(AnnualChurn*VLOOKUP(PZ49,ChurnSeasonTable,4,FALSE)),1)+QM13*(AnnualChurn*VLOOKUP(PZ49,ChurnSeasonTable,4,FALSE))*POWER(1-(AnnualChurn*VLOOKUP(PZ49,ChurnSeasonTable,4,FALSE)),2)</f>
        <v/>
      </c>
      <c r="QR49" s="12">
        <f>QR48+QN49-QN37*(AnnualChurn*VLOOKUP(PZ49,ChurnSeasonTable,4,FALSE))*POWER(1-(AnnualChurn*VLOOKUP(PZ49,ChurnSeasonTable,4,FALSE)),0)+QN25*(AnnualChurn*VLOOKUP(PZ49,ChurnSeasonTable,4,FALSE))*POWER(1-(AnnualChurn*VLOOKUP(PZ49,ChurnSeasonTable,4,FALSE)),1)+QN13*(AnnualChurn*VLOOKUP(PZ49,ChurnSeasonTable,4,FALSE))*POWER(1-(AnnualChurn*VLOOKUP(PZ49,ChurnSeasonTable,4,FALSE)),2)</f>
        <v/>
      </c>
      <c r="QS49" s="12">
        <f>QO49+QP49+QQ49+QR49</f>
        <v/>
      </c>
      <c r="QT49" s="9">
        <f>QO49*PriceEssMonthly*QC49+QP49*PricePremMonthly*QC49+QQ49*PriceEssAnnual*QC49/12+QR49*PricePremAnnual*QC49/12</f>
        <v/>
      </c>
      <c r="QU49" s="9">
        <f>QT49*12</f>
        <v/>
      </c>
      <c r="QV49" s="12">
        <f>QO49*PriceEssMonthly*QC49+QP49*PricePremMonthly*QC49</f>
        <v/>
      </c>
      <c r="QW49" s="12">
        <f>QM49*PriceEssAnnual*QC49+QN49*PricePremAnnual*QC49</f>
        <v/>
      </c>
      <c r="QX49" s="12">
        <f>QM37*POWER(1-(AnnualChurn*VLOOKUP(PZ49,ChurnSeasonTable,4,FALSE)),1)*PriceEssAnnual*QC49+QM25*POWER(1-(AnnualChurn*VLOOKUP(PZ49,ChurnSeasonTable,4,FALSE)),2)*PriceEssAnnual*QC49+QM13*POWER(1-(AnnualChurn*VLOOKUP(PZ49,ChurnSeasonTable,4,FALSE)),3)*PriceEssAnnual*QC49+QN37*POWER(1-(AnnualChurn*VLOOKUP(PZ49,ChurnSeasonTable,4,FALSE)),1)*PricePremAnnual*QC49+QN25*POWER(1-(AnnualChurn*VLOOKUP(PZ49,ChurnSeasonTable,4,FALSE)),2)*PricePremAnnual*QC49+QN13*POWER(1-(AnnualChurn*VLOOKUP(PZ49,ChurnSeasonTable,4,FALSE)),3)*PricePremAnnual*QC49</f>
        <v/>
      </c>
      <c r="QY49" s="9">
        <f>QV49+QW49+QX49</f>
        <v/>
      </c>
      <c r="QZ49" s="12">
        <f>SUM(QY38:QY49)</f>
        <v/>
      </c>
      <c r="RA49" s="12">
        <f>OR(RA48,QZ49&gt;=VATThreshold)</f>
        <v/>
      </c>
      <c r="RB49" s="9">
        <f>IF(RA49,QY49/(1+VATRate),QY49)</f>
        <v/>
      </c>
      <c r="RC49" s="12">
        <f>QY49-RB49</f>
        <v/>
      </c>
      <c r="RD49" s="12">
        <f>IF(RA49=0,0,IF(PZ49=1,SUMPRODUCT(--(($QA$5:$QA49=$QA49-1)*($PZ$5:$PZ49&gt;=10)*($PZ$5:$PZ49&lt;=12)),$RC$5:$RC49),IF(PZ49=4,SUMPRODUCT(--(($QA$5:$QA49=$QA49)*($PZ$5:$PZ49&gt;=1)*($PZ$5:$PZ49&lt;=3)),$RC$5:$RC49),IF(PZ49=7,SUMPRODUCT(--(($QA$5:$QA49=$QA49)*($PZ$5:$PZ49&gt;=4)*($PZ$5:$PZ49&lt;=6)),$RC$5:$RC49),IF(PZ49=10,SUMPRODUCT(--(($QA$5:$QA49=$QA49)*($PZ$5:$PZ49&gt;=7)*($PZ$5:$PZ49&lt;=9)),$RC$5:$RC49),0)))))</f>
        <v/>
      </c>
      <c r="RE49" s="12">
        <f>RE48+RC49-RD49</f>
        <v/>
      </c>
      <c r="RF49" s="12">
        <f>IF(ProviderDelay&gt;=1,RB48*ProviderShare,RB49*ProviderShare)</f>
        <v/>
      </c>
      <c r="RG49" s="12">
        <f>QY49*PaymentFee</f>
        <v/>
      </c>
      <c r="RH49" s="12">
        <f>QS49*OpsAI</f>
        <v/>
      </c>
      <c r="RI49" s="12">
        <f>MonthlyFixed</f>
        <v/>
      </c>
      <c r="RJ49" s="12">
        <f>QG49*ReferralReward</f>
        <v/>
      </c>
      <c r="RK49" s="12">
        <f>QE49</f>
        <v/>
      </c>
      <c r="RL49" s="9">
        <f>RB49-RF49-RG49-RH49-RI49-RJ49-RK49</f>
        <v/>
      </c>
      <c r="RM49" s="9">
        <f>RM48+QY49-(RF49+RG49+RH49+RI49+RJ49+RK49+RD49)</f>
        <v/>
      </c>
      <c r="RN49" s="12">
        <f>IF(QS49&gt;0,QT49/QS49,0)</f>
        <v/>
      </c>
      <c r="RO49" s="11">
        <f>IF(QS48&gt;0,MAX(0,(QS48+QH49-QS49)/QS48),0)</f>
        <v/>
      </c>
      <c r="RQ49" s="12" t="n">
        <v>45</v>
      </c>
      <c r="RR49" s="12">
        <f>MOD(RQ49-1+LaunchMonth-1,12)+1</f>
        <v/>
      </c>
      <c r="RS49" s="12">
        <f>INT((RQ49-1+LaunchMonth-1)/12)+1</f>
        <v/>
      </c>
      <c r="RT49" s="12">
        <f>VLOOKUP(RR49,SeasonTable,2,FALSE)</f>
        <v/>
      </c>
      <c r="RU49" s="12">
        <f>(1+InflationRate)^INT((RQ49-1)/12)</f>
        <v/>
      </c>
      <c r="RV49" s="11">
        <f>'Sens - Churn'!$A$21*VLOOKUP(RR49,ChurnSeasonTable,4,FALSE)</f>
        <v/>
      </c>
      <c r="RW49" s="12">
        <f>MIN(MAX(MktMin19plus,SQ48*MktPct19plus),MAX(0,TE48-CashBuffer))</f>
        <v/>
      </c>
      <c r="RX49" s="12">
        <f>IF(RW49&gt;0,MAX(1,ROUND(RW49/CAC*RT49,0)),0)</f>
        <v/>
      </c>
      <c r="RY49" s="12">
        <f>IF(RX49&gt;0,ROUND(RX49*ReferralMix/(1-ReferralMix),0),0)</f>
        <v/>
      </c>
      <c r="RZ49" s="12">
        <f>RX49+RY49</f>
        <v/>
      </c>
      <c r="SA49" s="12">
        <f>ROUND(RZ49*(1-AnnualMix),0)</f>
        <v/>
      </c>
      <c r="SB49" s="12">
        <f>RZ49-SA49</f>
        <v/>
      </c>
      <c r="SC49" s="12">
        <f>ROUND(SA49*EssentialMix,0)</f>
        <v/>
      </c>
      <c r="SD49" s="12">
        <f>SA49-SC49</f>
        <v/>
      </c>
      <c r="SE49" s="12">
        <f>ROUND(SB49*EssentialMix,0)</f>
        <v/>
      </c>
      <c r="SF49" s="12">
        <f>SB49-SE49</f>
        <v/>
      </c>
      <c r="SG49" s="12">
        <f>SC49+SC48+SC47+MAX(0,SG48-SC48-SC47)*(1-RV49)</f>
        <v/>
      </c>
      <c r="SH49" s="12">
        <f>SD49+SD48+SD47+MAX(0,SH48-SD48-SD47)*(1-RV49)</f>
        <v/>
      </c>
      <c r="SI49" s="12">
        <f>SI48+SE49-SE37*(AnnualChurn*VLOOKUP(RR49,ChurnSeasonTable,4,FALSE))*POWER(1-(AnnualChurn*VLOOKUP(RR49,ChurnSeasonTable,4,FALSE)),0)+SE25*(AnnualChurn*VLOOKUP(RR49,ChurnSeasonTable,4,FALSE))*POWER(1-(AnnualChurn*VLOOKUP(RR49,ChurnSeasonTable,4,FALSE)),1)+SE13*(AnnualChurn*VLOOKUP(RR49,ChurnSeasonTable,4,FALSE))*POWER(1-(AnnualChurn*VLOOKUP(RR49,ChurnSeasonTable,4,FALSE)),2)</f>
        <v/>
      </c>
      <c r="SJ49" s="12">
        <f>SJ48+SF49-SF37*(AnnualChurn*VLOOKUP(RR49,ChurnSeasonTable,4,FALSE))*POWER(1-(AnnualChurn*VLOOKUP(RR49,ChurnSeasonTable,4,FALSE)),0)+SF25*(AnnualChurn*VLOOKUP(RR49,ChurnSeasonTable,4,FALSE))*POWER(1-(AnnualChurn*VLOOKUP(RR49,ChurnSeasonTable,4,FALSE)),1)+SF13*(AnnualChurn*VLOOKUP(RR49,ChurnSeasonTable,4,FALSE))*POWER(1-(AnnualChurn*VLOOKUP(RR49,ChurnSeasonTable,4,FALSE)),2)</f>
        <v/>
      </c>
      <c r="SK49" s="12">
        <f>SG49+SH49+SI49+SJ49</f>
        <v/>
      </c>
      <c r="SL49" s="9">
        <f>SG49*PriceEssMonthly*RU49+SH49*PricePremMonthly*RU49+SI49*PriceEssAnnual*RU49/12+SJ49*PricePremAnnual*RU49/12</f>
        <v/>
      </c>
      <c r="SM49" s="9">
        <f>SL49*12</f>
        <v/>
      </c>
      <c r="SN49" s="12">
        <f>SG49*PriceEssMonthly*RU49+SH49*PricePremMonthly*RU49</f>
        <v/>
      </c>
      <c r="SO49" s="12">
        <f>SE49*PriceEssAnnual*RU49+SF49*PricePremAnnual*RU49</f>
        <v/>
      </c>
      <c r="SP49" s="12">
        <f>SE37*POWER(1-(AnnualChurn*VLOOKUP(RR49,ChurnSeasonTable,4,FALSE)),1)*PriceEssAnnual*RU49+SE25*POWER(1-(AnnualChurn*VLOOKUP(RR49,ChurnSeasonTable,4,FALSE)),2)*PriceEssAnnual*RU49+SE13*POWER(1-(AnnualChurn*VLOOKUP(RR49,ChurnSeasonTable,4,FALSE)),3)*PriceEssAnnual*RU49+SF37*POWER(1-(AnnualChurn*VLOOKUP(RR49,ChurnSeasonTable,4,FALSE)),1)*PricePremAnnual*RU49+SF25*POWER(1-(AnnualChurn*VLOOKUP(RR49,ChurnSeasonTable,4,FALSE)),2)*PricePremAnnual*RU49+SF13*POWER(1-(AnnualChurn*VLOOKUP(RR49,ChurnSeasonTable,4,FALSE)),3)*PricePremAnnual*RU49</f>
        <v/>
      </c>
      <c r="SQ49" s="9">
        <f>SN49+SO49+SP49</f>
        <v/>
      </c>
      <c r="SR49" s="12">
        <f>SUM(SQ38:SQ49)</f>
        <v/>
      </c>
      <c r="SS49" s="12">
        <f>OR(SS48,SR49&gt;=VATThreshold)</f>
        <v/>
      </c>
      <c r="ST49" s="9">
        <f>IF(SS49,SQ49/(1+VATRate),SQ49)</f>
        <v/>
      </c>
      <c r="SU49" s="12">
        <f>SQ49-ST49</f>
        <v/>
      </c>
      <c r="SV49" s="12">
        <f>IF(SS49=0,0,IF(RR49=1,SUMPRODUCT(--(($RS$5:$RS49=$RS49-1)*($RR$5:$RR49&gt;=10)*($RR$5:$RR49&lt;=12)),$SU$5:$SU49),IF(RR49=4,SUMPRODUCT(--(($RS$5:$RS49=$RS49)*($RR$5:$RR49&gt;=1)*($RR$5:$RR49&lt;=3)),$SU$5:$SU49),IF(RR49=7,SUMPRODUCT(--(($RS$5:$RS49=$RS49)*($RR$5:$RR49&gt;=4)*($RR$5:$RR49&lt;=6)),$SU$5:$SU49),IF(RR49=10,SUMPRODUCT(--(($RS$5:$RS49=$RS49)*($RR$5:$RR49&gt;=7)*($RR$5:$RR49&lt;=9)),$SU$5:$SU49),0)))))</f>
        <v/>
      </c>
      <c r="SW49" s="12">
        <f>SW48+SU49-SV49</f>
        <v/>
      </c>
      <c r="SX49" s="12">
        <f>IF(ProviderDelay&gt;=1,ST48*ProviderShare,ST49*ProviderShare)</f>
        <v/>
      </c>
      <c r="SY49" s="12">
        <f>SQ49*PaymentFee</f>
        <v/>
      </c>
      <c r="SZ49" s="12">
        <f>SK49*OpsAI</f>
        <v/>
      </c>
      <c r="TA49" s="12">
        <f>MonthlyFixed</f>
        <v/>
      </c>
      <c r="TB49" s="12">
        <f>RY49*ReferralReward</f>
        <v/>
      </c>
      <c r="TC49" s="12">
        <f>RW49</f>
        <v/>
      </c>
      <c r="TD49" s="9">
        <f>ST49-SX49-SY49-SZ49-TA49-TB49-TC49</f>
        <v/>
      </c>
      <c r="TE49" s="9">
        <f>TE48+SQ49-(SX49+SY49+SZ49+TA49+TB49+TC49+SV49)</f>
        <v/>
      </c>
      <c r="TF49" s="12">
        <f>IF(SK49&gt;0,SL49/SK49,0)</f>
        <v/>
      </c>
      <c r="TG49" s="11">
        <f>IF(SK48&gt;0,MAX(0,(SK48+RZ49-SK49)/SK48),0)</f>
        <v/>
      </c>
      <c r="TI49" s="12" t="n">
        <v>45</v>
      </c>
      <c r="TJ49" s="12">
        <f>MOD(TI49-1+LaunchMonth-1,12)+1</f>
        <v/>
      </c>
      <c r="TK49" s="12">
        <f>INT((TI49-1+LaunchMonth-1)/12)+1</f>
        <v/>
      </c>
      <c r="TL49" s="12">
        <f>VLOOKUP(TJ49,SeasonTable,2,FALSE)</f>
        <v/>
      </c>
      <c r="TM49" s="12">
        <f>(1+InflationRate)^INT((TI49-1)/12)</f>
        <v/>
      </c>
      <c r="TN49" s="11">
        <f>MonthlyChurn*VLOOKUP(TJ49,ChurnSeasonTable,4,FALSE)</f>
        <v/>
      </c>
      <c r="TO49" s="12">
        <f>MIN(MAX(MktMin19plus,UI48*MktPct19plus),MAX(0,UW48-CashBuffer))</f>
        <v/>
      </c>
      <c r="TP49" s="12">
        <f>IF(TO49&gt;0,MAX(1,ROUND(TO49/CAC*TL49,0)),0)</f>
        <v/>
      </c>
      <c r="TQ49" s="12">
        <f>IF(TP49&gt;0,ROUND(TP49*ReferralMix/(1-ReferralMix),0),0)</f>
        <v/>
      </c>
      <c r="TR49" s="12">
        <f>TP49+TQ49</f>
        <v/>
      </c>
      <c r="TS49" s="12">
        <f>ROUND(TR49*(1-'Sens - Annual Mix'!$A$9),0)</f>
        <v/>
      </c>
      <c r="TT49" s="12">
        <f>TR49-TS49</f>
        <v/>
      </c>
      <c r="TU49" s="12">
        <f>ROUND(TS49*EssentialMix,0)</f>
        <v/>
      </c>
      <c r="TV49" s="12">
        <f>TS49-TU49</f>
        <v/>
      </c>
      <c r="TW49" s="12">
        <f>ROUND(TT49*EssentialMix,0)</f>
        <v/>
      </c>
      <c r="TX49" s="12">
        <f>TT49-TW49</f>
        <v/>
      </c>
      <c r="TY49" s="12">
        <f>TU49+TU48+TU47+MAX(0,TY48-TU48-TU47)*(1-TN49)</f>
        <v/>
      </c>
      <c r="TZ49" s="12">
        <f>TV49+TV48+TV47+MAX(0,TZ48-TV48-TV47)*(1-TN49)</f>
        <v/>
      </c>
      <c r="UA49" s="12">
        <f>UA48+TW49-TW37*(AnnualChurn*VLOOKUP(TJ49,ChurnSeasonTable,4,FALSE))*POWER(1-(AnnualChurn*VLOOKUP(TJ49,ChurnSeasonTable,4,FALSE)),0)+TW25*(AnnualChurn*VLOOKUP(TJ49,ChurnSeasonTable,4,FALSE))*POWER(1-(AnnualChurn*VLOOKUP(TJ49,ChurnSeasonTable,4,FALSE)),1)+TW13*(AnnualChurn*VLOOKUP(TJ49,ChurnSeasonTable,4,FALSE))*POWER(1-(AnnualChurn*VLOOKUP(TJ49,ChurnSeasonTable,4,FALSE)),2)</f>
        <v/>
      </c>
      <c r="UB49" s="12">
        <f>UB48+TX49-TX37*(AnnualChurn*VLOOKUP(TJ49,ChurnSeasonTable,4,FALSE))*POWER(1-(AnnualChurn*VLOOKUP(TJ49,ChurnSeasonTable,4,FALSE)),0)+TX25*(AnnualChurn*VLOOKUP(TJ49,ChurnSeasonTable,4,FALSE))*POWER(1-(AnnualChurn*VLOOKUP(TJ49,ChurnSeasonTable,4,FALSE)),1)+TX13*(AnnualChurn*VLOOKUP(TJ49,ChurnSeasonTable,4,FALSE))*POWER(1-(AnnualChurn*VLOOKUP(TJ49,ChurnSeasonTable,4,FALSE)),2)</f>
        <v/>
      </c>
      <c r="UC49" s="12">
        <f>TY49+TZ49+UA49+UB49</f>
        <v/>
      </c>
      <c r="UD49" s="9">
        <f>TY49*PriceEssMonthly*TM49+TZ49*PricePremMonthly*TM49+UA49*PriceEssAnnual*TM49/12+UB49*PricePremAnnual*TM49/12</f>
        <v/>
      </c>
      <c r="UE49" s="9">
        <f>UD49*12</f>
        <v/>
      </c>
      <c r="UF49" s="12">
        <f>TY49*PriceEssMonthly*TM49+TZ49*PricePremMonthly*TM49</f>
        <v/>
      </c>
      <c r="UG49" s="12">
        <f>TW49*PriceEssAnnual*TM49+TX49*PricePremAnnual*TM49</f>
        <v/>
      </c>
      <c r="UH49" s="12">
        <f>TW37*POWER(1-(AnnualChurn*VLOOKUP(TJ49,ChurnSeasonTable,4,FALSE)),1)*PriceEssAnnual*TM49+TW25*POWER(1-(AnnualChurn*VLOOKUP(TJ49,ChurnSeasonTable,4,FALSE)),2)*PriceEssAnnual*TM49+TW13*POWER(1-(AnnualChurn*VLOOKUP(TJ49,ChurnSeasonTable,4,FALSE)),3)*PriceEssAnnual*TM49+TX37*POWER(1-(AnnualChurn*VLOOKUP(TJ49,ChurnSeasonTable,4,FALSE)),1)*PricePremAnnual*TM49+TX25*POWER(1-(AnnualChurn*VLOOKUP(TJ49,ChurnSeasonTable,4,FALSE)),2)*PricePremAnnual*TM49+TX13*POWER(1-(AnnualChurn*VLOOKUP(TJ49,ChurnSeasonTable,4,FALSE)),3)*PricePremAnnual*TM49</f>
        <v/>
      </c>
      <c r="UI49" s="9">
        <f>UF49+UG49+UH49</f>
        <v/>
      </c>
      <c r="UJ49" s="12">
        <f>SUM(UI38:UI49)</f>
        <v/>
      </c>
      <c r="UK49" s="12">
        <f>OR(UK48,UJ49&gt;=VATThreshold)</f>
        <v/>
      </c>
      <c r="UL49" s="9">
        <f>IF(UK49,UI49/(1+VATRate),UI49)</f>
        <v/>
      </c>
      <c r="UM49" s="12">
        <f>UI49-UL49</f>
        <v/>
      </c>
      <c r="UN49" s="12">
        <f>IF(UK49=0,0,IF(TJ49=1,SUMPRODUCT(--(($TK$5:$TK49=$TK49-1)*($TJ$5:$TJ49&gt;=10)*($TJ$5:$TJ49&lt;=12)),$UM$5:$UM49),IF(TJ49=4,SUMPRODUCT(--(($TK$5:$TK49=$TK49)*($TJ$5:$TJ49&gt;=1)*($TJ$5:$TJ49&lt;=3)),$UM$5:$UM49),IF(TJ49=7,SUMPRODUCT(--(($TK$5:$TK49=$TK49)*($TJ$5:$TJ49&gt;=4)*($TJ$5:$TJ49&lt;=6)),$UM$5:$UM49),IF(TJ49=10,SUMPRODUCT(--(($TK$5:$TK49=$TK49)*($TJ$5:$TJ49&gt;=7)*($TJ$5:$TJ49&lt;=9)),$UM$5:$UM49),0)))))</f>
        <v/>
      </c>
      <c r="UO49" s="12">
        <f>UO48+UM49-UN49</f>
        <v/>
      </c>
      <c r="UP49" s="12">
        <f>IF(ProviderDelay&gt;=1,UL48*ProviderShare,UL49*ProviderShare)</f>
        <v/>
      </c>
      <c r="UQ49" s="12">
        <f>UI49*PaymentFee</f>
        <v/>
      </c>
      <c r="UR49" s="12">
        <f>UC49*OpsAI</f>
        <v/>
      </c>
      <c r="US49" s="12">
        <f>MonthlyFixed</f>
        <v/>
      </c>
      <c r="UT49" s="12">
        <f>TQ49*ReferralReward</f>
        <v/>
      </c>
      <c r="UU49" s="12">
        <f>TO49</f>
        <v/>
      </c>
      <c r="UV49" s="9">
        <f>UL49-UP49-UQ49-UR49-US49-UT49-UU49</f>
        <v/>
      </c>
      <c r="UW49" s="9">
        <f>UW48+UI49-(UP49+UQ49+UR49+US49+UT49+UU49+UN49)</f>
        <v/>
      </c>
      <c r="UX49" s="12">
        <f>IF(UC49&gt;0,UD49/UC49,0)</f>
        <v/>
      </c>
      <c r="UY49" s="11">
        <f>IF(UC48&gt;0,MAX(0,(UC48+TR49-UC49)/UC48),0)</f>
        <v/>
      </c>
      <c r="VA49" s="12" t="n">
        <v>45</v>
      </c>
      <c r="VB49" s="12">
        <f>MOD(VA49-1+LaunchMonth-1,12)+1</f>
        <v/>
      </c>
      <c r="VC49" s="12">
        <f>INT((VA49-1+LaunchMonth-1)/12)+1</f>
        <v/>
      </c>
      <c r="VD49" s="12">
        <f>VLOOKUP(VB49,SeasonTable,2,FALSE)</f>
        <v/>
      </c>
      <c r="VE49" s="12">
        <f>(1+InflationRate)^INT((VA49-1)/12)</f>
        <v/>
      </c>
      <c r="VF49" s="11">
        <f>MonthlyChurn*VLOOKUP(VB49,ChurnSeasonTable,4,FALSE)</f>
        <v/>
      </c>
      <c r="VG49" s="12">
        <f>MIN(MAX(MktMin19plus,WA48*MktPct19plus),MAX(0,WO48-CashBuffer))</f>
        <v/>
      </c>
      <c r="VH49" s="12">
        <f>IF(VG49&gt;0,MAX(1,ROUND(VG49/CAC*VD49,0)),0)</f>
        <v/>
      </c>
      <c r="VI49" s="12">
        <f>IF(VH49&gt;0,ROUND(VH49*ReferralMix/(1-ReferralMix),0),0)</f>
        <v/>
      </c>
      <c r="VJ49" s="12">
        <f>VH49+VI49</f>
        <v/>
      </c>
      <c r="VK49" s="12">
        <f>ROUND(VJ49*(1-'Sens - Annual Mix'!$A$10),0)</f>
        <v/>
      </c>
      <c r="VL49" s="12">
        <f>VJ49-VK49</f>
        <v/>
      </c>
      <c r="VM49" s="12">
        <f>ROUND(VK49*EssentialMix,0)</f>
        <v/>
      </c>
      <c r="VN49" s="12">
        <f>VK49-VM49</f>
        <v/>
      </c>
      <c r="VO49" s="12">
        <f>ROUND(VL49*EssentialMix,0)</f>
        <v/>
      </c>
      <c r="VP49" s="12">
        <f>VL49-VO49</f>
        <v/>
      </c>
      <c r="VQ49" s="12">
        <f>VM49+VM48+VM47+MAX(0,VQ48-VM48-VM47)*(1-VF49)</f>
        <v/>
      </c>
      <c r="VR49" s="12">
        <f>VN49+VN48+VN47+MAX(0,VR48-VN48-VN47)*(1-VF49)</f>
        <v/>
      </c>
      <c r="VS49" s="12">
        <f>VS48+VO49-VO37*(AnnualChurn*VLOOKUP(VB49,ChurnSeasonTable,4,FALSE))*POWER(1-(AnnualChurn*VLOOKUP(VB49,ChurnSeasonTable,4,FALSE)),0)+VO25*(AnnualChurn*VLOOKUP(VB49,ChurnSeasonTable,4,FALSE))*POWER(1-(AnnualChurn*VLOOKUP(VB49,ChurnSeasonTable,4,FALSE)),1)+VO13*(AnnualChurn*VLOOKUP(VB49,ChurnSeasonTable,4,FALSE))*POWER(1-(AnnualChurn*VLOOKUP(VB49,ChurnSeasonTable,4,FALSE)),2)</f>
        <v/>
      </c>
      <c r="VT49" s="12">
        <f>VT48+VP49-VP37*(AnnualChurn*VLOOKUP(VB49,ChurnSeasonTable,4,FALSE))*POWER(1-(AnnualChurn*VLOOKUP(VB49,ChurnSeasonTable,4,FALSE)),0)+VP25*(AnnualChurn*VLOOKUP(VB49,ChurnSeasonTable,4,FALSE))*POWER(1-(AnnualChurn*VLOOKUP(VB49,ChurnSeasonTable,4,FALSE)),1)+VP13*(AnnualChurn*VLOOKUP(VB49,ChurnSeasonTable,4,FALSE))*POWER(1-(AnnualChurn*VLOOKUP(VB49,ChurnSeasonTable,4,FALSE)),2)</f>
        <v/>
      </c>
      <c r="VU49" s="12">
        <f>VQ49+VR49+VS49+VT49</f>
        <v/>
      </c>
      <c r="VV49" s="9">
        <f>VQ49*PriceEssMonthly*VE49+VR49*PricePremMonthly*VE49+VS49*PriceEssAnnual*VE49/12+VT49*PricePremAnnual*VE49/12</f>
        <v/>
      </c>
      <c r="VW49" s="9">
        <f>VV49*12</f>
        <v/>
      </c>
      <c r="VX49" s="12">
        <f>VQ49*PriceEssMonthly*VE49+VR49*PricePremMonthly*VE49</f>
        <v/>
      </c>
      <c r="VY49" s="12">
        <f>VO49*PriceEssAnnual*VE49+VP49*PricePremAnnual*VE49</f>
        <v/>
      </c>
      <c r="VZ49" s="12">
        <f>VO37*POWER(1-(AnnualChurn*VLOOKUP(VB49,ChurnSeasonTable,4,FALSE)),1)*PriceEssAnnual*VE49+VO25*POWER(1-(AnnualChurn*VLOOKUP(VB49,ChurnSeasonTable,4,FALSE)),2)*PriceEssAnnual*VE49+VO13*POWER(1-(AnnualChurn*VLOOKUP(VB49,ChurnSeasonTable,4,FALSE)),3)*PriceEssAnnual*VE49+VP37*POWER(1-(AnnualChurn*VLOOKUP(VB49,ChurnSeasonTable,4,FALSE)),1)*PricePremAnnual*VE49+VP25*POWER(1-(AnnualChurn*VLOOKUP(VB49,ChurnSeasonTable,4,FALSE)),2)*PricePremAnnual*VE49+VP13*POWER(1-(AnnualChurn*VLOOKUP(VB49,ChurnSeasonTable,4,FALSE)),3)*PricePremAnnual*VE49</f>
        <v/>
      </c>
      <c r="WA49" s="9">
        <f>VX49+VY49+VZ49</f>
        <v/>
      </c>
      <c r="WB49" s="12">
        <f>SUM(WA38:WA49)</f>
        <v/>
      </c>
      <c r="WC49" s="12">
        <f>OR(WC48,WB49&gt;=VATThreshold)</f>
        <v/>
      </c>
      <c r="WD49" s="9">
        <f>IF(WC49,WA49/(1+VATRate),WA49)</f>
        <v/>
      </c>
      <c r="WE49" s="12">
        <f>WA49-WD49</f>
        <v/>
      </c>
      <c r="WF49" s="12">
        <f>IF(WC49=0,0,IF(VB49=1,SUMPRODUCT(--(($VC$5:$VC49=$VC49-1)*($VB$5:$VB49&gt;=10)*($VB$5:$VB49&lt;=12)),$WE$5:$WE49),IF(VB49=4,SUMPRODUCT(--(($VC$5:$VC49=$VC49)*($VB$5:$VB49&gt;=1)*($VB$5:$VB49&lt;=3)),$WE$5:$WE49),IF(VB49=7,SUMPRODUCT(--(($VC$5:$VC49=$VC49)*($VB$5:$VB49&gt;=4)*($VB$5:$VB49&lt;=6)),$WE$5:$WE49),IF(VB49=10,SUMPRODUCT(--(($VC$5:$VC49=$VC49)*($VB$5:$VB49&gt;=7)*($VB$5:$VB49&lt;=9)),$WE$5:$WE49),0)))))</f>
        <v/>
      </c>
      <c r="WG49" s="12">
        <f>WG48+WE49-WF49</f>
        <v/>
      </c>
      <c r="WH49" s="12">
        <f>IF(ProviderDelay&gt;=1,WD48*ProviderShare,WD49*ProviderShare)</f>
        <v/>
      </c>
      <c r="WI49" s="12">
        <f>WA49*PaymentFee</f>
        <v/>
      </c>
      <c r="WJ49" s="12">
        <f>VU49*OpsAI</f>
        <v/>
      </c>
      <c r="WK49" s="12">
        <f>MonthlyFixed</f>
        <v/>
      </c>
      <c r="WL49" s="12">
        <f>VI49*ReferralReward</f>
        <v/>
      </c>
      <c r="WM49" s="12">
        <f>VG49</f>
        <v/>
      </c>
      <c r="WN49" s="9">
        <f>WD49-WH49-WI49-WJ49-WK49-WL49-WM49</f>
        <v/>
      </c>
      <c r="WO49" s="9">
        <f>WO48+WA49-(WH49+WI49+WJ49+WK49+WL49+WM49+WF49)</f>
        <v/>
      </c>
      <c r="WP49" s="12">
        <f>IF(VU49&gt;0,VV49/VU49,0)</f>
        <v/>
      </c>
      <c r="WQ49" s="11">
        <f>IF(VU48&gt;0,MAX(0,(VU48+VJ49-VU49)/VU48),0)</f>
        <v/>
      </c>
      <c r="WS49" s="12" t="n">
        <v>45</v>
      </c>
      <c r="WT49" s="12">
        <f>MOD(WS49-1+LaunchMonth-1,12)+1</f>
        <v/>
      </c>
      <c r="WU49" s="12">
        <f>INT((WS49-1+LaunchMonth-1)/12)+1</f>
        <v/>
      </c>
      <c r="WV49" s="12">
        <f>VLOOKUP(WT49,SeasonTable,2,FALSE)</f>
        <v/>
      </c>
      <c r="WW49" s="12">
        <f>(1+InflationRate)^INT((WS49-1)/12)</f>
        <v/>
      </c>
      <c r="WX49" s="11">
        <f>MonthlyChurn*VLOOKUP(WT49,ChurnSeasonTable,4,FALSE)</f>
        <v/>
      </c>
      <c r="WY49" s="12">
        <f>MIN(MAX(MktMin19plus,XS48*MktPct19plus),MAX(0,YG48-CashBuffer))</f>
        <v/>
      </c>
      <c r="WZ49" s="12">
        <f>IF(WY49&gt;0,MAX(1,ROUND(WY49/CAC*WV49,0)),0)</f>
        <v/>
      </c>
      <c r="XA49" s="12">
        <f>IF(WZ49&gt;0,ROUND(WZ49*ReferralMix/(1-ReferralMix),0),0)</f>
        <v/>
      </c>
      <c r="XB49" s="12">
        <f>WZ49+XA49</f>
        <v/>
      </c>
      <c r="XC49" s="12">
        <f>ROUND(XB49*(1-'Sens - Annual Mix'!$A$11),0)</f>
        <v/>
      </c>
      <c r="XD49" s="12">
        <f>XB49-XC49</f>
        <v/>
      </c>
      <c r="XE49" s="12">
        <f>ROUND(XC49*EssentialMix,0)</f>
        <v/>
      </c>
      <c r="XF49" s="12">
        <f>XC49-XE49</f>
        <v/>
      </c>
      <c r="XG49" s="12">
        <f>ROUND(XD49*EssentialMix,0)</f>
        <v/>
      </c>
      <c r="XH49" s="12">
        <f>XD49-XG49</f>
        <v/>
      </c>
      <c r="XI49" s="12">
        <f>XE49+XE48+XE47+MAX(0,XI48-XE48-XE47)*(1-WX49)</f>
        <v/>
      </c>
      <c r="XJ49" s="12">
        <f>XF49+XF48+XF47+MAX(0,XJ48-XF48-XF47)*(1-WX49)</f>
        <v/>
      </c>
      <c r="XK49" s="12">
        <f>XK48+XG49-XG37*(AnnualChurn*VLOOKUP(WT49,ChurnSeasonTable,4,FALSE))*POWER(1-(AnnualChurn*VLOOKUP(WT49,ChurnSeasonTable,4,FALSE)),0)+XG25*(AnnualChurn*VLOOKUP(WT49,ChurnSeasonTable,4,FALSE))*POWER(1-(AnnualChurn*VLOOKUP(WT49,ChurnSeasonTable,4,FALSE)),1)+XG13*(AnnualChurn*VLOOKUP(WT49,ChurnSeasonTable,4,FALSE))*POWER(1-(AnnualChurn*VLOOKUP(WT49,ChurnSeasonTable,4,FALSE)),2)</f>
        <v/>
      </c>
      <c r="XL49" s="12">
        <f>XL48+XH49-XH37*(AnnualChurn*VLOOKUP(WT49,ChurnSeasonTable,4,FALSE))*POWER(1-(AnnualChurn*VLOOKUP(WT49,ChurnSeasonTable,4,FALSE)),0)+XH25*(AnnualChurn*VLOOKUP(WT49,ChurnSeasonTable,4,FALSE))*POWER(1-(AnnualChurn*VLOOKUP(WT49,ChurnSeasonTable,4,FALSE)),1)+XH13*(AnnualChurn*VLOOKUP(WT49,ChurnSeasonTable,4,FALSE))*POWER(1-(AnnualChurn*VLOOKUP(WT49,ChurnSeasonTable,4,FALSE)),2)</f>
        <v/>
      </c>
      <c r="XM49" s="12">
        <f>XI49+XJ49+XK49+XL49</f>
        <v/>
      </c>
      <c r="XN49" s="9">
        <f>XI49*PriceEssMonthly*WW49+XJ49*PricePremMonthly*WW49+XK49*PriceEssAnnual*WW49/12+XL49*PricePremAnnual*WW49/12</f>
        <v/>
      </c>
      <c r="XO49" s="9">
        <f>XN49*12</f>
        <v/>
      </c>
      <c r="XP49" s="12">
        <f>XI49*PriceEssMonthly*WW49+XJ49*PricePremMonthly*WW49</f>
        <v/>
      </c>
      <c r="XQ49" s="12">
        <f>XG49*PriceEssAnnual*WW49+XH49*PricePremAnnual*WW49</f>
        <v/>
      </c>
      <c r="XR49" s="12">
        <f>XG37*POWER(1-(AnnualChurn*VLOOKUP(WT49,ChurnSeasonTable,4,FALSE)),1)*PriceEssAnnual*WW49+XG25*POWER(1-(AnnualChurn*VLOOKUP(WT49,ChurnSeasonTable,4,FALSE)),2)*PriceEssAnnual*WW49+XG13*POWER(1-(AnnualChurn*VLOOKUP(WT49,ChurnSeasonTable,4,FALSE)),3)*PriceEssAnnual*WW49+XH37*POWER(1-(AnnualChurn*VLOOKUP(WT49,ChurnSeasonTable,4,FALSE)),1)*PricePremAnnual*WW49+XH25*POWER(1-(AnnualChurn*VLOOKUP(WT49,ChurnSeasonTable,4,FALSE)),2)*PricePremAnnual*WW49+XH13*POWER(1-(AnnualChurn*VLOOKUP(WT49,ChurnSeasonTable,4,FALSE)),3)*PricePremAnnual*WW49</f>
        <v/>
      </c>
      <c r="XS49" s="9">
        <f>XP49+XQ49+XR49</f>
        <v/>
      </c>
      <c r="XT49" s="12">
        <f>SUM(XS38:XS49)</f>
        <v/>
      </c>
      <c r="XU49" s="12">
        <f>OR(XU48,XT49&gt;=VATThreshold)</f>
        <v/>
      </c>
      <c r="XV49" s="9">
        <f>IF(XU49,XS49/(1+VATRate),XS49)</f>
        <v/>
      </c>
      <c r="XW49" s="12">
        <f>XS49-XV49</f>
        <v/>
      </c>
      <c r="XX49" s="12">
        <f>IF(XU49=0,0,IF(WT49=1,SUMPRODUCT(--(($WU$5:$WU49=$WU49-1)*($WT$5:$WT49&gt;=10)*($WT$5:$WT49&lt;=12)),$XW$5:$XW49),IF(WT49=4,SUMPRODUCT(--(($WU$5:$WU49=$WU49)*($WT$5:$WT49&gt;=1)*($WT$5:$WT49&lt;=3)),$XW$5:$XW49),IF(WT49=7,SUMPRODUCT(--(($WU$5:$WU49=$WU49)*($WT$5:$WT49&gt;=4)*($WT$5:$WT49&lt;=6)),$XW$5:$XW49),IF(WT49=10,SUMPRODUCT(--(($WU$5:$WU49=$WU49)*($WT$5:$WT49&gt;=7)*($WT$5:$WT49&lt;=9)),$XW$5:$XW49),0)))))</f>
        <v/>
      </c>
      <c r="XY49" s="12">
        <f>XY48+XW49-XX49</f>
        <v/>
      </c>
      <c r="XZ49" s="12">
        <f>IF(ProviderDelay&gt;=1,XV48*ProviderShare,XV49*ProviderShare)</f>
        <v/>
      </c>
      <c r="YA49" s="12">
        <f>XS49*PaymentFee</f>
        <v/>
      </c>
      <c r="YB49" s="12">
        <f>XM49*OpsAI</f>
        <v/>
      </c>
      <c r="YC49" s="12">
        <f>MonthlyFixed</f>
        <v/>
      </c>
      <c r="YD49" s="12">
        <f>XA49*ReferralReward</f>
        <v/>
      </c>
      <c r="YE49" s="12">
        <f>WY49</f>
        <v/>
      </c>
      <c r="YF49" s="9">
        <f>XV49-XZ49-YA49-YB49-YC49-YD49-YE49</f>
        <v/>
      </c>
      <c r="YG49" s="9">
        <f>YG48+XS49-(XZ49+YA49+YB49+YC49+YD49+YE49+XX49)</f>
        <v/>
      </c>
      <c r="YH49" s="12">
        <f>IF(XM49&gt;0,XN49/XM49,0)</f>
        <v/>
      </c>
      <c r="YI49" s="11">
        <f>IF(XM48&gt;0,MAX(0,(XM48+XB49-XM49)/XM48),0)</f>
        <v/>
      </c>
      <c r="YK49" s="12" t="n">
        <v>45</v>
      </c>
      <c r="YL49" s="12">
        <f>MOD(YK49-1+LaunchMonth-1,12)+1</f>
        <v/>
      </c>
      <c r="YM49" s="12">
        <f>INT((YK49-1+LaunchMonth-1)/12)+1</f>
        <v/>
      </c>
      <c r="YN49" s="12">
        <f>VLOOKUP(YL49,SeasonTable,2,FALSE)</f>
        <v/>
      </c>
      <c r="YO49" s="12">
        <f>(1+InflationRate)^INT((YK49-1)/12)</f>
        <v/>
      </c>
      <c r="YP49" s="11">
        <f>MonthlyChurn*VLOOKUP(YL49,ChurnSeasonTable,4,FALSE)</f>
        <v/>
      </c>
      <c r="YQ49" s="12">
        <f>MIN(MAX(MktMin19plus,ZK48*MktPct19plus),MAX(0,ZY48-CashBuffer))</f>
        <v/>
      </c>
      <c r="YR49" s="12">
        <f>IF(YQ49&gt;0,MAX(1,ROUND(YQ49/CAC*YN49,0)),0)</f>
        <v/>
      </c>
      <c r="YS49" s="12">
        <f>IF(YR49&gt;0,ROUND(YR49*ReferralMix/(1-ReferralMix),0),0)</f>
        <v/>
      </c>
      <c r="YT49" s="12">
        <f>YR49+YS49</f>
        <v/>
      </c>
      <c r="YU49" s="12">
        <f>ROUND(YT49*(1-'Sens - Annual Mix'!$A$12),0)</f>
        <v/>
      </c>
      <c r="YV49" s="12">
        <f>YT49-YU49</f>
        <v/>
      </c>
      <c r="YW49" s="12">
        <f>ROUND(YU49*EssentialMix,0)</f>
        <v/>
      </c>
      <c r="YX49" s="12">
        <f>YU49-YW49</f>
        <v/>
      </c>
      <c r="YY49" s="12">
        <f>ROUND(YV49*EssentialMix,0)</f>
        <v/>
      </c>
      <c r="YZ49" s="12">
        <f>YV49-YY49</f>
        <v/>
      </c>
      <c r="ZA49" s="12">
        <f>YW49+YW48+YW47+MAX(0,ZA48-YW48-YW47)*(1-YP49)</f>
        <v/>
      </c>
      <c r="ZB49" s="12">
        <f>YX49+YX48+YX47+MAX(0,ZB48-YX48-YX47)*(1-YP49)</f>
        <v/>
      </c>
      <c r="ZC49" s="12">
        <f>ZC48+YY49-YY37*(AnnualChurn*VLOOKUP(YL49,ChurnSeasonTable,4,FALSE))*POWER(1-(AnnualChurn*VLOOKUP(YL49,ChurnSeasonTable,4,FALSE)),0)+YY25*(AnnualChurn*VLOOKUP(YL49,ChurnSeasonTable,4,FALSE))*POWER(1-(AnnualChurn*VLOOKUP(YL49,ChurnSeasonTable,4,FALSE)),1)+YY13*(AnnualChurn*VLOOKUP(YL49,ChurnSeasonTable,4,FALSE))*POWER(1-(AnnualChurn*VLOOKUP(YL49,ChurnSeasonTable,4,FALSE)),2)</f>
        <v/>
      </c>
      <c r="ZD49" s="12">
        <f>ZD48+YZ49-YZ37*(AnnualChurn*VLOOKUP(YL49,ChurnSeasonTable,4,FALSE))*POWER(1-(AnnualChurn*VLOOKUP(YL49,ChurnSeasonTable,4,FALSE)),0)+YZ25*(AnnualChurn*VLOOKUP(YL49,ChurnSeasonTable,4,FALSE))*POWER(1-(AnnualChurn*VLOOKUP(YL49,ChurnSeasonTable,4,FALSE)),1)+YZ13*(AnnualChurn*VLOOKUP(YL49,ChurnSeasonTable,4,FALSE))*POWER(1-(AnnualChurn*VLOOKUP(YL49,ChurnSeasonTable,4,FALSE)),2)</f>
        <v/>
      </c>
      <c r="ZE49" s="12">
        <f>ZA49+ZB49+ZC49+ZD49</f>
        <v/>
      </c>
      <c r="ZF49" s="9">
        <f>ZA49*PriceEssMonthly*YO49+ZB49*PricePremMonthly*YO49+ZC49*PriceEssAnnual*YO49/12+ZD49*PricePremAnnual*YO49/12</f>
        <v/>
      </c>
      <c r="ZG49" s="9">
        <f>ZF49*12</f>
        <v/>
      </c>
      <c r="ZH49" s="12">
        <f>ZA49*PriceEssMonthly*YO49+ZB49*PricePremMonthly*YO49</f>
        <v/>
      </c>
      <c r="ZI49" s="12">
        <f>YY49*PriceEssAnnual*YO49+YZ49*PricePremAnnual*YO49</f>
        <v/>
      </c>
      <c r="ZJ49" s="12">
        <f>YY37*POWER(1-(AnnualChurn*VLOOKUP(YL49,ChurnSeasonTable,4,FALSE)),1)*PriceEssAnnual*YO49+YY25*POWER(1-(AnnualChurn*VLOOKUP(YL49,ChurnSeasonTable,4,FALSE)),2)*PriceEssAnnual*YO49+YY13*POWER(1-(AnnualChurn*VLOOKUP(YL49,ChurnSeasonTable,4,FALSE)),3)*PriceEssAnnual*YO49+YZ37*POWER(1-(AnnualChurn*VLOOKUP(YL49,ChurnSeasonTable,4,FALSE)),1)*PricePremAnnual*YO49+YZ25*POWER(1-(AnnualChurn*VLOOKUP(YL49,ChurnSeasonTable,4,FALSE)),2)*PricePremAnnual*YO49+YZ13*POWER(1-(AnnualChurn*VLOOKUP(YL49,ChurnSeasonTable,4,FALSE)),3)*PricePremAnnual*YO49</f>
        <v/>
      </c>
      <c r="ZK49" s="9">
        <f>ZH49+ZI49+ZJ49</f>
        <v/>
      </c>
      <c r="ZL49" s="12">
        <f>SUM(ZK38:ZK49)</f>
        <v/>
      </c>
      <c r="ZM49" s="12">
        <f>OR(ZM48,ZL49&gt;=VATThreshold)</f>
        <v/>
      </c>
      <c r="ZN49" s="9">
        <f>IF(ZM49,ZK49/(1+VATRate),ZK49)</f>
        <v/>
      </c>
      <c r="ZO49" s="12">
        <f>ZK49-ZN49</f>
        <v/>
      </c>
      <c r="ZP49" s="12">
        <f>IF(ZM49=0,0,IF(YL49=1,SUMPRODUCT(--(($YM$5:$YM49=$YM49-1)*($YL$5:$YL49&gt;=10)*($YL$5:$YL49&lt;=12)),$ZO$5:$ZO49),IF(YL49=4,SUMPRODUCT(--(($YM$5:$YM49=$YM49)*($YL$5:$YL49&gt;=1)*($YL$5:$YL49&lt;=3)),$ZO$5:$ZO49),IF(YL49=7,SUMPRODUCT(--(($YM$5:$YM49=$YM49)*($YL$5:$YL49&gt;=4)*($YL$5:$YL49&lt;=6)),$ZO$5:$ZO49),IF(YL49=10,SUMPRODUCT(--(($YM$5:$YM49=$YM49)*($YL$5:$YL49&gt;=7)*($YL$5:$YL49&lt;=9)),$ZO$5:$ZO49),0)))))</f>
        <v/>
      </c>
      <c r="ZQ49" s="12">
        <f>ZQ48+ZO49-ZP49</f>
        <v/>
      </c>
      <c r="ZR49" s="12">
        <f>IF(ProviderDelay&gt;=1,ZN48*ProviderShare,ZN49*ProviderShare)</f>
        <v/>
      </c>
      <c r="ZS49" s="12">
        <f>ZK49*PaymentFee</f>
        <v/>
      </c>
      <c r="ZT49" s="12">
        <f>ZE49*OpsAI</f>
        <v/>
      </c>
      <c r="ZU49" s="12">
        <f>MonthlyFixed</f>
        <v/>
      </c>
      <c r="ZV49" s="12">
        <f>YS49*ReferralReward</f>
        <v/>
      </c>
      <c r="ZW49" s="12">
        <f>YQ49</f>
        <v/>
      </c>
      <c r="ZX49" s="9">
        <f>ZN49-ZR49-ZS49-ZT49-ZU49-ZV49-ZW49</f>
        <v/>
      </c>
      <c r="ZY49" s="9">
        <f>ZY48+ZK49-(ZR49+ZS49+ZT49+ZU49+ZV49+ZW49+ZP49)</f>
        <v/>
      </c>
      <c r="ZZ49" s="12">
        <f>IF(ZE49&gt;0,ZF49/ZE49,0)</f>
        <v/>
      </c>
      <c r="AAA49" s="11">
        <f>IF(ZE48&gt;0,MAX(0,(ZE48+YT49-ZE49)/ZE48),0)</f>
        <v/>
      </c>
      <c r="AAC49" s="12" t="n">
        <v>45</v>
      </c>
      <c r="AAD49" s="12">
        <f>MOD(AAC49-1+LaunchMonth-1,12)+1</f>
        <v/>
      </c>
      <c r="AAE49" s="12">
        <f>INT((AAC49-1+LaunchMonth-1)/12)+1</f>
        <v/>
      </c>
      <c r="AAF49" s="12">
        <f>VLOOKUP(AAD49,SeasonTable,2,FALSE)</f>
        <v/>
      </c>
      <c r="AAG49" s="12">
        <f>(1+InflationRate)^INT((AAC49-1)/12)</f>
        <v/>
      </c>
      <c r="AAH49" s="11">
        <f>MonthlyChurn*VLOOKUP(AAD49,ChurnSeasonTable,4,FALSE)</f>
        <v/>
      </c>
      <c r="AAI49" s="12">
        <f>MIN(MAX(MktMin19plus,ABC48*MktPct19plus),MAX(0,ABQ48-CashBuffer))</f>
        <v/>
      </c>
      <c r="AAJ49" s="12">
        <f>IF(AAI49&gt;0,MAX(1,ROUND(AAI49/CAC*AAF49,0)),0)</f>
        <v/>
      </c>
      <c r="AAK49" s="12">
        <f>IF(AAJ49&gt;0,ROUND(AAJ49*ReferralMix/(1-ReferralMix),0),0)</f>
        <v/>
      </c>
      <c r="AAL49" s="12">
        <f>AAJ49+AAK49</f>
        <v/>
      </c>
      <c r="AAM49" s="12">
        <f>ROUND(AAL49*(1-'Sens - Annual Mix'!$A$13),0)</f>
        <v/>
      </c>
      <c r="AAN49" s="12">
        <f>AAL49-AAM49</f>
        <v/>
      </c>
      <c r="AAO49" s="12">
        <f>ROUND(AAM49*EssentialMix,0)</f>
        <v/>
      </c>
      <c r="AAP49" s="12">
        <f>AAM49-AAO49</f>
        <v/>
      </c>
      <c r="AAQ49" s="12">
        <f>ROUND(AAN49*EssentialMix,0)</f>
        <v/>
      </c>
      <c r="AAR49" s="12">
        <f>AAN49-AAQ49</f>
        <v/>
      </c>
      <c r="AAS49" s="12">
        <f>AAO49+AAO48+AAO47+MAX(0,AAS48-AAO48-AAO47)*(1-AAH49)</f>
        <v/>
      </c>
      <c r="AAT49" s="12">
        <f>AAP49+AAP48+AAP47+MAX(0,AAT48-AAP48-AAP47)*(1-AAH49)</f>
        <v/>
      </c>
      <c r="AAU49" s="12">
        <f>AAU48+AAQ49-AAQ37*(AnnualChurn*VLOOKUP(AAD49,ChurnSeasonTable,4,FALSE))*POWER(1-(AnnualChurn*VLOOKUP(AAD49,ChurnSeasonTable,4,FALSE)),0)+AAQ25*(AnnualChurn*VLOOKUP(AAD49,ChurnSeasonTable,4,FALSE))*POWER(1-(AnnualChurn*VLOOKUP(AAD49,ChurnSeasonTable,4,FALSE)),1)+AAQ13*(AnnualChurn*VLOOKUP(AAD49,ChurnSeasonTable,4,FALSE))*POWER(1-(AnnualChurn*VLOOKUP(AAD49,ChurnSeasonTable,4,FALSE)),2)</f>
        <v/>
      </c>
      <c r="AAV49" s="12">
        <f>AAV48+AAR49-AAR37*(AnnualChurn*VLOOKUP(AAD49,ChurnSeasonTable,4,FALSE))*POWER(1-(AnnualChurn*VLOOKUP(AAD49,ChurnSeasonTable,4,FALSE)),0)+AAR25*(AnnualChurn*VLOOKUP(AAD49,ChurnSeasonTable,4,FALSE))*POWER(1-(AnnualChurn*VLOOKUP(AAD49,ChurnSeasonTable,4,FALSE)),1)+AAR13*(AnnualChurn*VLOOKUP(AAD49,ChurnSeasonTable,4,FALSE))*POWER(1-(AnnualChurn*VLOOKUP(AAD49,ChurnSeasonTable,4,FALSE)),2)</f>
        <v/>
      </c>
      <c r="AAW49" s="12">
        <f>AAS49+AAT49+AAU49+AAV49</f>
        <v/>
      </c>
      <c r="AAX49" s="9">
        <f>AAS49*PriceEssMonthly*AAG49+AAT49*PricePremMonthly*AAG49+AAU49*PriceEssAnnual*AAG49/12+AAV49*PricePremAnnual*AAG49/12</f>
        <v/>
      </c>
      <c r="AAY49" s="9">
        <f>AAX49*12</f>
        <v/>
      </c>
      <c r="AAZ49" s="12">
        <f>AAS49*PriceEssMonthly*AAG49+AAT49*PricePremMonthly*AAG49</f>
        <v/>
      </c>
      <c r="ABA49" s="12">
        <f>AAQ49*PriceEssAnnual*AAG49+AAR49*PricePremAnnual*AAG49</f>
        <v/>
      </c>
      <c r="ABB49" s="12">
        <f>AAQ37*POWER(1-(AnnualChurn*VLOOKUP(AAD49,ChurnSeasonTable,4,FALSE)),1)*PriceEssAnnual*AAG49+AAQ25*POWER(1-(AnnualChurn*VLOOKUP(AAD49,ChurnSeasonTable,4,FALSE)),2)*PriceEssAnnual*AAG49+AAQ13*POWER(1-(AnnualChurn*VLOOKUP(AAD49,ChurnSeasonTable,4,FALSE)),3)*PriceEssAnnual*AAG49+AAR37*POWER(1-(AnnualChurn*VLOOKUP(AAD49,ChurnSeasonTable,4,FALSE)),1)*PricePremAnnual*AAG49+AAR25*POWER(1-(AnnualChurn*VLOOKUP(AAD49,ChurnSeasonTable,4,FALSE)),2)*PricePremAnnual*AAG49+AAR13*POWER(1-(AnnualChurn*VLOOKUP(AAD49,ChurnSeasonTable,4,FALSE)),3)*PricePremAnnual*AAG49</f>
        <v/>
      </c>
      <c r="ABC49" s="9">
        <f>AAZ49+ABA49+ABB49</f>
        <v/>
      </c>
      <c r="ABD49" s="12">
        <f>SUM(ABC38:ABC49)</f>
        <v/>
      </c>
      <c r="ABE49" s="12">
        <f>OR(ABE48,ABD49&gt;=VATThreshold)</f>
        <v/>
      </c>
      <c r="ABF49" s="9">
        <f>IF(ABE49,ABC49/(1+VATRate),ABC49)</f>
        <v/>
      </c>
      <c r="ABG49" s="12">
        <f>ABC49-ABF49</f>
        <v/>
      </c>
      <c r="ABH49" s="12">
        <f>IF(ABE49=0,0,IF(AAD49=1,SUMPRODUCT(--(($AAE$5:$AAE49=$AAE49-1)*($AAD$5:$AAD49&gt;=10)*($AAD$5:$AAD49&lt;=12)),$ABG$5:$ABG49),IF(AAD49=4,SUMPRODUCT(--(($AAE$5:$AAE49=$AAE49)*($AAD$5:$AAD49&gt;=1)*($AAD$5:$AAD49&lt;=3)),$ABG$5:$ABG49),IF(AAD49=7,SUMPRODUCT(--(($AAE$5:$AAE49=$AAE49)*($AAD$5:$AAD49&gt;=4)*($AAD$5:$AAD49&lt;=6)),$ABG$5:$ABG49),IF(AAD49=10,SUMPRODUCT(--(($AAE$5:$AAE49=$AAE49)*($AAD$5:$AAD49&gt;=7)*($AAD$5:$AAD49&lt;=9)),$ABG$5:$ABG49),0)))))</f>
        <v/>
      </c>
      <c r="ABI49" s="12">
        <f>ABI48+ABG49-ABH49</f>
        <v/>
      </c>
      <c r="ABJ49" s="12">
        <f>IF(ProviderDelay&gt;=1,ABF48*ProviderShare,ABF49*ProviderShare)</f>
        <v/>
      </c>
      <c r="ABK49" s="12">
        <f>ABC49*PaymentFee</f>
        <v/>
      </c>
      <c r="ABL49" s="12">
        <f>AAW49*OpsAI</f>
        <v/>
      </c>
      <c r="ABM49" s="12">
        <f>MonthlyFixed</f>
        <v/>
      </c>
      <c r="ABN49" s="12">
        <f>AAK49*ReferralReward</f>
        <v/>
      </c>
      <c r="ABO49" s="12">
        <f>AAI49</f>
        <v/>
      </c>
      <c r="ABP49" s="9">
        <f>ABF49-ABJ49-ABK49-ABL49-ABM49-ABN49-ABO49</f>
        <v/>
      </c>
      <c r="ABQ49" s="9">
        <f>ABQ48+ABC49-(ABJ49+ABK49+ABL49+ABM49+ABN49+ABO49+ABH49)</f>
        <v/>
      </c>
      <c r="ABR49" s="12">
        <f>IF(AAW49&gt;0,AAX49/AAW49,0)</f>
        <v/>
      </c>
      <c r="ABS49" s="11">
        <f>IF(AAW48&gt;0,MAX(0,(AAW48+AAL49-AAW49)/AAW48),0)</f>
        <v/>
      </c>
      <c r="ABU49" s="12" t="n">
        <v>45</v>
      </c>
      <c r="ABV49" s="12">
        <f>MOD(ABU49-1+LaunchMonth-1,12)+1</f>
        <v/>
      </c>
      <c r="ABW49" s="12">
        <f>INT((ABU49-1+LaunchMonth-1)/12)+1</f>
        <v/>
      </c>
      <c r="ABX49" s="12">
        <f>VLOOKUP(ABV49,SeasonTable,2,FALSE)</f>
        <v/>
      </c>
      <c r="ABY49" s="12">
        <f>(1+InflationRate)^INT((ABU49-1)/12)</f>
        <v/>
      </c>
      <c r="ABZ49" s="11">
        <f>MonthlyChurn*VLOOKUP(ABV49,ChurnSeasonTable,4,FALSE)</f>
        <v/>
      </c>
      <c r="ACA49" s="12">
        <f>MIN(MAX(MktMin19plus,ACU48*MktPct19plus),MAX(0,ADI48-CashBuffer))</f>
        <v/>
      </c>
      <c r="ACB49" s="12">
        <f>IF(ACA49&gt;0,MAX(1,ROUND(ACA49/CAC*ABX49,0)),0)</f>
        <v/>
      </c>
      <c r="ACC49" s="12">
        <f>IF(ACB49&gt;0,ROUND(ACB49*ReferralMix/(1-ReferralMix),0),0)</f>
        <v/>
      </c>
      <c r="ACD49" s="12">
        <f>ACB49+ACC49</f>
        <v/>
      </c>
      <c r="ACE49" s="12">
        <f>ROUND(ACD49*(1-'Sens - Annual Mix'!$A$14),0)</f>
        <v/>
      </c>
      <c r="ACF49" s="12">
        <f>ACD49-ACE49</f>
        <v/>
      </c>
      <c r="ACG49" s="12">
        <f>ROUND(ACE49*EssentialMix,0)</f>
        <v/>
      </c>
      <c r="ACH49" s="12">
        <f>ACE49-ACG49</f>
        <v/>
      </c>
      <c r="ACI49" s="12">
        <f>ROUND(ACF49*EssentialMix,0)</f>
        <v/>
      </c>
      <c r="ACJ49" s="12">
        <f>ACF49-ACI49</f>
        <v/>
      </c>
      <c r="ACK49" s="12">
        <f>ACG49+ACG48+ACG47+MAX(0,ACK48-ACG48-ACG47)*(1-ABZ49)</f>
        <v/>
      </c>
      <c r="ACL49" s="12">
        <f>ACH49+ACH48+ACH47+MAX(0,ACL48-ACH48-ACH47)*(1-ABZ49)</f>
        <v/>
      </c>
      <c r="ACM49" s="12">
        <f>ACM48+ACI49-ACI37*(AnnualChurn*VLOOKUP(ABV49,ChurnSeasonTable,4,FALSE))*POWER(1-(AnnualChurn*VLOOKUP(ABV49,ChurnSeasonTable,4,FALSE)),0)+ACI25*(AnnualChurn*VLOOKUP(ABV49,ChurnSeasonTable,4,FALSE))*POWER(1-(AnnualChurn*VLOOKUP(ABV49,ChurnSeasonTable,4,FALSE)),1)+ACI13*(AnnualChurn*VLOOKUP(ABV49,ChurnSeasonTable,4,FALSE))*POWER(1-(AnnualChurn*VLOOKUP(ABV49,ChurnSeasonTable,4,FALSE)),2)</f>
        <v/>
      </c>
      <c r="ACN49" s="12">
        <f>ACN48+ACJ49-ACJ37*(AnnualChurn*VLOOKUP(ABV49,ChurnSeasonTable,4,FALSE))*POWER(1-(AnnualChurn*VLOOKUP(ABV49,ChurnSeasonTable,4,FALSE)),0)+ACJ25*(AnnualChurn*VLOOKUP(ABV49,ChurnSeasonTable,4,FALSE))*POWER(1-(AnnualChurn*VLOOKUP(ABV49,ChurnSeasonTable,4,FALSE)),1)+ACJ13*(AnnualChurn*VLOOKUP(ABV49,ChurnSeasonTable,4,FALSE))*POWER(1-(AnnualChurn*VLOOKUP(ABV49,ChurnSeasonTable,4,FALSE)),2)</f>
        <v/>
      </c>
      <c r="ACO49" s="12">
        <f>ACK49+ACL49+ACM49+ACN49</f>
        <v/>
      </c>
      <c r="ACP49" s="9">
        <f>ACK49*PriceEssMonthly*ABY49+ACL49*PricePremMonthly*ABY49+ACM49*PriceEssAnnual*ABY49/12+ACN49*PricePremAnnual*ABY49/12</f>
        <v/>
      </c>
      <c r="ACQ49" s="9">
        <f>ACP49*12</f>
        <v/>
      </c>
      <c r="ACR49" s="12">
        <f>ACK49*PriceEssMonthly*ABY49+ACL49*PricePremMonthly*ABY49</f>
        <v/>
      </c>
      <c r="ACS49" s="12">
        <f>ACI49*PriceEssAnnual*ABY49+ACJ49*PricePremAnnual*ABY49</f>
        <v/>
      </c>
      <c r="ACT49" s="12">
        <f>ACI37*POWER(1-(AnnualChurn*VLOOKUP(ABV49,ChurnSeasonTable,4,FALSE)),1)*PriceEssAnnual*ABY49+ACI25*POWER(1-(AnnualChurn*VLOOKUP(ABV49,ChurnSeasonTable,4,FALSE)),2)*PriceEssAnnual*ABY49+ACI13*POWER(1-(AnnualChurn*VLOOKUP(ABV49,ChurnSeasonTable,4,FALSE)),3)*PriceEssAnnual*ABY49+ACJ37*POWER(1-(AnnualChurn*VLOOKUP(ABV49,ChurnSeasonTable,4,FALSE)),1)*PricePremAnnual*ABY49+ACJ25*POWER(1-(AnnualChurn*VLOOKUP(ABV49,ChurnSeasonTable,4,FALSE)),2)*PricePremAnnual*ABY49+ACJ13*POWER(1-(AnnualChurn*VLOOKUP(ABV49,ChurnSeasonTable,4,FALSE)),3)*PricePremAnnual*ABY49</f>
        <v/>
      </c>
      <c r="ACU49" s="9">
        <f>ACR49+ACS49+ACT49</f>
        <v/>
      </c>
      <c r="ACV49" s="12">
        <f>SUM(ACU38:ACU49)</f>
        <v/>
      </c>
      <c r="ACW49" s="12">
        <f>OR(ACW48,ACV49&gt;=VATThreshold)</f>
        <v/>
      </c>
      <c r="ACX49" s="9">
        <f>IF(ACW49,ACU49/(1+VATRate),ACU49)</f>
        <v/>
      </c>
      <c r="ACY49" s="12">
        <f>ACU49-ACX49</f>
        <v/>
      </c>
      <c r="ACZ49" s="12">
        <f>IF(ACW49=0,0,IF(ABV49=1,SUMPRODUCT(--(($ABW$5:$ABW49=$ABW49-1)*($ABV$5:$ABV49&gt;=10)*($ABV$5:$ABV49&lt;=12)),$ACY$5:$ACY49),IF(ABV49=4,SUMPRODUCT(--(($ABW$5:$ABW49=$ABW49)*($ABV$5:$ABV49&gt;=1)*($ABV$5:$ABV49&lt;=3)),$ACY$5:$ACY49),IF(ABV49=7,SUMPRODUCT(--(($ABW$5:$ABW49=$ABW49)*($ABV$5:$ABV49&gt;=4)*($ABV$5:$ABV49&lt;=6)),$ACY$5:$ACY49),IF(ABV49=10,SUMPRODUCT(--(($ABW$5:$ABW49=$ABW49)*($ABV$5:$ABV49&gt;=7)*($ABV$5:$ABV49&lt;=9)),$ACY$5:$ACY49),0)))))</f>
        <v/>
      </c>
      <c r="ADA49" s="12">
        <f>ADA48+ACY49-ACZ49</f>
        <v/>
      </c>
      <c r="ADB49" s="12">
        <f>IF(ProviderDelay&gt;=1,ACX48*ProviderShare,ACX49*ProviderShare)</f>
        <v/>
      </c>
      <c r="ADC49" s="12">
        <f>ACU49*PaymentFee</f>
        <v/>
      </c>
      <c r="ADD49" s="12">
        <f>ACO49*OpsAI</f>
        <v/>
      </c>
      <c r="ADE49" s="12">
        <f>MonthlyFixed</f>
        <v/>
      </c>
      <c r="ADF49" s="12">
        <f>ACC49*ReferralReward</f>
        <v/>
      </c>
      <c r="ADG49" s="12">
        <f>ACA49</f>
        <v/>
      </c>
      <c r="ADH49" s="9">
        <f>ACX49-ADB49-ADC49-ADD49-ADE49-ADF49-ADG49</f>
        <v/>
      </c>
      <c r="ADI49" s="9">
        <f>ADI48+ACU49-(ADB49+ADC49+ADD49+ADE49+ADF49+ADG49+ACZ49)</f>
        <v/>
      </c>
      <c r="ADJ49" s="12">
        <f>IF(ACO49&gt;0,ACP49/ACO49,0)</f>
        <v/>
      </c>
      <c r="ADK49" s="11">
        <f>IF(ACO48&gt;0,MAX(0,(ACO48+ACD49-ACO49)/ACO48),0)</f>
        <v/>
      </c>
      <c r="ADM49" s="12" t="n">
        <v>45</v>
      </c>
      <c r="ADN49" s="12">
        <f>MOD(ADM49-1+LaunchMonth-1,12)+1</f>
        <v/>
      </c>
      <c r="ADO49" s="12">
        <f>INT((ADM49-1+LaunchMonth-1)/12)+1</f>
        <v/>
      </c>
      <c r="ADP49" s="12">
        <f>VLOOKUP(ADN49,SeasonTable,2,FALSE)</f>
        <v/>
      </c>
      <c r="ADQ49" s="12">
        <f>(1+InflationRate)^INT((ADM49-1)/12)</f>
        <v/>
      </c>
      <c r="ADR49" s="11">
        <f>MonthlyChurn*VLOOKUP(ADN49,ChurnSeasonTable,4,FALSE)</f>
        <v/>
      </c>
      <c r="ADS49" s="12">
        <f>MIN(MAX(MktMin19plus,AEM48*MktPct19plus),MAX(0,AFA48-CashBuffer))</f>
        <v/>
      </c>
      <c r="ADT49" s="12">
        <f>IF(ADS49&gt;0,MAX(1,ROUND(ADS49/CAC*ADP49,0)),0)</f>
        <v/>
      </c>
      <c r="ADU49" s="12">
        <f>IF(ADT49&gt;0,ROUND(ADT49*ReferralMix/(1-ReferralMix),0),0)</f>
        <v/>
      </c>
      <c r="ADV49" s="12">
        <f>ADT49+ADU49</f>
        <v/>
      </c>
      <c r="ADW49" s="12">
        <f>ROUND(ADV49*(1-'Sens - Annual Mix'!$A$15),0)</f>
        <v/>
      </c>
      <c r="ADX49" s="12">
        <f>ADV49-ADW49</f>
        <v/>
      </c>
      <c r="ADY49" s="12">
        <f>ROUND(ADW49*EssentialMix,0)</f>
        <v/>
      </c>
      <c r="ADZ49" s="12">
        <f>ADW49-ADY49</f>
        <v/>
      </c>
      <c r="AEA49" s="12">
        <f>ROUND(ADX49*EssentialMix,0)</f>
        <v/>
      </c>
      <c r="AEB49" s="12">
        <f>ADX49-AEA49</f>
        <v/>
      </c>
      <c r="AEC49" s="12">
        <f>ADY49+ADY48+ADY47+MAX(0,AEC48-ADY48-ADY47)*(1-ADR49)</f>
        <v/>
      </c>
      <c r="AED49" s="12">
        <f>ADZ49+ADZ48+ADZ47+MAX(0,AED48-ADZ48-ADZ47)*(1-ADR49)</f>
        <v/>
      </c>
      <c r="AEE49" s="12">
        <f>AEE48+AEA49-AEA37*(AnnualChurn*VLOOKUP(ADN49,ChurnSeasonTable,4,FALSE))*POWER(1-(AnnualChurn*VLOOKUP(ADN49,ChurnSeasonTable,4,FALSE)),0)+AEA25*(AnnualChurn*VLOOKUP(ADN49,ChurnSeasonTable,4,FALSE))*POWER(1-(AnnualChurn*VLOOKUP(ADN49,ChurnSeasonTable,4,FALSE)),1)+AEA13*(AnnualChurn*VLOOKUP(ADN49,ChurnSeasonTable,4,FALSE))*POWER(1-(AnnualChurn*VLOOKUP(ADN49,ChurnSeasonTable,4,FALSE)),2)</f>
        <v/>
      </c>
      <c r="AEF49" s="12">
        <f>AEF48+AEB49-AEB37*(AnnualChurn*VLOOKUP(ADN49,ChurnSeasonTable,4,FALSE))*POWER(1-(AnnualChurn*VLOOKUP(ADN49,ChurnSeasonTable,4,FALSE)),0)+AEB25*(AnnualChurn*VLOOKUP(ADN49,ChurnSeasonTable,4,FALSE))*POWER(1-(AnnualChurn*VLOOKUP(ADN49,ChurnSeasonTable,4,FALSE)),1)+AEB13*(AnnualChurn*VLOOKUP(ADN49,ChurnSeasonTable,4,FALSE))*POWER(1-(AnnualChurn*VLOOKUP(ADN49,ChurnSeasonTable,4,FALSE)),2)</f>
        <v/>
      </c>
      <c r="AEG49" s="12">
        <f>AEC49+AED49+AEE49+AEF49</f>
        <v/>
      </c>
      <c r="AEH49" s="9">
        <f>AEC49*PriceEssMonthly*ADQ49+AED49*PricePremMonthly*ADQ49+AEE49*PriceEssAnnual*ADQ49/12+AEF49*PricePremAnnual*ADQ49/12</f>
        <v/>
      </c>
      <c r="AEI49" s="9">
        <f>AEH49*12</f>
        <v/>
      </c>
      <c r="AEJ49" s="12">
        <f>AEC49*PriceEssMonthly*ADQ49+AED49*PricePremMonthly*ADQ49</f>
        <v/>
      </c>
      <c r="AEK49" s="12">
        <f>AEA49*PriceEssAnnual*ADQ49+AEB49*PricePremAnnual*ADQ49</f>
        <v/>
      </c>
      <c r="AEL49" s="12">
        <f>AEA37*POWER(1-(AnnualChurn*VLOOKUP(ADN49,ChurnSeasonTable,4,FALSE)),1)*PriceEssAnnual*ADQ49+AEA25*POWER(1-(AnnualChurn*VLOOKUP(ADN49,ChurnSeasonTable,4,FALSE)),2)*PriceEssAnnual*ADQ49+AEA13*POWER(1-(AnnualChurn*VLOOKUP(ADN49,ChurnSeasonTable,4,FALSE)),3)*PriceEssAnnual*ADQ49+AEB37*POWER(1-(AnnualChurn*VLOOKUP(ADN49,ChurnSeasonTable,4,FALSE)),1)*PricePremAnnual*ADQ49+AEB25*POWER(1-(AnnualChurn*VLOOKUP(ADN49,ChurnSeasonTable,4,FALSE)),2)*PricePremAnnual*ADQ49+AEB13*POWER(1-(AnnualChurn*VLOOKUP(ADN49,ChurnSeasonTable,4,FALSE)),3)*PricePremAnnual*ADQ49</f>
        <v/>
      </c>
      <c r="AEM49" s="9">
        <f>AEJ49+AEK49+AEL49</f>
        <v/>
      </c>
      <c r="AEN49" s="12">
        <f>SUM(AEM38:AEM49)</f>
        <v/>
      </c>
      <c r="AEO49" s="12">
        <f>OR(AEO48,AEN49&gt;=VATThreshold)</f>
        <v/>
      </c>
      <c r="AEP49" s="9">
        <f>IF(AEO49,AEM49/(1+VATRate),AEM49)</f>
        <v/>
      </c>
      <c r="AEQ49" s="12">
        <f>AEM49-AEP49</f>
        <v/>
      </c>
      <c r="AER49" s="12">
        <f>IF(AEO49=0,0,IF(ADN49=1,SUMPRODUCT(--(($ADO$5:$ADO49=$ADO49-1)*($ADN$5:$ADN49&gt;=10)*($ADN$5:$ADN49&lt;=12)),$AEQ$5:$AEQ49),IF(ADN49=4,SUMPRODUCT(--(($ADO$5:$ADO49=$ADO49)*($ADN$5:$ADN49&gt;=1)*($ADN$5:$ADN49&lt;=3)),$AEQ$5:$AEQ49),IF(ADN49=7,SUMPRODUCT(--(($ADO$5:$ADO49=$ADO49)*($ADN$5:$ADN49&gt;=4)*($ADN$5:$ADN49&lt;=6)),$AEQ$5:$AEQ49),IF(ADN49=10,SUMPRODUCT(--(($ADO$5:$ADO49=$ADO49)*($ADN$5:$ADN49&gt;=7)*($ADN$5:$ADN49&lt;=9)),$AEQ$5:$AEQ49),0)))))</f>
        <v/>
      </c>
      <c r="AES49" s="12">
        <f>AES48+AEQ49-AER49</f>
        <v/>
      </c>
      <c r="AET49" s="12">
        <f>IF(ProviderDelay&gt;=1,AEP48*ProviderShare,AEP49*ProviderShare)</f>
        <v/>
      </c>
      <c r="AEU49" s="12">
        <f>AEM49*PaymentFee</f>
        <v/>
      </c>
      <c r="AEV49" s="12">
        <f>AEG49*OpsAI</f>
        <v/>
      </c>
      <c r="AEW49" s="12">
        <f>MonthlyFixed</f>
        <v/>
      </c>
      <c r="AEX49" s="12">
        <f>ADU49*ReferralReward</f>
        <v/>
      </c>
      <c r="AEY49" s="12">
        <f>ADS49</f>
        <v/>
      </c>
      <c r="AEZ49" s="9">
        <f>AEP49-AET49-AEU49-AEV49-AEW49-AEX49-AEY49</f>
        <v/>
      </c>
      <c r="AFA49" s="9">
        <f>AFA48+AEM49-(AET49+AEU49+AEV49+AEW49+AEX49+AEY49+AER49)</f>
        <v/>
      </c>
      <c r="AFB49" s="12">
        <f>IF(AEG49&gt;0,AEH49/AEG49,0)</f>
        <v/>
      </c>
      <c r="AFC49" s="11">
        <f>IF(AEG48&gt;0,MAX(0,(AEG48+ADV49-AEG49)/AEG48),0)</f>
        <v/>
      </c>
      <c r="AFE49" s="12" t="n">
        <v>45</v>
      </c>
      <c r="AFF49" s="12">
        <f>MOD(AFE49-1+LaunchMonth-1,12)+1</f>
        <v/>
      </c>
      <c r="AFG49" s="12">
        <f>INT((AFE49-1+LaunchMonth-1)/12)+1</f>
        <v/>
      </c>
      <c r="AFH49" s="12">
        <f>VLOOKUP(AFF49,SeasonTable,2,FALSE)</f>
        <v/>
      </c>
      <c r="AFI49" s="12">
        <f>(1+InflationRate)^INT((AFE49-1)/12)</f>
        <v/>
      </c>
      <c r="AFJ49" s="11">
        <f>MonthlyChurn*VLOOKUP(AFF49,ChurnSeasonTable,4,FALSE)</f>
        <v/>
      </c>
      <c r="AFK49" s="12">
        <f>MIN(MAX(MktMin19plus,AGE48*MktPct19plus),MAX(0,AGS48-CashBuffer))</f>
        <v/>
      </c>
      <c r="AFL49" s="12">
        <f>IF(AFK49&gt;0,MAX(1,ROUND(AFK49/'Sens - CAC &amp; Marketing'!$A$9*AFH49,0)),0)</f>
        <v/>
      </c>
      <c r="AFM49" s="12">
        <f>IF(AFL49&gt;0,ROUND(AFL49*ReferralMix/(1-ReferralMix),0),0)</f>
        <v/>
      </c>
      <c r="AFN49" s="12">
        <f>AFL49+AFM49</f>
        <v/>
      </c>
      <c r="AFO49" s="12">
        <f>ROUND(AFN49*(1-AnnualMix),0)</f>
        <v/>
      </c>
      <c r="AFP49" s="12">
        <f>AFN49-AFO49</f>
        <v/>
      </c>
      <c r="AFQ49" s="12">
        <f>ROUND(AFO49*EssentialMix,0)</f>
        <v/>
      </c>
      <c r="AFR49" s="12">
        <f>AFO49-AFQ49</f>
        <v/>
      </c>
      <c r="AFS49" s="12">
        <f>ROUND(AFP49*EssentialMix,0)</f>
        <v/>
      </c>
      <c r="AFT49" s="12">
        <f>AFP49-AFS49</f>
        <v/>
      </c>
      <c r="AFU49" s="12">
        <f>AFQ49+AFQ48+AFQ47+MAX(0,AFU48-AFQ48-AFQ47)*(1-AFJ49)</f>
        <v/>
      </c>
      <c r="AFV49" s="12">
        <f>AFR49+AFR48+AFR47+MAX(0,AFV48-AFR48-AFR47)*(1-AFJ49)</f>
        <v/>
      </c>
      <c r="AFW49" s="12">
        <f>AFW48+AFS49-AFS37*(AnnualChurn*VLOOKUP(AFF49,ChurnSeasonTable,4,FALSE))*POWER(1-(AnnualChurn*VLOOKUP(AFF49,ChurnSeasonTable,4,FALSE)),0)+AFS25*(AnnualChurn*VLOOKUP(AFF49,ChurnSeasonTable,4,FALSE))*POWER(1-(AnnualChurn*VLOOKUP(AFF49,ChurnSeasonTable,4,FALSE)),1)+AFS13*(AnnualChurn*VLOOKUP(AFF49,ChurnSeasonTable,4,FALSE))*POWER(1-(AnnualChurn*VLOOKUP(AFF49,ChurnSeasonTable,4,FALSE)),2)</f>
        <v/>
      </c>
      <c r="AFX49" s="12">
        <f>AFX48+AFT49-AFT37*(AnnualChurn*VLOOKUP(AFF49,ChurnSeasonTable,4,FALSE))*POWER(1-(AnnualChurn*VLOOKUP(AFF49,ChurnSeasonTable,4,FALSE)),0)+AFT25*(AnnualChurn*VLOOKUP(AFF49,ChurnSeasonTable,4,FALSE))*POWER(1-(AnnualChurn*VLOOKUP(AFF49,ChurnSeasonTable,4,FALSE)),1)+AFT13*(AnnualChurn*VLOOKUP(AFF49,ChurnSeasonTable,4,FALSE))*POWER(1-(AnnualChurn*VLOOKUP(AFF49,ChurnSeasonTable,4,FALSE)),2)</f>
        <v/>
      </c>
      <c r="AFY49" s="12">
        <f>AFU49+AFV49+AFW49+AFX49</f>
        <v/>
      </c>
      <c r="AFZ49" s="9">
        <f>AFU49*PriceEssMonthly*AFI49+AFV49*PricePremMonthly*AFI49+AFW49*PriceEssAnnual*AFI49/12+AFX49*PricePremAnnual*AFI49/12</f>
        <v/>
      </c>
      <c r="AGA49" s="9">
        <f>AFZ49*12</f>
        <v/>
      </c>
      <c r="AGB49" s="12">
        <f>AFU49*PriceEssMonthly*AFI49+AFV49*PricePremMonthly*AFI49</f>
        <v/>
      </c>
      <c r="AGC49" s="12">
        <f>AFS49*PriceEssAnnual*AFI49+AFT49*PricePremAnnual*AFI49</f>
        <v/>
      </c>
      <c r="AGD49" s="12">
        <f>AFS37*POWER(1-(AnnualChurn*VLOOKUP(AFF49,ChurnSeasonTable,4,FALSE)),1)*PriceEssAnnual*AFI49+AFS25*POWER(1-(AnnualChurn*VLOOKUP(AFF49,ChurnSeasonTable,4,FALSE)),2)*PriceEssAnnual*AFI49+AFS13*POWER(1-(AnnualChurn*VLOOKUP(AFF49,ChurnSeasonTable,4,FALSE)),3)*PriceEssAnnual*AFI49+AFT37*POWER(1-(AnnualChurn*VLOOKUP(AFF49,ChurnSeasonTable,4,FALSE)),1)*PricePremAnnual*AFI49+AFT25*POWER(1-(AnnualChurn*VLOOKUP(AFF49,ChurnSeasonTable,4,FALSE)),2)*PricePremAnnual*AFI49+AFT13*POWER(1-(AnnualChurn*VLOOKUP(AFF49,ChurnSeasonTable,4,FALSE)),3)*PricePremAnnual*AFI49</f>
        <v/>
      </c>
      <c r="AGE49" s="9">
        <f>AGB49+AGC49+AGD49</f>
        <v/>
      </c>
      <c r="AGF49" s="12">
        <f>SUM(AGE38:AGE49)</f>
        <v/>
      </c>
      <c r="AGG49" s="12">
        <f>OR(AGG48,AGF49&gt;=VATThreshold)</f>
        <v/>
      </c>
      <c r="AGH49" s="9">
        <f>IF(AGG49,AGE49/(1+VATRate),AGE49)</f>
        <v/>
      </c>
      <c r="AGI49" s="12">
        <f>AGE49-AGH49</f>
        <v/>
      </c>
      <c r="AGJ49" s="12">
        <f>IF(AGG49=0,0,IF(AFF49=1,SUMPRODUCT(--(($AFG$5:$AFG49=$AFG49-1)*($AFF$5:$AFF49&gt;=10)*($AFF$5:$AFF49&lt;=12)),$AGI$5:$AGI49),IF(AFF49=4,SUMPRODUCT(--(($AFG$5:$AFG49=$AFG49)*($AFF$5:$AFF49&gt;=1)*($AFF$5:$AFF49&lt;=3)),$AGI$5:$AGI49),IF(AFF49=7,SUMPRODUCT(--(($AFG$5:$AFG49=$AFG49)*($AFF$5:$AFF49&gt;=4)*($AFF$5:$AFF49&lt;=6)),$AGI$5:$AGI49),IF(AFF49=10,SUMPRODUCT(--(($AFG$5:$AFG49=$AFG49)*($AFF$5:$AFF49&gt;=7)*($AFF$5:$AFF49&lt;=9)),$AGI$5:$AGI49),0)))))</f>
        <v/>
      </c>
      <c r="AGK49" s="12">
        <f>AGK48+AGI49-AGJ49</f>
        <v/>
      </c>
      <c r="AGL49" s="12">
        <f>IF(ProviderDelay&gt;=1,AGH48*ProviderShare,AGH49*ProviderShare)</f>
        <v/>
      </c>
      <c r="AGM49" s="12">
        <f>AGE49*PaymentFee</f>
        <v/>
      </c>
      <c r="AGN49" s="12">
        <f>AFY49*OpsAI</f>
        <v/>
      </c>
      <c r="AGO49" s="12">
        <f>MonthlyFixed</f>
        <v/>
      </c>
      <c r="AGP49" s="12">
        <f>AFM49*ReferralReward</f>
        <v/>
      </c>
      <c r="AGQ49" s="12">
        <f>AFK49</f>
        <v/>
      </c>
      <c r="AGR49" s="9">
        <f>AGH49-AGL49-AGM49-AGN49-AGO49-AGP49-AGQ49</f>
        <v/>
      </c>
      <c r="AGS49" s="9">
        <f>AGS48+AGE49-(AGL49+AGM49+AGN49+AGO49+AGP49+AGQ49+AGJ49)</f>
        <v/>
      </c>
      <c r="AGT49" s="12">
        <f>IF(AFY49&gt;0,AFZ49/AFY49,0)</f>
        <v/>
      </c>
      <c r="AGU49" s="11">
        <f>IF(AFY48&gt;0,MAX(0,(AFY48+AFN49-AFY49)/AFY48),0)</f>
        <v/>
      </c>
      <c r="AGW49" s="12" t="n">
        <v>45</v>
      </c>
      <c r="AGX49" s="12">
        <f>MOD(AGW49-1+LaunchMonth-1,12)+1</f>
        <v/>
      </c>
      <c r="AGY49" s="12">
        <f>INT((AGW49-1+LaunchMonth-1)/12)+1</f>
        <v/>
      </c>
      <c r="AGZ49" s="12">
        <f>VLOOKUP(AGX49,SeasonTable,2,FALSE)</f>
        <v/>
      </c>
      <c r="AHA49" s="12">
        <f>(1+InflationRate)^INT((AGW49-1)/12)</f>
        <v/>
      </c>
      <c r="AHB49" s="11">
        <f>MonthlyChurn*VLOOKUP(AGX49,ChurnSeasonTable,4,FALSE)</f>
        <v/>
      </c>
      <c r="AHC49" s="12">
        <f>MIN(MAX(MktMin19plus,AHW48*MktPct19plus),MAX(0,AIK48-CashBuffer))</f>
        <v/>
      </c>
      <c r="AHD49" s="12">
        <f>IF(AHC49&gt;0,MAX(1,ROUND(AHC49/'Sens - CAC &amp; Marketing'!$A$10*AGZ49,0)),0)</f>
        <v/>
      </c>
      <c r="AHE49" s="12">
        <f>IF(AHD49&gt;0,ROUND(AHD49*ReferralMix/(1-ReferralMix),0),0)</f>
        <v/>
      </c>
      <c r="AHF49" s="12">
        <f>AHD49+AHE49</f>
        <v/>
      </c>
      <c r="AHG49" s="12">
        <f>ROUND(AHF49*(1-AnnualMix),0)</f>
        <v/>
      </c>
      <c r="AHH49" s="12">
        <f>AHF49-AHG49</f>
        <v/>
      </c>
      <c r="AHI49" s="12">
        <f>ROUND(AHG49*EssentialMix,0)</f>
        <v/>
      </c>
      <c r="AHJ49" s="12">
        <f>AHG49-AHI49</f>
        <v/>
      </c>
      <c r="AHK49" s="12">
        <f>ROUND(AHH49*EssentialMix,0)</f>
        <v/>
      </c>
      <c r="AHL49" s="12">
        <f>AHH49-AHK49</f>
        <v/>
      </c>
      <c r="AHM49" s="12">
        <f>AHI49+AHI48+AHI47+MAX(0,AHM48-AHI48-AHI47)*(1-AHB49)</f>
        <v/>
      </c>
      <c r="AHN49" s="12">
        <f>AHJ49+AHJ48+AHJ47+MAX(0,AHN48-AHJ48-AHJ47)*(1-AHB49)</f>
        <v/>
      </c>
      <c r="AHO49" s="12">
        <f>AHO48+AHK49-AHK37*(AnnualChurn*VLOOKUP(AGX49,ChurnSeasonTable,4,FALSE))*POWER(1-(AnnualChurn*VLOOKUP(AGX49,ChurnSeasonTable,4,FALSE)),0)+AHK25*(AnnualChurn*VLOOKUP(AGX49,ChurnSeasonTable,4,FALSE))*POWER(1-(AnnualChurn*VLOOKUP(AGX49,ChurnSeasonTable,4,FALSE)),1)+AHK13*(AnnualChurn*VLOOKUP(AGX49,ChurnSeasonTable,4,FALSE))*POWER(1-(AnnualChurn*VLOOKUP(AGX49,ChurnSeasonTable,4,FALSE)),2)</f>
        <v/>
      </c>
      <c r="AHP49" s="12">
        <f>AHP48+AHL49-AHL37*(AnnualChurn*VLOOKUP(AGX49,ChurnSeasonTable,4,FALSE))*POWER(1-(AnnualChurn*VLOOKUP(AGX49,ChurnSeasonTable,4,FALSE)),0)+AHL25*(AnnualChurn*VLOOKUP(AGX49,ChurnSeasonTable,4,FALSE))*POWER(1-(AnnualChurn*VLOOKUP(AGX49,ChurnSeasonTable,4,FALSE)),1)+AHL13*(AnnualChurn*VLOOKUP(AGX49,ChurnSeasonTable,4,FALSE))*POWER(1-(AnnualChurn*VLOOKUP(AGX49,ChurnSeasonTable,4,FALSE)),2)</f>
        <v/>
      </c>
      <c r="AHQ49" s="12">
        <f>AHM49+AHN49+AHO49+AHP49</f>
        <v/>
      </c>
      <c r="AHR49" s="9">
        <f>AHM49*PriceEssMonthly*AHA49+AHN49*PricePremMonthly*AHA49+AHO49*PriceEssAnnual*AHA49/12+AHP49*PricePremAnnual*AHA49/12</f>
        <v/>
      </c>
      <c r="AHS49" s="9">
        <f>AHR49*12</f>
        <v/>
      </c>
      <c r="AHT49" s="12">
        <f>AHM49*PriceEssMonthly*AHA49+AHN49*PricePremMonthly*AHA49</f>
        <v/>
      </c>
      <c r="AHU49" s="12">
        <f>AHK49*PriceEssAnnual*AHA49+AHL49*PricePremAnnual*AHA49</f>
        <v/>
      </c>
      <c r="AHV49" s="12">
        <f>AHK37*POWER(1-(AnnualChurn*VLOOKUP(AGX49,ChurnSeasonTable,4,FALSE)),1)*PriceEssAnnual*AHA49+AHK25*POWER(1-(AnnualChurn*VLOOKUP(AGX49,ChurnSeasonTable,4,FALSE)),2)*PriceEssAnnual*AHA49+AHK13*POWER(1-(AnnualChurn*VLOOKUP(AGX49,ChurnSeasonTable,4,FALSE)),3)*PriceEssAnnual*AHA49+AHL37*POWER(1-(AnnualChurn*VLOOKUP(AGX49,ChurnSeasonTable,4,FALSE)),1)*PricePremAnnual*AHA49+AHL25*POWER(1-(AnnualChurn*VLOOKUP(AGX49,ChurnSeasonTable,4,FALSE)),2)*PricePremAnnual*AHA49+AHL13*POWER(1-(AnnualChurn*VLOOKUP(AGX49,ChurnSeasonTable,4,FALSE)),3)*PricePremAnnual*AHA49</f>
        <v/>
      </c>
      <c r="AHW49" s="9">
        <f>AHT49+AHU49+AHV49</f>
        <v/>
      </c>
      <c r="AHX49" s="12">
        <f>SUM(AHW38:AHW49)</f>
        <v/>
      </c>
      <c r="AHY49" s="12">
        <f>OR(AHY48,AHX49&gt;=VATThreshold)</f>
        <v/>
      </c>
      <c r="AHZ49" s="9">
        <f>IF(AHY49,AHW49/(1+VATRate),AHW49)</f>
        <v/>
      </c>
      <c r="AIA49" s="12">
        <f>AHW49-AHZ49</f>
        <v/>
      </c>
      <c r="AIB49" s="12">
        <f>IF(AHY49=0,0,IF(AGX49=1,SUMPRODUCT(--(($AGY$5:$AGY49=$AGY49-1)*($AGX$5:$AGX49&gt;=10)*($AGX$5:$AGX49&lt;=12)),$AIA$5:$AIA49),IF(AGX49=4,SUMPRODUCT(--(($AGY$5:$AGY49=$AGY49)*($AGX$5:$AGX49&gt;=1)*($AGX$5:$AGX49&lt;=3)),$AIA$5:$AIA49),IF(AGX49=7,SUMPRODUCT(--(($AGY$5:$AGY49=$AGY49)*($AGX$5:$AGX49&gt;=4)*($AGX$5:$AGX49&lt;=6)),$AIA$5:$AIA49),IF(AGX49=10,SUMPRODUCT(--(($AGY$5:$AGY49=$AGY49)*($AGX$5:$AGX49&gt;=7)*($AGX$5:$AGX49&lt;=9)),$AIA$5:$AIA49),0)))))</f>
        <v/>
      </c>
      <c r="AIC49" s="12">
        <f>AIC48+AIA49-AIB49</f>
        <v/>
      </c>
      <c r="AID49" s="12">
        <f>IF(ProviderDelay&gt;=1,AHZ48*ProviderShare,AHZ49*ProviderShare)</f>
        <v/>
      </c>
      <c r="AIE49" s="12">
        <f>AHW49*PaymentFee</f>
        <v/>
      </c>
      <c r="AIF49" s="12">
        <f>AHQ49*OpsAI</f>
        <v/>
      </c>
      <c r="AIG49" s="12">
        <f>MonthlyFixed</f>
        <v/>
      </c>
      <c r="AIH49" s="12">
        <f>AHE49*ReferralReward</f>
        <v/>
      </c>
      <c r="AII49" s="12">
        <f>AHC49</f>
        <v/>
      </c>
      <c r="AIJ49" s="9">
        <f>AHZ49-AID49-AIE49-AIF49-AIG49-AIH49-AII49</f>
        <v/>
      </c>
      <c r="AIK49" s="9">
        <f>AIK48+AHW49-(AID49+AIE49+AIF49+AIG49+AIH49+AII49+AIB49)</f>
        <v/>
      </c>
      <c r="AIL49" s="12">
        <f>IF(AHQ49&gt;0,AHR49/AHQ49,0)</f>
        <v/>
      </c>
      <c r="AIM49" s="11">
        <f>IF(AHQ48&gt;0,MAX(0,(AHQ48+AHF49-AHQ49)/AHQ48),0)</f>
        <v/>
      </c>
      <c r="AIO49" s="12" t="n">
        <v>45</v>
      </c>
      <c r="AIP49" s="12">
        <f>MOD(AIO49-1+LaunchMonth-1,12)+1</f>
        <v/>
      </c>
      <c r="AIQ49" s="12">
        <f>INT((AIO49-1+LaunchMonth-1)/12)+1</f>
        <v/>
      </c>
      <c r="AIR49" s="12">
        <f>VLOOKUP(AIP49,SeasonTable,2,FALSE)</f>
        <v/>
      </c>
      <c r="AIS49" s="12">
        <f>(1+InflationRate)^INT((AIO49-1)/12)</f>
        <v/>
      </c>
      <c r="AIT49" s="11">
        <f>MonthlyChurn*VLOOKUP(AIP49,ChurnSeasonTable,4,FALSE)</f>
        <v/>
      </c>
      <c r="AIU49" s="12">
        <f>MIN(MAX(MktMin19plus,AJO48*MktPct19plus),MAX(0,AKC48-CashBuffer))</f>
        <v/>
      </c>
      <c r="AIV49" s="12">
        <f>IF(AIU49&gt;0,MAX(1,ROUND(AIU49/'Sens - CAC &amp; Marketing'!$A$11*AIR49,0)),0)</f>
        <v/>
      </c>
      <c r="AIW49" s="12">
        <f>IF(AIV49&gt;0,ROUND(AIV49*ReferralMix/(1-ReferralMix),0),0)</f>
        <v/>
      </c>
      <c r="AIX49" s="12">
        <f>AIV49+AIW49</f>
        <v/>
      </c>
      <c r="AIY49" s="12">
        <f>ROUND(AIX49*(1-AnnualMix),0)</f>
        <v/>
      </c>
      <c r="AIZ49" s="12">
        <f>AIX49-AIY49</f>
        <v/>
      </c>
      <c r="AJA49" s="12">
        <f>ROUND(AIY49*EssentialMix,0)</f>
        <v/>
      </c>
      <c r="AJB49" s="12">
        <f>AIY49-AJA49</f>
        <v/>
      </c>
      <c r="AJC49" s="12">
        <f>ROUND(AIZ49*EssentialMix,0)</f>
        <v/>
      </c>
      <c r="AJD49" s="12">
        <f>AIZ49-AJC49</f>
        <v/>
      </c>
      <c r="AJE49" s="12">
        <f>AJA49+AJA48+AJA47+MAX(0,AJE48-AJA48-AJA47)*(1-AIT49)</f>
        <v/>
      </c>
      <c r="AJF49" s="12">
        <f>AJB49+AJB48+AJB47+MAX(0,AJF48-AJB48-AJB47)*(1-AIT49)</f>
        <v/>
      </c>
      <c r="AJG49" s="12">
        <f>AJG48+AJC49-AJC37*(AnnualChurn*VLOOKUP(AIP49,ChurnSeasonTable,4,FALSE))*POWER(1-(AnnualChurn*VLOOKUP(AIP49,ChurnSeasonTable,4,FALSE)),0)+AJC25*(AnnualChurn*VLOOKUP(AIP49,ChurnSeasonTable,4,FALSE))*POWER(1-(AnnualChurn*VLOOKUP(AIP49,ChurnSeasonTable,4,FALSE)),1)+AJC13*(AnnualChurn*VLOOKUP(AIP49,ChurnSeasonTable,4,FALSE))*POWER(1-(AnnualChurn*VLOOKUP(AIP49,ChurnSeasonTable,4,FALSE)),2)</f>
        <v/>
      </c>
      <c r="AJH49" s="12">
        <f>AJH48+AJD49-AJD37*(AnnualChurn*VLOOKUP(AIP49,ChurnSeasonTable,4,FALSE))*POWER(1-(AnnualChurn*VLOOKUP(AIP49,ChurnSeasonTable,4,FALSE)),0)+AJD25*(AnnualChurn*VLOOKUP(AIP49,ChurnSeasonTable,4,FALSE))*POWER(1-(AnnualChurn*VLOOKUP(AIP49,ChurnSeasonTable,4,FALSE)),1)+AJD13*(AnnualChurn*VLOOKUP(AIP49,ChurnSeasonTable,4,FALSE))*POWER(1-(AnnualChurn*VLOOKUP(AIP49,ChurnSeasonTable,4,FALSE)),2)</f>
        <v/>
      </c>
      <c r="AJI49" s="12">
        <f>AJE49+AJF49+AJG49+AJH49</f>
        <v/>
      </c>
      <c r="AJJ49" s="9">
        <f>AJE49*PriceEssMonthly*AIS49+AJF49*PricePremMonthly*AIS49+AJG49*PriceEssAnnual*AIS49/12+AJH49*PricePremAnnual*AIS49/12</f>
        <v/>
      </c>
      <c r="AJK49" s="9">
        <f>AJJ49*12</f>
        <v/>
      </c>
      <c r="AJL49" s="12">
        <f>AJE49*PriceEssMonthly*AIS49+AJF49*PricePremMonthly*AIS49</f>
        <v/>
      </c>
      <c r="AJM49" s="12">
        <f>AJC49*PriceEssAnnual*AIS49+AJD49*PricePremAnnual*AIS49</f>
        <v/>
      </c>
      <c r="AJN49" s="12">
        <f>AJC37*POWER(1-(AnnualChurn*VLOOKUP(AIP49,ChurnSeasonTable,4,FALSE)),1)*PriceEssAnnual*AIS49+AJC25*POWER(1-(AnnualChurn*VLOOKUP(AIP49,ChurnSeasonTable,4,FALSE)),2)*PriceEssAnnual*AIS49+AJC13*POWER(1-(AnnualChurn*VLOOKUP(AIP49,ChurnSeasonTable,4,FALSE)),3)*PriceEssAnnual*AIS49+AJD37*POWER(1-(AnnualChurn*VLOOKUP(AIP49,ChurnSeasonTable,4,FALSE)),1)*PricePremAnnual*AIS49+AJD25*POWER(1-(AnnualChurn*VLOOKUP(AIP49,ChurnSeasonTable,4,FALSE)),2)*PricePremAnnual*AIS49+AJD13*POWER(1-(AnnualChurn*VLOOKUP(AIP49,ChurnSeasonTable,4,FALSE)),3)*PricePremAnnual*AIS49</f>
        <v/>
      </c>
      <c r="AJO49" s="9">
        <f>AJL49+AJM49+AJN49</f>
        <v/>
      </c>
      <c r="AJP49" s="12">
        <f>SUM(AJO38:AJO49)</f>
        <v/>
      </c>
      <c r="AJQ49" s="12">
        <f>OR(AJQ48,AJP49&gt;=VATThreshold)</f>
        <v/>
      </c>
      <c r="AJR49" s="9">
        <f>IF(AJQ49,AJO49/(1+VATRate),AJO49)</f>
        <v/>
      </c>
      <c r="AJS49" s="12">
        <f>AJO49-AJR49</f>
        <v/>
      </c>
      <c r="AJT49" s="12">
        <f>IF(AJQ49=0,0,IF(AIP49=1,SUMPRODUCT(--(($AIQ$5:$AIQ49=$AIQ49-1)*($AIP$5:$AIP49&gt;=10)*($AIP$5:$AIP49&lt;=12)),$AJS$5:$AJS49),IF(AIP49=4,SUMPRODUCT(--(($AIQ$5:$AIQ49=$AIQ49)*($AIP$5:$AIP49&gt;=1)*($AIP$5:$AIP49&lt;=3)),$AJS$5:$AJS49),IF(AIP49=7,SUMPRODUCT(--(($AIQ$5:$AIQ49=$AIQ49)*($AIP$5:$AIP49&gt;=4)*($AIP$5:$AIP49&lt;=6)),$AJS$5:$AJS49),IF(AIP49=10,SUMPRODUCT(--(($AIQ$5:$AIQ49=$AIQ49)*($AIP$5:$AIP49&gt;=7)*($AIP$5:$AIP49&lt;=9)),$AJS$5:$AJS49),0)))))</f>
        <v/>
      </c>
      <c r="AJU49" s="12">
        <f>AJU48+AJS49-AJT49</f>
        <v/>
      </c>
      <c r="AJV49" s="12">
        <f>IF(ProviderDelay&gt;=1,AJR48*ProviderShare,AJR49*ProviderShare)</f>
        <v/>
      </c>
      <c r="AJW49" s="12">
        <f>AJO49*PaymentFee</f>
        <v/>
      </c>
      <c r="AJX49" s="12">
        <f>AJI49*OpsAI</f>
        <v/>
      </c>
      <c r="AJY49" s="12">
        <f>MonthlyFixed</f>
        <v/>
      </c>
      <c r="AJZ49" s="12">
        <f>AIW49*ReferralReward</f>
        <v/>
      </c>
      <c r="AKA49" s="12">
        <f>AIU49</f>
        <v/>
      </c>
      <c r="AKB49" s="9">
        <f>AJR49-AJV49-AJW49-AJX49-AJY49-AJZ49-AKA49</f>
        <v/>
      </c>
      <c r="AKC49" s="9">
        <f>AKC48+AJO49-(AJV49+AJW49+AJX49+AJY49+AJZ49+AKA49+AJT49)</f>
        <v/>
      </c>
      <c r="AKD49" s="12">
        <f>IF(AJI49&gt;0,AJJ49/AJI49,0)</f>
        <v/>
      </c>
      <c r="AKE49" s="11">
        <f>IF(AJI48&gt;0,MAX(0,(AJI48+AIX49-AJI49)/AJI48),0)</f>
        <v/>
      </c>
      <c r="AKG49" s="12" t="n">
        <v>45</v>
      </c>
      <c r="AKH49" s="12">
        <f>MOD(AKG49-1+LaunchMonth-1,12)+1</f>
        <v/>
      </c>
      <c r="AKI49" s="12">
        <f>INT((AKG49-1+LaunchMonth-1)/12)+1</f>
        <v/>
      </c>
      <c r="AKJ49" s="12">
        <f>VLOOKUP(AKH49,SeasonTable,2,FALSE)</f>
        <v/>
      </c>
      <c r="AKK49" s="12">
        <f>(1+InflationRate)^INT((AKG49-1)/12)</f>
        <v/>
      </c>
      <c r="AKL49" s="11">
        <f>MonthlyChurn*VLOOKUP(AKH49,ChurnSeasonTable,4,FALSE)</f>
        <v/>
      </c>
      <c r="AKM49" s="12">
        <f>MIN(MAX(MktMin19plus,ALG48*MktPct19plus),MAX(0,ALU48-CashBuffer))</f>
        <v/>
      </c>
      <c r="AKN49" s="12">
        <f>IF(AKM49&gt;0,MAX(1,ROUND(AKM49/'Sens - CAC &amp; Marketing'!$A$12*AKJ49,0)),0)</f>
        <v/>
      </c>
      <c r="AKO49" s="12">
        <f>IF(AKN49&gt;0,ROUND(AKN49*ReferralMix/(1-ReferralMix),0),0)</f>
        <v/>
      </c>
      <c r="AKP49" s="12">
        <f>AKN49+AKO49</f>
        <v/>
      </c>
      <c r="AKQ49" s="12">
        <f>ROUND(AKP49*(1-AnnualMix),0)</f>
        <v/>
      </c>
      <c r="AKR49" s="12">
        <f>AKP49-AKQ49</f>
        <v/>
      </c>
      <c r="AKS49" s="12">
        <f>ROUND(AKQ49*EssentialMix,0)</f>
        <v/>
      </c>
      <c r="AKT49" s="12">
        <f>AKQ49-AKS49</f>
        <v/>
      </c>
      <c r="AKU49" s="12">
        <f>ROUND(AKR49*EssentialMix,0)</f>
        <v/>
      </c>
      <c r="AKV49" s="12">
        <f>AKR49-AKU49</f>
        <v/>
      </c>
      <c r="AKW49" s="12">
        <f>AKS49+AKS48+AKS47+MAX(0,AKW48-AKS48-AKS47)*(1-AKL49)</f>
        <v/>
      </c>
      <c r="AKX49" s="12">
        <f>AKT49+AKT48+AKT47+MAX(0,AKX48-AKT48-AKT47)*(1-AKL49)</f>
        <v/>
      </c>
      <c r="AKY49" s="12">
        <f>AKY48+AKU49-AKU37*(AnnualChurn*VLOOKUP(AKH49,ChurnSeasonTable,4,FALSE))*POWER(1-(AnnualChurn*VLOOKUP(AKH49,ChurnSeasonTable,4,FALSE)),0)+AKU25*(AnnualChurn*VLOOKUP(AKH49,ChurnSeasonTable,4,FALSE))*POWER(1-(AnnualChurn*VLOOKUP(AKH49,ChurnSeasonTable,4,FALSE)),1)+AKU13*(AnnualChurn*VLOOKUP(AKH49,ChurnSeasonTable,4,FALSE))*POWER(1-(AnnualChurn*VLOOKUP(AKH49,ChurnSeasonTable,4,FALSE)),2)</f>
        <v/>
      </c>
      <c r="AKZ49" s="12">
        <f>AKZ48+AKV49-AKV37*(AnnualChurn*VLOOKUP(AKH49,ChurnSeasonTable,4,FALSE))*POWER(1-(AnnualChurn*VLOOKUP(AKH49,ChurnSeasonTable,4,FALSE)),0)+AKV25*(AnnualChurn*VLOOKUP(AKH49,ChurnSeasonTable,4,FALSE))*POWER(1-(AnnualChurn*VLOOKUP(AKH49,ChurnSeasonTable,4,FALSE)),1)+AKV13*(AnnualChurn*VLOOKUP(AKH49,ChurnSeasonTable,4,FALSE))*POWER(1-(AnnualChurn*VLOOKUP(AKH49,ChurnSeasonTable,4,FALSE)),2)</f>
        <v/>
      </c>
      <c r="ALA49" s="12">
        <f>AKW49+AKX49+AKY49+AKZ49</f>
        <v/>
      </c>
      <c r="ALB49" s="9">
        <f>AKW49*PriceEssMonthly*AKK49+AKX49*PricePremMonthly*AKK49+AKY49*PriceEssAnnual*AKK49/12+AKZ49*PricePremAnnual*AKK49/12</f>
        <v/>
      </c>
      <c r="ALC49" s="9">
        <f>ALB49*12</f>
        <v/>
      </c>
      <c r="ALD49" s="12">
        <f>AKW49*PriceEssMonthly*AKK49+AKX49*PricePremMonthly*AKK49</f>
        <v/>
      </c>
      <c r="ALE49" s="12">
        <f>AKU49*PriceEssAnnual*AKK49+AKV49*PricePremAnnual*AKK49</f>
        <v/>
      </c>
      <c r="ALF49" s="12">
        <f>AKU37*POWER(1-(AnnualChurn*VLOOKUP(AKH49,ChurnSeasonTable,4,FALSE)),1)*PriceEssAnnual*AKK49+AKU25*POWER(1-(AnnualChurn*VLOOKUP(AKH49,ChurnSeasonTable,4,FALSE)),2)*PriceEssAnnual*AKK49+AKU13*POWER(1-(AnnualChurn*VLOOKUP(AKH49,ChurnSeasonTable,4,FALSE)),3)*PriceEssAnnual*AKK49+AKV37*POWER(1-(AnnualChurn*VLOOKUP(AKH49,ChurnSeasonTable,4,FALSE)),1)*PricePremAnnual*AKK49+AKV25*POWER(1-(AnnualChurn*VLOOKUP(AKH49,ChurnSeasonTable,4,FALSE)),2)*PricePremAnnual*AKK49+AKV13*POWER(1-(AnnualChurn*VLOOKUP(AKH49,ChurnSeasonTable,4,FALSE)),3)*PricePremAnnual*AKK49</f>
        <v/>
      </c>
      <c r="ALG49" s="9">
        <f>ALD49+ALE49+ALF49</f>
        <v/>
      </c>
      <c r="ALH49" s="12">
        <f>SUM(ALG38:ALG49)</f>
        <v/>
      </c>
      <c r="ALI49" s="12">
        <f>OR(ALI48,ALH49&gt;=VATThreshold)</f>
        <v/>
      </c>
      <c r="ALJ49" s="9">
        <f>IF(ALI49,ALG49/(1+VATRate),ALG49)</f>
        <v/>
      </c>
      <c r="ALK49" s="12">
        <f>ALG49-ALJ49</f>
        <v/>
      </c>
      <c r="ALL49" s="12">
        <f>IF(ALI49=0,0,IF(AKH49=1,SUMPRODUCT(--(($AKI$5:$AKI49=$AKI49-1)*($AKH$5:$AKH49&gt;=10)*($AKH$5:$AKH49&lt;=12)),$ALK$5:$ALK49),IF(AKH49=4,SUMPRODUCT(--(($AKI$5:$AKI49=$AKI49)*($AKH$5:$AKH49&gt;=1)*($AKH$5:$AKH49&lt;=3)),$ALK$5:$ALK49),IF(AKH49=7,SUMPRODUCT(--(($AKI$5:$AKI49=$AKI49)*($AKH$5:$AKH49&gt;=4)*($AKH$5:$AKH49&lt;=6)),$ALK$5:$ALK49),IF(AKH49=10,SUMPRODUCT(--(($AKI$5:$AKI49=$AKI49)*($AKH$5:$AKH49&gt;=7)*($AKH$5:$AKH49&lt;=9)),$ALK$5:$ALK49),0)))))</f>
        <v/>
      </c>
      <c r="ALM49" s="12">
        <f>ALM48+ALK49-ALL49</f>
        <v/>
      </c>
      <c r="ALN49" s="12">
        <f>IF(ProviderDelay&gt;=1,ALJ48*ProviderShare,ALJ49*ProviderShare)</f>
        <v/>
      </c>
      <c r="ALO49" s="12">
        <f>ALG49*PaymentFee</f>
        <v/>
      </c>
      <c r="ALP49" s="12">
        <f>ALA49*OpsAI</f>
        <v/>
      </c>
      <c r="ALQ49" s="12">
        <f>MonthlyFixed</f>
        <v/>
      </c>
      <c r="ALR49" s="12">
        <f>AKO49*ReferralReward</f>
        <v/>
      </c>
      <c r="ALS49" s="12">
        <f>AKM49</f>
        <v/>
      </c>
      <c r="ALT49" s="9">
        <f>ALJ49-ALN49-ALO49-ALP49-ALQ49-ALR49-ALS49</f>
        <v/>
      </c>
      <c r="ALU49" s="9">
        <f>ALU48+ALG49-(ALN49+ALO49+ALP49+ALQ49+ALR49+ALS49+ALL49)</f>
        <v/>
      </c>
      <c r="ALV49" s="12">
        <f>IF(ALA49&gt;0,ALB49/ALA49,0)</f>
        <v/>
      </c>
      <c r="ALW49" s="11">
        <f>IF(ALA48&gt;0,MAX(0,(ALA48+AKP49-ALA49)/ALA48),0)</f>
        <v/>
      </c>
      <c r="ALY49" s="12" t="n">
        <v>45</v>
      </c>
      <c r="ALZ49" s="12">
        <f>MOD(ALY49-1+LaunchMonth-1,12)+1</f>
        <v/>
      </c>
      <c r="AMA49" s="12">
        <f>INT((ALY49-1+LaunchMonth-1)/12)+1</f>
        <v/>
      </c>
      <c r="AMB49" s="12">
        <f>VLOOKUP(ALZ49,SeasonTable,2,FALSE)</f>
        <v/>
      </c>
      <c r="AMC49" s="12">
        <f>(1+InflationRate)^INT((ALY49-1)/12)</f>
        <v/>
      </c>
      <c r="AMD49" s="11">
        <f>MonthlyChurn*VLOOKUP(ALZ49,ChurnSeasonTable,4,FALSE)</f>
        <v/>
      </c>
      <c r="AME49" s="12">
        <f>MIN(MAX(MktMin19plus,AMY48*MktPct19plus),MAX(0,ANM48-CashBuffer))</f>
        <v/>
      </c>
      <c r="AMF49" s="12">
        <f>IF(AME49&gt;0,MAX(1,ROUND(AME49/'Sens - CAC &amp; Marketing'!$A$13*AMB49,0)),0)</f>
        <v/>
      </c>
      <c r="AMG49" s="12">
        <f>IF(AMF49&gt;0,ROUND(AMF49*ReferralMix/(1-ReferralMix),0),0)</f>
        <v/>
      </c>
      <c r="AMH49" s="12">
        <f>AMF49+AMG49</f>
        <v/>
      </c>
      <c r="AMI49" s="12">
        <f>ROUND(AMH49*(1-AnnualMix),0)</f>
        <v/>
      </c>
      <c r="AMJ49" s="12">
        <f>AMH49-AMI49</f>
        <v/>
      </c>
      <c r="AMK49" s="12">
        <f>ROUND(AMI49*EssentialMix,0)</f>
        <v/>
      </c>
      <c r="AML49" s="12">
        <f>AMI49-AMK49</f>
        <v/>
      </c>
      <c r="AMM49" s="12">
        <f>ROUND(AMJ49*EssentialMix,0)</f>
        <v/>
      </c>
      <c r="AMN49" s="12">
        <f>AMJ49-AMM49</f>
        <v/>
      </c>
      <c r="AMO49" s="12">
        <f>AMK49+AMK48+AMK47+MAX(0,AMO48-AMK48-AMK47)*(1-AMD49)</f>
        <v/>
      </c>
      <c r="AMP49" s="12">
        <f>AML49+AML48+AML47+MAX(0,AMP48-AML48-AML47)*(1-AMD49)</f>
        <v/>
      </c>
      <c r="AMQ49" s="12">
        <f>AMQ48+AMM49-AMM37*(AnnualChurn*VLOOKUP(ALZ49,ChurnSeasonTable,4,FALSE))*POWER(1-(AnnualChurn*VLOOKUP(ALZ49,ChurnSeasonTable,4,FALSE)),0)+AMM25*(AnnualChurn*VLOOKUP(ALZ49,ChurnSeasonTable,4,FALSE))*POWER(1-(AnnualChurn*VLOOKUP(ALZ49,ChurnSeasonTable,4,FALSE)),1)+AMM13*(AnnualChurn*VLOOKUP(ALZ49,ChurnSeasonTable,4,FALSE))*POWER(1-(AnnualChurn*VLOOKUP(ALZ49,ChurnSeasonTable,4,FALSE)),2)</f>
        <v/>
      </c>
      <c r="AMR49" s="12">
        <f>AMR48+AMN49-AMN37*(AnnualChurn*VLOOKUP(ALZ49,ChurnSeasonTable,4,FALSE))*POWER(1-(AnnualChurn*VLOOKUP(ALZ49,ChurnSeasonTable,4,FALSE)),0)+AMN25*(AnnualChurn*VLOOKUP(ALZ49,ChurnSeasonTable,4,FALSE))*POWER(1-(AnnualChurn*VLOOKUP(ALZ49,ChurnSeasonTable,4,FALSE)),1)+AMN13*(AnnualChurn*VLOOKUP(ALZ49,ChurnSeasonTable,4,FALSE))*POWER(1-(AnnualChurn*VLOOKUP(ALZ49,ChurnSeasonTable,4,FALSE)),2)</f>
        <v/>
      </c>
      <c r="AMS49" s="12">
        <f>AMO49+AMP49+AMQ49+AMR49</f>
        <v/>
      </c>
      <c r="AMT49" s="9">
        <f>AMO49*PriceEssMonthly*AMC49+AMP49*PricePremMonthly*AMC49+AMQ49*PriceEssAnnual*AMC49/12+AMR49*PricePremAnnual*AMC49/12</f>
        <v/>
      </c>
      <c r="AMU49" s="9">
        <f>AMT49*12</f>
        <v/>
      </c>
      <c r="AMV49" s="12">
        <f>AMO49*PriceEssMonthly*AMC49+AMP49*PricePremMonthly*AMC49</f>
        <v/>
      </c>
      <c r="AMW49" s="12">
        <f>AMM49*PriceEssAnnual*AMC49+AMN49*PricePremAnnual*AMC49</f>
        <v/>
      </c>
      <c r="AMX49" s="12">
        <f>AMM37*POWER(1-(AnnualChurn*VLOOKUP(ALZ49,ChurnSeasonTable,4,FALSE)),1)*PriceEssAnnual*AMC49+AMM25*POWER(1-(AnnualChurn*VLOOKUP(ALZ49,ChurnSeasonTable,4,FALSE)),2)*PriceEssAnnual*AMC49+AMM13*POWER(1-(AnnualChurn*VLOOKUP(ALZ49,ChurnSeasonTable,4,FALSE)),3)*PriceEssAnnual*AMC49+AMN37*POWER(1-(AnnualChurn*VLOOKUP(ALZ49,ChurnSeasonTable,4,FALSE)),1)*PricePremAnnual*AMC49+AMN25*POWER(1-(AnnualChurn*VLOOKUP(ALZ49,ChurnSeasonTable,4,FALSE)),2)*PricePremAnnual*AMC49+AMN13*POWER(1-(AnnualChurn*VLOOKUP(ALZ49,ChurnSeasonTable,4,FALSE)),3)*PricePremAnnual*AMC49</f>
        <v/>
      </c>
      <c r="AMY49" s="9">
        <f>AMV49+AMW49+AMX49</f>
        <v/>
      </c>
      <c r="AMZ49" s="12">
        <f>SUM(AMY38:AMY49)</f>
        <v/>
      </c>
      <c r="ANA49" s="12">
        <f>OR(ANA48,AMZ49&gt;=VATThreshold)</f>
        <v/>
      </c>
      <c r="ANB49" s="9">
        <f>IF(ANA49,AMY49/(1+VATRate),AMY49)</f>
        <v/>
      </c>
      <c r="ANC49" s="12">
        <f>AMY49-ANB49</f>
        <v/>
      </c>
      <c r="AND49" s="12">
        <f>IF(ANA49=0,0,IF(ALZ49=1,SUMPRODUCT(--(($AMA$5:$AMA49=$AMA49-1)*($ALZ$5:$ALZ49&gt;=10)*($ALZ$5:$ALZ49&lt;=12)),$ANC$5:$ANC49),IF(ALZ49=4,SUMPRODUCT(--(($AMA$5:$AMA49=$AMA49)*($ALZ$5:$ALZ49&gt;=1)*($ALZ$5:$ALZ49&lt;=3)),$ANC$5:$ANC49),IF(ALZ49=7,SUMPRODUCT(--(($AMA$5:$AMA49=$AMA49)*($ALZ$5:$ALZ49&gt;=4)*($ALZ$5:$ALZ49&lt;=6)),$ANC$5:$ANC49),IF(ALZ49=10,SUMPRODUCT(--(($AMA$5:$AMA49=$AMA49)*($ALZ$5:$ALZ49&gt;=7)*($ALZ$5:$ALZ49&lt;=9)),$ANC$5:$ANC49),0)))))</f>
        <v/>
      </c>
      <c r="ANE49" s="12">
        <f>ANE48+ANC49-AND49</f>
        <v/>
      </c>
      <c r="ANF49" s="12">
        <f>IF(ProviderDelay&gt;=1,ANB48*ProviderShare,ANB49*ProviderShare)</f>
        <v/>
      </c>
      <c r="ANG49" s="12">
        <f>AMY49*PaymentFee</f>
        <v/>
      </c>
      <c r="ANH49" s="12">
        <f>AMS49*OpsAI</f>
        <v/>
      </c>
      <c r="ANI49" s="12">
        <f>MonthlyFixed</f>
        <v/>
      </c>
      <c r="ANJ49" s="12">
        <f>AMG49*ReferralReward</f>
        <v/>
      </c>
      <c r="ANK49" s="12">
        <f>AME49</f>
        <v/>
      </c>
      <c r="ANL49" s="9">
        <f>ANB49-ANF49-ANG49-ANH49-ANI49-ANJ49-ANK49</f>
        <v/>
      </c>
      <c r="ANM49" s="9">
        <f>ANM48+AMY49-(ANF49+ANG49+ANH49+ANI49+ANJ49+ANK49+AND49)</f>
        <v/>
      </c>
      <c r="ANN49" s="12">
        <f>IF(AMS49&gt;0,AMT49/AMS49,0)</f>
        <v/>
      </c>
      <c r="ANO49" s="11">
        <f>IF(AMS48&gt;0,MAX(0,(AMS48+AMH49-AMS49)/AMS48),0)</f>
        <v/>
      </c>
      <c r="ANQ49" s="12" t="n">
        <v>45</v>
      </c>
      <c r="ANR49" s="12">
        <f>MOD(ANQ49-1+LaunchMonth-1,12)+1</f>
        <v/>
      </c>
      <c r="ANS49" s="12">
        <f>INT((ANQ49-1+LaunchMonth-1)/12)+1</f>
        <v/>
      </c>
      <c r="ANT49" s="12">
        <f>VLOOKUP(ANR49,SeasonTable,2,FALSE)</f>
        <v/>
      </c>
      <c r="ANU49" s="12">
        <f>(1+InflationRate)^INT((ANQ49-1)/12)</f>
        <v/>
      </c>
      <c r="ANV49" s="11">
        <f>MonthlyChurn*VLOOKUP(ANR49,ChurnSeasonTable,4,FALSE)</f>
        <v/>
      </c>
      <c r="ANW49" s="12">
        <f>MIN(MAX(MktMin19plus,AOQ48*MktPct19plus),MAX(0,APE48-CashBuffer))</f>
        <v/>
      </c>
      <c r="ANX49" s="12">
        <f>IF(ANW49&gt;0,MAX(1,ROUND(ANW49/'Sens - CAC &amp; Marketing'!$A$14*ANT49,0)),0)</f>
        <v/>
      </c>
      <c r="ANY49" s="12">
        <f>IF(ANX49&gt;0,ROUND(ANX49*ReferralMix/(1-ReferralMix),0),0)</f>
        <v/>
      </c>
      <c r="ANZ49" s="12">
        <f>ANX49+ANY49</f>
        <v/>
      </c>
      <c r="AOA49" s="12">
        <f>ROUND(ANZ49*(1-AnnualMix),0)</f>
        <v/>
      </c>
      <c r="AOB49" s="12">
        <f>ANZ49-AOA49</f>
        <v/>
      </c>
      <c r="AOC49" s="12">
        <f>ROUND(AOA49*EssentialMix,0)</f>
        <v/>
      </c>
      <c r="AOD49" s="12">
        <f>AOA49-AOC49</f>
        <v/>
      </c>
      <c r="AOE49" s="12">
        <f>ROUND(AOB49*EssentialMix,0)</f>
        <v/>
      </c>
      <c r="AOF49" s="12">
        <f>AOB49-AOE49</f>
        <v/>
      </c>
      <c r="AOG49" s="12">
        <f>AOC49+AOC48+AOC47+MAX(0,AOG48-AOC48-AOC47)*(1-ANV49)</f>
        <v/>
      </c>
      <c r="AOH49" s="12">
        <f>AOD49+AOD48+AOD47+MAX(0,AOH48-AOD48-AOD47)*(1-ANV49)</f>
        <v/>
      </c>
      <c r="AOI49" s="12">
        <f>AOI48+AOE49-AOE37*(AnnualChurn*VLOOKUP(ANR49,ChurnSeasonTable,4,FALSE))*POWER(1-(AnnualChurn*VLOOKUP(ANR49,ChurnSeasonTable,4,FALSE)),0)+AOE25*(AnnualChurn*VLOOKUP(ANR49,ChurnSeasonTable,4,FALSE))*POWER(1-(AnnualChurn*VLOOKUP(ANR49,ChurnSeasonTable,4,FALSE)),1)+AOE13*(AnnualChurn*VLOOKUP(ANR49,ChurnSeasonTable,4,FALSE))*POWER(1-(AnnualChurn*VLOOKUP(ANR49,ChurnSeasonTable,4,FALSE)),2)</f>
        <v/>
      </c>
      <c r="AOJ49" s="12">
        <f>AOJ48+AOF49-AOF37*(AnnualChurn*VLOOKUP(ANR49,ChurnSeasonTable,4,FALSE))*POWER(1-(AnnualChurn*VLOOKUP(ANR49,ChurnSeasonTable,4,FALSE)),0)+AOF25*(AnnualChurn*VLOOKUP(ANR49,ChurnSeasonTable,4,FALSE))*POWER(1-(AnnualChurn*VLOOKUP(ANR49,ChurnSeasonTable,4,FALSE)),1)+AOF13*(AnnualChurn*VLOOKUP(ANR49,ChurnSeasonTable,4,FALSE))*POWER(1-(AnnualChurn*VLOOKUP(ANR49,ChurnSeasonTable,4,FALSE)),2)</f>
        <v/>
      </c>
      <c r="AOK49" s="12">
        <f>AOG49+AOH49+AOI49+AOJ49</f>
        <v/>
      </c>
      <c r="AOL49" s="9">
        <f>AOG49*PriceEssMonthly*ANU49+AOH49*PricePremMonthly*ANU49+AOI49*PriceEssAnnual*ANU49/12+AOJ49*PricePremAnnual*ANU49/12</f>
        <v/>
      </c>
      <c r="AOM49" s="9">
        <f>AOL49*12</f>
        <v/>
      </c>
      <c r="AON49" s="12">
        <f>AOG49*PriceEssMonthly*ANU49+AOH49*PricePremMonthly*ANU49</f>
        <v/>
      </c>
      <c r="AOO49" s="12">
        <f>AOE49*PriceEssAnnual*ANU49+AOF49*PricePremAnnual*ANU49</f>
        <v/>
      </c>
      <c r="AOP49" s="12">
        <f>AOE37*POWER(1-(AnnualChurn*VLOOKUP(ANR49,ChurnSeasonTable,4,FALSE)),1)*PriceEssAnnual*ANU49+AOE25*POWER(1-(AnnualChurn*VLOOKUP(ANR49,ChurnSeasonTable,4,FALSE)),2)*PriceEssAnnual*ANU49+AOE13*POWER(1-(AnnualChurn*VLOOKUP(ANR49,ChurnSeasonTable,4,FALSE)),3)*PriceEssAnnual*ANU49+AOF37*POWER(1-(AnnualChurn*VLOOKUP(ANR49,ChurnSeasonTable,4,FALSE)),1)*PricePremAnnual*ANU49+AOF25*POWER(1-(AnnualChurn*VLOOKUP(ANR49,ChurnSeasonTable,4,FALSE)),2)*PricePremAnnual*ANU49+AOF13*POWER(1-(AnnualChurn*VLOOKUP(ANR49,ChurnSeasonTable,4,FALSE)),3)*PricePremAnnual*ANU49</f>
        <v/>
      </c>
      <c r="AOQ49" s="9">
        <f>AON49+AOO49+AOP49</f>
        <v/>
      </c>
      <c r="AOR49" s="12">
        <f>SUM(AOQ38:AOQ49)</f>
        <v/>
      </c>
      <c r="AOS49" s="12">
        <f>OR(AOS48,AOR49&gt;=VATThreshold)</f>
        <v/>
      </c>
      <c r="AOT49" s="9">
        <f>IF(AOS49,AOQ49/(1+VATRate),AOQ49)</f>
        <v/>
      </c>
      <c r="AOU49" s="12">
        <f>AOQ49-AOT49</f>
        <v/>
      </c>
      <c r="AOV49" s="12">
        <f>IF(AOS49=0,0,IF(ANR49=1,SUMPRODUCT(--(($ANS$5:$ANS49=$ANS49-1)*($ANR$5:$ANR49&gt;=10)*($ANR$5:$ANR49&lt;=12)),$AOU$5:$AOU49),IF(ANR49=4,SUMPRODUCT(--(($ANS$5:$ANS49=$ANS49)*($ANR$5:$ANR49&gt;=1)*($ANR$5:$ANR49&lt;=3)),$AOU$5:$AOU49),IF(ANR49=7,SUMPRODUCT(--(($ANS$5:$ANS49=$ANS49)*($ANR$5:$ANR49&gt;=4)*($ANR$5:$ANR49&lt;=6)),$AOU$5:$AOU49),IF(ANR49=10,SUMPRODUCT(--(($ANS$5:$ANS49=$ANS49)*($ANR$5:$ANR49&gt;=7)*($ANR$5:$ANR49&lt;=9)),$AOU$5:$AOU49),0)))))</f>
        <v/>
      </c>
      <c r="AOW49" s="12">
        <f>AOW48+AOU49-AOV49</f>
        <v/>
      </c>
      <c r="AOX49" s="12">
        <f>IF(ProviderDelay&gt;=1,AOT48*ProviderShare,AOT49*ProviderShare)</f>
        <v/>
      </c>
      <c r="AOY49" s="12">
        <f>AOQ49*PaymentFee</f>
        <v/>
      </c>
      <c r="AOZ49" s="12">
        <f>AOK49*OpsAI</f>
        <v/>
      </c>
      <c r="APA49" s="12">
        <f>MonthlyFixed</f>
        <v/>
      </c>
      <c r="APB49" s="12">
        <f>ANY49*ReferralReward</f>
        <v/>
      </c>
      <c r="APC49" s="12">
        <f>ANW49</f>
        <v/>
      </c>
      <c r="APD49" s="9">
        <f>AOT49-AOX49-AOY49-AOZ49-APA49-APB49-APC49</f>
        <v/>
      </c>
      <c r="APE49" s="9">
        <f>APE48+AOQ49-(AOX49+AOY49+AOZ49+APA49+APB49+APC49+AOV49)</f>
        <v/>
      </c>
      <c r="APF49" s="12">
        <f>IF(AOK49&gt;0,AOL49/AOK49,0)</f>
        <v/>
      </c>
      <c r="APG49" s="11">
        <f>IF(AOK48&gt;0,MAX(0,(AOK48+ANZ49-AOK49)/AOK48),0)</f>
        <v/>
      </c>
      <c r="API49" s="12" t="n">
        <v>45</v>
      </c>
      <c r="APJ49" s="12">
        <f>MOD(API49-1+LaunchMonth-1,12)+1</f>
        <v/>
      </c>
      <c r="APK49" s="12">
        <f>INT((API49-1+LaunchMonth-1)/12)+1</f>
        <v/>
      </c>
      <c r="APL49" s="12">
        <f>VLOOKUP(APJ49,SeasonTable,2,FALSE)</f>
        <v/>
      </c>
      <c r="APM49" s="12">
        <f>(1+InflationRate)^INT((API49-1)/12)</f>
        <v/>
      </c>
      <c r="APN49" s="11">
        <f>MonthlyChurn*VLOOKUP(APJ49,ChurnSeasonTable,4,FALSE)</f>
        <v/>
      </c>
      <c r="APO49" s="12">
        <f>MIN(MAX(MktMin19plus,AQI48*MktPct19plus),MAX(0,AQW48-CashBuffer))</f>
        <v/>
      </c>
      <c r="APP49" s="12">
        <f>IF(APO49&gt;0,MAX(1,ROUND(APO49/'Sens - CAC &amp; Marketing'!$A$15*APL49,0)),0)</f>
        <v/>
      </c>
      <c r="APQ49" s="12">
        <f>IF(APP49&gt;0,ROUND(APP49*ReferralMix/(1-ReferralMix),0),0)</f>
        <v/>
      </c>
      <c r="APR49" s="12">
        <f>APP49+APQ49</f>
        <v/>
      </c>
      <c r="APS49" s="12">
        <f>ROUND(APR49*(1-AnnualMix),0)</f>
        <v/>
      </c>
      <c r="APT49" s="12">
        <f>APR49-APS49</f>
        <v/>
      </c>
      <c r="APU49" s="12">
        <f>ROUND(APS49*EssentialMix,0)</f>
        <v/>
      </c>
      <c r="APV49" s="12">
        <f>APS49-APU49</f>
        <v/>
      </c>
      <c r="APW49" s="12">
        <f>ROUND(APT49*EssentialMix,0)</f>
        <v/>
      </c>
      <c r="APX49" s="12">
        <f>APT49-APW49</f>
        <v/>
      </c>
      <c r="APY49" s="12">
        <f>APU49+APU48+APU47+MAX(0,APY48-APU48-APU47)*(1-APN49)</f>
        <v/>
      </c>
      <c r="APZ49" s="12">
        <f>APV49+APV48+APV47+MAX(0,APZ48-APV48-APV47)*(1-APN49)</f>
        <v/>
      </c>
      <c r="AQA49" s="12">
        <f>AQA48+APW49-APW37*(AnnualChurn*VLOOKUP(APJ49,ChurnSeasonTable,4,FALSE))*POWER(1-(AnnualChurn*VLOOKUP(APJ49,ChurnSeasonTable,4,FALSE)),0)+APW25*(AnnualChurn*VLOOKUP(APJ49,ChurnSeasonTable,4,FALSE))*POWER(1-(AnnualChurn*VLOOKUP(APJ49,ChurnSeasonTable,4,FALSE)),1)+APW13*(AnnualChurn*VLOOKUP(APJ49,ChurnSeasonTable,4,FALSE))*POWER(1-(AnnualChurn*VLOOKUP(APJ49,ChurnSeasonTable,4,FALSE)),2)</f>
        <v/>
      </c>
      <c r="AQB49" s="12">
        <f>AQB48+APX49-APX37*(AnnualChurn*VLOOKUP(APJ49,ChurnSeasonTable,4,FALSE))*POWER(1-(AnnualChurn*VLOOKUP(APJ49,ChurnSeasonTable,4,FALSE)),0)+APX25*(AnnualChurn*VLOOKUP(APJ49,ChurnSeasonTable,4,FALSE))*POWER(1-(AnnualChurn*VLOOKUP(APJ49,ChurnSeasonTable,4,FALSE)),1)+APX13*(AnnualChurn*VLOOKUP(APJ49,ChurnSeasonTable,4,FALSE))*POWER(1-(AnnualChurn*VLOOKUP(APJ49,ChurnSeasonTable,4,FALSE)),2)</f>
        <v/>
      </c>
      <c r="AQC49" s="12">
        <f>APY49+APZ49+AQA49+AQB49</f>
        <v/>
      </c>
      <c r="AQD49" s="9">
        <f>APY49*PriceEssMonthly*APM49+APZ49*PricePremMonthly*APM49+AQA49*PriceEssAnnual*APM49/12+AQB49*PricePremAnnual*APM49/12</f>
        <v/>
      </c>
      <c r="AQE49" s="9">
        <f>AQD49*12</f>
        <v/>
      </c>
      <c r="AQF49" s="12">
        <f>APY49*PriceEssMonthly*APM49+APZ49*PricePremMonthly*APM49</f>
        <v/>
      </c>
      <c r="AQG49" s="12">
        <f>APW49*PriceEssAnnual*APM49+APX49*PricePremAnnual*APM49</f>
        <v/>
      </c>
      <c r="AQH49" s="12">
        <f>APW37*POWER(1-(AnnualChurn*VLOOKUP(APJ49,ChurnSeasonTable,4,FALSE)),1)*PriceEssAnnual*APM49+APW25*POWER(1-(AnnualChurn*VLOOKUP(APJ49,ChurnSeasonTable,4,FALSE)),2)*PriceEssAnnual*APM49+APW13*POWER(1-(AnnualChurn*VLOOKUP(APJ49,ChurnSeasonTable,4,FALSE)),3)*PriceEssAnnual*APM49+APX37*POWER(1-(AnnualChurn*VLOOKUP(APJ49,ChurnSeasonTable,4,FALSE)),1)*PricePremAnnual*APM49+APX25*POWER(1-(AnnualChurn*VLOOKUP(APJ49,ChurnSeasonTable,4,FALSE)),2)*PricePremAnnual*APM49+APX13*POWER(1-(AnnualChurn*VLOOKUP(APJ49,ChurnSeasonTable,4,FALSE)),3)*PricePremAnnual*APM49</f>
        <v/>
      </c>
      <c r="AQI49" s="9">
        <f>AQF49+AQG49+AQH49</f>
        <v/>
      </c>
      <c r="AQJ49" s="12">
        <f>SUM(AQI38:AQI49)</f>
        <v/>
      </c>
      <c r="AQK49" s="12">
        <f>OR(AQK48,AQJ49&gt;=VATThreshold)</f>
        <v/>
      </c>
      <c r="AQL49" s="9">
        <f>IF(AQK49,AQI49/(1+VATRate),AQI49)</f>
        <v/>
      </c>
      <c r="AQM49" s="12">
        <f>AQI49-AQL49</f>
        <v/>
      </c>
      <c r="AQN49" s="12">
        <f>IF(AQK49=0,0,IF(APJ49=1,SUMPRODUCT(--(($APK$5:$APK49=$APK49-1)*($APJ$5:$APJ49&gt;=10)*($APJ$5:$APJ49&lt;=12)),$AQM$5:$AQM49),IF(APJ49=4,SUMPRODUCT(--(($APK$5:$APK49=$APK49)*($APJ$5:$APJ49&gt;=1)*($APJ$5:$APJ49&lt;=3)),$AQM$5:$AQM49),IF(APJ49=7,SUMPRODUCT(--(($APK$5:$APK49=$APK49)*($APJ$5:$APJ49&gt;=4)*($APJ$5:$APJ49&lt;=6)),$AQM$5:$AQM49),IF(APJ49=10,SUMPRODUCT(--(($APK$5:$APK49=$APK49)*($APJ$5:$APJ49&gt;=7)*($APJ$5:$APJ49&lt;=9)),$AQM$5:$AQM49),0)))))</f>
        <v/>
      </c>
      <c r="AQO49" s="12">
        <f>AQO48+AQM49-AQN49</f>
        <v/>
      </c>
      <c r="AQP49" s="12">
        <f>IF(ProviderDelay&gt;=1,AQL48*ProviderShare,AQL49*ProviderShare)</f>
        <v/>
      </c>
      <c r="AQQ49" s="12">
        <f>AQI49*PaymentFee</f>
        <v/>
      </c>
      <c r="AQR49" s="12">
        <f>AQC49*OpsAI</f>
        <v/>
      </c>
      <c r="AQS49" s="12">
        <f>MonthlyFixed</f>
        <v/>
      </c>
      <c r="AQT49" s="12">
        <f>APQ49*ReferralReward</f>
        <v/>
      </c>
      <c r="AQU49" s="12">
        <f>APO49</f>
        <v/>
      </c>
      <c r="AQV49" s="9">
        <f>AQL49-AQP49-AQQ49-AQR49-AQS49-AQT49-AQU49</f>
        <v/>
      </c>
      <c r="AQW49" s="9">
        <f>AQW48+AQI49-(AQP49+AQQ49+AQR49+AQS49+AQT49+AQU49+AQN49)</f>
        <v/>
      </c>
      <c r="AQX49" s="12">
        <f>IF(AQC49&gt;0,AQD49/AQC49,0)</f>
        <v/>
      </c>
      <c r="AQY49" s="11">
        <f>IF(AQC48&gt;0,MAX(0,(AQC48+APR49-AQC49)/AQC48),0)</f>
        <v/>
      </c>
      <c r="ARA49" s="12" t="n">
        <v>45</v>
      </c>
      <c r="ARB49" s="12">
        <f>MOD(ARA49-1+LaunchMonth-1,12)+1</f>
        <v/>
      </c>
      <c r="ARC49" s="12">
        <f>INT((ARA49-1+LaunchMonth-1)/12)+1</f>
        <v/>
      </c>
      <c r="ARD49" s="12">
        <f>VLOOKUP(ARB49,WinterPivotSeasonTable,5,FALSE)</f>
        <v/>
      </c>
      <c r="ARE49" s="12">
        <f>(1+InflationRate)^INT((ARA49-1)/12)</f>
        <v/>
      </c>
      <c r="ARF49" s="11">
        <f>MonthlyChurn*VLOOKUP(ARB49,WinterPivotChurnTable,6,FALSE)</f>
        <v/>
      </c>
      <c r="ARG49" s="12">
        <f>MIN(MAX(MktMin19plus,ASA48*MktPct19plus),MAX(0,ASO48-CashBuffer))</f>
        <v/>
      </c>
      <c r="ARH49" s="12">
        <f>IF(ARG49&gt;0,MAX(1,ROUND(ARG49/CAC*ARD49,0)),0)</f>
        <v/>
      </c>
      <c r="ARI49" s="12">
        <f>IF(ARH49&gt;0,ROUND(ARH49*ReferralMix/(1-ReferralMix),0),0)</f>
        <v/>
      </c>
      <c r="ARJ49" s="12">
        <f>ARH49+ARI49</f>
        <v/>
      </c>
      <c r="ARK49" s="12">
        <f>ROUND(ARJ49*(1-AnnualMix),0)</f>
        <v/>
      </c>
      <c r="ARL49" s="12">
        <f>ARJ49-ARK49</f>
        <v/>
      </c>
      <c r="ARM49" s="12">
        <f>ROUND(ARK49*'Sens - Winter Pivot'!$B$6,0)</f>
        <v/>
      </c>
      <c r="ARN49" s="12">
        <f>ARK49-ARM49</f>
        <v/>
      </c>
      <c r="ARO49" s="12">
        <f>ROUND(ARL49*'Sens - Winter Pivot'!$B$6,0)</f>
        <v/>
      </c>
      <c r="ARP49" s="12">
        <f>ARL49-ARO49</f>
        <v/>
      </c>
      <c r="ARQ49" s="12">
        <f>ARM49+ARM48+ARM47+MAX(0,ARQ48-ARM48-ARM47)*(1-ARF49)</f>
        <v/>
      </c>
      <c r="ARR49" s="12">
        <f>ARN49+ARN48+ARN47+MAX(0,ARR48-ARN48-ARN47)*(1-ARF49)</f>
        <v/>
      </c>
      <c r="ARS49" s="12">
        <f>ARS48+ARO49-ARO37*(AnnualChurn*VLOOKUP(ARB49,WinterPivotChurnTable,6,FALSE))*POWER(1-(AnnualChurn*VLOOKUP(ARB49,WinterPivotChurnTable,6,FALSE)),0)+ARO25*(AnnualChurn*VLOOKUP(ARB49,WinterPivotChurnTable,6,FALSE))*POWER(1-(AnnualChurn*VLOOKUP(ARB49,WinterPivotChurnTable,6,FALSE)),1)+ARO13*(AnnualChurn*VLOOKUP(ARB49,WinterPivotChurnTable,6,FALSE))*POWER(1-(AnnualChurn*VLOOKUP(ARB49,WinterPivotChurnTable,6,FALSE)),2)</f>
        <v/>
      </c>
      <c r="ART49" s="12">
        <f>ART48+ARP49-ARP37*(AnnualChurn*VLOOKUP(ARB49,WinterPivotChurnTable,6,FALSE))*POWER(1-(AnnualChurn*VLOOKUP(ARB49,WinterPivotChurnTable,6,FALSE)),0)+ARP25*(AnnualChurn*VLOOKUP(ARB49,WinterPivotChurnTable,6,FALSE))*POWER(1-(AnnualChurn*VLOOKUP(ARB49,WinterPivotChurnTable,6,FALSE)),1)+ARP13*(AnnualChurn*VLOOKUP(ARB49,WinterPivotChurnTable,6,FALSE))*POWER(1-(AnnualChurn*VLOOKUP(ARB49,WinterPivotChurnTable,6,FALSE)),2)</f>
        <v/>
      </c>
      <c r="ARU49" s="12">
        <f>ARQ49+ARR49+ARS49+ART49</f>
        <v/>
      </c>
      <c r="ARV49" s="9">
        <f>ARQ49*PriceEssMonthly*ARE49+ARR49*(PricePremMonthly+'Sens - Winter Pivot'!$B$7)*ARE49+ARS49*PriceEssAnnual*ARE49/12+ART49*(PricePremAnnual+'Sens - Winter Pivot'!$B$7*12)*ARE49/12</f>
        <v/>
      </c>
      <c r="ARW49" s="9">
        <f>ARV49*12</f>
        <v/>
      </c>
      <c r="ARX49" s="12">
        <f>ARQ49*PriceEssMonthly*ARE49+ARR49*(PricePremMonthly+'Sens - Winter Pivot'!$B$7)*ARE49</f>
        <v/>
      </c>
      <c r="ARY49" s="12">
        <f>ARO49*PriceEssAnnual*ARE49+ARP49*(PricePremAnnual+'Sens - Winter Pivot'!$B$7*12)*ARE49</f>
        <v/>
      </c>
      <c r="ARZ49" s="12">
        <f>ARO37*POWER(1-(AnnualChurn*VLOOKUP(ARB49,WinterPivotChurnTable,6,FALSE)),1)*PriceEssAnnual*ARE49+ARO25*POWER(1-(AnnualChurn*VLOOKUP(ARB49,WinterPivotChurnTable,6,FALSE)),2)*PriceEssAnnual*ARE49+ARO13*POWER(1-(AnnualChurn*VLOOKUP(ARB49,WinterPivotChurnTable,6,FALSE)),3)*PriceEssAnnual*ARE49+ARP37*POWER(1-(AnnualChurn*VLOOKUP(ARB49,WinterPivotChurnTable,6,FALSE)),1)*PricePremAnnual*ARE49+ARP25*POWER(1-(AnnualChurn*VLOOKUP(ARB49,WinterPivotChurnTable,6,FALSE)),2)*PricePremAnnual*ARE49+ARP13*POWER(1-(AnnualChurn*VLOOKUP(ARB49,WinterPivotChurnTable,6,FALSE)),3)*PricePremAnnual*ARE49</f>
        <v/>
      </c>
      <c r="ASA49" s="9">
        <f>ARX49+ARY49+ARZ49</f>
        <v/>
      </c>
      <c r="ASB49" s="12">
        <f>SUM(ASA38:ASA49)</f>
        <v/>
      </c>
      <c r="ASC49" s="12">
        <f>OR(ASC48,ASB49&gt;=VATThreshold)</f>
        <v/>
      </c>
      <c r="ASD49" s="9">
        <f>IF(ASC49,ASA49/(1+VATRate),ASA49)</f>
        <v/>
      </c>
      <c r="ASE49" s="12">
        <f>ASA49-ASD49</f>
        <v/>
      </c>
      <c r="ASF49" s="12">
        <f>IF(ASC49=0,0,IF(ARB49=1,SUMPRODUCT(--(($ARC$5:$ARC49=$ARC49-1)*($ARB$5:$ARB49&gt;=10)*($ARB$5:$ARB49&lt;=12)),$ASE$5:$ASE49),IF(ARB49=4,SUMPRODUCT(--(($ARC$5:$ARC49=$ARC49)*($ARB$5:$ARB49&gt;=1)*($ARB$5:$ARB49&lt;=3)),$ASE$5:$ASE49),IF(ARB49=7,SUMPRODUCT(--(($ARC$5:$ARC49=$ARC49)*($ARB$5:$ARB49&gt;=4)*($ARB$5:$ARB49&lt;=6)),$ASE$5:$ASE49),IF(ARB49=10,SUMPRODUCT(--(($ARC$5:$ARC49=$ARC49)*($ARB$5:$ARB49&gt;=7)*($ARB$5:$ARB49&lt;=9)),$ASE$5:$ASE49),0)))))</f>
        <v/>
      </c>
      <c r="ASG49" s="12">
        <f>ASG48+ASE49-ASF49</f>
        <v/>
      </c>
      <c r="ASH49" s="12">
        <f>IF(ProviderDelay&gt;=1,ASD48*ProviderShare,ASD49*ProviderShare)</f>
        <v/>
      </c>
      <c r="ASI49" s="12">
        <f>ASA49*PaymentFee</f>
        <v/>
      </c>
      <c r="ASJ49" s="12">
        <f>ARU49*OpsAI</f>
        <v/>
      </c>
      <c r="ASK49" s="12">
        <f>MonthlyFixed</f>
        <v/>
      </c>
      <c r="ASL49" s="12">
        <f>ARI49*ReferralReward</f>
        <v/>
      </c>
      <c r="ASM49" s="12">
        <f>ARG49</f>
        <v/>
      </c>
      <c r="ASN49" s="9">
        <f>ASD49-ASH49-ASI49-ASJ49-ASK49-ASL49-ASM49</f>
        <v/>
      </c>
      <c r="ASO49" s="9">
        <f>ASO48+ASA49-(ASH49+ASI49+ASJ49+ASK49+ASL49+ASM49+ASF49)</f>
        <v/>
      </c>
      <c r="ASP49" s="12">
        <f>IF(ARU49&gt;0,ARV49/ARU49,0)</f>
        <v/>
      </c>
      <c r="ASQ49" s="11">
        <f>IF(ARU48&gt;0,MAX(0,(ARU48+ARJ49-ARU49)/ARU48),0)</f>
        <v/>
      </c>
    </row>
    <row r="50">
      <c r="A50" s="12" t="n">
        <v>46</v>
      </c>
      <c r="B50" s="12">
        <f>MOD(A50-1+LaunchMonth-1,12)+1</f>
        <v/>
      </c>
      <c r="C50" s="12">
        <f>INT((A50-1+LaunchMonth-1)/12)+1</f>
        <v/>
      </c>
      <c r="D50" s="12">
        <f>VLOOKUP(B50,SeasonTable,2,FALSE)</f>
        <v/>
      </c>
      <c r="E50" s="12">
        <f>(1+InflationRate)^INT((A50-1)/12)</f>
        <v/>
      </c>
      <c r="F50" s="11">
        <f>'Sens - Scenarios'!$B$5*VLOOKUP(B50,ChurnSeasonTable,4,FALSE)</f>
        <v/>
      </c>
      <c r="G50" s="12">
        <f>MIN(MAX(MktMin19plus,AA49*MktPct19plus),MAX(0,AO49-CashBuffer))</f>
        <v/>
      </c>
      <c r="H50" s="12">
        <f>IF(G50&gt;0,MAX(1,ROUND(G50/'Sens - Scenarios'!$B$8*D50,0)),0)</f>
        <v/>
      </c>
      <c r="I50" s="12">
        <f>IF(H50&gt;0,ROUND(H50*ReferralMix/(1-ReferralMix),0),0)</f>
        <v/>
      </c>
      <c r="J50" s="12">
        <f>H50+I50</f>
        <v/>
      </c>
      <c r="K50" s="12">
        <f>ROUND(J50*(1-'Sens - Scenarios'!$B$7),0)</f>
        <v/>
      </c>
      <c r="L50" s="12">
        <f>J50-K50</f>
        <v/>
      </c>
      <c r="M50" s="12">
        <f>ROUND(K50*EssentialMix,0)</f>
        <v/>
      </c>
      <c r="N50" s="12">
        <f>K50-M50</f>
        <v/>
      </c>
      <c r="O50" s="12">
        <f>ROUND(L50*EssentialMix,0)</f>
        <v/>
      </c>
      <c r="P50" s="12">
        <f>L50-O50</f>
        <v/>
      </c>
      <c r="Q50" s="12">
        <f>M50+M49+M48+MAX(0,Q49-M49-M48)*(1-F50)</f>
        <v/>
      </c>
      <c r="R50" s="12">
        <f>N50+N49+N48+MAX(0,R49-N49-N48)*(1-F50)</f>
        <v/>
      </c>
      <c r="S50" s="12">
        <f>S49+O50-O38*('Sens - Scenarios'!$B$6*VLOOKUP(B50,ChurnSeasonTable,4,FALSE))*POWER(1-('Sens - Scenarios'!$B$6*VLOOKUP(B50,ChurnSeasonTable,4,FALSE)),0)+O26*('Sens - Scenarios'!$B$6*VLOOKUP(B50,ChurnSeasonTable,4,FALSE))*POWER(1-('Sens - Scenarios'!$B$6*VLOOKUP(B50,ChurnSeasonTable,4,FALSE)),1)+O14*('Sens - Scenarios'!$B$6*VLOOKUP(B50,ChurnSeasonTable,4,FALSE))*POWER(1-('Sens - Scenarios'!$B$6*VLOOKUP(B50,ChurnSeasonTable,4,FALSE)),2)</f>
        <v/>
      </c>
      <c r="T50" s="12">
        <f>T49+P50-P38*('Sens - Scenarios'!$B$6*VLOOKUP(B50,ChurnSeasonTable,4,FALSE))*POWER(1-('Sens - Scenarios'!$B$6*VLOOKUP(B50,ChurnSeasonTable,4,FALSE)),0)+P26*('Sens - Scenarios'!$B$6*VLOOKUP(B50,ChurnSeasonTable,4,FALSE))*POWER(1-('Sens - Scenarios'!$B$6*VLOOKUP(B50,ChurnSeasonTable,4,FALSE)),1)+P14*('Sens - Scenarios'!$B$6*VLOOKUP(B50,ChurnSeasonTable,4,FALSE))*POWER(1-('Sens - Scenarios'!$B$6*VLOOKUP(B50,ChurnSeasonTable,4,FALSE)),2)</f>
        <v/>
      </c>
      <c r="U50" s="12">
        <f>Q50+R50+S50+T50</f>
        <v/>
      </c>
      <c r="V50" s="9">
        <f>Q50*PriceEssMonthly*E50+R50*PricePremMonthly*E50+S50*PriceEssAnnual*E50/12+T50*PricePremAnnual*E50/12</f>
        <v/>
      </c>
      <c r="W50" s="9">
        <f>V50*12</f>
        <v/>
      </c>
      <c r="X50" s="12">
        <f>Q50*PriceEssMonthly*E50+R50*PricePremMonthly*E50</f>
        <v/>
      </c>
      <c r="Y50" s="12">
        <f>O50*PriceEssAnnual*E50+P50*PricePremAnnual*E50</f>
        <v/>
      </c>
      <c r="Z50" s="12">
        <f>O38*POWER(1-('Sens - Scenarios'!$B$6*VLOOKUP(B50,ChurnSeasonTable,4,FALSE)),1)*PriceEssAnnual*E50+O26*POWER(1-('Sens - Scenarios'!$B$6*VLOOKUP(B50,ChurnSeasonTable,4,FALSE)),2)*PriceEssAnnual*E50+O14*POWER(1-('Sens - Scenarios'!$B$6*VLOOKUP(B50,ChurnSeasonTable,4,FALSE)),3)*PriceEssAnnual*E50+P38*POWER(1-('Sens - Scenarios'!$B$6*VLOOKUP(B50,ChurnSeasonTable,4,FALSE)),1)*PricePremAnnual*E50+P26*POWER(1-('Sens - Scenarios'!$B$6*VLOOKUP(B50,ChurnSeasonTable,4,FALSE)),2)*PricePremAnnual*E50+P14*POWER(1-('Sens - Scenarios'!$B$6*VLOOKUP(B50,ChurnSeasonTable,4,FALSE)),3)*PricePremAnnual*E50</f>
        <v/>
      </c>
      <c r="AA50" s="9">
        <f>X50+Y50+Z50</f>
        <v/>
      </c>
      <c r="AB50" s="12">
        <f>SUM(AA39:AA50)</f>
        <v/>
      </c>
      <c r="AC50" s="12">
        <f>OR(AC49,AB50&gt;=VATThreshold)</f>
        <v/>
      </c>
      <c r="AD50" s="9">
        <f>IF(AC50,AA50/(1+VATRate),AA50)</f>
        <v/>
      </c>
      <c r="AE50" s="12">
        <f>AA50-AD50</f>
        <v/>
      </c>
      <c r="AF50" s="12">
        <f>IF(AC50=0,0,IF(B50=1,SUMPRODUCT(--(($C$5:$C50=$C50-1)*($B$5:$B50&gt;=10)*($B$5:$B50&lt;=12)),$AE$5:$AE50),IF(B50=4,SUMPRODUCT(--(($C$5:$C50=$C50)*($B$5:$B50&gt;=1)*($B$5:$B50&lt;=3)),$AE$5:$AE50),IF(B50=7,SUMPRODUCT(--(($C$5:$C50=$C50)*($B$5:$B50&gt;=4)*($B$5:$B50&lt;=6)),$AE$5:$AE50),IF(B50=10,SUMPRODUCT(--(($C$5:$C50=$C50)*($B$5:$B50&gt;=7)*($B$5:$B50&lt;=9)),$AE$5:$AE50),0)))))</f>
        <v/>
      </c>
      <c r="AG50" s="12">
        <f>AG49+AE50-AF50</f>
        <v/>
      </c>
      <c r="AH50" s="12">
        <f>IF(ProviderDelay&gt;=1,AD49*ProviderShare,AD50*ProviderShare)</f>
        <v/>
      </c>
      <c r="AI50" s="12">
        <f>AA50*PaymentFee</f>
        <v/>
      </c>
      <c r="AJ50" s="12">
        <f>U50*OpsAI</f>
        <v/>
      </c>
      <c r="AK50" s="12">
        <f>MonthlyFixed</f>
        <v/>
      </c>
      <c r="AL50" s="12">
        <f>I50*ReferralReward</f>
        <v/>
      </c>
      <c r="AM50" s="12">
        <f>G50</f>
        <v/>
      </c>
      <c r="AN50" s="9">
        <f>AD50-AH50-AI50-AJ50-AK50-AL50-AM50</f>
        <v/>
      </c>
      <c r="AO50" s="9">
        <f>AO49+AA50-(AH50+AI50+AJ50+AK50+AL50+AM50+AF50)</f>
        <v/>
      </c>
      <c r="AP50" s="12">
        <f>IF(U50&gt;0,V50/U50,0)</f>
        <v/>
      </c>
      <c r="AQ50" s="11">
        <f>IF(U49&gt;0,MAX(0,(U49+J50-U50)/U49),0)</f>
        <v/>
      </c>
      <c r="AS50" s="12" t="n">
        <v>46</v>
      </c>
      <c r="AT50" s="12">
        <f>MOD(AS50-1+LaunchMonth-1,12)+1</f>
        <v/>
      </c>
      <c r="AU50" s="12">
        <f>INT((AS50-1+LaunchMonth-1)/12)+1</f>
        <v/>
      </c>
      <c r="AV50" s="12">
        <f>VLOOKUP(AT50,SeasonTable,2,FALSE)</f>
        <v/>
      </c>
      <c r="AW50" s="12">
        <f>(1+InflationRate)^INT((AS50-1)/12)</f>
        <v/>
      </c>
      <c r="AX50" s="11">
        <f>MonthlyChurn*VLOOKUP(AT50,ChurnSeasonTable,4,FALSE)</f>
        <v/>
      </c>
      <c r="AY50" s="12">
        <f>MIN(MAX(MktMin19plus,BS49*MktPct19plus),MAX(0,CG49-CashBuffer))</f>
        <v/>
      </c>
      <c r="AZ50" s="12">
        <f>IF(AY50&gt;0,MAX(1,ROUND(AY50/CAC*AV50,0)),0)</f>
        <v/>
      </c>
      <c r="BA50" s="12">
        <f>IF(AZ50&gt;0,ROUND(AZ50*ReferralMix/(1-ReferralMix),0),0)</f>
        <v/>
      </c>
      <c r="BB50" s="12">
        <f>AZ50+BA50</f>
        <v/>
      </c>
      <c r="BC50" s="12">
        <f>ROUND(BB50*(1-AnnualMix),0)</f>
        <v/>
      </c>
      <c r="BD50" s="12">
        <f>BB50-BC50</f>
        <v/>
      </c>
      <c r="BE50" s="12">
        <f>ROUND(BC50*EssentialMix,0)</f>
        <v/>
      </c>
      <c r="BF50" s="12">
        <f>BC50-BE50</f>
        <v/>
      </c>
      <c r="BG50" s="12">
        <f>ROUND(BD50*EssentialMix,0)</f>
        <v/>
      </c>
      <c r="BH50" s="12">
        <f>BD50-BG50</f>
        <v/>
      </c>
      <c r="BI50" s="12">
        <f>BE50+BE49+BE48+MAX(0,BI49-BE49-BE48)*(1-AX50)</f>
        <v/>
      </c>
      <c r="BJ50" s="12">
        <f>BF50+BF49+BF48+MAX(0,BJ49-BF49-BF48)*(1-AX50)</f>
        <v/>
      </c>
      <c r="BK50" s="12">
        <f>BK49+BG50-BG38*(AnnualChurn*VLOOKUP(AT50,ChurnSeasonTable,4,FALSE))*POWER(1-(AnnualChurn*VLOOKUP(AT50,ChurnSeasonTable,4,FALSE)),0)+BG26*(AnnualChurn*VLOOKUP(AT50,ChurnSeasonTable,4,FALSE))*POWER(1-(AnnualChurn*VLOOKUP(AT50,ChurnSeasonTable,4,FALSE)),1)+BG14*(AnnualChurn*VLOOKUP(AT50,ChurnSeasonTable,4,FALSE))*POWER(1-(AnnualChurn*VLOOKUP(AT50,ChurnSeasonTable,4,FALSE)),2)</f>
        <v/>
      </c>
      <c r="BL50" s="12">
        <f>BL49+BH50-BH38*(AnnualChurn*VLOOKUP(AT50,ChurnSeasonTable,4,FALSE))*POWER(1-(AnnualChurn*VLOOKUP(AT50,ChurnSeasonTable,4,FALSE)),0)+BH26*(AnnualChurn*VLOOKUP(AT50,ChurnSeasonTable,4,FALSE))*POWER(1-(AnnualChurn*VLOOKUP(AT50,ChurnSeasonTable,4,FALSE)),1)+BH14*(AnnualChurn*VLOOKUP(AT50,ChurnSeasonTable,4,FALSE))*POWER(1-(AnnualChurn*VLOOKUP(AT50,ChurnSeasonTable,4,FALSE)),2)</f>
        <v/>
      </c>
      <c r="BM50" s="12">
        <f>BI50+BJ50+BK50+BL50</f>
        <v/>
      </c>
      <c r="BN50" s="9">
        <f>BI50*PriceEssMonthly*AW50+BJ50*PricePremMonthly*AW50+BK50*PriceEssAnnual*AW50/12+BL50*PricePremAnnual*AW50/12</f>
        <v/>
      </c>
      <c r="BO50" s="9">
        <f>BN50*12</f>
        <v/>
      </c>
      <c r="BP50" s="12">
        <f>BI50*PriceEssMonthly*AW50+BJ50*PricePremMonthly*AW50</f>
        <v/>
      </c>
      <c r="BQ50" s="12">
        <f>BG50*PriceEssAnnual*AW50+BH50*PricePremAnnual*AW50</f>
        <v/>
      </c>
      <c r="BR50" s="12">
        <f>BG38*POWER(1-(AnnualChurn*VLOOKUP(AT50,ChurnSeasonTable,4,FALSE)),1)*PriceEssAnnual*AW50+BG26*POWER(1-(AnnualChurn*VLOOKUP(AT50,ChurnSeasonTable,4,FALSE)),2)*PriceEssAnnual*AW50+BG14*POWER(1-(AnnualChurn*VLOOKUP(AT50,ChurnSeasonTable,4,FALSE)),3)*PriceEssAnnual*AW50+BH38*POWER(1-(AnnualChurn*VLOOKUP(AT50,ChurnSeasonTable,4,FALSE)),1)*PricePremAnnual*AW50+BH26*POWER(1-(AnnualChurn*VLOOKUP(AT50,ChurnSeasonTable,4,FALSE)),2)*PricePremAnnual*AW50+BH14*POWER(1-(AnnualChurn*VLOOKUP(AT50,ChurnSeasonTable,4,FALSE)),3)*PricePremAnnual*AW50</f>
        <v/>
      </c>
      <c r="BS50" s="9">
        <f>BP50+BQ50+BR50</f>
        <v/>
      </c>
      <c r="BT50" s="12">
        <f>SUM(BS39:BS50)</f>
        <v/>
      </c>
      <c r="BU50" s="12">
        <f>OR(BU49,BT50&gt;=VATThreshold)</f>
        <v/>
      </c>
      <c r="BV50" s="9">
        <f>IF(BU50,BS50/(1+VATRate),BS50)</f>
        <v/>
      </c>
      <c r="BW50" s="12">
        <f>BS50-BV50</f>
        <v/>
      </c>
      <c r="BX50" s="12">
        <f>IF(BU50=0,0,IF(AT50=1,SUMPRODUCT(--(($AU$5:$AU50=$AU50-1)*($AT$5:$AT50&gt;=10)*($AT$5:$AT50&lt;=12)),$BW$5:$BW50),IF(AT50=4,SUMPRODUCT(--(($AU$5:$AU50=$AU50)*($AT$5:$AT50&gt;=1)*($AT$5:$AT50&lt;=3)),$BW$5:$BW50),IF(AT50=7,SUMPRODUCT(--(($AU$5:$AU50=$AU50)*($AT$5:$AT50&gt;=4)*($AT$5:$AT50&lt;=6)),$BW$5:$BW50),IF(AT50=10,SUMPRODUCT(--(($AU$5:$AU50=$AU50)*($AT$5:$AT50&gt;=7)*($AT$5:$AT50&lt;=9)),$BW$5:$BW50),0)))))</f>
        <v/>
      </c>
      <c r="BY50" s="12">
        <f>BY49+BW50-BX50</f>
        <v/>
      </c>
      <c r="BZ50" s="12">
        <f>IF(ProviderDelay&gt;=1,BV49*ProviderShare,BV50*ProviderShare)</f>
        <v/>
      </c>
      <c r="CA50" s="12">
        <f>BS50*PaymentFee</f>
        <v/>
      </c>
      <c r="CB50" s="12">
        <f>BM50*OpsAI</f>
        <v/>
      </c>
      <c r="CC50" s="12">
        <f>MonthlyFixed</f>
        <v/>
      </c>
      <c r="CD50" s="12">
        <f>BA50*ReferralReward</f>
        <v/>
      </c>
      <c r="CE50" s="12">
        <f>AY50</f>
        <v/>
      </c>
      <c r="CF50" s="9">
        <f>BV50-BZ50-CA50-CB50-CC50-CD50-CE50</f>
        <v/>
      </c>
      <c r="CG50" s="9">
        <f>CG49+BS50-(BZ50+CA50+CB50+CC50+CD50+CE50+BX50)</f>
        <v/>
      </c>
      <c r="CH50" s="12">
        <f>IF(BM50&gt;0,BN50/BM50,0)</f>
        <v/>
      </c>
      <c r="CI50" s="11">
        <f>IF(BM49&gt;0,MAX(0,(BM49+BB50-BM50)/BM49),0)</f>
        <v/>
      </c>
      <c r="CK50" s="12" t="n">
        <v>46</v>
      </c>
      <c r="CL50" s="12">
        <f>MOD(CK50-1+LaunchMonth-1,12)+1</f>
        <v/>
      </c>
      <c r="CM50" s="12">
        <f>INT((CK50-1+LaunchMonth-1)/12)+1</f>
        <v/>
      </c>
      <c r="CN50" s="12">
        <f>VLOOKUP(CL50,SeasonTable,2,FALSE)</f>
        <v/>
      </c>
      <c r="CO50" s="12">
        <f>(1+InflationRate)^INT((CK50-1)/12)</f>
        <v/>
      </c>
      <c r="CP50" s="11">
        <f>'Sens - Scenarios'!$D$5*VLOOKUP(CL50,ChurnSeasonTable,4,FALSE)</f>
        <v/>
      </c>
      <c r="CQ50" s="12">
        <f>MIN(MAX(MktMin19plus,DK49*MktPct19plus),MAX(0,DY49-CashBuffer))</f>
        <v/>
      </c>
      <c r="CR50" s="12">
        <f>IF(CQ50&gt;0,MAX(1,ROUND(CQ50/'Sens - Scenarios'!$D$8*CN50,0)),0)</f>
        <v/>
      </c>
      <c r="CS50" s="12">
        <f>IF(CR50&gt;0,ROUND(CR50*ReferralMix/(1-ReferralMix),0),0)</f>
        <v/>
      </c>
      <c r="CT50" s="12">
        <f>CR50+CS50</f>
        <v/>
      </c>
      <c r="CU50" s="12">
        <f>ROUND(CT50*(1-'Sens - Scenarios'!$D$7),0)</f>
        <v/>
      </c>
      <c r="CV50" s="12">
        <f>CT50-CU50</f>
        <v/>
      </c>
      <c r="CW50" s="12">
        <f>ROUND(CU50*EssentialMix,0)</f>
        <v/>
      </c>
      <c r="CX50" s="12">
        <f>CU50-CW50</f>
        <v/>
      </c>
      <c r="CY50" s="12">
        <f>ROUND(CV50*EssentialMix,0)</f>
        <v/>
      </c>
      <c r="CZ50" s="12">
        <f>CV50-CY50</f>
        <v/>
      </c>
      <c r="DA50" s="12">
        <f>CW50+CW49+CW48+MAX(0,DA49-CW49-CW48)*(1-CP50)</f>
        <v/>
      </c>
      <c r="DB50" s="12">
        <f>CX50+CX49+CX48+MAX(0,DB49-CX49-CX48)*(1-CP50)</f>
        <v/>
      </c>
      <c r="DC50" s="12">
        <f>DC49+CY50-CY38*('Sens - Scenarios'!$D$6*VLOOKUP(CL50,ChurnSeasonTable,4,FALSE))*POWER(1-('Sens - Scenarios'!$D$6*VLOOKUP(CL50,ChurnSeasonTable,4,FALSE)),0)+CY26*('Sens - Scenarios'!$D$6*VLOOKUP(CL50,ChurnSeasonTable,4,FALSE))*POWER(1-('Sens - Scenarios'!$D$6*VLOOKUP(CL50,ChurnSeasonTable,4,FALSE)),1)+CY14*('Sens - Scenarios'!$D$6*VLOOKUP(CL50,ChurnSeasonTable,4,FALSE))*POWER(1-('Sens - Scenarios'!$D$6*VLOOKUP(CL50,ChurnSeasonTable,4,FALSE)),2)</f>
        <v/>
      </c>
      <c r="DD50" s="12">
        <f>DD49+CZ50-CZ38*('Sens - Scenarios'!$D$6*VLOOKUP(CL50,ChurnSeasonTable,4,FALSE))*POWER(1-('Sens - Scenarios'!$D$6*VLOOKUP(CL50,ChurnSeasonTable,4,FALSE)),0)+CZ26*('Sens - Scenarios'!$D$6*VLOOKUP(CL50,ChurnSeasonTable,4,FALSE))*POWER(1-('Sens - Scenarios'!$D$6*VLOOKUP(CL50,ChurnSeasonTable,4,FALSE)),1)+CZ14*('Sens - Scenarios'!$D$6*VLOOKUP(CL50,ChurnSeasonTable,4,FALSE))*POWER(1-('Sens - Scenarios'!$D$6*VLOOKUP(CL50,ChurnSeasonTable,4,FALSE)),2)</f>
        <v/>
      </c>
      <c r="DE50" s="12">
        <f>DA50+DB50+DC50+DD50</f>
        <v/>
      </c>
      <c r="DF50" s="9">
        <f>DA50*PriceEssMonthly*CO50+DB50*PricePremMonthly*CO50+DC50*PriceEssAnnual*CO50/12+DD50*PricePremAnnual*CO50/12</f>
        <v/>
      </c>
      <c r="DG50" s="9">
        <f>DF50*12</f>
        <v/>
      </c>
      <c r="DH50" s="12">
        <f>DA50*PriceEssMonthly*CO50+DB50*PricePremMonthly*CO50</f>
        <v/>
      </c>
      <c r="DI50" s="12">
        <f>CY50*PriceEssAnnual*CO50+CZ50*PricePremAnnual*CO50</f>
        <v/>
      </c>
      <c r="DJ50" s="12">
        <f>CY38*POWER(1-('Sens - Scenarios'!$D$6*VLOOKUP(CL50,ChurnSeasonTable,4,FALSE)),1)*PriceEssAnnual*CO50+CY26*POWER(1-('Sens - Scenarios'!$D$6*VLOOKUP(CL50,ChurnSeasonTable,4,FALSE)),2)*PriceEssAnnual*CO50+CY14*POWER(1-('Sens - Scenarios'!$D$6*VLOOKUP(CL50,ChurnSeasonTable,4,FALSE)),3)*PriceEssAnnual*CO50+CZ38*POWER(1-('Sens - Scenarios'!$D$6*VLOOKUP(CL50,ChurnSeasonTable,4,FALSE)),1)*PricePremAnnual*CO50+CZ26*POWER(1-('Sens - Scenarios'!$D$6*VLOOKUP(CL50,ChurnSeasonTable,4,FALSE)),2)*PricePremAnnual*CO50+CZ14*POWER(1-('Sens - Scenarios'!$D$6*VLOOKUP(CL50,ChurnSeasonTable,4,FALSE)),3)*PricePremAnnual*CO50</f>
        <v/>
      </c>
      <c r="DK50" s="9">
        <f>DH50+DI50+DJ50</f>
        <v/>
      </c>
      <c r="DL50" s="12">
        <f>SUM(DK39:DK50)</f>
        <v/>
      </c>
      <c r="DM50" s="12">
        <f>OR(DM49,DL50&gt;=VATThreshold)</f>
        <v/>
      </c>
      <c r="DN50" s="9">
        <f>IF(DM50,DK50/(1+VATRate),DK50)</f>
        <v/>
      </c>
      <c r="DO50" s="12">
        <f>DK50-DN50</f>
        <v/>
      </c>
      <c r="DP50" s="12">
        <f>IF(DM50=0,0,IF(CL50=1,SUMPRODUCT(--(($CM$5:$CM50=$CM50-1)*($CL$5:$CL50&gt;=10)*($CL$5:$CL50&lt;=12)),$DO$5:$DO50),IF(CL50=4,SUMPRODUCT(--(($CM$5:$CM50=$CM50)*($CL$5:$CL50&gt;=1)*($CL$5:$CL50&lt;=3)),$DO$5:$DO50),IF(CL50=7,SUMPRODUCT(--(($CM$5:$CM50=$CM50)*($CL$5:$CL50&gt;=4)*($CL$5:$CL50&lt;=6)),$DO$5:$DO50),IF(CL50=10,SUMPRODUCT(--(($CM$5:$CM50=$CM50)*($CL$5:$CL50&gt;=7)*($CL$5:$CL50&lt;=9)),$DO$5:$DO50),0)))))</f>
        <v/>
      </c>
      <c r="DQ50" s="12">
        <f>DQ49+DO50-DP50</f>
        <v/>
      </c>
      <c r="DR50" s="12">
        <f>IF(ProviderDelay&gt;=1,DN49*ProviderShare,DN50*ProviderShare)</f>
        <v/>
      </c>
      <c r="DS50" s="12">
        <f>DK50*PaymentFee</f>
        <v/>
      </c>
      <c r="DT50" s="12">
        <f>DE50*OpsAI</f>
        <v/>
      </c>
      <c r="DU50" s="12">
        <f>MonthlyFixed</f>
        <v/>
      </c>
      <c r="DV50" s="12">
        <f>CS50*ReferralReward</f>
        <v/>
      </c>
      <c r="DW50" s="12">
        <f>CQ50</f>
        <v/>
      </c>
      <c r="DX50" s="9">
        <f>DN50-DR50-DS50-DT50-DU50-DV50-DW50</f>
        <v/>
      </c>
      <c r="DY50" s="9">
        <f>DY49+DK50-(DR50+DS50+DT50+DU50+DV50+DW50+DP50)</f>
        <v/>
      </c>
      <c r="DZ50" s="12">
        <f>IF(DE50&gt;0,DF50/DE50,0)</f>
        <v/>
      </c>
      <c r="EA50" s="11">
        <f>IF(DE49&gt;0,MAX(0,(DE49+CT50-DE50)/DE49),0)</f>
        <v/>
      </c>
      <c r="EC50" s="12" t="n">
        <v>46</v>
      </c>
      <c r="ED50" s="12">
        <f>MOD(EC50-1+LaunchMonth-1,12)+1</f>
        <v/>
      </c>
      <c r="EE50" s="12">
        <f>INT((EC50-1+LaunchMonth-1)/12)+1</f>
        <v/>
      </c>
      <c r="EF50" s="12">
        <f>VLOOKUP(ED50,SeasonTable,2,FALSE)</f>
        <v/>
      </c>
      <c r="EG50" s="12">
        <f>(1+InflationRate)^INT((EC50-1)/12)</f>
        <v/>
      </c>
      <c r="EH50" s="11">
        <f>'Sens - Churn'!$A$13*VLOOKUP(ED50,ChurnSeasonTable,4,FALSE)</f>
        <v/>
      </c>
      <c r="EI50" s="12">
        <f>MIN(MAX(MktMin19plus,FC49*MktPct19plus),MAX(0,FQ49-CashBuffer))</f>
        <v/>
      </c>
      <c r="EJ50" s="12">
        <f>IF(EI50&gt;0,MAX(1,ROUND(EI50/CAC*EF50,0)),0)</f>
        <v/>
      </c>
      <c r="EK50" s="12">
        <f>IF(EJ50&gt;0,ROUND(EJ50*ReferralMix/(1-ReferralMix),0),0)</f>
        <v/>
      </c>
      <c r="EL50" s="12">
        <f>EJ50+EK50</f>
        <v/>
      </c>
      <c r="EM50" s="12">
        <f>ROUND(EL50*(1-AnnualMix),0)</f>
        <v/>
      </c>
      <c r="EN50" s="12">
        <f>EL50-EM50</f>
        <v/>
      </c>
      <c r="EO50" s="12">
        <f>ROUND(EM50*EssentialMix,0)</f>
        <v/>
      </c>
      <c r="EP50" s="12">
        <f>EM50-EO50</f>
        <v/>
      </c>
      <c r="EQ50" s="12">
        <f>ROUND(EN50*EssentialMix,0)</f>
        <v/>
      </c>
      <c r="ER50" s="12">
        <f>EN50-EQ50</f>
        <v/>
      </c>
      <c r="ES50" s="12">
        <f>EO50+EO49+EO48+MAX(0,ES49-EO49-EO48)*(1-EH50)</f>
        <v/>
      </c>
      <c r="ET50" s="12">
        <f>EP50+EP49+EP48+MAX(0,ET49-EP49-EP48)*(1-EH50)</f>
        <v/>
      </c>
      <c r="EU50" s="12">
        <f>EU49+EQ50-EQ38*(AnnualChurn*VLOOKUP(ED50,ChurnSeasonTable,4,FALSE))*POWER(1-(AnnualChurn*VLOOKUP(ED50,ChurnSeasonTable,4,FALSE)),0)+EQ26*(AnnualChurn*VLOOKUP(ED50,ChurnSeasonTable,4,FALSE))*POWER(1-(AnnualChurn*VLOOKUP(ED50,ChurnSeasonTable,4,FALSE)),1)+EQ14*(AnnualChurn*VLOOKUP(ED50,ChurnSeasonTable,4,FALSE))*POWER(1-(AnnualChurn*VLOOKUP(ED50,ChurnSeasonTable,4,FALSE)),2)</f>
        <v/>
      </c>
      <c r="EV50" s="12">
        <f>EV49+ER50-ER38*(AnnualChurn*VLOOKUP(ED50,ChurnSeasonTable,4,FALSE))*POWER(1-(AnnualChurn*VLOOKUP(ED50,ChurnSeasonTable,4,FALSE)),0)+ER26*(AnnualChurn*VLOOKUP(ED50,ChurnSeasonTable,4,FALSE))*POWER(1-(AnnualChurn*VLOOKUP(ED50,ChurnSeasonTable,4,FALSE)),1)+ER14*(AnnualChurn*VLOOKUP(ED50,ChurnSeasonTable,4,FALSE))*POWER(1-(AnnualChurn*VLOOKUP(ED50,ChurnSeasonTable,4,FALSE)),2)</f>
        <v/>
      </c>
      <c r="EW50" s="12">
        <f>ES50+ET50+EU50+EV50</f>
        <v/>
      </c>
      <c r="EX50" s="9">
        <f>ES50*PriceEssMonthly*EG50+ET50*PricePremMonthly*EG50+EU50*PriceEssAnnual*EG50/12+EV50*PricePremAnnual*EG50/12</f>
        <v/>
      </c>
      <c r="EY50" s="9">
        <f>EX50*12</f>
        <v/>
      </c>
      <c r="EZ50" s="12">
        <f>ES50*PriceEssMonthly*EG50+ET50*PricePremMonthly*EG50</f>
        <v/>
      </c>
      <c r="FA50" s="12">
        <f>EQ50*PriceEssAnnual*EG50+ER50*PricePremAnnual*EG50</f>
        <v/>
      </c>
      <c r="FB50" s="12">
        <f>EQ38*POWER(1-(AnnualChurn*VLOOKUP(ED50,ChurnSeasonTable,4,FALSE)),1)*PriceEssAnnual*EG50+EQ26*POWER(1-(AnnualChurn*VLOOKUP(ED50,ChurnSeasonTable,4,FALSE)),2)*PriceEssAnnual*EG50+EQ14*POWER(1-(AnnualChurn*VLOOKUP(ED50,ChurnSeasonTable,4,FALSE)),3)*PriceEssAnnual*EG50+ER38*POWER(1-(AnnualChurn*VLOOKUP(ED50,ChurnSeasonTable,4,FALSE)),1)*PricePremAnnual*EG50+ER26*POWER(1-(AnnualChurn*VLOOKUP(ED50,ChurnSeasonTable,4,FALSE)),2)*PricePremAnnual*EG50+ER14*POWER(1-(AnnualChurn*VLOOKUP(ED50,ChurnSeasonTable,4,FALSE)),3)*PricePremAnnual*EG50</f>
        <v/>
      </c>
      <c r="FC50" s="9">
        <f>EZ50+FA50+FB50</f>
        <v/>
      </c>
      <c r="FD50" s="12">
        <f>SUM(FC39:FC50)</f>
        <v/>
      </c>
      <c r="FE50" s="12">
        <f>OR(FE49,FD50&gt;=VATThreshold)</f>
        <v/>
      </c>
      <c r="FF50" s="9">
        <f>IF(FE50,FC50/(1+VATRate),FC50)</f>
        <v/>
      </c>
      <c r="FG50" s="12">
        <f>FC50-FF50</f>
        <v/>
      </c>
      <c r="FH50" s="12">
        <f>IF(FE50=0,0,IF(ED50=1,SUMPRODUCT(--(($EE$5:$EE50=$EE50-1)*($ED$5:$ED50&gt;=10)*($ED$5:$ED50&lt;=12)),$FG$5:$FG50),IF(ED50=4,SUMPRODUCT(--(($EE$5:$EE50=$EE50)*($ED$5:$ED50&gt;=1)*($ED$5:$ED50&lt;=3)),$FG$5:$FG50),IF(ED50=7,SUMPRODUCT(--(($EE$5:$EE50=$EE50)*($ED$5:$ED50&gt;=4)*($ED$5:$ED50&lt;=6)),$FG$5:$FG50),IF(ED50=10,SUMPRODUCT(--(($EE$5:$EE50=$EE50)*($ED$5:$ED50&gt;=7)*($ED$5:$ED50&lt;=9)),$FG$5:$FG50),0)))))</f>
        <v/>
      </c>
      <c r="FI50" s="12">
        <f>FI49+FG50-FH50</f>
        <v/>
      </c>
      <c r="FJ50" s="12">
        <f>IF(ProviderDelay&gt;=1,FF49*ProviderShare,FF50*ProviderShare)</f>
        <v/>
      </c>
      <c r="FK50" s="12">
        <f>FC50*PaymentFee</f>
        <v/>
      </c>
      <c r="FL50" s="12">
        <f>EW50*OpsAI</f>
        <v/>
      </c>
      <c r="FM50" s="12">
        <f>MonthlyFixed</f>
        <v/>
      </c>
      <c r="FN50" s="12">
        <f>EK50*ReferralReward</f>
        <v/>
      </c>
      <c r="FO50" s="12">
        <f>EI50</f>
        <v/>
      </c>
      <c r="FP50" s="9">
        <f>FF50-FJ50-FK50-FL50-FM50-FN50-FO50</f>
        <v/>
      </c>
      <c r="FQ50" s="9">
        <f>FQ49+FC50-(FJ50+FK50+FL50+FM50+FN50+FO50+FH50)</f>
        <v/>
      </c>
      <c r="FR50" s="12">
        <f>IF(EW50&gt;0,EX50/EW50,0)</f>
        <v/>
      </c>
      <c r="FS50" s="11">
        <f>IF(EW49&gt;0,MAX(0,(EW49+EL50-EW50)/EW49),0)</f>
        <v/>
      </c>
      <c r="FU50" s="12" t="n">
        <v>46</v>
      </c>
      <c r="FV50" s="12">
        <f>MOD(FU50-1+LaunchMonth-1,12)+1</f>
        <v/>
      </c>
      <c r="FW50" s="12">
        <f>INT((FU50-1+LaunchMonth-1)/12)+1</f>
        <v/>
      </c>
      <c r="FX50" s="12">
        <f>VLOOKUP(FV50,SeasonTable,2,FALSE)</f>
        <v/>
      </c>
      <c r="FY50" s="12">
        <f>(1+InflationRate)^INT((FU50-1)/12)</f>
        <v/>
      </c>
      <c r="FZ50" s="11">
        <f>'Sens - Churn'!$A$14*VLOOKUP(FV50,ChurnSeasonTable,4,FALSE)</f>
        <v/>
      </c>
      <c r="GA50" s="12">
        <f>MIN(MAX(MktMin19plus,GU49*MktPct19plus),MAX(0,HI49-CashBuffer))</f>
        <v/>
      </c>
      <c r="GB50" s="12">
        <f>IF(GA50&gt;0,MAX(1,ROUND(GA50/CAC*FX50,0)),0)</f>
        <v/>
      </c>
      <c r="GC50" s="12">
        <f>IF(GB50&gt;0,ROUND(GB50*ReferralMix/(1-ReferralMix),0),0)</f>
        <v/>
      </c>
      <c r="GD50" s="12">
        <f>GB50+GC50</f>
        <v/>
      </c>
      <c r="GE50" s="12">
        <f>ROUND(GD50*(1-AnnualMix),0)</f>
        <v/>
      </c>
      <c r="GF50" s="12">
        <f>GD50-GE50</f>
        <v/>
      </c>
      <c r="GG50" s="12">
        <f>ROUND(GE50*EssentialMix,0)</f>
        <v/>
      </c>
      <c r="GH50" s="12">
        <f>GE50-GG50</f>
        <v/>
      </c>
      <c r="GI50" s="12">
        <f>ROUND(GF50*EssentialMix,0)</f>
        <v/>
      </c>
      <c r="GJ50" s="12">
        <f>GF50-GI50</f>
        <v/>
      </c>
      <c r="GK50" s="12">
        <f>GG50+GG49+GG48+MAX(0,GK49-GG49-GG48)*(1-FZ50)</f>
        <v/>
      </c>
      <c r="GL50" s="12">
        <f>GH50+GH49+GH48+MAX(0,GL49-GH49-GH48)*(1-FZ50)</f>
        <v/>
      </c>
      <c r="GM50" s="12">
        <f>GM49+GI50-GI38*(AnnualChurn*VLOOKUP(FV50,ChurnSeasonTable,4,FALSE))*POWER(1-(AnnualChurn*VLOOKUP(FV50,ChurnSeasonTable,4,FALSE)),0)+GI26*(AnnualChurn*VLOOKUP(FV50,ChurnSeasonTable,4,FALSE))*POWER(1-(AnnualChurn*VLOOKUP(FV50,ChurnSeasonTable,4,FALSE)),1)+GI14*(AnnualChurn*VLOOKUP(FV50,ChurnSeasonTable,4,FALSE))*POWER(1-(AnnualChurn*VLOOKUP(FV50,ChurnSeasonTable,4,FALSE)),2)</f>
        <v/>
      </c>
      <c r="GN50" s="12">
        <f>GN49+GJ50-GJ38*(AnnualChurn*VLOOKUP(FV50,ChurnSeasonTable,4,FALSE))*POWER(1-(AnnualChurn*VLOOKUP(FV50,ChurnSeasonTable,4,FALSE)),0)+GJ26*(AnnualChurn*VLOOKUP(FV50,ChurnSeasonTable,4,FALSE))*POWER(1-(AnnualChurn*VLOOKUP(FV50,ChurnSeasonTable,4,FALSE)),1)+GJ14*(AnnualChurn*VLOOKUP(FV50,ChurnSeasonTable,4,FALSE))*POWER(1-(AnnualChurn*VLOOKUP(FV50,ChurnSeasonTable,4,FALSE)),2)</f>
        <v/>
      </c>
      <c r="GO50" s="12">
        <f>GK50+GL50+GM50+GN50</f>
        <v/>
      </c>
      <c r="GP50" s="9">
        <f>GK50*PriceEssMonthly*FY50+GL50*PricePremMonthly*FY50+GM50*PriceEssAnnual*FY50/12+GN50*PricePremAnnual*FY50/12</f>
        <v/>
      </c>
      <c r="GQ50" s="9">
        <f>GP50*12</f>
        <v/>
      </c>
      <c r="GR50" s="12">
        <f>GK50*PriceEssMonthly*FY50+GL50*PricePremMonthly*FY50</f>
        <v/>
      </c>
      <c r="GS50" s="12">
        <f>GI50*PriceEssAnnual*FY50+GJ50*PricePremAnnual*FY50</f>
        <v/>
      </c>
      <c r="GT50" s="12">
        <f>GI38*POWER(1-(AnnualChurn*VLOOKUP(FV50,ChurnSeasonTable,4,FALSE)),1)*PriceEssAnnual*FY50+GI26*POWER(1-(AnnualChurn*VLOOKUP(FV50,ChurnSeasonTable,4,FALSE)),2)*PriceEssAnnual*FY50+GI14*POWER(1-(AnnualChurn*VLOOKUP(FV50,ChurnSeasonTable,4,FALSE)),3)*PriceEssAnnual*FY50+GJ38*POWER(1-(AnnualChurn*VLOOKUP(FV50,ChurnSeasonTable,4,FALSE)),1)*PricePremAnnual*FY50+GJ26*POWER(1-(AnnualChurn*VLOOKUP(FV50,ChurnSeasonTable,4,FALSE)),2)*PricePremAnnual*FY50+GJ14*POWER(1-(AnnualChurn*VLOOKUP(FV50,ChurnSeasonTable,4,FALSE)),3)*PricePremAnnual*FY50</f>
        <v/>
      </c>
      <c r="GU50" s="9">
        <f>GR50+GS50+GT50</f>
        <v/>
      </c>
      <c r="GV50" s="12">
        <f>SUM(GU39:GU50)</f>
        <v/>
      </c>
      <c r="GW50" s="12">
        <f>OR(GW49,GV50&gt;=VATThreshold)</f>
        <v/>
      </c>
      <c r="GX50" s="9">
        <f>IF(GW50,GU50/(1+VATRate),GU50)</f>
        <v/>
      </c>
      <c r="GY50" s="12">
        <f>GU50-GX50</f>
        <v/>
      </c>
      <c r="GZ50" s="12">
        <f>IF(GW50=0,0,IF(FV50=1,SUMPRODUCT(--(($FW$5:$FW50=$FW50-1)*($FV$5:$FV50&gt;=10)*($FV$5:$FV50&lt;=12)),$GY$5:$GY50),IF(FV50=4,SUMPRODUCT(--(($FW$5:$FW50=$FW50)*($FV$5:$FV50&gt;=1)*($FV$5:$FV50&lt;=3)),$GY$5:$GY50),IF(FV50=7,SUMPRODUCT(--(($FW$5:$FW50=$FW50)*($FV$5:$FV50&gt;=4)*($FV$5:$FV50&lt;=6)),$GY$5:$GY50),IF(FV50=10,SUMPRODUCT(--(($FW$5:$FW50=$FW50)*($FV$5:$FV50&gt;=7)*($FV$5:$FV50&lt;=9)),$GY$5:$GY50),0)))))</f>
        <v/>
      </c>
      <c r="HA50" s="12">
        <f>HA49+GY50-GZ50</f>
        <v/>
      </c>
      <c r="HB50" s="12">
        <f>IF(ProviderDelay&gt;=1,GX49*ProviderShare,GX50*ProviderShare)</f>
        <v/>
      </c>
      <c r="HC50" s="12">
        <f>GU50*PaymentFee</f>
        <v/>
      </c>
      <c r="HD50" s="12">
        <f>GO50*OpsAI</f>
        <v/>
      </c>
      <c r="HE50" s="12">
        <f>MonthlyFixed</f>
        <v/>
      </c>
      <c r="HF50" s="12">
        <f>GC50*ReferralReward</f>
        <v/>
      </c>
      <c r="HG50" s="12">
        <f>GA50</f>
        <v/>
      </c>
      <c r="HH50" s="9">
        <f>GX50-HB50-HC50-HD50-HE50-HF50-HG50</f>
        <v/>
      </c>
      <c r="HI50" s="9">
        <f>HI49+GU50-(HB50+HC50+HD50+HE50+HF50+HG50+GZ50)</f>
        <v/>
      </c>
      <c r="HJ50" s="12">
        <f>IF(GO50&gt;0,GP50/GO50,0)</f>
        <v/>
      </c>
      <c r="HK50" s="11">
        <f>IF(GO49&gt;0,MAX(0,(GO49+GD50-GO50)/GO49),0)</f>
        <v/>
      </c>
      <c r="HM50" s="12" t="n">
        <v>46</v>
      </c>
      <c r="HN50" s="12">
        <f>MOD(HM50-1+LaunchMonth-1,12)+1</f>
        <v/>
      </c>
      <c r="HO50" s="12">
        <f>INT((HM50-1+LaunchMonth-1)/12)+1</f>
        <v/>
      </c>
      <c r="HP50" s="12">
        <f>VLOOKUP(HN50,SeasonTable,2,FALSE)</f>
        <v/>
      </c>
      <c r="HQ50" s="12">
        <f>(1+InflationRate)^INT((HM50-1)/12)</f>
        <v/>
      </c>
      <c r="HR50" s="11">
        <f>'Sens - Churn'!$A$15*VLOOKUP(HN50,ChurnSeasonTable,4,FALSE)</f>
        <v/>
      </c>
      <c r="HS50" s="12">
        <f>MIN(MAX(MktMin19plus,IM49*MktPct19plus),MAX(0,JA49-CashBuffer))</f>
        <v/>
      </c>
      <c r="HT50" s="12">
        <f>IF(HS50&gt;0,MAX(1,ROUND(HS50/CAC*HP50,0)),0)</f>
        <v/>
      </c>
      <c r="HU50" s="12">
        <f>IF(HT50&gt;0,ROUND(HT50*ReferralMix/(1-ReferralMix),0),0)</f>
        <v/>
      </c>
      <c r="HV50" s="12">
        <f>HT50+HU50</f>
        <v/>
      </c>
      <c r="HW50" s="12">
        <f>ROUND(HV50*(1-AnnualMix),0)</f>
        <v/>
      </c>
      <c r="HX50" s="12">
        <f>HV50-HW50</f>
        <v/>
      </c>
      <c r="HY50" s="12">
        <f>ROUND(HW50*EssentialMix,0)</f>
        <v/>
      </c>
      <c r="HZ50" s="12">
        <f>HW50-HY50</f>
        <v/>
      </c>
      <c r="IA50" s="12">
        <f>ROUND(HX50*EssentialMix,0)</f>
        <v/>
      </c>
      <c r="IB50" s="12">
        <f>HX50-IA50</f>
        <v/>
      </c>
      <c r="IC50" s="12">
        <f>HY50+HY49+HY48+MAX(0,IC49-HY49-HY48)*(1-HR50)</f>
        <v/>
      </c>
      <c r="ID50" s="12">
        <f>HZ50+HZ49+HZ48+MAX(0,ID49-HZ49-HZ48)*(1-HR50)</f>
        <v/>
      </c>
      <c r="IE50" s="12">
        <f>IE49+IA50-IA38*(AnnualChurn*VLOOKUP(HN50,ChurnSeasonTable,4,FALSE))*POWER(1-(AnnualChurn*VLOOKUP(HN50,ChurnSeasonTable,4,FALSE)),0)+IA26*(AnnualChurn*VLOOKUP(HN50,ChurnSeasonTable,4,FALSE))*POWER(1-(AnnualChurn*VLOOKUP(HN50,ChurnSeasonTable,4,FALSE)),1)+IA14*(AnnualChurn*VLOOKUP(HN50,ChurnSeasonTable,4,FALSE))*POWER(1-(AnnualChurn*VLOOKUP(HN50,ChurnSeasonTable,4,FALSE)),2)</f>
        <v/>
      </c>
      <c r="IF50" s="12">
        <f>IF49+IB50-IB38*(AnnualChurn*VLOOKUP(HN50,ChurnSeasonTable,4,FALSE))*POWER(1-(AnnualChurn*VLOOKUP(HN50,ChurnSeasonTable,4,FALSE)),0)+IB26*(AnnualChurn*VLOOKUP(HN50,ChurnSeasonTable,4,FALSE))*POWER(1-(AnnualChurn*VLOOKUP(HN50,ChurnSeasonTable,4,FALSE)),1)+IB14*(AnnualChurn*VLOOKUP(HN50,ChurnSeasonTable,4,FALSE))*POWER(1-(AnnualChurn*VLOOKUP(HN50,ChurnSeasonTable,4,FALSE)),2)</f>
        <v/>
      </c>
      <c r="IG50" s="12">
        <f>IC50+ID50+IE50+IF50</f>
        <v/>
      </c>
      <c r="IH50" s="9">
        <f>IC50*PriceEssMonthly*HQ50+ID50*PricePremMonthly*HQ50+IE50*PriceEssAnnual*HQ50/12+IF50*PricePremAnnual*HQ50/12</f>
        <v/>
      </c>
      <c r="II50" s="9">
        <f>IH50*12</f>
        <v/>
      </c>
      <c r="IJ50" s="12">
        <f>IC50*PriceEssMonthly*HQ50+ID50*PricePremMonthly*HQ50</f>
        <v/>
      </c>
      <c r="IK50" s="12">
        <f>IA50*PriceEssAnnual*HQ50+IB50*PricePremAnnual*HQ50</f>
        <v/>
      </c>
      <c r="IL50" s="12">
        <f>IA38*POWER(1-(AnnualChurn*VLOOKUP(HN50,ChurnSeasonTable,4,FALSE)),1)*PriceEssAnnual*HQ50+IA26*POWER(1-(AnnualChurn*VLOOKUP(HN50,ChurnSeasonTable,4,FALSE)),2)*PriceEssAnnual*HQ50+IA14*POWER(1-(AnnualChurn*VLOOKUP(HN50,ChurnSeasonTable,4,FALSE)),3)*PriceEssAnnual*HQ50+IB38*POWER(1-(AnnualChurn*VLOOKUP(HN50,ChurnSeasonTable,4,FALSE)),1)*PricePremAnnual*HQ50+IB26*POWER(1-(AnnualChurn*VLOOKUP(HN50,ChurnSeasonTable,4,FALSE)),2)*PricePremAnnual*HQ50+IB14*POWER(1-(AnnualChurn*VLOOKUP(HN50,ChurnSeasonTable,4,FALSE)),3)*PricePremAnnual*HQ50</f>
        <v/>
      </c>
      <c r="IM50" s="9">
        <f>IJ50+IK50+IL50</f>
        <v/>
      </c>
      <c r="IN50" s="12">
        <f>SUM(IM39:IM50)</f>
        <v/>
      </c>
      <c r="IO50" s="12">
        <f>OR(IO49,IN50&gt;=VATThreshold)</f>
        <v/>
      </c>
      <c r="IP50" s="9">
        <f>IF(IO50,IM50/(1+VATRate),IM50)</f>
        <v/>
      </c>
      <c r="IQ50" s="12">
        <f>IM50-IP50</f>
        <v/>
      </c>
      <c r="IR50" s="12">
        <f>IF(IO50=0,0,IF(HN50=1,SUMPRODUCT(--(($HO$5:$HO50=$HO50-1)*($HN$5:$HN50&gt;=10)*($HN$5:$HN50&lt;=12)),$IQ$5:$IQ50),IF(HN50=4,SUMPRODUCT(--(($HO$5:$HO50=$HO50)*($HN$5:$HN50&gt;=1)*($HN$5:$HN50&lt;=3)),$IQ$5:$IQ50),IF(HN50=7,SUMPRODUCT(--(($HO$5:$HO50=$HO50)*($HN$5:$HN50&gt;=4)*($HN$5:$HN50&lt;=6)),$IQ$5:$IQ50),IF(HN50=10,SUMPRODUCT(--(($HO$5:$HO50=$HO50)*($HN$5:$HN50&gt;=7)*($HN$5:$HN50&lt;=9)),$IQ$5:$IQ50),0)))))</f>
        <v/>
      </c>
      <c r="IS50" s="12">
        <f>IS49+IQ50-IR50</f>
        <v/>
      </c>
      <c r="IT50" s="12">
        <f>IF(ProviderDelay&gt;=1,IP49*ProviderShare,IP50*ProviderShare)</f>
        <v/>
      </c>
      <c r="IU50" s="12">
        <f>IM50*PaymentFee</f>
        <v/>
      </c>
      <c r="IV50" s="12">
        <f>IG50*OpsAI</f>
        <v/>
      </c>
      <c r="IW50" s="12">
        <f>MonthlyFixed</f>
        <v/>
      </c>
      <c r="IX50" s="12">
        <f>HU50*ReferralReward</f>
        <v/>
      </c>
      <c r="IY50" s="12">
        <f>HS50</f>
        <v/>
      </c>
      <c r="IZ50" s="9">
        <f>IP50-IT50-IU50-IV50-IW50-IX50-IY50</f>
        <v/>
      </c>
      <c r="JA50" s="9">
        <f>JA49+IM50-(IT50+IU50+IV50+IW50+IX50+IY50+IR50)</f>
        <v/>
      </c>
      <c r="JB50" s="12">
        <f>IF(IG50&gt;0,IH50/IG50,0)</f>
        <v/>
      </c>
      <c r="JC50" s="11">
        <f>IF(IG49&gt;0,MAX(0,(IG49+HV50-IG50)/IG49),0)</f>
        <v/>
      </c>
      <c r="JE50" s="12" t="n">
        <v>46</v>
      </c>
      <c r="JF50" s="12">
        <f>MOD(JE50-1+LaunchMonth-1,12)+1</f>
        <v/>
      </c>
      <c r="JG50" s="12">
        <f>INT((JE50-1+LaunchMonth-1)/12)+1</f>
        <v/>
      </c>
      <c r="JH50" s="12">
        <f>VLOOKUP(JF50,SeasonTable,2,FALSE)</f>
        <v/>
      </c>
      <c r="JI50" s="12">
        <f>(1+InflationRate)^INT((JE50-1)/12)</f>
        <v/>
      </c>
      <c r="JJ50" s="11">
        <f>'Sens - Churn'!$A$16*VLOOKUP(JF50,ChurnSeasonTable,4,FALSE)</f>
        <v/>
      </c>
      <c r="JK50" s="12">
        <f>MIN(MAX(MktMin19plus,KE49*MktPct19plus),MAX(0,KS49-CashBuffer))</f>
        <v/>
      </c>
      <c r="JL50" s="12">
        <f>IF(JK50&gt;0,MAX(1,ROUND(JK50/CAC*JH50,0)),0)</f>
        <v/>
      </c>
      <c r="JM50" s="12">
        <f>IF(JL50&gt;0,ROUND(JL50*ReferralMix/(1-ReferralMix),0),0)</f>
        <v/>
      </c>
      <c r="JN50" s="12">
        <f>JL50+JM50</f>
        <v/>
      </c>
      <c r="JO50" s="12">
        <f>ROUND(JN50*(1-AnnualMix),0)</f>
        <v/>
      </c>
      <c r="JP50" s="12">
        <f>JN50-JO50</f>
        <v/>
      </c>
      <c r="JQ50" s="12">
        <f>ROUND(JO50*EssentialMix,0)</f>
        <v/>
      </c>
      <c r="JR50" s="12">
        <f>JO50-JQ50</f>
        <v/>
      </c>
      <c r="JS50" s="12">
        <f>ROUND(JP50*EssentialMix,0)</f>
        <v/>
      </c>
      <c r="JT50" s="12">
        <f>JP50-JS50</f>
        <v/>
      </c>
      <c r="JU50" s="12">
        <f>JQ50+JQ49+JQ48+MAX(0,JU49-JQ49-JQ48)*(1-JJ50)</f>
        <v/>
      </c>
      <c r="JV50" s="12">
        <f>JR50+JR49+JR48+MAX(0,JV49-JR49-JR48)*(1-JJ50)</f>
        <v/>
      </c>
      <c r="JW50" s="12">
        <f>JW49+JS50-JS38*(AnnualChurn*VLOOKUP(JF50,ChurnSeasonTable,4,FALSE))*POWER(1-(AnnualChurn*VLOOKUP(JF50,ChurnSeasonTable,4,FALSE)),0)+JS26*(AnnualChurn*VLOOKUP(JF50,ChurnSeasonTable,4,FALSE))*POWER(1-(AnnualChurn*VLOOKUP(JF50,ChurnSeasonTable,4,FALSE)),1)+JS14*(AnnualChurn*VLOOKUP(JF50,ChurnSeasonTable,4,FALSE))*POWER(1-(AnnualChurn*VLOOKUP(JF50,ChurnSeasonTable,4,FALSE)),2)</f>
        <v/>
      </c>
      <c r="JX50" s="12">
        <f>JX49+JT50-JT38*(AnnualChurn*VLOOKUP(JF50,ChurnSeasonTable,4,FALSE))*POWER(1-(AnnualChurn*VLOOKUP(JF50,ChurnSeasonTable,4,FALSE)),0)+JT26*(AnnualChurn*VLOOKUP(JF50,ChurnSeasonTable,4,FALSE))*POWER(1-(AnnualChurn*VLOOKUP(JF50,ChurnSeasonTable,4,FALSE)),1)+JT14*(AnnualChurn*VLOOKUP(JF50,ChurnSeasonTable,4,FALSE))*POWER(1-(AnnualChurn*VLOOKUP(JF50,ChurnSeasonTable,4,FALSE)),2)</f>
        <v/>
      </c>
      <c r="JY50" s="12">
        <f>JU50+JV50+JW50+JX50</f>
        <v/>
      </c>
      <c r="JZ50" s="9">
        <f>JU50*PriceEssMonthly*JI50+JV50*PricePremMonthly*JI50+JW50*PriceEssAnnual*JI50/12+JX50*PricePremAnnual*JI50/12</f>
        <v/>
      </c>
      <c r="KA50" s="9">
        <f>JZ50*12</f>
        <v/>
      </c>
      <c r="KB50" s="12">
        <f>JU50*PriceEssMonthly*JI50+JV50*PricePremMonthly*JI50</f>
        <v/>
      </c>
      <c r="KC50" s="12">
        <f>JS50*PriceEssAnnual*JI50+JT50*PricePremAnnual*JI50</f>
        <v/>
      </c>
      <c r="KD50" s="12">
        <f>JS38*POWER(1-(AnnualChurn*VLOOKUP(JF50,ChurnSeasonTable,4,FALSE)),1)*PriceEssAnnual*JI50+JS26*POWER(1-(AnnualChurn*VLOOKUP(JF50,ChurnSeasonTable,4,FALSE)),2)*PriceEssAnnual*JI50+JS14*POWER(1-(AnnualChurn*VLOOKUP(JF50,ChurnSeasonTable,4,FALSE)),3)*PriceEssAnnual*JI50+JT38*POWER(1-(AnnualChurn*VLOOKUP(JF50,ChurnSeasonTable,4,FALSE)),1)*PricePremAnnual*JI50+JT26*POWER(1-(AnnualChurn*VLOOKUP(JF50,ChurnSeasonTable,4,FALSE)),2)*PricePremAnnual*JI50+JT14*POWER(1-(AnnualChurn*VLOOKUP(JF50,ChurnSeasonTable,4,FALSE)),3)*PricePremAnnual*JI50</f>
        <v/>
      </c>
      <c r="KE50" s="9">
        <f>KB50+KC50+KD50</f>
        <v/>
      </c>
      <c r="KF50" s="12">
        <f>SUM(KE39:KE50)</f>
        <v/>
      </c>
      <c r="KG50" s="12">
        <f>OR(KG49,KF50&gt;=VATThreshold)</f>
        <v/>
      </c>
      <c r="KH50" s="9">
        <f>IF(KG50,KE50/(1+VATRate),KE50)</f>
        <v/>
      </c>
      <c r="KI50" s="12">
        <f>KE50-KH50</f>
        <v/>
      </c>
      <c r="KJ50" s="12">
        <f>IF(KG50=0,0,IF(JF50=1,SUMPRODUCT(--(($JG$5:$JG50=$JG50-1)*($JF$5:$JF50&gt;=10)*($JF$5:$JF50&lt;=12)),$KI$5:$KI50),IF(JF50=4,SUMPRODUCT(--(($JG$5:$JG50=$JG50)*($JF$5:$JF50&gt;=1)*($JF$5:$JF50&lt;=3)),$KI$5:$KI50),IF(JF50=7,SUMPRODUCT(--(($JG$5:$JG50=$JG50)*($JF$5:$JF50&gt;=4)*($JF$5:$JF50&lt;=6)),$KI$5:$KI50),IF(JF50=10,SUMPRODUCT(--(($JG$5:$JG50=$JG50)*($JF$5:$JF50&gt;=7)*($JF$5:$JF50&lt;=9)),$KI$5:$KI50),0)))))</f>
        <v/>
      </c>
      <c r="KK50" s="12">
        <f>KK49+KI50-KJ50</f>
        <v/>
      </c>
      <c r="KL50" s="12">
        <f>IF(ProviderDelay&gt;=1,KH49*ProviderShare,KH50*ProviderShare)</f>
        <v/>
      </c>
      <c r="KM50" s="12">
        <f>KE50*PaymentFee</f>
        <v/>
      </c>
      <c r="KN50" s="12">
        <f>JY50*OpsAI</f>
        <v/>
      </c>
      <c r="KO50" s="12">
        <f>MonthlyFixed</f>
        <v/>
      </c>
      <c r="KP50" s="12">
        <f>JM50*ReferralReward</f>
        <v/>
      </c>
      <c r="KQ50" s="12">
        <f>JK50</f>
        <v/>
      </c>
      <c r="KR50" s="9">
        <f>KH50-KL50-KM50-KN50-KO50-KP50-KQ50</f>
        <v/>
      </c>
      <c r="KS50" s="9">
        <f>KS49+KE50-(KL50+KM50+KN50+KO50+KP50+KQ50+KJ50)</f>
        <v/>
      </c>
      <c r="KT50" s="12">
        <f>IF(JY50&gt;0,JZ50/JY50,0)</f>
        <v/>
      </c>
      <c r="KU50" s="11">
        <f>IF(JY49&gt;0,MAX(0,(JY49+JN50-JY50)/JY49),0)</f>
        <v/>
      </c>
      <c r="KW50" s="12" t="n">
        <v>46</v>
      </c>
      <c r="KX50" s="12">
        <f>MOD(KW50-1+LaunchMonth-1,12)+1</f>
        <v/>
      </c>
      <c r="KY50" s="12">
        <f>INT((KW50-1+LaunchMonth-1)/12)+1</f>
        <v/>
      </c>
      <c r="KZ50" s="12">
        <f>VLOOKUP(KX50,SeasonTable,2,FALSE)</f>
        <v/>
      </c>
      <c r="LA50" s="12">
        <f>(1+InflationRate)^INT((KW50-1)/12)</f>
        <v/>
      </c>
      <c r="LB50" s="11">
        <f>'Sens - Churn'!$A$17*VLOOKUP(KX50,ChurnSeasonTable,4,FALSE)</f>
        <v/>
      </c>
      <c r="LC50" s="12">
        <f>MIN(MAX(MktMin19plus,LW49*MktPct19plus),MAX(0,MK49-CashBuffer))</f>
        <v/>
      </c>
      <c r="LD50" s="12">
        <f>IF(LC50&gt;0,MAX(1,ROUND(LC50/CAC*KZ50,0)),0)</f>
        <v/>
      </c>
      <c r="LE50" s="12">
        <f>IF(LD50&gt;0,ROUND(LD50*ReferralMix/(1-ReferralMix),0),0)</f>
        <v/>
      </c>
      <c r="LF50" s="12">
        <f>LD50+LE50</f>
        <v/>
      </c>
      <c r="LG50" s="12">
        <f>ROUND(LF50*(1-AnnualMix),0)</f>
        <v/>
      </c>
      <c r="LH50" s="12">
        <f>LF50-LG50</f>
        <v/>
      </c>
      <c r="LI50" s="12">
        <f>ROUND(LG50*EssentialMix,0)</f>
        <v/>
      </c>
      <c r="LJ50" s="12">
        <f>LG50-LI50</f>
        <v/>
      </c>
      <c r="LK50" s="12">
        <f>ROUND(LH50*EssentialMix,0)</f>
        <v/>
      </c>
      <c r="LL50" s="12">
        <f>LH50-LK50</f>
        <v/>
      </c>
      <c r="LM50" s="12">
        <f>LI50+LI49+LI48+MAX(0,LM49-LI49-LI48)*(1-LB50)</f>
        <v/>
      </c>
      <c r="LN50" s="12">
        <f>LJ50+LJ49+LJ48+MAX(0,LN49-LJ49-LJ48)*(1-LB50)</f>
        <v/>
      </c>
      <c r="LO50" s="12">
        <f>LO49+LK50-LK38*(AnnualChurn*VLOOKUP(KX50,ChurnSeasonTable,4,FALSE))*POWER(1-(AnnualChurn*VLOOKUP(KX50,ChurnSeasonTable,4,FALSE)),0)+LK26*(AnnualChurn*VLOOKUP(KX50,ChurnSeasonTable,4,FALSE))*POWER(1-(AnnualChurn*VLOOKUP(KX50,ChurnSeasonTable,4,FALSE)),1)+LK14*(AnnualChurn*VLOOKUP(KX50,ChurnSeasonTable,4,FALSE))*POWER(1-(AnnualChurn*VLOOKUP(KX50,ChurnSeasonTable,4,FALSE)),2)</f>
        <v/>
      </c>
      <c r="LP50" s="12">
        <f>LP49+LL50-LL38*(AnnualChurn*VLOOKUP(KX50,ChurnSeasonTable,4,FALSE))*POWER(1-(AnnualChurn*VLOOKUP(KX50,ChurnSeasonTable,4,FALSE)),0)+LL26*(AnnualChurn*VLOOKUP(KX50,ChurnSeasonTable,4,FALSE))*POWER(1-(AnnualChurn*VLOOKUP(KX50,ChurnSeasonTable,4,FALSE)),1)+LL14*(AnnualChurn*VLOOKUP(KX50,ChurnSeasonTable,4,FALSE))*POWER(1-(AnnualChurn*VLOOKUP(KX50,ChurnSeasonTable,4,FALSE)),2)</f>
        <v/>
      </c>
      <c r="LQ50" s="12">
        <f>LM50+LN50+LO50+LP50</f>
        <v/>
      </c>
      <c r="LR50" s="9">
        <f>LM50*PriceEssMonthly*LA50+LN50*PricePremMonthly*LA50+LO50*PriceEssAnnual*LA50/12+LP50*PricePremAnnual*LA50/12</f>
        <v/>
      </c>
      <c r="LS50" s="9">
        <f>LR50*12</f>
        <v/>
      </c>
      <c r="LT50" s="12">
        <f>LM50*PriceEssMonthly*LA50+LN50*PricePremMonthly*LA50</f>
        <v/>
      </c>
      <c r="LU50" s="12">
        <f>LK50*PriceEssAnnual*LA50+LL50*PricePremAnnual*LA50</f>
        <v/>
      </c>
      <c r="LV50" s="12">
        <f>LK38*POWER(1-(AnnualChurn*VLOOKUP(KX50,ChurnSeasonTable,4,FALSE)),1)*PriceEssAnnual*LA50+LK26*POWER(1-(AnnualChurn*VLOOKUP(KX50,ChurnSeasonTable,4,FALSE)),2)*PriceEssAnnual*LA50+LK14*POWER(1-(AnnualChurn*VLOOKUP(KX50,ChurnSeasonTable,4,FALSE)),3)*PriceEssAnnual*LA50+LL38*POWER(1-(AnnualChurn*VLOOKUP(KX50,ChurnSeasonTable,4,FALSE)),1)*PricePremAnnual*LA50+LL26*POWER(1-(AnnualChurn*VLOOKUP(KX50,ChurnSeasonTable,4,FALSE)),2)*PricePremAnnual*LA50+LL14*POWER(1-(AnnualChurn*VLOOKUP(KX50,ChurnSeasonTable,4,FALSE)),3)*PricePremAnnual*LA50</f>
        <v/>
      </c>
      <c r="LW50" s="9">
        <f>LT50+LU50+LV50</f>
        <v/>
      </c>
      <c r="LX50" s="12">
        <f>SUM(LW39:LW50)</f>
        <v/>
      </c>
      <c r="LY50" s="12">
        <f>OR(LY49,LX50&gt;=VATThreshold)</f>
        <v/>
      </c>
      <c r="LZ50" s="9">
        <f>IF(LY50,LW50/(1+VATRate),LW50)</f>
        <v/>
      </c>
      <c r="MA50" s="12">
        <f>LW50-LZ50</f>
        <v/>
      </c>
      <c r="MB50" s="12">
        <f>IF(LY50=0,0,IF(KX50=1,SUMPRODUCT(--(($KY$5:$KY50=$KY50-1)*($KX$5:$KX50&gt;=10)*($KX$5:$KX50&lt;=12)),$MA$5:$MA50),IF(KX50=4,SUMPRODUCT(--(($KY$5:$KY50=$KY50)*($KX$5:$KX50&gt;=1)*($KX$5:$KX50&lt;=3)),$MA$5:$MA50),IF(KX50=7,SUMPRODUCT(--(($KY$5:$KY50=$KY50)*($KX$5:$KX50&gt;=4)*($KX$5:$KX50&lt;=6)),$MA$5:$MA50),IF(KX50=10,SUMPRODUCT(--(($KY$5:$KY50=$KY50)*($KX$5:$KX50&gt;=7)*($KX$5:$KX50&lt;=9)),$MA$5:$MA50),0)))))</f>
        <v/>
      </c>
      <c r="MC50" s="12">
        <f>MC49+MA50-MB50</f>
        <v/>
      </c>
      <c r="MD50" s="12">
        <f>IF(ProviderDelay&gt;=1,LZ49*ProviderShare,LZ50*ProviderShare)</f>
        <v/>
      </c>
      <c r="ME50" s="12">
        <f>LW50*PaymentFee</f>
        <v/>
      </c>
      <c r="MF50" s="12">
        <f>LQ50*OpsAI</f>
        <v/>
      </c>
      <c r="MG50" s="12">
        <f>MonthlyFixed</f>
        <v/>
      </c>
      <c r="MH50" s="12">
        <f>LE50*ReferralReward</f>
        <v/>
      </c>
      <c r="MI50" s="12">
        <f>LC50</f>
        <v/>
      </c>
      <c r="MJ50" s="9">
        <f>LZ50-MD50-ME50-MF50-MG50-MH50-MI50</f>
        <v/>
      </c>
      <c r="MK50" s="9">
        <f>MK49+LW50-(MD50+ME50+MF50+MG50+MH50+MI50+MB50)</f>
        <v/>
      </c>
      <c r="ML50" s="12">
        <f>IF(LQ50&gt;0,LR50/LQ50,0)</f>
        <v/>
      </c>
      <c r="MM50" s="11">
        <f>IF(LQ49&gt;0,MAX(0,(LQ49+LF50-LQ50)/LQ49),0)</f>
        <v/>
      </c>
      <c r="MO50" s="12" t="n">
        <v>46</v>
      </c>
      <c r="MP50" s="12">
        <f>MOD(MO50-1+LaunchMonth-1,12)+1</f>
        <v/>
      </c>
      <c r="MQ50" s="12">
        <f>INT((MO50-1+LaunchMonth-1)/12)+1</f>
        <v/>
      </c>
      <c r="MR50" s="12">
        <f>VLOOKUP(MP50,SeasonTable,2,FALSE)</f>
        <v/>
      </c>
      <c r="MS50" s="12">
        <f>(1+InflationRate)^INT((MO50-1)/12)</f>
        <v/>
      </c>
      <c r="MT50" s="11">
        <f>'Sens - Churn'!$A$18*VLOOKUP(MP50,ChurnSeasonTable,4,FALSE)</f>
        <v/>
      </c>
      <c r="MU50" s="12">
        <f>MIN(MAX(MktMin19plus,NO49*MktPct19plus),MAX(0,OC49-CashBuffer))</f>
        <v/>
      </c>
      <c r="MV50" s="12">
        <f>IF(MU50&gt;0,MAX(1,ROUND(MU50/CAC*MR50,0)),0)</f>
        <v/>
      </c>
      <c r="MW50" s="12">
        <f>IF(MV50&gt;0,ROUND(MV50*ReferralMix/(1-ReferralMix),0),0)</f>
        <v/>
      </c>
      <c r="MX50" s="12">
        <f>MV50+MW50</f>
        <v/>
      </c>
      <c r="MY50" s="12">
        <f>ROUND(MX50*(1-AnnualMix),0)</f>
        <v/>
      </c>
      <c r="MZ50" s="12">
        <f>MX50-MY50</f>
        <v/>
      </c>
      <c r="NA50" s="12">
        <f>ROUND(MY50*EssentialMix,0)</f>
        <v/>
      </c>
      <c r="NB50" s="12">
        <f>MY50-NA50</f>
        <v/>
      </c>
      <c r="NC50" s="12">
        <f>ROUND(MZ50*EssentialMix,0)</f>
        <v/>
      </c>
      <c r="ND50" s="12">
        <f>MZ50-NC50</f>
        <v/>
      </c>
      <c r="NE50" s="12">
        <f>NA50+NA49+NA48+MAX(0,NE49-NA49-NA48)*(1-MT50)</f>
        <v/>
      </c>
      <c r="NF50" s="12">
        <f>NB50+NB49+NB48+MAX(0,NF49-NB49-NB48)*(1-MT50)</f>
        <v/>
      </c>
      <c r="NG50" s="12">
        <f>NG49+NC50-NC38*(AnnualChurn*VLOOKUP(MP50,ChurnSeasonTable,4,FALSE))*POWER(1-(AnnualChurn*VLOOKUP(MP50,ChurnSeasonTable,4,FALSE)),0)+NC26*(AnnualChurn*VLOOKUP(MP50,ChurnSeasonTable,4,FALSE))*POWER(1-(AnnualChurn*VLOOKUP(MP50,ChurnSeasonTable,4,FALSE)),1)+NC14*(AnnualChurn*VLOOKUP(MP50,ChurnSeasonTable,4,FALSE))*POWER(1-(AnnualChurn*VLOOKUP(MP50,ChurnSeasonTable,4,FALSE)),2)</f>
        <v/>
      </c>
      <c r="NH50" s="12">
        <f>NH49+ND50-ND38*(AnnualChurn*VLOOKUP(MP50,ChurnSeasonTable,4,FALSE))*POWER(1-(AnnualChurn*VLOOKUP(MP50,ChurnSeasonTable,4,FALSE)),0)+ND26*(AnnualChurn*VLOOKUP(MP50,ChurnSeasonTable,4,FALSE))*POWER(1-(AnnualChurn*VLOOKUP(MP50,ChurnSeasonTable,4,FALSE)),1)+ND14*(AnnualChurn*VLOOKUP(MP50,ChurnSeasonTable,4,FALSE))*POWER(1-(AnnualChurn*VLOOKUP(MP50,ChurnSeasonTable,4,FALSE)),2)</f>
        <v/>
      </c>
      <c r="NI50" s="12">
        <f>NE50+NF50+NG50+NH50</f>
        <v/>
      </c>
      <c r="NJ50" s="9">
        <f>NE50*PriceEssMonthly*MS50+NF50*PricePremMonthly*MS50+NG50*PriceEssAnnual*MS50/12+NH50*PricePremAnnual*MS50/12</f>
        <v/>
      </c>
      <c r="NK50" s="9">
        <f>NJ50*12</f>
        <v/>
      </c>
      <c r="NL50" s="12">
        <f>NE50*PriceEssMonthly*MS50+NF50*PricePremMonthly*MS50</f>
        <v/>
      </c>
      <c r="NM50" s="12">
        <f>NC50*PriceEssAnnual*MS50+ND50*PricePremAnnual*MS50</f>
        <v/>
      </c>
      <c r="NN50" s="12">
        <f>NC38*POWER(1-(AnnualChurn*VLOOKUP(MP50,ChurnSeasonTable,4,FALSE)),1)*PriceEssAnnual*MS50+NC26*POWER(1-(AnnualChurn*VLOOKUP(MP50,ChurnSeasonTable,4,FALSE)),2)*PriceEssAnnual*MS50+NC14*POWER(1-(AnnualChurn*VLOOKUP(MP50,ChurnSeasonTable,4,FALSE)),3)*PriceEssAnnual*MS50+ND38*POWER(1-(AnnualChurn*VLOOKUP(MP50,ChurnSeasonTable,4,FALSE)),1)*PricePremAnnual*MS50+ND26*POWER(1-(AnnualChurn*VLOOKUP(MP50,ChurnSeasonTable,4,FALSE)),2)*PricePremAnnual*MS50+ND14*POWER(1-(AnnualChurn*VLOOKUP(MP50,ChurnSeasonTable,4,FALSE)),3)*PricePremAnnual*MS50</f>
        <v/>
      </c>
      <c r="NO50" s="9">
        <f>NL50+NM50+NN50</f>
        <v/>
      </c>
      <c r="NP50" s="12">
        <f>SUM(NO39:NO50)</f>
        <v/>
      </c>
      <c r="NQ50" s="12">
        <f>OR(NQ49,NP50&gt;=VATThreshold)</f>
        <v/>
      </c>
      <c r="NR50" s="9">
        <f>IF(NQ50,NO50/(1+VATRate),NO50)</f>
        <v/>
      </c>
      <c r="NS50" s="12">
        <f>NO50-NR50</f>
        <v/>
      </c>
      <c r="NT50" s="12">
        <f>IF(NQ50=0,0,IF(MP50=1,SUMPRODUCT(--(($MQ$5:$MQ50=$MQ50-1)*($MP$5:$MP50&gt;=10)*($MP$5:$MP50&lt;=12)),$NS$5:$NS50),IF(MP50=4,SUMPRODUCT(--(($MQ$5:$MQ50=$MQ50)*($MP$5:$MP50&gt;=1)*($MP$5:$MP50&lt;=3)),$NS$5:$NS50),IF(MP50=7,SUMPRODUCT(--(($MQ$5:$MQ50=$MQ50)*($MP$5:$MP50&gt;=4)*($MP$5:$MP50&lt;=6)),$NS$5:$NS50),IF(MP50=10,SUMPRODUCT(--(($MQ$5:$MQ50=$MQ50)*($MP$5:$MP50&gt;=7)*($MP$5:$MP50&lt;=9)),$NS$5:$NS50),0)))))</f>
        <v/>
      </c>
      <c r="NU50" s="12">
        <f>NU49+NS50-NT50</f>
        <v/>
      </c>
      <c r="NV50" s="12">
        <f>IF(ProviderDelay&gt;=1,NR49*ProviderShare,NR50*ProviderShare)</f>
        <v/>
      </c>
      <c r="NW50" s="12">
        <f>NO50*PaymentFee</f>
        <v/>
      </c>
      <c r="NX50" s="12">
        <f>NI50*OpsAI</f>
        <v/>
      </c>
      <c r="NY50" s="12">
        <f>MonthlyFixed</f>
        <v/>
      </c>
      <c r="NZ50" s="12">
        <f>MW50*ReferralReward</f>
        <v/>
      </c>
      <c r="OA50" s="12">
        <f>MU50</f>
        <v/>
      </c>
      <c r="OB50" s="9">
        <f>NR50-NV50-NW50-NX50-NY50-NZ50-OA50</f>
        <v/>
      </c>
      <c r="OC50" s="9">
        <f>OC49+NO50-(NV50+NW50+NX50+NY50+NZ50+OA50+NT50)</f>
        <v/>
      </c>
      <c r="OD50" s="12">
        <f>IF(NI50&gt;0,NJ50/NI50,0)</f>
        <v/>
      </c>
      <c r="OE50" s="11">
        <f>IF(NI49&gt;0,MAX(0,(NI49+MX50-NI50)/NI49),0)</f>
        <v/>
      </c>
      <c r="OG50" s="12" t="n">
        <v>46</v>
      </c>
      <c r="OH50" s="12">
        <f>MOD(OG50-1+LaunchMonth-1,12)+1</f>
        <v/>
      </c>
      <c r="OI50" s="12">
        <f>INT((OG50-1+LaunchMonth-1)/12)+1</f>
        <v/>
      </c>
      <c r="OJ50" s="12">
        <f>VLOOKUP(OH50,SeasonTable,2,FALSE)</f>
        <v/>
      </c>
      <c r="OK50" s="12">
        <f>(1+InflationRate)^INT((OG50-1)/12)</f>
        <v/>
      </c>
      <c r="OL50" s="11">
        <f>'Sens - Churn'!$A$19*VLOOKUP(OH50,ChurnSeasonTable,4,FALSE)</f>
        <v/>
      </c>
      <c r="OM50" s="12">
        <f>MIN(MAX(MktMin19plus,PG49*MktPct19plus),MAX(0,PU49-CashBuffer))</f>
        <v/>
      </c>
      <c r="ON50" s="12">
        <f>IF(OM50&gt;0,MAX(1,ROUND(OM50/CAC*OJ50,0)),0)</f>
        <v/>
      </c>
      <c r="OO50" s="12">
        <f>IF(ON50&gt;0,ROUND(ON50*ReferralMix/(1-ReferralMix),0),0)</f>
        <v/>
      </c>
      <c r="OP50" s="12">
        <f>ON50+OO50</f>
        <v/>
      </c>
      <c r="OQ50" s="12">
        <f>ROUND(OP50*(1-AnnualMix),0)</f>
        <v/>
      </c>
      <c r="OR50" s="12">
        <f>OP50-OQ50</f>
        <v/>
      </c>
      <c r="OS50" s="12">
        <f>ROUND(OQ50*EssentialMix,0)</f>
        <v/>
      </c>
      <c r="OT50" s="12">
        <f>OQ50-OS50</f>
        <v/>
      </c>
      <c r="OU50" s="12">
        <f>ROUND(OR50*EssentialMix,0)</f>
        <v/>
      </c>
      <c r="OV50" s="12">
        <f>OR50-OU50</f>
        <v/>
      </c>
      <c r="OW50" s="12">
        <f>OS50+OS49+OS48+MAX(0,OW49-OS49-OS48)*(1-OL50)</f>
        <v/>
      </c>
      <c r="OX50" s="12">
        <f>OT50+OT49+OT48+MAX(0,OX49-OT49-OT48)*(1-OL50)</f>
        <v/>
      </c>
      <c r="OY50" s="12">
        <f>OY49+OU50-OU38*(AnnualChurn*VLOOKUP(OH50,ChurnSeasonTable,4,FALSE))*POWER(1-(AnnualChurn*VLOOKUP(OH50,ChurnSeasonTable,4,FALSE)),0)+OU26*(AnnualChurn*VLOOKUP(OH50,ChurnSeasonTable,4,FALSE))*POWER(1-(AnnualChurn*VLOOKUP(OH50,ChurnSeasonTable,4,FALSE)),1)+OU14*(AnnualChurn*VLOOKUP(OH50,ChurnSeasonTable,4,FALSE))*POWER(1-(AnnualChurn*VLOOKUP(OH50,ChurnSeasonTable,4,FALSE)),2)</f>
        <v/>
      </c>
      <c r="OZ50" s="12">
        <f>OZ49+OV50-OV38*(AnnualChurn*VLOOKUP(OH50,ChurnSeasonTable,4,FALSE))*POWER(1-(AnnualChurn*VLOOKUP(OH50,ChurnSeasonTable,4,FALSE)),0)+OV26*(AnnualChurn*VLOOKUP(OH50,ChurnSeasonTable,4,FALSE))*POWER(1-(AnnualChurn*VLOOKUP(OH50,ChurnSeasonTable,4,FALSE)),1)+OV14*(AnnualChurn*VLOOKUP(OH50,ChurnSeasonTable,4,FALSE))*POWER(1-(AnnualChurn*VLOOKUP(OH50,ChurnSeasonTable,4,FALSE)),2)</f>
        <v/>
      </c>
      <c r="PA50" s="12">
        <f>OW50+OX50+OY50+OZ50</f>
        <v/>
      </c>
      <c r="PB50" s="9">
        <f>OW50*PriceEssMonthly*OK50+OX50*PricePremMonthly*OK50+OY50*PriceEssAnnual*OK50/12+OZ50*PricePremAnnual*OK50/12</f>
        <v/>
      </c>
      <c r="PC50" s="9">
        <f>PB50*12</f>
        <v/>
      </c>
      <c r="PD50" s="12">
        <f>OW50*PriceEssMonthly*OK50+OX50*PricePremMonthly*OK50</f>
        <v/>
      </c>
      <c r="PE50" s="12">
        <f>OU50*PriceEssAnnual*OK50+OV50*PricePremAnnual*OK50</f>
        <v/>
      </c>
      <c r="PF50" s="12">
        <f>OU38*POWER(1-(AnnualChurn*VLOOKUP(OH50,ChurnSeasonTable,4,FALSE)),1)*PriceEssAnnual*OK50+OU26*POWER(1-(AnnualChurn*VLOOKUP(OH50,ChurnSeasonTable,4,FALSE)),2)*PriceEssAnnual*OK50+OU14*POWER(1-(AnnualChurn*VLOOKUP(OH50,ChurnSeasonTable,4,FALSE)),3)*PriceEssAnnual*OK50+OV38*POWER(1-(AnnualChurn*VLOOKUP(OH50,ChurnSeasonTable,4,FALSE)),1)*PricePremAnnual*OK50+OV26*POWER(1-(AnnualChurn*VLOOKUP(OH50,ChurnSeasonTable,4,FALSE)),2)*PricePremAnnual*OK50+OV14*POWER(1-(AnnualChurn*VLOOKUP(OH50,ChurnSeasonTable,4,FALSE)),3)*PricePremAnnual*OK50</f>
        <v/>
      </c>
      <c r="PG50" s="9">
        <f>PD50+PE50+PF50</f>
        <v/>
      </c>
      <c r="PH50" s="12">
        <f>SUM(PG39:PG50)</f>
        <v/>
      </c>
      <c r="PI50" s="12">
        <f>OR(PI49,PH50&gt;=VATThreshold)</f>
        <v/>
      </c>
      <c r="PJ50" s="9">
        <f>IF(PI50,PG50/(1+VATRate),PG50)</f>
        <v/>
      </c>
      <c r="PK50" s="12">
        <f>PG50-PJ50</f>
        <v/>
      </c>
      <c r="PL50" s="12">
        <f>IF(PI50=0,0,IF(OH50=1,SUMPRODUCT(--(($OI$5:$OI50=$OI50-1)*($OH$5:$OH50&gt;=10)*($OH$5:$OH50&lt;=12)),$PK$5:$PK50),IF(OH50=4,SUMPRODUCT(--(($OI$5:$OI50=$OI50)*($OH$5:$OH50&gt;=1)*($OH$5:$OH50&lt;=3)),$PK$5:$PK50),IF(OH50=7,SUMPRODUCT(--(($OI$5:$OI50=$OI50)*($OH$5:$OH50&gt;=4)*($OH$5:$OH50&lt;=6)),$PK$5:$PK50),IF(OH50=10,SUMPRODUCT(--(($OI$5:$OI50=$OI50)*($OH$5:$OH50&gt;=7)*($OH$5:$OH50&lt;=9)),$PK$5:$PK50),0)))))</f>
        <v/>
      </c>
      <c r="PM50" s="12">
        <f>PM49+PK50-PL50</f>
        <v/>
      </c>
      <c r="PN50" s="12">
        <f>IF(ProviderDelay&gt;=1,PJ49*ProviderShare,PJ50*ProviderShare)</f>
        <v/>
      </c>
      <c r="PO50" s="12">
        <f>PG50*PaymentFee</f>
        <v/>
      </c>
      <c r="PP50" s="12">
        <f>PA50*OpsAI</f>
        <v/>
      </c>
      <c r="PQ50" s="12">
        <f>MonthlyFixed</f>
        <v/>
      </c>
      <c r="PR50" s="12">
        <f>OO50*ReferralReward</f>
        <v/>
      </c>
      <c r="PS50" s="12">
        <f>OM50</f>
        <v/>
      </c>
      <c r="PT50" s="9">
        <f>PJ50-PN50-PO50-PP50-PQ50-PR50-PS50</f>
        <v/>
      </c>
      <c r="PU50" s="9">
        <f>PU49+PG50-(PN50+PO50+PP50+PQ50+PR50+PS50+PL50)</f>
        <v/>
      </c>
      <c r="PV50" s="12">
        <f>IF(PA50&gt;0,PB50/PA50,0)</f>
        <v/>
      </c>
      <c r="PW50" s="11">
        <f>IF(PA49&gt;0,MAX(0,(PA49+OP50-PA50)/PA49),0)</f>
        <v/>
      </c>
      <c r="PY50" s="12" t="n">
        <v>46</v>
      </c>
      <c r="PZ50" s="12">
        <f>MOD(PY50-1+LaunchMonth-1,12)+1</f>
        <v/>
      </c>
      <c r="QA50" s="12">
        <f>INT((PY50-1+LaunchMonth-1)/12)+1</f>
        <v/>
      </c>
      <c r="QB50" s="12">
        <f>VLOOKUP(PZ50,SeasonTable,2,FALSE)</f>
        <v/>
      </c>
      <c r="QC50" s="12">
        <f>(1+InflationRate)^INT((PY50-1)/12)</f>
        <v/>
      </c>
      <c r="QD50" s="11">
        <f>'Sens - Churn'!$A$20*VLOOKUP(PZ50,ChurnSeasonTable,4,FALSE)</f>
        <v/>
      </c>
      <c r="QE50" s="12">
        <f>MIN(MAX(MktMin19plus,QY49*MktPct19plus),MAX(0,RM49-CashBuffer))</f>
        <v/>
      </c>
      <c r="QF50" s="12">
        <f>IF(QE50&gt;0,MAX(1,ROUND(QE50/CAC*QB50,0)),0)</f>
        <v/>
      </c>
      <c r="QG50" s="12">
        <f>IF(QF50&gt;0,ROUND(QF50*ReferralMix/(1-ReferralMix),0),0)</f>
        <v/>
      </c>
      <c r="QH50" s="12">
        <f>QF50+QG50</f>
        <v/>
      </c>
      <c r="QI50" s="12">
        <f>ROUND(QH50*(1-AnnualMix),0)</f>
        <v/>
      </c>
      <c r="QJ50" s="12">
        <f>QH50-QI50</f>
        <v/>
      </c>
      <c r="QK50" s="12">
        <f>ROUND(QI50*EssentialMix,0)</f>
        <v/>
      </c>
      <c r="QL50" s="12">
        <f>QI50-QK50</f>
        <v/>
      </c>
      <c r="QM50" s="12">
        <f>ROUND(QJ50*EssentialMix,0)</f>
        <v/>
      </c>
      <c r="QN50" s="12">
        <f>QJ50-QM50</f>
        <v/>
      </c>
      <c r="QO50" s="12">
        <f>QK50+QK49+QK48+MAX(0,QO49-QK49-QK48)*(1-QD50)</f>
        <v/>
      </c>
      <c r="QP50" s="12">
        <f>QL50+QL49+QL48+MAX(0,QP49-QL49-QL48)*(1-QD50)</f>
        <v/>
      </c>
      <c r="QQ50" s="12">
        <f>QQ49+QM50-QM38*(AnnualChurn*VLOOKUP(PZ50,ChurnSeasonTable,4,FALSE))*POWER(1-(AnnualChurn*VLOOKUP(PZ50,ChurnSeasonTable,4,FALSE)),0)+QM26*(AnnualChurn*VLOOKUP(PZ50,ChurnSeasonTable,4,FALSE))*POWER(1-(AnnualChurn*VLOOKUP(PZ50,ChurnSeasonTable,4,FALSE)),1)+QM14*(AnnualChurn*VLOOKUP(PZ50,ChurnSeasonTable,4,FALSE))*POWER(1-(AnnualChurn*VLOOKUP(PZ50,ChurnSeasonTable,4,FALSE)),2)</f>
        <v/>
      </c>
      <c r="QR50" s="12">
        <f>QR49+QN50-QN38*(AnnualChurn*VLOOKUP(PZ50,ChurnSeasonTable,4,FALSE))*POWER(1-(AnnualChurn*VLOOKUP(PZ50,ChurnSeasonTable,4,FALSE)),0)+QN26*(AnnualChurn*VLOOKUP(PZ50,ChurnSeasonTable,4,FALSE))*POWER(1-(AnnualChurn*VLOOKUP(PZ50,ChurnSeasonTable,4,FALSE)),1)+QN14*(AnnualChurn*VLOOKUP(PZ50,ChurnSeasonTable,4,FALSE))*POWER(1-(AnnualChurn*VLOOKUP(PZ50,ChurnSeasonTable,4,FALSE)),2)</f>
        <v/>
      </c>
      <c r="QS50" s="12">
        <f>QO50+QP50+QQ50+QR50</f>
        <v/>
      </c>
      <c r="QT50" s="9">
        <f>QO50*PriceEssMonthly*QC50+QP50*PricePremMonthly*QC50+QQ50*PriceEssAnnual*QC50/12+QR50*PricePremAnnual*QC50/12</f>
        <v/>
      </c>
      <c r="QU50" s="9">
        <f>QT50*12</f>
        <v/>
      </c>
      <c r="QV50" s="12">
        <f>QO50*PriceEssMonthly*QC50+QP50*PricePremMonthly*QC50</f>
        <v/>
      </c>
      <c r="QW50" s="12">
        <f>QM50*PriceEssAnnual*QC50+QN50*PricePremAnnual*QC50</f>
        <v/>
      </c>
      <c r="QX50" s="12">
        <f>QM38*POWER(1-(AnnualChurn*VLOOKUP(PZ50,ChurnSeasonTable,4,FALSE)),1)*PriceEssAnnual*QC50+QM26*POWER(1-(AnnualChurn*VLOOKUP(PZ50,ChurnSeasonTable,4,FALSE)),2)*PriceEssAnnual*QC50+QM14*POWER(1-(AnnualChurn*VLOOKUP(PZ50,ChurnSeasonTable,4,FALSE)),3)*PriceEssAnnual*QC50+QN38*POWER(1-(AnnualChurn*VLOOKUP(PZ50,ChurnSeasonTable,4,FALSE)),1)*PricePremAnnual*QC50+QN26*POWER(1-(AnnualChurn*VLOOKUP(PZ50,ChurnSeasonTable,4,FALSE)),2)*PricePremAnnual*QC50+QN14*POWER(1-(AnnualChurn*VLOOKUP(PZ50,ChurnSeasonTable,4,FALSE)),3)*PricePremAnnual*QC50</f>
        <v/>
      </c>
      <c r="QY50" s="9">
        <f>QV50+QW50+QX50</f>
        <v/>
      </c>
      <c r="QZ50" s="12">
        <f>SUM(QY39:QY50)</f>
        <v/>
      </c>
      <c r="RA50" s="12">
        <f>OR(RA49,QZ50&gt;=VATThreshold)</f>
        <v/>
      </c>
      <c r="RB50" s="9">
        <f>IF(RA50,QY50/(1+VATRate),QY50)</f>
        <v/>
      </c>
      <c r="RC50" s="12">
        <f>QY50-RB50</f>
        <v/>
      </c>
      <c r="RD50" s="12">
        <f>IF(RA50=0,0,IF(PZ50=1,SUMPRODUCT(--(($QA$5:$QA50=$QA50-1)*($PZ$5:$PZ50&gt;=10)*($PZ$5:$PZ50&lt;=12)),$RC$5:$RC50),IF(PZ50=4,SUMPRODUCT(--(($QA$5:$QA50=$QA50)*($PZ$5:$PZ50&gt;=1)*($PZ$5:$PZ50&lt;=3)),$RC$5:$RC50),IF(PZ50=7,SUMPRODUCT(--(($QA$5:$QA50=$QA50)*($PZ$5:$PZ50&gt;=4)*($PZ$5:$PZ50&lt;=6)),$RC$5:$RC50),IF(PZ50=10,SUMPRODUCT(--(($QA$5:$QA50=$QA50)*($PZ$5:$PZ50&gt;=7)*($PZ$5:$PZ50&lt;=9)),$RC$5:$RC50),0)))))</f>
        <v/>
      </c>
      <c r="RE50" s="12">
        <f>RE49+RC50-RD50</f>
        <v/>
      </c>
      <c r="RF50" s="12">
        <f>IF(ProviderDelay&gt;=1,RB49*ProviderShare,RB50*ProviderShare)</f>
        <v/>
      </c>
      <c r="RG50" s="12">
        <f>QY50*PaymentFee</f>
        <v/>
      </c>
      <c r="RH50" s="12">
        <f>QS50*OpsAI</f>
        <v/>
      </c>
      <c r="RI50" s="12">
        <f>MonthlyFixed</f>
        <v/>
      </c>
      <c r="RJ50" s="12">
        <f>QG50*ReferralReward</f>
        <v/>
      </c>
      <c r="RK50" s="12">
        <f>QE50</f>
        <v/>
      </c>
      <c r="RL50" s="9">
        <f>RB50-RF50-RG50-RH50-RI50-RJ50-RK50</f>
        <v/>
      </c>
      <c r="RM50" s="9">
        <f>RM49+QY50-(RF50+RG50+RH50+RI50+RJ50+RK50+RD50)</f>
        <v/>
      </c>
      <c r="RN50" s="12">
        <f>IF(QS50&gt;0,QT50/QS50,0)</f>
        <v/>
      </c>
      <c r="RO50" s="11">
        <f>IF(QS49&gt;0,MAX(0,(QS49+QH50-QS50)/QS49),0)</f>
        <v/>
      </c>
      <c r="RQ50" s="12" t="n">
        <v>46</v>
      </c>
      <c r="RR50" s="12">
        <f>MOD(RQ50-1+LaunchMonth-1,12)+1</f>
        <v/>
      </c>
      <c r="RS50" s="12">
        <f>INT((RQ50-1+LaunchMonth-1)/12)+1</f>
        <v/>
      </c>
      <c r="RT50" s="12">
        <f>VLOOKUP(RR50,SeasonTable,2,FALSE)</f>
        <v/>
      </c>
      <c r="RU50" s="12">
        <f>(1+InflationRate)^INT((RQ50-1)/12)</f>
        <v/>
      </c>
      <c r="RV50" s="11">
        <f>'Sens - Churn'!$A$21*VLOOKUP(RR50,ChurnSeasonTable,4,FALSE)</f>
        <v/>
      </c>
      <c r="RW50" s="12">
        <f>MIN(MAX(MktMin19plus,SQ49*MktPct19plus),MAX(0,TE49-CashBuffer))</f>
        <v/>
      </c>
      <c r="RX50" s="12">
        <f>IF(RW50&gt;0,MAX(1,ROUND(RW50/CAC*RT50,0)),0)</f>
        <v/>
      </c>
      <c r="RY50" s="12">
        <f>IF(RX50&gt;0,ROUND(RX50*ReferralMix/(1-ReferralMix),0),0)</f>
        <v/>
      </c>
      <c r="RZ50" s="12">
        <f>RX50+RY50</f>
        <v/>
      </c>
      <c r="SA50" s="12">
        <f>ROUND(RZ50*(1-AnnualMix),0)</f>
        <v/>
      </c>
      <c r="SB50" s="12">
        <f>RZ50-SA50</f>
        <v/>
      </c>
      <c r="SC50" s="12">
        <f>ROUND(SA50*EssentialMix,0)</f>
        <v/>
      </c>
      <c r="SD50" s="12">
        <f>SA50-SC50</f>
        <v/>
      </c>
      <c r="SE50" s="12">
        <f>ROUND(SB50*EssentialMix,0)</f>
        <v/>
      </c>
      <c r="SF50" s="12">
        <f>SB50-SE50</f>
        <v/>
      </c>
      <c r="SG50" s="12">
        <f>SC50+SC49+SC48+MAX(0,SG49-SC49-SC48)*(1-RV50)</f>
        <v/>
      </c>
      <c r="SH50" s="12">
        <f>SD50+SD49+SD48+MAX(0,SH49-SD49-SD48)*(1-RV50)</f>
        <v/>
      </c>
      <c r="SI50" s="12">
        <f>SI49+SE50-SE38*(AnnualChurn*VLOOKUP(RR50,ChurnSeasonTable,4,FALSE))*POWER(1-(AnnualChurn*VLOOKUP(RR50,ChurnSeasonTable,4,FALSE)),0)+SE26*(AnnualChurn*VLOOKUP(RR50,ChurnSeasonTable,4,FALSE))*POWER(1-(AnnualChurn*VLOOKUP(RR50,ChurnSeasonTable,4,FALSE)),1)+SE14*(AnnualChurn*VLOOKUP(RR50,ChurnSeasonTable,4,FALSE))*POWER(1-(AnnualChurn*VLOOKUP(RR50,ChurnSeasonTable,4,FALSE)),2)</f>
        <v/>
      </c>
      <c r="SJ50" s="12">
        <f>SJ49+SF50-SF38*(AnnualChurn*VLOOKUP(RR50,ChurnSeasonTable,4,FALSE))*POWER(1-(AnnualChurn*VLOOKUP(RR50,ChurnSeasonTable,4,FALSE)),0)+SF26*(AnnualChurn*VLOOKUP(RR50,ChurnSeasonTable,4,FALSE))*POWER(1-(AnnualChurn*VLOOKUP(RR50,ChurnSeasonTable,4,FALSE)),1)+SF14*(AnnualChurn*VLOOKUP(RR50,ChurnSeasonTable,4,FALSE))*POWER(1-(AnnualChurn*VLOOKUP(RR50,ChurnSeasonTable,4,FALSE)),2)</f>
        <v/>
      </c>
      <c r="SK50" s="12">
        <f>SG50+SH50+SI50+SJ50</f>
        <v/>
      </c>
      <c r="SL50" s="9">
        <f>SG50*PriceEssMonthly*RU50+SH50*PricePremMonthly*RU50+SI50*PriceEssAnnual*RU50/12+SJ50*PricePremAnnual*RU50/12</f>
        <v/>
      </c>
      <c r="SM50" s="9">
        <f>SL50*12</f>
        <v/>
      </c>
      <c r="SN50" s="12">
        <f>SG50*PriceEssMonthly*RU50+SH50*PricePremMonthly*RU50</f>
        <v/>
      </c>
      <c r="SO50" s="12">
        <f>SE50*PriceEssAnnual*RU50+SF50*PricePremAnnual*RU50</f>
        <v/>
      </c>
      <c r="SP50" s="12">
        <f>SE38*POWER(1-(AnnualChurn*VLOOKUP(RR50,ChurnSeasonTable,4,FALSE)),1)*PriceEssAnnual*RU50+SE26*POWER(1-(AnnualChurn*VLOOKUP(RR50,ChurnSeasonTable,4,FALSE)),2)*PriceEssAnnual*RU50+SE14*POWER(1-(AnnualChurn*VLOOKUP(RR50,ChurnSeasonTable,4,FALSE)),3)*PriceEssAnnual*RU50+SF38*POWER(1-(AnnualChurn*VLOOKUP(RR50,ChurnSeasonTable,4,FALSE)),1)*PricePremAnnual*RU50+SF26*POWER(1-(AnnualChurn*VLOOKUP(RR50,ChurnSeasonTable,4,FALSE)),2)*PricePremAnnual*RU50+SF14*POWER(1-(AnnualChurn*VLOOKUP(RR50,ChurnSeasonTable,4,FALSE)),3)*PricePremAnnual*RU50</f>
        <v/>
      </c>
      <c r="SQ50" s="9">
        <f>SN50+SO50+SP50</f>
        <v/>
      </c>
      <c r="SR50" s="12">
        <f>SUM(SQ39:SQ50)</f>
        <v/>
      </c>
      <c r="SS50" s="12">
        <f>OR(SS49,SR50&gt;=VATThreshold)</f>
        <v/>
      </c>
      <c r="ST50" s="9">
        <f>IF(SS50,SQ50/(1+VATRate),SQ50)</f>
        <v/>
      </c>
      <c r="SU50" s="12">
        <f>SQ50-ST50</f>
        <v/>
      </c>
      <c r="SV50" s="12">
        <f>IF(SS50=0,0,IF(RR50=1,SUMPRODUCT(--(($RS$5:$RS50=$RS50-1)*($RR$5:$RR50&gt;=10)*($RR$5:$RR50&lt;=12)),$SU$5:$SU50),IF(RR50=4,SUMPRODUCT(--(($RS$5:$RS50=$RS50)*($RR$5:$RR50&gt;=1)*($RR$5:$RR50&lt;=3)),$SU$5:$SU50),IF(RR50=7,SUMPRODUCT(--(($RS$5:$RS50=$RS50)*($RR$5:$RR50&gt;=4)*($RR$5:$RR50&lt;=6)),$SU$5:$SU50),IF(RR50=10,SUMPRODUCT(--(($RS$5:$RS50=$RS50)*($RR$5:$RR50&gt;=7)*($RR$5:$RR50&lt;=9)),$SU$5:$SU50),0)))))</f>
        <v/>
      </c>
      <c r="SW50" s="12">
        <f>SW49+SU50-SV50</f>
        <v/>
      </c>
      <c r="SX50" s="12">
        <f>IF(ProviderDelay&gt;=1,ST49*ProviderShare,ST50*ProviderShare)</f>
        <v/>
      </c>
      <c r="SY50" s="12">
        <f>SQ50*PaymentFee</f>
        <v/>
      </c>
      <c r="SZ50" s="12">
        <f>SK50*OpsAI</f>
        <v/>
      </c>
      <c r="TA50" s="12">
        <f>MonthlyFixed</f>
        <v/>
      </c>
      <c r="TB50" s="12">
        <f>RY50*ReferralReward</f>
        <v/>
      </c>
      <c r="TC50" s="12">
        <f>RW50</f>
        <v/>
      </c>
      <c r="TD50" s="9">
        <f>ST50-SX50-SY50-SZ50-TA50-TB50-TC50</f>
        <v/>
      </c>
      <c r="TE50" s="9">
        <f>TE49+SQ50-(SX50+SY50+SZ50+TA50+TB50+TC50+SV50)</f>
        <v/>
      </c>
      <c r="TF50" s="12">
        <f>IF(SK50&gt;0,SL50/SK50,0)</f>
        <v/>
      </c>
      <c r="TG50" s="11">
        <f>IF(SK49&gt;0,MAX(0,(SK49+RZ50-SK50)/SK49),0)</f>
        <v/>
      </c>
      <c r="TI50" s="12" t="n">
        <v>46</v>
      </c>
      <c r="TJ50" s="12">
        <f>MOD(TI50-1+LaunchMonth-1,12)+1</f>
        <v/>
      </c>
      <c r="TK50" s="12">
        <f>INT((TI50-1+LaunchMonth-1)/12)+1</f>
        <v/>
      </c>
      <c r="TL50" s="12">
        <f>VLOOKUP(TJ50,SeasonTable,2,FALSE)</f>
        <v/>
      </c>
      <c r="TM50" s="12">
        <f>(1+InflationRate)^INT((TI50-1)/12)</f>
        <v/>
      </c>
      <c r="TN50" s="11">
        <f>MonthlyChurn*VLOOKUP(TJ50,ChurnSeasonTable,4,FALSE)</f>
        <v/>
      </c>
      <c r="TO50" s="12">
        <f>MIN(MAX(MktMin19plus,UI49*MktPct19plus),MAX(0,UW49-CashBuffer))</f>
        <v/>
      </c>
      <c r="TP50" s="12">
        <f>IF(TO50&gt;0,MAX(1,ROUND(TO50/CAC*TL50,0)),0)</f>
        <v/>
      </c>
      <c r="TQ50" s="12">
        <f>IF(TP50&gt;0,ROUND(TP50*ReferralMix/(1-ReferralMix),0),0)</f>
        <v/>
      </c>
      <c r="TR50" s="12">
        <f>TP50+TQ50</f>
        <v/>
      </c>
      <c r="TS50" s="12">
        <f>ROUND(TR50*(1-'Sens - Annual Mix'!$A$9),0)</f>
        <v/>
      </c>
      <c r="TT50" s="12">
        <f>TR50-TS50</f>
        <v/>
      </c>
      <c r="TU50" s="12">
        <f>ROUND(TS50*EssentialMix,0)</f>
        <v/>
      </c>
      <c r="TV50" s="12">
        <f>TS50-TU50</f>
        <v/>
      </c>
      <c r="TW50" s="12">
        <f>ROUND(TT50*EssentialMix,0)</f>
        <v/>
      </c>
      <c r="TX50" s="12">
        <f>TT50-TW50</f>
        <v/>
      </c>
      <c r="TY50" s="12">
        <f>TU50+TU49+TU48+MAX(0,TY49-TU49-TU48)*(1-TN50)</f>
        <v/>
      </c>
      <c r="TZ50" s="12">
        <f>TV50+TV49+TV48+MAX(0,TZ49-TV49-TV48)*(1-TN50)</f>
        <v/>
      </c>
      <c r="UA50" s="12">
        <f>UA49+TW50-TW38*(AnnualChurn*VLOOKUP(TJ50,ChurnSeasonTable,4,FALSE))*POWER(1-(AnnualChurn*VLOOKUP(TJ50,ChurnSeasonTable,4,FALSE)),0)+TW26*(AnnualChurn*VLOOKUP(TJ50,ChurnSeasonTable,4,FALSE))*POWER(1-(AnnualChurn*VLOOKUP(TJ50,ChurnSeasonTable,4,FALSE)),1)+TW14*(AnnualChurn*VLOOKUP(TJ50,ChurnSeasonTable,4,FALSE))*POWER(1-(AnnualChurn*VLOOKUP(TJ50,ChurnSeasonTable,4,FALSE)),2)</f>
        <v/>
      </c>
      <c r="UB50" s="12">
        <f>UB49+TX50-TX38*(AnnualChurn*VLOOKUP(TJ50,ChurnSeasonTable,4,FALSE))*POWER(1-(AnnualChurn*VLOOKUP(TJ50,ChurnSeasonTable,4,FALSE)),0)+TX26*(AnnualChurn*VLOOKUP(TJ50,ChurnSeasonTable,4,FALSE))*POWER(1-(AnnualChurn*VLOOKUP(TJ50,ChurnSeasonTable,4,FALSE)),1)+TX14*(AnnualChurn*VLOOKUP(TJ50,ChurnSeasonTable,4,FALSE))*POWER(1-(AnnualChurn*VLOOKUP(TJ50,ChurnSeasonTable,4,FALSE)),2)</f>
        <v/>
      </c>
      <c r="UC50" s="12">
        <f>TY50+TZ50+UA50+UB50</f>
        <v/>
      </c>
      <c r="UD50" s="9">
        <f>TY50*PriceEssMonthly*TM50+TZ50*PricePremMonthly*TM50+UA50*PriceEssAnnual*TM50/12+UB50*PricePremAnnual*TM50/12</f>
        <v/>
      </c>
      <c r="UE50" s="9">
        <f>UD50*12</f>
        <v/>
      </c>
      <c r="UF50" s="12">
        <f>TY50*PriceEssMonthly*TM50+TZ50*PricePremMonthly*TM50</f>
        <v/>
      </c>
      <c r="UG50" s="12">
        <f>TW50*PriceEssAnnual*TM50+TX50*PricePremAnnual*TM50</f>
        <v/>
      </c>
      <c r="UH50" s="12">
        <f>TW38*POWER(1-(AnnualChurn*VLOOKUP(TJ50,ChurnSeasonTable,4,FALSE)),1)*PriceEssAnnual*TM50+TW26*POWER(1-(AnnualChurn*VLOOKUP(TJ50,ChurnSeasonTable,4,FALSE)),2)*PriceEssAnnual*TM50+TW14*POWER(1-(AnnualChurn*VLOOKUP(TJ50,ChurnSeasonTable,4,FALSE)),3)*PriceEssAnnual*TM50+TX38*POWER(1-(AnnualChurn*VLOOKUP(TJ50,ChurnSeasonTable,4,FALSE)),1)*PricePremAnnual*TM50+TX26*POWER(1-(AnnualChurn*VLOOKUP(TJ50,ChurnSeasonTable,4,FALSE)),2)*PricePremAnnual*TM50+TX14*POWER(1-(AnnualChurn*VLOOKUP(TJ50,ChurnSeasonTable,4,FALSE)),3)*PricePremAnnual*TM50</f>
        <v/>
      </c>
      <c r="UI50" s="9">
        <f>UF50+UG50+UH50</f>
        <v/>
      </c>
      <c r="UJ50" s="12">
        <f>SUM(UI39:UI50)</f>
        <v/>
      </c>
      <c r="UK50" s="12">
        <f>OR(UK49,UJ50&gt;=VATThreshold)</f>
        <v/>
      </c>
      <c r="UL50" s="9">
        <f>IF(UK50,UI50/(1+VATRate),UI50)</f>
        <v/>
      </c>
      <c r="UM50" s="12">
        <f>UI50-UL50</f>
        <v/>
      </c>
      <c r="UN50" s="12">
        <f>IF(UK50=0,0,IF(TJ50=1,SUMPRODUCT(--(($TK$5:$TK50=$TK50-1)*($TJ$5:$TJ50&gt;=10)*($TJ$5:$TJ50&lt;=12)),$UM$5:$UM50),IF(TJ50=4,SUMPRODUCT(--(($TK$5:$TK50=$TK50)*($TJ$5:$TJ50&gt;=1)*($TJ$5:$TJ50&lt;=3)),$UM$5:$UM50),IF(TJ50=7,SUMPRODUCT(--(($TK$5:$TK50=$TK50)*($TJ$5:$TJ50&gt;=4)*($TJ$5:$TJ50&lt;=6)),$UM$5:$UM50),IF(TJ50=10,SUMPRODUCT(--(($TK$5:$TK50=$TK50)*($TJ$5:$TJ50&gt;=7)*($TJ$5:$TJ50&lt;=9)),$UM$5:$UM50),0)))))</f>
        <v/>
      </c>
      <c r="UO50" s="12">
        <f>UO49+UM50-UN50</f>
        <v/>
      </c>
      <c r="UP50" s="12">
        <f>IF(ProviderDelay&gt;=1,UL49*ProviderShare,UL50*ProviderShare)</f>
        <v/>
      </c>
      <c r="UQ50" s="12">
        <f>UI50*PaymentFee</f>
        <v/>
      </c>
      <c r="UR50" s="12">
        <f>UC50*OpsAI</f>
        <v/>
      </c>
      <c r="US50" s="12">
        <f>MonthlyFixed</f>
        <v/>
      </c>
      <c r="UT50" s="12">
        <f>TQ50*ReferralReward</f>
        <v/>
      </c>
      <c r="UU50" s="12">
        <f>TO50</f>
        <v/>
      </c>
      <c r="UV50" s="9">
        <f>UL50-UP50-UQ50-UR50-US50-UT50-UU50</f>
        <v/>
      </c>
      <c r="UW50" s="9">
        <f>UW49+UI50-(UP50+UQ50+UR50+US50+UT50+UU50+UN50)</f>
        <v/>
      </c>
      <c r="UX50" s="12">
        <f>IF(UC50&gt;0,UD50/UC50,0)</f>
        <v/>
      </c>
      <c r="UY50" s="11">
        <f>IF(UC49&gt;0,MAX(0,(UC49+TR50-UC50)/UC49),0)</f>
        <v/>
      </c>
      <c r="VA50" s="12" t="n">
        <v>46</v>
      </c>
      <c r="VB50" s="12">
        <f>MOD(VA50-1+LaunchMonth-1,12)+1</f>
        <v/>
      </c>
      <c r="VC50" s="12">
        <f>INT((VA50-1+LaunchMonth-1)/12)+1</f>
        <v/>
      </c>
      <c r="VD50" s="12">
        <f>VLOOKUP(VB50,SeasonTable,2,FALSE)</f>
        <v/>
      </c>
      <c r="VE50" s="12">
        <f>(1+InflationRate)^INT((VA50-1)/12)</f>
        <v/>
      </c>
      <c r="VF50" s="11">
        <f>MonthlyChurn*VLOOKUP(VB50,ChurnSeasonTable,4,FALSE)</f>
        <v/>
      </c>
      <c r="VG50" s="12">
        <f>MIN(MAX(MktMin19plus,WA49*MktPct19plus),MAX(0,WO49-CashBuffer))</f>
        <v/>
      </c>
      <c r="VH50" s="12">
        <f>IF(VG50&gt;0,MAX(1,ROUND(VG50/CAC*VD50,0)),0)</f>
        <v/>
      </c>
      <c r="VI50" s="12">
        <f>IF(VH50&gt;0,ROUND(VH50*ReferralMix/(1-ReferralMix),0),0)</f>
        <v/>
      </c>
      <c r="VJ50" s="12">
        <f>VH50+VI50</f>
        <v/>
      </c>
      <c r="VK50" s="12">
        <f>ROUND(VJ50*(1-'Sens - Annual Mix'!$A$10),0)</f>
        <v/>
      </c>
      <c r="VL50" s="12">
        <f>VJ50-VK50</f>
        <v/>
      </c>
      <c r="VM50" s="12">
        <f>ROUND(VK50*EssentialMix,0)</f>
        <v/>
      </c>
      <c r="VN50" s="12">
        <f>VK50-VM50</f>
        <v/>
      </c>
      <c r="VO50" s="12">
        <f>ROUND(VL50*EssentialMix,0)</f>
        <v/>
      </c>
      <c r="VP50" s="12">
        <f>VL50-VO50</f>
        <v/>
      </c>
      <c r="VQ50" s="12">
        <f>VM50+VM49+VM48+MAX(0,VQ49-VM49-VM48)*(1-VF50)</f>
        <v/>
      </c>
      <c r="VR50" s="12">
        <f>VN50+VN49+VN48+MAX(0,VR49-VN49-VN48)*(1-VF50)</f>
        <v/>
      </c>
      <c r="VS50" s="12">
        <f>VS49+VO50-VO38*(AnnualChurn*VLOOKUP(VB50,ChurnSeasonTable,4,FALSE))*POWER(1-(AnnualChurn*VLOOKUP(VB50,ChurnSeasonTable,4,FALSE)),0)+VO26*(AnnualChurn*VLOOKUP(VB50,ChurnSeasonTable,4,FALSE))*POWER(1-(AnnualChurn*VLOOKUP(VB50,ChurnSeasonTable,4,FALSE)),1)+VO14*(AnnualChurn*VLOOKUP(VB50,ChurnSeasonTable,4,FALSE))*POWER(1-(AnnualChurn*VLOOKUP(VB50,ChurnSeasonTable,4,FALSE)),2)</f>
        <v/>
      </c>
      <c r="VT50" s="12">
        <f>VT49+VP50-VP38*(AnnualChurn*VLOOKUP(VB50,ChurnSeasonTable,4,FALSE))*POWER(1-(AnnualChurn*VLOOKUP(VB50,ChurnSeasonTable,4,FALSE)),0)+VP26*(AnnualChurn*VLOOKUP(VB50,ChurnSeasonTable,4,FALSE))*POWER(1-(AnnualChurn*VLOOKUP(VB50,ChurnSeasonTable,4,FALSE)),1)+VP14*(AnnualChurn*VLOOKUP(VB50,ChurnSeasonTable,4,FALSE))*POWER(1-(AnnualChurn*VLOOKUP(VB50,ChurnSeasonTable,4,FALSE)),2)</f>
        <v/>
      </c>
      <c r="VU50" s="12">
        <f>VQ50+VR50+VS50+VT50</f>
        <v/>
      </c>
      <c r="VV50" s="9">
        <f>VQ50*PriceEssMonthly*VE50+VR50*PricePremMonthly*VE50+VS50*PriceEssAnnual*VE50/12+VT50*PricePremAnnual*VE50/12</f>
        <v/>
      </c>
      <c r="VW50" s="9">
        <f>VV50*12</f>
        <v/>
      </c>
      <c r="VX50" s="12">
        <f>VQ50*PriceEssMonthly*VE50+VR50*PricePremMonthly*VE50</f>
        <v/>
      </c>
      <c r="VY50" s="12">
        <f>VO50*PriceEssAnnual*VE50+VP50*PricePremAnnual*VE50</f>
        <v/>
      </c>
      <c r="VZ50" s="12">
        <f>VO38*POWER(1-(AnnualChurn*VLOOKUP(VB50,ChurnSeasonTable,4,FALSE)),1)*PriceEssAnnual*VE50+VO26*POWER(1-(AnnualChurn*VLOOKUP(VB50,ChurnSeasonTable,4,FALSE)),2)*PriceEssAnnual*VE50+VO14*POWER(1-(AnnualChurn*VLOOKUP(VB50,ChurnSeasonTable,4,FALSE)),3)*PriceEssAnnual*VE50+VP38*POWER(1-(AnnualChurn*VLOOKUP(VB50,ChurnSeasonTable,4,FALSE)),1)*PricePremAnnual*VE50+VP26*POWER(1-(AnnualChurn*VLOOKUP(VB50,ChurnSeasonTable,4,FALSE)),2)*PricePremAnnual*VE50+VP14*POWER(1-(AnnualChurn*VLOOKUP(VB50,ChurnSeasonTable,4,FALSE)),3)*PricePremAnnual*VE50</f>
        <v/>
      </c>
      <c r="WA50" s="9">
        <f>VX50+VY50+VZ50</f>
        <v/>
      </c>
      <c r="WB50" s="12">
        <f>SUM(WA39:WA50)</f>
        <v/>
      </c>
      <c r="WC50" s="12">
        <f>OR(WC49,WB50&gt;=VATThreshold)</f>
        <v/>
      </c>
      <c r="WD50" s="9">
        <f>IF(WC50,WA50/(1+VATRate),WA50)</f>
        <v/>
      </c>
      <c r="WE50" s="12">
        <f>WA50-WD50</f>
        <v/>
      </c>
      <c r="WF50" s="12">
        <f>IF(WC50=0,0,IF(VB50=1,SUMPRODUCT(--(($VC$5:$VC50=$VC50-1)*($VB$5:$VB50&gt;=10)*($VB$5:$VB50&lt;=12)),$WE$5:$WE50),IF(VB50=4,SUMPRODUCT(--(($VC$5:$VC50=$VC50)*($VB$5:$VB50&gt;=1)*($VB$5:$VB50&lt;=3)),$WE$5:$WE50),IF(VB50=7,SUMPRODUCT(--(($VC$5:$VC50=$VC50)*($VB$5:$VB50&gt;=4)*($VB$5:$VB50&lt;=6)),$WE$5:$WE50),IF(VB50=10,SUMPRODUCT(--(($VC$5:$VC50=$VC50)*($VB$5:$VB50&gt;=7)*($VB$5:$VB50&lt;=9)),$WE$5:$WE50),0)))))</f>
        <v/>
      </c>
      <c r="WG50" s="12">
        <f>WG49+WE50-WF50</f>
        <v/>
      </c>
      <c r="WH50" s="12">
        <f>IF(ProviderDelay&gt;=1,WD49*ProviderShare,WD50*ProviderShare)</f>
        <v/>
      </c>
      <c r="WI50" s="12">
        <f>WA50*PaymentFee</f>
        <v/>
      </c>
      <c r="WJ50" s="12">
        <f>VU50*OpsAI</f>
        <v/>
      </c>
      <c r="WK50" s="12">
        <f>MonthlyFixed</f>
        <v/>
      </c>
      <c r="WL50" s="12">
        <f>VI50*ReferralReward</f>
        <v/>
      </c>
      <c r="WM50" s="12">
        <f>VG50</f>
        <v/>
      </c>
      <c r="WN50" s="9">
        <f>WD50-WH50-WI50-WJ50-WK50-WL50-WM50</f>
        <v/>
      </c>
      <c r="WO50" s="9">
        <f>WO49+WA50-(WH50+WI50+WJ50+WK50+WL50+WM50+WF50)</f>
        <v/>
      </c>
      <c r="WP50" s="12">
        <f>IF(VU50&gt;0,VV50/VU50,0)</f>
        <v/>
      </c>
      <c r="WQ50" s="11">
        <f>IF(VU49&gt;0,MAX(0,(VU49+VJ50-VU50)/VU49),0)</f>
        <v/>
      </c>
      <c r="WS50" s="12" t="n">
        <v>46</v>
      </c>
      <c r="WT50" s="12">
        <f>MOD(WS50-1+LaunchMonth-1,12)+1</f>
        <v/>
      </c>
      <c r="WU50" s="12">
        <f>INT((WS50-1+LaunchMonth-1)/12)+1</f>
        <v/>
      </c>
      <c r="WV50" s="12">
        <f>VLOOKUP(WT50,SeasonTable,2,FALSE)</f>
        <v/>
      </c>
      <c r="WW50" s="12">
        <f>(1+InflationRate)^INT((WS50-1)/12)</f>
        <v/>
      </c>
      <c r="WX50" s="11">
        <f>MonthlyChurn*VLOOKUP(WT50,ChurnSeasonTable,4,FALSE)</f>
        <v/>
      </c>
      <c r="WY50" s="12">
        <f>MIN(MAX(MktMin19plus,XS49*MktPct19plus),MAX(0,YG49-CashBuffer))</f>
        <v/>
      </c>
      <c r="WZ50" s="12">
        <f>IF(WY50&gt;0,MAX(1,ROUND(WY50/CAC*WV50,0)),0)</f>
        <v/>
      </c>
      <c r="XA50" s="12">
        <f>IF(WZ50&gt;0,ROUND(WZ50*ReferralMix/(1-ReferralMix),0),0)</f>
        <v/>
      </c>
      <c r="XB50" s="12">
        <f>WZ50+XA50</f>
        <v/>
      </c>
      <c r="XC50" s="12">
        <f>ROUND(XB50*(1-'Sens - Annual Mix'!$A$11),0)</f>
        <v/>
      </c>
      <c r="XD50" s="12">
        <f>XB50-XC50</f>
        <v/>
      </c>
      <c r="XE50" s="12">
        <f>ROUND(XC50*EssentialMix,0)</f>
        <v/>
      </c>
      <c r="XF50" s="12">
        <f>XC50-XE50</f>
        <v/>
      </c>
      <c r="XG50" s="12">
        <f>ROUND(XD50*EssentialMix,0)</f>
        <v/>
      </c>
      <c r="XH50" s="12">
        <f>XD50-XG50</f>
        <v/>
      </c>
      <c r="XI50" s="12">
        <f>XE50+XE49+XE48+MAX(0,XI49-XE49-XE48)*(1-WX50)</f>
        <v/>
      </c>
      <c r="XJ50" s="12">
        <f>XF50+XF49+XF48+MAX(0,XJ49-XF49-XF48)*(1-WX50)</f>
        <v/>
      </c>
      <c r="XK50" s="12">
        <f>XK49+XG50-XG38*(AnnualChurn*VLOOKUP(WT50,ChurnSeasonTable,4,FALSE))*POWER(1-(AnnualChurn*VLOOKUP(WT50,ChurnSeasonTable,4,FALSE)),0)+XG26*(AnnualChurn*VLOOKUP(WT50,ChurnSeasonTable,4,FALSE))*POWER(1-(AnnualChurn*VLOOKUP(WT50,ChurnSeasonTable,4,FALSE)),1)+XG14*(AnnualChurn*VLOOKUP(WT50,ChurnSeasonTable,4,FALSE))*POWER(1-(AnnualChurn*VLOOKUP(WT50,ChurnSeasonTable,4,FALSE)),2)</f>
        <v/>
      </c>
      <c r="XL50" s="12">
        <f>XL49+XH50-XH38*(AnnualChurn*VLOOKUP(WT50,ChurnSeasonTable,4,FALSE))*POWER(1-(AnnualChurn*VLOOKUP(WT50,ChurnSeasonTable,4,FALSE)),0)+XH26*(AnnualChurn*VLOOKUP(WT50,ChurnSeasonTable,4,FALSE))*POWER(1-(AnnualChurn*VLOOKUP(WT50,ChurnSeasonTable,4,FALSE)),1)+XH14*(AnnualChurn*VLOOKUP(WT50,ChurnSeasonTable,4,FALSE))*POWER(1-(AnnualChurn*VLOOKUP(WT50,ChurnSeasonTable,4,FALSE)),2)</f>
        <v/>
      </c>
      <c r="XM50" s="12">
        <f>XI50+XJ50+XK50+XL50</f>
        <v/>
      </c>
      <c r="XN50" s="9">
        <f>XI50*PriceEssMonthly*WW50+XJ50*PricePremMonthly*WW50+XK50*PriceEssAnnual*WW50/12+XL50*PricePremAnnual*WW50/12</f>
        <v/>
      </c>
      <c r="XO50" s="9">
        <f>XN50*12</f>
        <v/>
      </c>
      <c r="XP50" s="12">
        <f>XI50*PriceEssMonthly*WW50+XJ50*PricePremMonthly*WW50</f>
        <v/>
      </c>
      <c r="XQ50" s="12">
        <f>XG50*PriceEssAnnual*WW50+XH50*PricePremAnnual*WW50</f>
        <v/>
      </c>
      <c r="XR50" s="12">
        <f>XG38*POWER(1-(AnnualChurn*VLOOKUP(WT50,ChurnSeasonTable,4,FALSE)),1)*PriceEssAnnual*WW50+XG26*POWER(1-(AnnualChurn*VLOOKUP(WT50,ChurnSeasonTable,4,FALSE)),2)*PriceEssAnnual*WW50+XG14*POWER(1-(AnnualChurn*VLOOKUP(WT50,ChurnSeasonTable,4,FALSE)),3)*PriceEssAnnual*WW50+XH38*POWER(1-(AnnualChurn*VLOOKUP(WT50,ChurnSeasonTable,4,FALSE)),1)*PricePremAnnual*WW50+XH26*POWER(1-(AnnualChurn*VLOOKUP(WT50,ChurnSeasonTable,4,FALSE)),2)*PricePremAnnual*WW50+XH14*POWER(1-(AnnualChurn*VLOOKUP(WT50,ChurnSeasonTable,4,FALSE)),3)*PricePremAnnual*WW50</f>
        <v/>
      </c>
      <c r="XS50" s="9">
        <f>XP50+XQ50+XR50</f>
        <v/>
      </c>
      <c r="XT50" s="12">
        <f>SUM(XS39:XS50)</f>
        <v/>
      </c>
      <c r="XU50" s="12">
        <f>OR(XU49,XT50&gt;=VATThreshold)</f>
        <v/>
      </c>
      <c r="XV50" s="9">
        <f>IF(XU50,XS50/(1+VATRate),XS50)</f>
        <v/>
      </c>
      <c r="XW50" s="12">
        <f>XS50-XV50</f>
        <v/>
      </c>
      <c r="XX50" s="12">
        <f>IF(XU50=0,0,IF(WT50=1,SUMPRODUCT(--(($WU$5:$WU50=$WU50-1)*($WT$5:$WT50&gt;=10)*($WT$5:$WT50&lt;=12)),$XW$5:$XW50),IF(WT50=4,SUMPRODUCT(--(($WU$5:$WU50=$WU50)*($WT$5:$WT50&gt;=1)*($WT$5:$WT50&lt;=3)),$XW$5:$XW50),IF(WT50=7,SUMPRODUCT(--(($WU$5:$WU50=$WU50)*($WT$5:$WT50&gt;=4)*($WT$5:$WT50&lt;=6)),$XW$5:$XW50),IF(WT50=10,SUMPRODUCT(--(($WU$5:$WU50=$WU50)*($WT$5:$WT50&gt;=7)*($WT$5:$WT50&lt;=9)),$XW$5:$XW50),0)))))</f>
        <v/>
      </c>
      <c r="XY50" s="12">
        <f>XY49+XW50-XX50</f>
        <v/>
      </c>
      <c r="XZ50" s="12">
        <f>IF(ProviderDelay&gt;=1,XV49*ProviderShare,XV50*ProviderShare)</f>
        <v/>
      </c>
      <c r="YA50" s="12">
        <f>XS50*PaymentFee</f>
        <v/>
      </c>
      <c r="YB50" s="12">
        <f>XM50*OpsAI</f>
        <v/>
      </c>
      <c r="YC50" s="12">
        <f>MonthlyFixed</f>
        <v/>
      </c>
      <c r="YD50" s="12">
        <f>XA50*ReferralReward</f>
        <v/>
      </c>
      <c r="YE50" s="12">
        <f>WY50</f>
        <v/>
      </c>
      <c r="YF50" s="9">
        <f>XV50-XZ50-YA50-YB50-YC50-YD50-YE50</f>
        <v/>
      </c>
      <c r="YG50" s="9">
        <f>YG49+XS50-(XZ50+YA50+YB50+YC50+YD50+YE50+XX50)</f>
        <v/>
      </c>
      <c r="YH50" s="12">
        <f>IF(XM50&gt;0,XN50/XM50,0)</f>
        <v/>
      </c>
      <c r="YI50" s="11">
        <f>IF(XM49&gt;0,MAX(0,(XM49+XB50-XM50)/XM49),0)</f>
        <v/>
      </c>
      <c r="YK50" s="12" t="n">
        <v>46</v>
      </c>
      <c r="YL50" s="12">
        <f>MOD(YK50-1+LaunchMonth-1,12)+1</f>
        <v/>
      </c>
      <c r="YM50" s="12">
        <f>INT((YK50-1+LaunchMonth-1)/12)+1</f>
        <v/>
      </c>
      <c r="YN50" s="12">
        <f>VLOOKUP(YL50,SeasonTable,2,FALSE)</f>
        <v/>
      </c>
      <c r="YO50" s="12">
        <f>(1+InflationRate)^INT((YK50-1)/12)</f>
        <v/>
      </c>
      <c r="YP50" s="11">
        <f>MonthlyChurn*VLOOKUP(YL50,ChurnSeasonTable,4,FALSE)</f>
        <v/>
      </c>
      <c r="YQ50" s="12">
        <f>MIN(MAX(MktMin19plus,ZK49*MktPct19plus),MAX(0,ZY49-CashBuffer))</f>
        <v/>
      </c>
      <c r="YR50" s="12">
        <f>IF(YQ50&gt;0,MAX(1,ROUND(YQ50/CAC*YN50,0)),0)</f>
        <v/>
      </c>
      <c r="YS50" s="12">
        <f>IF(YR50&gt;0,ROUND(YR50*ReferralMix/(1-ReferralMix),0),0)</f>
        <v/>
      </c>
      <c r="YT50" s="12">
        <f>YR50+YS50</f>
        <v/>
      </c>
      <c r="YU50" s="12">
        <f>ROUND(YT50*(1-'Sens - Annual Mix'!$A$12),0)</f>
        <v/>
      </c>
      <c r="YV50" s="12">
        <f>YT50-YU50</f>
        <v/>
      </c>
      <c r="YW50" s="12">
        <f>ROUND(YU50*EssentialMix,0)</f>
        <v/>
      </c>
      <c r="YX50" s="12">
        <f>YU50-YW50</f>
        <v/>
      </c>
      <c r="YY50" s="12">
        <f>ROUND(YV50*EssentialMix,0)</f>
        <v/>
      </c>
      <c r="YZ50" s="12">
        <f>YV50-YY50</f>
        <v/>
      </c>
      <c r="ZA50" s="12">
        <f>YW50+YW49+YW48+MAX(0,ZA49-YW49-YW48)*(1-YP50)</f>
        <v/>
      </c>
      <c r="ZB50" s="12">
        <f>YX50+YX49+YX48+MAX(0,ZB49-YX49-YX48)*(1-YP50)</f>
        <v/>
      </c>
      <c r="ZC50" s="12">
        <f>ZC49+YY50-YY38*(AnnualChurn*VLOOKUP(YL50,ChurnSeasonTable,4,FALSE))*POWER(1-(AnnualChurn*VLOOKUP(YL50,ChurnSeasonTable,4,FALSE)),0)+YY26*(AnnualChurn*VLOOKUP(YL50,ChurnSeasonTable,4,FALSE))*POWER(1-(AnnualChurn*VLOOKUP(YL50,ChurnSeasonTable,4,FALSE)),1)+YY14*(AnnualChurn*VLOOKUP(YL50,ChurnSeasonTable,4,FALSE))*POWER(1-(AnnualChurn*VLOOKUP(YL50,ChurnSeasonTable,4,FALSE)),2)</f>
        <v/>
      </c>
      <c r="ZD50" s="12">
        <f>ZD49+YZ50-YZ38*(AnnualChurn*VLOOKUP(YL50,ChurnSeasonTable,4,FALSE))*POWER(1-(AnnualChurn*VLOOKUP(YL50,ChurnSeasonTable,4,FALSE)),0)+YZ26*(AnnualChurn*VLOOKUP(YL50,ChurnSeasonTable,4,FALSE))*POWER(1-(AnnualChurn*VLOOKUP(YL50,ChurnSeasonTable,4,FALSE)),1)+YZ14*(AnnualChurn*VLOOKUP(YL50,ChurnSeasonTable,4,FALSE))*POWER(1-(AnnualChurn*VLOOKUP(YL50,ChurnSeasonTable,4,FALSE)),2)</f>
        <v/>
      </c>
      <c r="ZE50" s="12">
        <f>ZA50+ZB50+ZC50+ZD50</f>
        <v/>
      </c>
      <c r="ZF50" s="9">
        <f>ZA50*PriceEssMonthly*YO50+ZB50*PricePremMonthly*YO50+ZC50*PriceEssAnnual*YO50/12+ZD50*PricePremAnnual*YO50/12</f>
        <v/>
      </c>
      <c r="ZG50" s="9">
        <f>ZF50*12</f>
        <v/>
      </c>
      <c r="ZH50" s="12">
        <f>ZA50*PriceEssMonthly*YO50+ZB50*PricePremMonthly*YO50</f>
        <v/>
      </c>
      <c r="ZI50" s="12">
        <f>YY50*PriceEssAnnual*YO50+YZ50*PricePremAnnual*YO50</f>
        <v/>
      </c>
      <c r="ZJ50" s="12">
        <f>YY38*POWER(1-(AnnualChurn*VLOOKUP(YL50,ChurnSeasonTable,4,FALSE)),1)*PriceEssAnnual*YO50+YY26*POWER(1-(AnnualChurn*VLOOKUP(YL50,ChurnSeasonTable,4,FALSE)),2)*PriceEssAnnual*YO50+YY14*POWER(1-(AnnualChurn*VLOOKUP(YL50,ChurnSeasonTable,4,FALSE)),3)*PriceEssAnnual*YO50+YZ38*POWER(1-(AnnualChurn*VLOOKUP(YL50,ChurnSeasonTable,4,FALSE)),1)*PricePremAnnual*YO50+YZ26*POWER(1-(AnnualChurn*VLOOKUP(YL50,ChurnSeasonTable,4,FALSE)),2)*PricePremAnnual*YO50+YZ14*POWER(1-(AnnualChurn*VLOOKUP(YL50,ChurnSeasonTable,4,FALSE)),3)*PricePremAnnual*YO50</f>
        <v/>
      </c>
      <c r="ZK50" s="9">
        <f>ZH50+ZI50+ZJ50</f>
        <v/>
      </c>
      <c r="ZL50" s="12">
        <f>SUM(ZK39:ZK50)</f>
        <v/>
      </c>
      <c r="ZM50" s="12">
        <f>OR(ZM49,ZL50&gt;=VATThreshold)</f>
        <v/>
      </c>
      <c r="ZN50" s="9">
        <f>IF(ZM50,ZK50/(1+VATRate),ZK50)</f>
        <v/>
      </c>
      <c r="ZO50" s="12">
        <f>ZK50-ZN50</f>
        <v/>
      </c>
      <c r="ZP50" s="12">
        <f>IF(ZM50=0,0,IF(YL50=1,SUMPRODUCT(--(($YM$5:$YM50=$YM50-1)*($YL$5:$YL50&gt;=10)*($YL$5:$YL50&lt;=12)),$ZO$5:$ZO50),IF(YL50=4,SUMPRODUCT(--(($YM$5:$YM50=$YM50)*($YL$5:$YL50&gt;=1)*($YL$5:$YL50&lt;=3)),$ZO$5:$ZO50),IF(YL50=7,SUMPRODUCT(--(($YM$5:$YM50=$YM50)*($YL$5:$YL50&gt;=4)*($YL$5:$YL50&lt;=6)),$ZO$5:$ZO50),IF(YL50=10,SUMPRODUCT(--(($YM$5:$YM50=$YM50)*($YL$5:$YL50&gt;=7)*($YL$5:$YL50&lt;=9)),$ZO$5:$ZO50),0)))))</f>
        <v/>
      </c>
      <c r="ZQ50" s="12">
        <f>ZQ49+ZO50-ZP50</f>
        <v/>
      </c>
      <c r="ZR50" s="12">
        <f>IF(ProviderDelay&gt;=1,ZN49*ProviderShare,ZN50*ProviderShare)</f>
        <v/>
      </c>
      <c r="ZS50" s="12">
        <f>ZK50*PaymentFee</f>
        <v/>
      </c>
      <c r="ZT50" s="12">
        <f>ZE50*OpsAI</f>
        <v/>
      </c>
      <c r="ZU50" s="12">
        <f>MonthlyFixed</f>
        <v/>
      </c>
      <c r="ZV50" s="12">
        <f>YS50*ReferralReward</f>
        <v/>
      </c>
      <c r="ZW50" s="12">
        <f>YQ50</f>
        <v/>
      </c>
      <c r="ZX50" s="9">
        <f>ZN50-ZR50-ZS50-ZT50-ZU50-ZV50-ZW50</f>
        <v/>
      </c>
      <c r="ZY50" s="9">
        <f>ZY49+ZK50-(ZR50+ZS50+ZT50+ZU50+ZV50+ZW50+ZP50)</f>
        <v/>
      </c>
      <c r="ZZ50" s="12">
        <f>IF(ZE50&gt;0,ZF50/ZE50,0)</f>
        <v/>
      </c>
      <c r="AAA50" s="11">
        <f>IF(ZE49&gt;0,MAX(0,(ZE49+YT50-ZE50)/ZE49),0)</f>
        <v/>
      </c>
      <c r="AAC50" s="12" t="n">
        <v>46</v>
      </c>
      <c r="AAD50" s="12">
        <f>MOD(AAC50-1+LaunchMonth-1,12)+1</f>
        <v/>
      </c>
      <c r="AAE50" s="12">
        <f>INT((AAC50-1+LaunchMonth-1)/12)+1</f>
        <v/>
      </c>
      <c r="AAF50" s="12">
        <f>VLOOKUP(AAD50,SeasonTable,2,FALSE)</f>
        <v/>
      </c>
      <c r="AAG50" s="12">
        <f>(1+InflationRate)^INT((AAC50-1)/12)</f>
        <v/>
      </c>
      <c r="AAH50" s="11">
        <f>MonthlyChurn*VLOOKUP(AAD50,ChurnSeasonTable,4,FALSE)</f>
        <v/>
      </c>
      <c r="AAI50" s="12">
        <f>MIN(MAX(MktMin19plus,ABC49*MktPct19plus),MAX(0,ABQ49-CashBuffer))</f>
        <v/>
      </c>
      <c r="AAJ50" s="12">
        <f>IF(AAI50&gt;0,MAX(1,ROUND(AAI50/CAC*AAF50,0)),0)</f>
        <v/>
      </c>
      <c r="AAK50" s="12">
        <f>IF(AAJ50&gt;0,ROUND(AAJ50*ReferralMix/(1-ReferralMix),0),0)</f>
        <v/>
      </c>
      <c r="AAL50" s="12">
        <f>AAJ50+AAK50</f>
        <v/>
      </c>
      <c r="AAM50" s="12">
        <f>ROUND(AAL50*(1-'Sens - Annual Mix'!$A$13),0)</f>
        <v/>
      </c>
      <c r="AAN50" s="12">
        <f>AAL50-AAM50</f>
        <v/>
      </c>
      <c r="AAO50" s="12">
        <f>ROUND(AAM50*EssentialMix,0)</f>
        <v/>
      </c>
      <c r="AAP50" s="12">
        <f>AAM50-AAO50</f>
        <v/>
      </c>
      <c r="AAQ50" s="12">
        <f>ROUND(AAN50*EssentialMix,0)</f>
        <v/>
      </c>
      <c r="AAR50" s="12">
        <f>AAN50-AAQ50</f>
        <v/>
      </c>
      <c r="AAS50" s="12">
        <f>AAO50+AAO49+AAO48+MAX(0,AAS49-AAO49-AAO48)*(1-AAH50)</f>
        <v/>
      </c>
      <c r="AAT50" s="12">
        <f>AAP50+AAP49+AAP48+MAX(0,AAT49-AAP49-AAP48)*(1-AAH50)</f>
        <v/>
      </c>
      <c r="AAU50" s="12">
        <f>AAU49+AAQ50-AAQ38*(AnnualChurn*VLOOKUP(AAD50,ChurnSeasonTable,4,FALSE))*POWER(1-(AnnualChurn*VLOOKUP(AAD50,ChurnSeasonTable,4,FALSE)),0)+AAQ26*(AnnualChurn*VLOOKUP(AAD50,ChurnSeasonTable,4,FALSE))*POWER(1-(AnnualChurn*VLOOKUP(AAD50,ChurnSeasonTable,4,FALSE)),1)+AAQ14*(AnnualChurn*VLOOKUP(AAD50,ChurnSeasonTable,4,FALSE))*POWER(1-(AnnualChurn*VLOOKUP(AAD50,ChurnSeasonTable,4,FALSE)),2)</f>
        <v/>
      </c>
      <c r="AAV50" s="12">
        <f>AAV49+AAR50-AAR38*(AnnualChurn*VLOOKUP(AAD50,ChurnSeasonTable,4,FALSE))*POWER(1-(AnnualChurn*VLOOKUP(AAD50,ChurnSeasonTable,4,FALSE)),0)+AAR26*(AnnualChurn*VLOOKUP(AAD50,ChurnSeasonTable,4,FALSE))*POWER(1-(AnnualChurn*VLOOKUP(AAD50,ChurnSeasonTable,4,FALSE)),1)+AAR14*(AnnualChurn*VLOOKUP(AAD50,ChurnSeasonTable,4,FALSE))*POWER(1-(AnnualChurn*VLOOKUP(AAD50,ChurnSeasonTable,4,FALSE)),2)</f>
        <v/>
      </c>
      <c r="AAW50" s="12">
        <f>AAS50+AAT50+AAU50+AAV50</f>
        <v/>
      </c>
      <c r="AAX50" s="9">
        <f>AAS50*PriceEssMonthly*AAG50+AAT50*PricePremMonthly*AAG50+AAU50*PriceEssAnnual*AAG50/12+AAV50*PricePremAnnual*AAG50/12</f>
        <v/>
      </c>
      <c r="AAY50" s="9">
        <f>AAX50*12</f>
        <v/>
      </c>
      <c r="AAZ50" s="12">
        <f>AAS50*PriceEssMonthly*AAG50+AAT50*PricePremMonthly*AAG50</f>
        <v/>
      </c>
      <c r="ABA50" s="12">
        <f>AAQ50*PriceEssAnnual*AAG50+AAR50*PricePremAnnual*AAG50</f>
        <v/>
      </c>
      <c r="ABB50" s="12">
        <f>AAQ38*POWER(1-(AnnualChurn*VLOOKUP(AAD50,ChurnSeasonTable,4,FALSE)),1)*PriceEssAnnual*AAG50+AAQ26*POWER(1-(AnnualChurn*VLOOKUP(AAD50,ChurnSeasonTable,4,FALSE)),2)*PriceEssAnnual*AAG50+AAQ14*POWER(1-(AnnualChurn*VLOOKUP(AAD50,ChurnSeasonTable,4,FALSE)),3)*PriceEssAnnual*AAG50+AAR38*POWER(1-(AnnualChurn*VLOOKUP(AAD50,ChurnSeasonTable,4,FALSE)),1)*PricePremAnnual*AAG50+AAR26*POWER(1-(AnnualChurn*VLOOKUP(AAD50,ChurnSeasonTable,4,FALSE)),2)*PricePremAnnual*AAG50+AAR14*POWER(1-(AnnualChurn*VLOOKUP(AAD50,ChurnSeasonTable,4,FALSE)),3)*PricePremAnnual*AAG50</f>
        <v/>
      </c>
      <c r="ABC50" s="9">
        <f>AAZ50+ABA50+ABB50</f>
        <v/>
      </c>
      <c r="ABD50" s="12">
        <f>SUM(ABC39:ABC50)</f>
        <v/>
      </c>
      <c r="ABE50" s="12">
        <f>OR(ABE49,ABD50&gt;=VATThreshold)</f>
        <v/>
      </c>
      <c r="ABF50" s="9">
        <f>IF(ABE50,ABC50/(1+VATRate),ABC50)</f>
        <v/>
      </c>
      <c r="ABG50" s="12">
        <f>ABC50-ABF50</f>
        <v/>
      </c>
      <c r="ABH50" s="12">
        <f>IF(ABE50=0,0,IF(AAD50=1,SUMPRODUCT(--(($AAE$5:$AAE50=$AAE50-1)*($AAD$5:$AAD50&gt;=10)*($AAD$5:$AAD50&lt;=12)),$ABG$5:$ABG50),IF(AAD50=4,SUMPRODUCT(--(($AAE$5:$AAE50=$AAE50)*($AAD$5:$AAD50&gt;=1)*($AAD$5:$AAD50&lt;=3)),$ABG$5:$ABG50),IF(AAD50=7,SUMPRODUCT(--(($AAE$5:$AAE50=$AAE50)*($AAD$5:$AAD50&gt;=4)*($AAD$5:$AAD50&lt;=6)),$ABG$5:$ABG50),IF(AAD50=10,SUMPRODUCT(--(($AAE$5:$AAE50=$AAE50)*($AAD$5:$AAD50&gt;=7)*($AAD$5:$AAD50&lt;=9)),$ABG$5:$ABG50),0)))))</f>
        <v/>
      </c>
      <c r="ABI50" s="12">
        <f>ABI49+ABG50-ABH50</f>
        <v/>
      </c>
      <c r="ABJ50" s="12">
        <f>IF(ProviderDelay&gt;=1,ABF49*ProviderShare,ABF50*ProviderShare)</f>
        <v/>
      </c>
      <c r="ABK50" s="12">
        <f>ABC50*PaymentFee</f>
        <v/>
      </c>
      <c r="ABL50" s="12">
        <f>AAW50*OpsAI</f>
        <v/>
      </c>
      <c r="ABM50" s="12">
        <f>MonthlyFixed</f>
        <v/>
      </c>
      <c r="ABN50" s="12">
        <f>AAK50*ReferralReward</f>
        <v/>
      </c>
      <c r="ABO50" s="12">
        <f>AAI50</f>
        <v/>
      </c>
      <c r="ABP50" s="9">
        <f>ABF50-ABJ50-ABK50-ABL50-ABM50-ABN50-ABO50</f>
        <v/>
      </c>
      <c r="ABQ50" s="9">
        <f>ABQ49+ABC50-(ABJ50+ABK50+ABL50+ABM50+ABN50+ABO50+ABH50)</f>
        <v/>
      </c>
      <c r="ABR50" s="12">
        <f>IF(AAW50&gt;0,AAX50/AAW50,0)</f>
        <v/>
      </c>
      <c r="ABS50" s="11">
        <f>IF(AAW49&gt;0,MAX(0,(AAW49+AAL50-AAW50)/AAW49),0)</f>
        <v/>
      </c>
      <c r="ABU50" s="12" t="n">
        <v>46</v>
      </c>
      <c r="ABV50" s="12">
        <f>MOD(ABU50-1+LaunchMonth-1,12)+1</f>
        <v/>
      </c>
      <c r="ABW50" s="12">
        <f>INT((ABU50-1+LaunchMonth-1)/12)+1</f>
        <v/>
      </c>
      <c r="ABX50" s="12">
        <f>VLOOKUP(ABV50,SeasonTable,2,FALSE)</f>
        <v/>
      </c>
      <c r="ABY50" s="12">
        <f>(1+InflationRate)^INT((ABU50-1)/12)</f>
        <v/>
      </c>
      <c r="ABZ50" s="11">
        <f>MonthlyChurn*VLOOKUP(ABV50,ChurnSeasonTable,4,FALSE)</f>
        <v/>
      </c>
      <c r="ACA50" s="12">
        <f>MIN(MAX(MktMin19plus,ACU49*MktPct19plus),MAX(0,ADI49-CashBuffer))</f>
        <v/>
      </c>
      <c r="ACB50" s="12">
        <f>IF(ACA50&gt;0,MAX(1,ROUND(ACA50/CAC*ABX50,0)),0)</f>
        <v/>
      </c>
      <c r="ACC50" s="12">
        <f>IF(ACB50&gt;0,ROUND(ACB50*ReferralMix/(1-ReferralMix),0),0)</f>
        <v/>
      </c>
      <c r="ACD50" s="12">
        <f>ACB50+ACC50</f>
        <v/>
      </c>
      <c r="ACE50" s="12">
        <f>ROUND(ACD50*(1-'Sens - Annual Mix'!$A$14),0)</f>
        <v/>
      </c>
      <c r="ACF50" s="12">
        <f>ACD50-ACE50</f>
        <v/>
      </c>
      <c r="ACG50" s="12">
        <f>ROUND(ACE50*EssentialMix,0)</f>
        <v/>
      </c>
      <c r="ACH50" s="12">
        <f>ACE50-ACG50</f>
        <v/>
      </c>
      <c r="ACI50" s="12">
        <f>ROUND(ACF50*EssentialMix,0)</f>
        <v/>
      </c>
      <c r="ACJ50" s="12">
        <f>ACF50-ACI50</f>
        <v/>
      </c>
      <c r="ACK50" s="12">
        <f>ACG50+ACG49+ACG48+MAX(0,ACK49-ACG49-ACG48)*(1-ABZ50)</f>
        <v/>
      </c>
      <c r="ACL50" s="12">
        <f>ACH50+ACH49+ACH48+MAX(0,ACL49-ACH49-ACH48)*(1-ABZ50)</f>
        <v/>
      </c>
      <c r="ACM50" s="12">
        <f>ACM49+ACI50-ACI38*(AnnualChurn*VLOOKUP(ABV50,ChurnSeasonTable,4,FALSE))*POWER(1-(AnnualChurn*VLOOKUP(ABV50,ChurnSeasonTable,4,FALSE)),0)+ACI26*(AnnualChurn*VLOOKUP(ABV50,ChurnSeasonTable,4,FALSE))*POWER(1-(AnnualChurn*VLOOKUP(ABV50,ChurnSeasonTable,4,FALSE)),1)+ACI14*(AnnualChurn*VLOOKUP(ABV50,ChurnSeasonTable,4,FALSE))*POWER(1-(AnnualChurn*VLOOKUP(ABV50,ChurnSeasonTable,4,FALSE)),2)</f>
        <v/>
      </c>
      <c r="ACN50" s="12">
        <f>ACN49+ACJ50-ACJ38*(AnnualChurn*VLOOKUP(ABV50,ChurnSeasonTable,4,FALSE))*POWER(1-(AnnualChurn*VLOOKUP(ABV50,ChurnSeasonTable,4,FALSE)),0)+ACJ26*(AnnualChurn*VLOOKUP(ABV50,ChurnSeasonTable,4,FALSE))*POWER(1-(AnnualChurn*VLOOKUP(ABV50,ChurnSeasonTable,4,FALSE)),1)+ACJ14*(AnnualChurn*VLOOKUP(ABV50,ChurnSeasonTable,4,FALSE))*POWER(1-(AnnualChurn*VLOOKUP(ABV50,ChurnSeasonTable,4,FALSE)),2)</f>
        <v/>
      </c>
      <c r="ACO50" s="12">
        <f>ACK50+ACL50+ACM50+ACN50</f>
        <v/>
      </c>
      <c r="ACP50" s="9">
        <f>ACK50*PriceEssMonthly*ABY50+ACL50*PricePremMonthly*ABY50+ACM50*PriceEssAnnual*ABY50/12+ACN50*PricePremAnnual*ABY50/12</f>
        <v/>
      </c>
      <c r="ACQ50" s="9">
        <f>ACP50*12</f>
        <v/>
      </c>
      <c r="ACR50" s="12">
        <f>ACK50*PriceEssMonthly*ABY50+ACL50*PricePremMonthly*ABY50</f>
        <v/>
      </c>
      <c r="ACS50" s="12">
        <f>ACI50*PriceEssAnnual*ABY50+ACJ50*PricePremAnnual*ABY50</f>
        <v/>
      </c>
      <c r="ACT50" s="12">
        <f>ACI38*POWER(1-(AnnualChurn*VLOOKUP(ABV50,ChurnSeasonTable,4,FALSE)),1)*PriceEssAnnual*ABY50+ACI26*POWER(1-(AnnualChurn*VLOOKUP(ABV50,ChurnSeasonTable,4,FALSE)),2)*PriceEssAnnual*ABY50+ACI14*POWER(1-(AnnualChurn*VLOOKUP(ABV50,ChurnSeasonTable,4,FALSE)),3)*PriceEssAnnual*ABY50+ACJ38*POWER(1-(AnnualChurn*VLOOKUP(ABV50,ChurnSeasonTable,4,FALSE)),1)*PricePremAnnual*ABY50+ACJ26*POWER(1-(AnnualChurn*VLOOKUP(ABV50,ChurnSeasonTable,4,FALSE)),2)*PricePremAnnual*ABY50+ACJ14*POWER(1-(AnnualChurn*VLOOKUP(ABV50,ChurnSeasonTable,4,FALSE)),3)*PricePremAnnual*ABY50</f>
        <v/>
      </c>
      <c r="ACU50" s="9">
        <f>ACR50+ACS50+ACT50</f>
        <v/>
      </c>
      <c r="ACV50" s="12">
        <f>SUM(ACU39:ACU50)</f>
        <v/>
      </c>
      <c r="ACW50" s="12">
        <f>OR(ACW49,ACV50&gt;=VATThreshold)</f>
        <v/>
      </c>
      <c r="ACX50" s="9">
        <f>IF(ACW50,ACU50/(1+VATRate),ACU50)</f>
        <v/>
      </c>
      <c r="ACY50" s="12">
        <f>ACU50-ACX50</f>
        <v/>
      </c>
      <c r="ACZ50" s="12">
        <f>IF(ACW50=0,0,IF(ABV50=1,SUMPRODUCT(--(($ABW$5:$ABW50=$ABW50-1)*($ABV$5:$ABV50&gt;=10)*($ABV$5:$ABV50&lt;=12)),$ACY$5:$ACY50),IF(ABV50=4,SUMPRODUCT(--(($ABW$5:$ABW50=$ABW50)*($ABV$5:$ABV50&gt;=1)*($ABV$5:$ABV50&lt;=3)),$ACY$5:$ACY50),IF(ABV50=7,SUMPRODUCT(--(($ABW$5:$ABW50=$ABW50)*($ABV$5:$ABV50&gt;=4)*($ABV$5:$ABV50&lt;=6)),$ACY$5:$ACY50),IF(ABV50=10,SUMPRODUCT(--(($ABW$5:$ABW50=$ABW50)*($ABV$5:$ABV50&gt;=7)*($ABV$5:$ABV50&lt;=9)),$ACY$5:$ACY50),0)))))</f>
        <v/>
      </c>
      <c r="ADA50" s="12">
        <f>ADA49+ACY50-ACZ50</f>
        <v/>
      </c>
      <c r="ADB50" s="12">
        <f>IF(ProviderDelay&gt;=1,ACX49*ProviderShare,ACX50*ProviderShare)</f>
        <v/>
      </c>
      <c r="ADC50" s="12">
        <f>ACU50*PaymentFee</f>
        <v/>
      </c>
      <c r="ADD50" s="12">
        <f>ACO50*OpsAI</f>
        <v/>
      </c>
      <c r="ADE50" s="12">
        <f>MonthlyFixed</f>
        <v/>
      </c>
      <c r="ADF50" s="12">
        <f>ACC50*ReferralReward</f>
        <v/>
      </c>
      <c r="ADG50" s="12">
        <f>ACA50</f>
        <v/>
      </c>
      <c r="ADH50" s="9">
        <f>ACX50-ADB50-ADC50-ADD50-ADE50-ADF50-ADG50</f>
        <v/>
      </c>
      <c r="ADI50" s="9">
        <f>ADI49+ACU50-(ADB50+ADC50+ADD50+ADE50+ADF50+ADG50+ACZ50)</f>
        <v/>
      </c>
      <c r="ADJ50" s="12">
        <f>IF(ACO50&gt;0,ACP50/ACO50,0)</f>
        <v/>
      </c>
      <c r="ADK50" s="11">
        <f>IF(ACO49&gt;0,MAX(0,(ACO49+ACD50-ACO50)/ACO49),0)</f>
        <v/>
      </c>
      <c r="ADM50" s="12" t="n">
        <v>46</v>
      </c>
      <c r="ADN50" s="12">
        <f>MOD(ADM50-1+LaunchMonth-1,12)+1</f>
        <v/>
      </c>
      <c r="ADO50" s="12">
        <f>INT((ADM50-1+LaunchMonth-1)/12)+1</f>
        <v/>
      </c>
      <c r="ADP50" s="12">
        <f>VLOOKUP(ADN50,SeasonTable,2,FALSE)</f>
        <v/>
      </c>
      <c r="ADQ50" s="12">
        <f>(1+InflationRate)^INT((ADM50-1)/12)</f>
        <v/>
      </c>
      <c r="ADR50" s="11">
        <f>MonthlyChurn*VLOOKUP(ADN50,ChurnSeasonTable,4,FALSE)</f>
        <v/>
      </c>
      <c r="ADS50" s="12">
        <f>MIN(MAX(MktMin19plus,AEM49*MktPct19plus),MAX(0,AFA49-CashBuffer))</f>
        <v/>
      </c>
      <c r="ADT50" s="12">
        <f>IF(ADS50&gt;0,MAX(1,ROUND(ADS50/CAC*ADP50,0)),0)</f>
        <v/>
      </c>
      <c r="ADU50" s="12">
        <f>IF(ADT50&gt;0,ROUND(ADT50*ReferralMix/(1-ReferralMix),0),0)</f>
        <v/>
      </c>
      <c r="ADV50" s="12">
        <f>ADT50+ADU50</f>
        <v/>
      </c>
      <c r="ADW50" s="12">
        <f>ROUND(ADV50*(1-'Sens - Annual Mix'!$A$15),0)</f>
        <v/>
      </c>
      <c r="ADX50" s="12">
        <f>ADV50-ADW50</f>
        <v/>
      </c>
      <c r="ADY50" s="12">
        <f>ROUND(ADW50*EssentialMix,0)</f>
        <v/>
      </c>
      <c r="ADZ50" s="12">
        <f>ADW50-ADY50</f>
        <v/>
      </c>
      <c r="AEA50" s="12">
        <f>ROUND(ADX50*EssentialMix,0)</f>
        <v/>
      </c>
      <c r="AEB50" s="12">
        <f>ADX50-AEA50</f>
        <v/>
      </c>
      <c r="AEC50" s="12">
        <f>ADY50+ADY49+ADY48+MAX(0,AEC49-ADY49-ADY48)*(1-ADR50)</f>
        <v/>
      </c>
      <c r="AED50" s="12">
        <f>ADZ50+ADZ49+ADZ48+MAX(0,AED49-ADZ49-ADZ48)*(1-ADR50)</f>
        <v/>
      </c>
      <c r="AEE50" s="12">
        <f>AEE49+AEA50-AEA38*(AnnualChurn*VLOOKUP(ADN50,ChurnSeasonTable,4,FALSE))*POWER(1-(AnnualChurn*VLOOKUP(ADN50,ChurnSeasonTable,4,FALSE)),0)+AEA26*(AnnualChurn*VLOOKUP(ADN50,ChurnSeasonTable,4,FALSE))*POWER(1-(AnnualChurn*VLOOKUP(ADN50,ChurnSeasonTable,4,FALSE)),1)+AEA14*(AnnualChurn*VLOOKUP(ADN50,ChurnSeasonTable,4,FALSE))*POWER(1-(AnnualChurn*VLOOKUP(ADN50,ChurnSeasonTable,4,FALSE)),2)</f>
        <v/>
      </c>
      <c r="AEF50" s="12">
        <f>AEF49+AEB50-AEB38*(AnnualChurn*VLOOKUP(ADN50,ChurnSeasonTable,4,FALSE))*POWER(1-(AnnualChurn*VLOOKUP(ADN50,ChurnSeasonTable,4,FALSE)),0)+AEB26*(AnnualChurn*VLOOKUP(ADN50,ChurnSeasonTable,4,FALSE))*POWER(1-(AnnualChurn*VLOOKUP(ADN50,ChurnSeasonTable,4,FALSE)),1)+AEB14*(AnnualChurn*VLOOKUP(ADN50,ChurnSeasonTable,4,FALSE))*POWER(1-(AnnualChurn*VLOOKUP(ADN50,ChurnSeasonTable,4,FALSE)),2)</f>
        <v/>
      </c>
      <c r="AEG50" s="12">
        <f>AEC50+AED50+AEE50+AEF50</f>
        <v/>
      </c>
      <c r="AEH50" s="9">
        <f>AEC50*PriceEssMonthly*ADQ50+AED50*PricePremMonthly*ADQ50+AEE50*PriceEssAnnual*ADQ50/12+AEF50*PricePremAnnual*ADQ50/12</f>
        <v/>
      </c>
      <c r="AEI50" s="9">
        <f>AEH50*12</f>
        <v/>
      </c>
      <c r="AEJ50" s="12">
        <f>AEC50*PriceEssMonthly*ADQ50+AED50*PricePremMonthly*ADQ50</f>
        <v/>
      </c>
      <c r="AEK50" s="12">
        <f>AEA50*PriceEssAnnual*ADQ50+AEB50*PricePremAnnual*ADQ50</f>
        <v/>
      </c>
      <c r="AEL50" s="12">
        <f>AEA38*POWER(1-(AnnualChurn*VLOOKUP(ADN50,ChurnSeasonTable,4,FALSE)),1)*PriceEssAnnual*ADQ50+AEA26*POWER(1-(AnnualChurn*VLOOKUP(ADN50,ChurnSeasonTable,4,FALSE)),2)*PriceEssAnnual*ADQ50+AEA14*POWER(1-(AnnualChurn*VLOOKUP(ADN50,ChurnSeasonTable,4,FALSE)),3)*PriceEssAnnual*ADQ50+AEB38*POWER(1-(AnnualChurn*VLOOKUP(ADN50,ChurnSeasonTable,4,FALSE)),1)*PricePremAnnual*ADQ50+AEB26*POWER(1-(AnnualChurn*VLOOKUP(ADN50,ChurnSeasonTable,4,FALSE)),2)*PricePremAnnual*ADQ50+AEB14*POWER(1-(AnnualChurn*VLOOKUP(ADN50,ChurnSeasonTable,4,FALSE)),3)*PricePremAnnual*ADQ50</f>
        <v/>
      </c>
      <c r="AEM50" s="9">
        <f>AEJ50+AEK50+AEL50</f>
        <v/>
      </c>
      <c r="AEN50" s="12">
        <f>SUM(AEM39:AEM50)</f>
        <v/>
      </c>
      <c r="AEO50" s="12">
        <f>OR(AEO49,AEN50&gt;=VATThreshold)</f>
        <v/>
      </c>
      <c r="AEP50" s="9">
        <f>IF(AEO50,AEM50/(1+VATRate),AEM50)</f>
        <v/>
      </c>
      <c r="AEQ50" s="12">
        <f>AEM50-AEP50</f>
        <v/>
      </c>
      <c r="AER50" s="12">
        <f>IF(AEO50=0,0,IF(ADN50=1,SUMPRODUCT(--(($ADO$5:$ADO50=$ADO50-1)*($ADN$5:$ADN50&gt;=10)*($ADN$5:$ADN50&lt;=12)),$AEQ$5:$AEQ50),IF(ADN50=4,SUMPRODUCT(--(($ADO$5:$ADO50=$ADO50)*($ADN$5:$ADN50&gt;=1)*($ADN$5:$ADN50&lt;=3)),$AEQ$5:$AEQ50),IF(ADN50=7,SUMPRODUCT(--(($ADO$5:$ADO50=$ADO50)*($ADN$5:$ADN50&gt;=4)*($ADN$5:$ADN50&lt;=6)),$AEQ$5:$AEQ50),IF(ADN50=10,SUMPRODUCT(--(($ADO$5:$ADO50=$ADO50)*($ADN$5:$ADN50&gt;=7)*($ADN$5:$ADN50&lt;=9)),$AEQ$5:$AEQ50),0)))))</f>
        <v/>
      </c>
      <c r="AES50" s="12">
        <f>AES49+AEQ50-AER50</f>
        <v/>
      </c>
      <c r="AET50" s="12">
        <f>IF(ProviderDelay&gt;=1,AEP49*ProviderShare,AEP50*ProviderShare)</f>
        <v/>
      </c>
      <c r="AEU50" s="12">
        <f>AEM50*PaymentFee</f>
        <v/>
      </c>
      <c r="AEV50" s="12">
        <f>AEG50*OpsAI</f>
        <v/>
      </c>
      <c r="AEW50" s="12">
        <f>MonthlyFixed</f>
        <v/>
      </c>
      <c r="AEX50" s="12">
        <f>ADU50*ReferralReward</f>
        <v/>
      </c>
      <c r="AEY50" s="12">
        <f>ADS50</f>
        <v/>
      </c>
      <c r="AEZ50" s="9">
        <f>AEP50-AET50-AEU50-AEV50-AEW50-AEX50-AEY50</f>
        <v/>
      </c>
      <c r="AFA50" s="9">
        <f>AFA49+AEM50-(AET50+AEU50+AEV50+AEW50+AEX50+AEY50+AER50)</f>
        <v/>
      </c>
      <c r="AFB50" s="12">
        <f>IF(AEG50&gt;0,AEH50/AEG50,0)</f>
        <v/>
      </c>
      <c r="AFC50" s="11">
        <f>IF(AEG49&gt;0,MAX(0,(AEG49+ADV50-AEG50)/AEG49),0)</f>
        <v/>
      </c>
      <c r="AFE50" s="12" t="n">
        <v>46</v>
      </c>
      <c r="AFF50" s="12">
        <f>MOD(AFE50-1+LaunchMonth-1,12)+1</f>
        <v/>
      </c>
      <c r="AFG50" s="12">
        <f>INT((AFE50-1+LaunchMonth-1)/12)+1</f>
        <v/>
      </c>
      <c r="AFH50" s="12">
        <f>VLOOKUP(AFF50,SeasonTable,2,FALSE)</f>
        <v/>
      </c>
      <c r="AFI50" s="12">
        <f>(1+InflationRate)^INT((AFE50-1)/12)</f>
        <v/>
      </c>
      <c r="AFJ50" s="11">
        <f>MonthlyChurn*VLOOKUP(AFF50,ChurnSeasonTable,4,FALSE)</f>
        <v/>
      </c>
      <c r="AFK50" s="12">
        <f>MIN(MAX(MktMin19plus,AGE49*MktPct19plus),MAX(0,AGS49-CashBuffer))</f>
        <v/>
      </c>
      <c r="AFL50" s="12">
        <f>IF(AFK50&gt;0,MAX(1,ROUND(AFK50/'Sens - CAC &amp; Marketing'!$A$9*AFH50,0)),0)</f>
        <v/>
      </c>
      <c r="AFM50" s="12">
        <f>IF(AFL50&gt;0,ROUND(AFL50*ReferralMix/(1-ReferralMix),0),0)</f>
        <v/>
      </c>
      <c r="AFN50" s="12">
        <f>AFL50+AFM50</f>
        <v/>
      </c>
      <c r="AFO50" s="12">
        <f>ROUND(AFN50*(1-AnnualMix),0)</f>
        <v/>
      </c>
      <c r="AFP50" s="12">
        <f>AFN50-AFO50</f>
        <v/>
      </c>
      <c r="AFQ50" s="12">
        <f>ROUND(AFO50*EssentialMix,0)</f>
        <v/>
      </c>
      <c r="AFR50" s="12">
        <f>AFO50-AFQ50</f>
        <v/>
      </c>
      <c r="AFS50" s="12">
        <f>ROUND(AFP50*EssentialMix,0)</f>
        <v/>
      </c>
      <c r="AFT50" s="12">
        <f>AFP50-AFS50</f>
        <v/>
      </c>
      <c r="AFU50" s="12">
        <f>AFQ50+AFQ49+AFQ48+MAX(0,AFU49-AFQ49-AFQ48)*(1-AFJ50)</f>
        <v/>
      </c>
      <c r="AFV50" s="12">
        <f>AFR50+AFR49+AFR48+MAX(0,AFV49-AFR49-AFR48)*(1-AFJ50)</f>
        <v/>
      </c>
      <c r="AFW50" s="12">
        <f>AFW49+AFS50-AFS38*(AnnualChurn*VLOOKUP(AFF50,ChurnSeasonTable,4,FALSE))*POWER(1-(AnnualChurn*VLOOKUP(AFF50,ChurnSeasonTable,4,FALSE)),0)+AFS26*(AnnualChurn*VLOOKUP(AFF50,ChurnSeasonTable,4,FALSE))*POWER(1-(AnnualChurn*VLOOKUP(AFF50,ChurnSeasonTable,4,FALSE)),1)+AFS14*(AnnualChurn*VLOOKUP(AFF50,ChurnSeasonTable,4,FALSE))*POWER(1-(AnnualChurn*VLOOKUP(AFF50,ChurnSeasonTable,4,FALSE)),2)</f>
        <v/>
      </c>
      <c r="AFX50" s="12">
        <f>AFX49+AFT50-AFT38*(AnnualChurn*VLOOKUP(AFF50,ChurnSeasonTable,4,FALSE))*POWER(1-(AnnualChurn*VLOOKUP(AFF50,ChurnSeasonTable,4,FALSE)),0)+AFT26*(AnnualChurn*VLOOKUP(AFF50,ChurnSeasonTable,4,FALSE))*POWER(1-(AnnualChurn*VLOOKUP(AFF50,ChurnSeasonTable,4,FALSE)),1)+AFT14*(AnnualChurn*VLOOKUP(AFF50,ChurnSeasonTable,4,FALSE))*POWER(1-(AnnualChurn*VLOOKUP(AFF50,ChurnSeasonTable,4,FALSE)),2)</f>
        <v/>
      </c>
      <c r="AFY50" s="12">
        <f>AFU50+AFV50+AFW50+AFX50</f>
        <v/>
      </c>
      <c r="AFZ50" s="9">
        <f>AFU50*PriceEssMonthly*AFI50+AFV50*PricePremMonthly*AFI50+AFW50*PriceEssAnnual*AFI50/12+AFX50*PricePremAnnual*AFI50/12</f>
        <v/>
      </c>
      <c r="AGA50" s="9">
        <f>AFZ50*12</f>
        <v/>
      </c>
      <c r="AGB50" s="12">
        <f>AFU50*PriceEssMonthly*AFI50+AFV50*PricePremMonthly*AFI50</f>
        <v/>
      </c>
      <c r="AGC50" s="12">
        <f>AFS50*PriceEssAnnual*AFI50+AFT50*PricePremAnnual*AFI50</f>
        <v/>
      </c>
      <c r="AGD50" s="12">
        <f>AFS38*POWER(1-(AnnualChurn*VLOOKUP(AFF50,ChurnSeasonTable,4,FALSE)),1)*PriceEssAnnual*AFI50+AFS26*POWER(1-(AnnualChurn*VLOOKUP(AFF50,ChurnSeasonTable,4,FALSE)),2)*PriceEssAnnual*AFI50+AFS14*POWER(1-(AnnualChurn*VLOOKUP(AFF50,ChurnSeasonTable,4,FALSE)),3)*PriceEssAnnual*AFI50+AFT38*POWER(1-(AnnualChurn*VLOOKUP(AFF50,ChurnSeasonTable,4,FALSE)),1)*PricePremAnnual*AFI50+AFT26*POWER(1-(AnnualChurn*VLOOKUP(AFF50,ChurnSeasonTable,4,FALSE)),2)*PricePremAnnual*AFI50+AFT14*POWER(1-(AnnualChurn*VLOOKUP(AFF50,ChurnSeasonTable,4,FALSE)),3)*PricePremAnnual*AFI50</f>
        <v/>
      </c>
      <c r="AGE50" s="9">
        <f>AGB50+AGC50+AGD50</f>
        <v/>
      </c>
      <c r="AGF50" s="12">
        <f>SUM(AGE39:AGE50)</f>
        <v/>
      </c>
      <c r="AGG50" s="12">
        <f>OR(AGG49,AGF50&gt;=VATThreshold)</f>
        <v/>
      </c>
      <c r="AGH50" s="9">
        <f>IF(AGG50,AGE50/(1+VATRate),AGE50)</f>
        <v/>
      </c>
      <c r="AGI50" s="12">
        <f>AGE50-AGH50</f>
        <v/>
      </c>
      <c r="AGJ50" s="12">
        <f>IF(AGG50=0,0,IF(AFF50=1,SUMPRODUCT(--(($AFG$5:$AFG50=$AFG50-1)*($AFF$5:$AFF50&gt;=10)*($AFF$5:$AFF50&lt;=12)),$AGI$5:$AGI50),IF(AFF50=4,SUMPRODUCT(--(($AFG$5:$AFG50=$AFG50)*($AFF$5:$AFF50&gt;=1)*($AFF$5:$AFF50&lt;=3)),$AGI$5:$AGI50),IF(AFF50=7,SUMPRODUCT(--(($AFG$5:$AFG50=$AFG50)*($AFF$5:$AFF50&gt;=4)*($AFF$5:$AFF50&lt;=6)),$AGI$5:$AGI50),IF(AFF50=10,SUMPRODUCT(--(($AFG$5:$AFG50=$AFG50)*($AFF$5:$AFF50&gt;=7)*($AFF$5:$AFF50&lt;=9)),$AGI$5:$AGI50),0)))))</f>
        <v/>
      </c>
      <c r="AGK50" s="12">
        <f>AGK49+AGI50-AGJ50</f>
        <v/>
      </c>
      <c r="AGL50" s="12">
        <f>IF(ProviderDelay&gt;=1,AGH49*ProviderShare,AGH50*ProviderShare)</f>
        <v/>
      </c>
      <c r="AGM50" s="12">
        <f>AGE50*PaymentFee</f>
        <v/>
      </c>
      <c r="AGN50" s="12">
        <f>AFY50*OpsAI</f>
        <v/>
      </c>
      <c r="AGO50" s="12">
        <f>MonthlyFixed</f>
        <v/>
      </c>
      <c r="AGP50" s="12">
        <f>AFM50*ReferralReward</f>
        <v/>
      </c>
      <c r="AGQ50" s="12">
        <f>AFK50</f>
        <v/>
      </c>
      <c r="AGR50" s="9">
        <f>AGH50-AGL50-AGM50-AGN50-AGO50-AGP50-AGQ50</f>
        <v/>
      </c>
      <c r="AGS50" s="9">
        <f>AGS49+AGE50-(AGL50+AGM50+AGN50+AGO50+AGP50+AGQ50+AGJ50)</f>
        <v/>
      </c>
      <c r="AGT50" s="12">
        <f>IF(AFY50&gt;0,AFZ50/AFY50,0)</f>
        <v/>
      </c>
      <c r="AGU50" s="11">
        <f>IF(AFY49&gt;0,MAX(0,(AFY49+AFN50-AFY50)/AFY49),0)</f>
        <v/>
      </c>
      <c r="AGW50" s="12" t="n">
        <v>46</v>
      </c>
      <c r="AGX50" s="12">
        <f>MOD(AGW50-1+LaunchMonth-1,12)+1</f>
        <v/>
      </c>
      <c r="AGY50" s="12">
        <f>INT((AGW50-1+LaunchMonth-1)/12)+1</f>
        <v/>
      </c>
      <c r="AGZ50" s="12">
        <f>VLOOKUP(AGX50,SeasonTable,2,FALSE)</f>
        <v/>
      </c>
      <c r="AHA50" s="12">
        <f>(1+InflationRate)^INT((AGW50-1)/12)</f>
        <v/>
      </c>
      <c r="AHB50" s="11">
        <f>MonthlyChurn*VLOOKUP(AGX50,ChurnSeasonTable,4,FALSE)</f>
        <v/>
      </c>
      <c r="AHC50" s="12">
        <f>MIN(MAX(MktMin19plus,AHW49*MktPct19plus),MAX(0,AIK49-CashBuffer))</f>
        <v/>
      </c>
      <c r="AHD50" s="12">
        <f>IF(AHC50&gt;0,MAX(1,ROUND(AHC50/'Sens - CAC &amp; Marketing'!$A$10*AGZ50,0)),0)</f>
        <v/>
      </c>
      <c r="AHE50" s="12">
        <f>IF(AHD50&gt;0,ROUND(AHD50*ReferralMix/(1-ReferralMix),0),0)</f>
        <v/>
      </c>
      <c r="AHF50" s="12">
        <f>AHD50+AHE50</f>
        <v/>
      </c>
      <c r="AHG50" s="12">
        <f>ROUND(AHF50*(1-AnnualMix),0)</f>
        <v/>
      </c>
      <c r="AHH50" s="12">
        <f>AHF50-AHG50</f>
        <v/>
      </c>
      <c r="AHI50" s="12">
        <f>ROUND(AHG50*EssentialMix,0)</f>
        <v/>
      </c>
      <c r="AHJ50" s="12">
        <f>AHG50-AHI50</f>
        <v/>
      </c>
      <c r="AHK50" s="12">
        <f>ROUND(AHH50*EssentialMix,0)</f>
        <v/>
      </c>
      <c r="AHL50" s="12">
        <f>AHH50-AHK50</f>
        <v/>
      </c>
      <c r="AHM50" s="12">
        <f>AHI50+AHI49+AHI48+MAX(0,AHM49-AHI49-AHI48)*(1-AHB50)</f>
        <v/>
      </c>
      <c r="AHN50" s="12">
        <f>AHJ50+AHJ49+AHJ48+MAX(0,AHN49-AHJ49-AHJ48)*(1-AHB50)</f>
        <v/>
      </c>
      <c r="AHO50" s="12">
        <f>AHO49+AHK50-AHK38*(AnnualChurn*VLOOKUP(AGX50,ChurnSeasonTable,4,FALSE))*POWER(1-(AnnualChurn*VLOOKUP(AGX50,ChurnSeasonTable,4,FALSE)),0)+AHK26*(AnnualChurn*VLOOKUP(AGX50,ChurnSeasonTable,4,FALSE))*POWER(1-(AnnualChurn*VLOOKUP(AGX50,ChurnSeasonTable,4,FALSE)),1)+AHK14*(AnnualChurn*VLOOKUP(AGX50,ChurnSeasonTable,4,FALSE))*POWER(1-(AnnualChurn*VLOOKUP(AGX50,ChurnSeasonTable,4,FALSE)),2)</f>
        <v/>
      </c>
      <c r="AHP50" s="12">
        <f>AHP49+AHL50-AHL38*(AnnualChurn*VLOOKUP(AGX50,ChurnSeasonTable,4,FALSE))*POWER(1-(AnnualChurn*VLOOKUP(AGX50,ChurnSeasonTable,4,FALSE)),0)+AHL26*(AnnualChurn*VLOOKUP(AGX50,ChurnSeasonTable,4,FALSE))*POWER(1-(AnnualChurn*VLOOKUP(AGX50,ChurnSeasonTable,4,FALSE)),1)+AHL14*(AnnualChurn*VLOOKUP(AGX50,ChurnSeasonTable,4,FALSE))*POWER(1-(AnnualChurn*VLOOKUP(AGX50,ChurnSeasonTable,4,FALSE)),2)</f>
        <v/>
      </c>
      <c r="AHQ50" s="12">
        <f>AHM50+AHN50+AHO50+AHP50</f>
        <v/>
      </c>
      <c r="AHR50" s="9">
        <f>AHM50*PriceEssMonthly*AHA50+AHN50*PricePremMonthly*AHA50+AHO50*PriceEssAnnual*AHA50/12+AHP50*PricePremAnnual*AHA50/12</f>
        <v/>
      </c>
      <c r="AHS50" s="9">
        <f>AHR50*12</f>
        <v/>
      </c>
      <c r="AHT50" s="12">
        <f>AHM50*PriceEssMonthly*AHA50+AHN50*PricePremMonthly*AHA50</f>
        <v/>
      </c>
      <c r="AHU50" s="12">
        <f>AHK50*PriceEssAnnual*AHA50+AHL50*PricePremAnnual*AHA50</f>
        <v/>
      </c>
      <c r="AHV50" s="12">
        <f>AHK38*POWER(1-(AnnualChurn*VLOOKUP(AGX50,ChurnSeasonTable,4,FALSE)),1)*PriceEssAnnual*AHA50+AHK26*POWER(1-(AnnualChurn*VLOOKUP(AGX50,ChurnSeasonTable,4,FALSE)),2)*PriceEssAnnual*AHA50+AHK14*POWER(1-(AnnualChurn*VLOOKUP(AGX50,ChurnSeasonTable,4,FALSE)),3)*PriceEssAnnual*AHA50+AHL38*POWER(1-(AnnualChurn*VLOOKUP(AGX50,ChurnSeasonTable,4,FALSE)),1)*PricePremAnnual*AHA50+AHL26*POWER(1-(AnnualChurn*VLOOKUP(AGX50,ChurnSeasonTable,4,FALSE)),2)*PricePremAnnual*AHA50+AHL14*POWER(1-(AnnualChurn*VLOOKUP(AGX50,ChurnSeasonTable,4,FALSE)),3)*PricePremAnnual*AHA50</f>
        <v/>
      </c>
      <c r="AHW50" s="9">
        <f>AHT50+AHU50+AHV50</f>
        <v/>
      </c>
      <c r="AHX50" s="12">
        <f>SUM(AHW39:AHW50)</f>
        <v/>
      </c>
      <c r="AHY50" s="12">
        <f>OR(AHY49,AHX50&gt;=VATThreshold)</f>
        <v/>
      </c>
      <c r="AHZ50" s="9">
        <f>IF(AHY50,AHW50/(1+VATRate),AHW50)</f>
        <v/>
      </c>
      <c r="AIA50" s="12">
        <f>AHW50-AHZ50</f>
        <v/>
      </c>
      <c r="AIB50" s="12">
        <f>IF(AHY50=0,0,IF(AGX50=1,SUMPRODUCT(--(($AGY$5:$AGY50=$AGY50-1)*($AGX$5:$AGX50&gt;=10)*($AGX$5:$AGX50&lt;=12)),$AIA$5:$AIA50),IF(AGX50=4,SUMPRODUCT(--(($AGY$5:$AGY50=$AGY50)*($AGX$5:$AGX50&gt;=1)*($AGX$5:$AGX50&lt;=3)),$AIA$5:$AIA50),IF(AGX50=7,SUMPRODUCT(--(($AGY$5:$AGY50=$AGY50)*($AGX$5:$AGX50&gt;=4)*($AGX$5:$AGX50&lt;=6)),$AIA$5:$AIA50),IF(AGX50=10,SUMPRODUCT(--(($AGY$5:$AGY50=$AGY50)*($AGX$5:$AGX50&gt;=7)*($AGX$5:$AGX50&lt;=9)),$AIA$5:$AIA50),0)))))</f>
        <v/>
      </c>
      <c r="AIC50" s="12">
        <f>AIC49+AIA50-AIB50</f>
        <v/>
      </c>
      <c r="AID50" s="12">
        <f>IF(ProviderDelay&gt;=1,AHZ49*ProviderShare,AHZ50*ProviderShare)</f>
        <v/>
      </c>
      <c r="AIE50" s="12">
        <f>AHW50*PaymentFee</f>
        <v/>
      </c>
      <c r="AIF50" s="12">
        <f>AHQ50*OpsAI</f>
        <v/>
      </c>
      <c r="AIG50" s="12">
        <f>MonthlyFixed</f>
        <v/>
      </c>
      <c r="AIH50" s="12">
        <f>AHE50*ReferralReward</f>
        <v/>
      </c>
      <c r="AII50" s="12">
        <f>AHC50</f>
        <v/>
      </c>
      <c r="AIJ50" s="9">
        <f>AHZ50-AID50-AIE50-AIF50-AIG50-AIH50-AII50</f>
        <v/>
      </c>
      <c r="AIK50" s="9">
        <f>AIK49+AHW50-(AID50+AIE50+AIF50+AIG50+AIH50+AII50+AIB50)</f>
        <v/>
      </c>
      <c r="AIL50" s="12">
        <f>IF(AHQ50&gt;0,AHR50/AHQ50,0)</f>
        <v/>
      </c>
      <c r="AIM50" s="11">
        <f>IF(AHQ49&gt;0,MAX(0,(AHQ49+AHF50-AHQ50)/AHQ49),0)</f>
        <v/>
      </c>
      <c r="AIO50" s="12" t="n">
        <v>46</v>
      </c>
      <c r="AIP50" s="12">
        <f>MOD(AIO50-1+LaunchMonth-1,12)+1</f>
        <v/>
      </c>
      <c r="AIQ50" s="12">
        <f>INT((AIO50-1+LaunchMonth-1)/12)+1</f>
        <v/>
      </c>
      <c r="AIR50" s="12">
        <f>VLOOKUP(AIP50,SeasonTable,2,FALSE)</f>
        <v/>
      </c>
      <c r="AIS50" s="12">
        <f>(1+InflationRate)^INT((AIO50-1)/12)</f>
        <v/>
      </c>
      <c r="AIT50" s="11">
        <f>MonthlyChurn*VLOOKUP(AIP50,ChurnSeasonTable,4,FALSE)</f>
        <v/>
      </c>
      <c r="AIU50" s="12">
        <f>MIN(MAX(MktMin19plus,AJO49*MktPct19plus),MAX(0,AKC49-CashBuffer))</f>
        <v/>
      </c>
      <c r="AIV50" s="12">
        <f>IF(AIU50&gt;0,MAX(1,ROUND(AIU50/'Sens - CAC &amp; Marketing'!$A$11*AIR50,0)),0)</f>
        <v/>
      </c>
      <c r="AIW50" s="12">
        <f>IF(AIV50&gt;0,ROUND(AIV50*ReferralMix/(1-ReferralMix),0),0)</f>
        <v/>
      </c>
      <c r="AIX50" s="12">
        <f>AIV50+AIW50</f>
        <v/>
      </c>
      <c r="AIY50" s="12">
        <f>ROUND(AIX50*(1-AnnualMix),0)</f>
        <v/>
      </c>
      <c r="AIZ50" s="12">
        <f>AIX50-AIY50</f>
        <v/>
      </c>
      <c r="AJA50" s="12">
        <f>ROUND(AIY50*EssentialMix,0)</f>
        <v/>
      </c>
      <c r="AJB50" s="12">
        <f>AIY50-AJA50</f>
        <v/>
      </c>
      <c r="AJC50" s="12">
        <f>ROUND(AIZ50*EssentialMix,0)</f>
        <v/>
      </c>
      <c r="AJD50" s="12">
        <f>AIZ50-AJC50</f>
        <v/>
      </c>
      <c r="AJE50" s="12">
        <f>AJA50+AJA49+AJA48+MAX(0,AJE49-AJA49-AJA48)*(1-AIT50)</f>
        <v/>
      </c>
      <c r="AJF50" s="12">
        <f>AJB50+AJB49+AJB48+MAX(0,AJF49-AJB49-AJB48)*(1-AIT50)</f>
        <v/>
      </c>
      <c r="AJG50" s="12">
        <f>AJG49+AJC50-AJC38*(AnnualChurn*VLOOKUP(AIP50,ChurnSeasonTable,4,FALSE))*POWER(1-(AnnualChurn*VLOOKUP(AIP50,ChurnSeasonTable,4,FALSE)),0)+AJC26*(AnnualChurn*VLOOKUP(AIP50,ChurnSeasonTable,4,FALSE))*POWER(1-(AnnualChurn*VLOOKUP(AIP50,ChurnSeasonTable,4,FALSE)),1)+AJC14*(AnnualChurn*VLOOKUP(AIP50,ChurnSeasonTable,4,FALSE))*POWER(1-(AnnualChurn*VLOOKUP(AIP50,ChurnSeasonTable,4,FALSE)),2)</f>
        <v/>
      </c>
      <c r="AJH50" s="12">
        <f>AJH49+AJD50-AJD38*(AnnualChurn*VLOOKUP(AIP50,ChurnSeasonTable,4,FALSE))*POWER(1-(AnnualChurn*VLOOKUP(AIP50,ChurnSeasonTable,4,FALSE)),0)+AJD26*(AnnualChurn*VLOOKUP(AIP50,ChurnSeasonTable,4,FALSE))*POWER(1-(AnnualChurn*VLOOKUP(AIP50,ChurnSeasonTable,4,FALSE)),1)+AJD14*(AnnualChurn*VLOOKUP(AIP50,ChurnSeasonTable,4,FALSE))*POWER(1-(AnnualChurn*VLOOKUP(AIP50,ChurnSeasonTable,4,FALSE)),2)</f>
        <v/>
      </c>
      <c r="AJI50" s="12">
        <f>AJE50+AJF50+AJG50+AJH50</f>
        <v/>
      </c>
      <c r="AJJ50" s="9">
        <f>AJE50*PriceEssMonthly*AIS50+AJF50*PricePremMonthly*AIS50+AJG50*PriceEssAnnual*AIS50/12+AJH50*PricePremAnnual*AIS50/12</f>
        <v/>
      </c>
      <c r="AJK50" s="9">
        <f>AJJ50*12</f>
        <v/>
      </c>
      <c r="AJL50" s="12">
        <f>AJE50*PriceEssMonthly*AIS50+AJF50*PricePremMonthly*AIS50</f>
        <v/>
      </c>
      <c r="AJM50" s="12">
        <f>AJC50*PriceEssAnnual*AIS50+AJD50*PricePremAnnual*AIS50</f>
        <v/>
      </c>
      <c r="AJN50" s="12">
        <f>AJC38*POWER(1-(AnnualChurn*VLOOKUP(AIP50,ChurnSeasonTable,4,FALSE)),1)*PriceEssAnnual*AIS50+AJC26*POWER(1-(AnnualChurn*VLOOKUP(AIP50,ChurnSeasonTable,4,FALSE)),2)*PriceEssAnnual*AIS50+AJC14*POWER(1-(AnnualChurn*VLOOKUP(AIP50,ChurnSeasonTable,4,FALSE)),3)*PriceEssAnnual*AIS50+AJD38*POWER(1-(AnnualChurn*VLOOKUP(AIP50,ChurnSeasonTable,4,FALSE)),1)*PricePremAnnual*AIS50+AJD26*POWER(1-(AnnualChurn*VLOOKUP(AIP50,ChurnSeasonTable,4,FALSE)),2)*PricePremAnnual*AIS50+AJD14*POWER(1-(AnnualChurn*VLOOKUP(AIP50,ChurnSeasonTable,4,FALSE)),3)*PricePremAnnual*AIS50</f>
        <v/>
      </c>
      <c r="AJO50" s="9">
        <f>AJL50+AJM50+AJN50</f>
        <v/>
      </c>
      <c r="AJP50" s="12">
        <f>SUM(AJO39:AJO50)</f>
        <v/>
      </c>
      <c r="AJQ50" s="12">
        <f>OR(AJQ49,AJP50&gt;=VATThreshold)</f>
        <v/>
      </c>
      <c r="AJR50" s="9">
        <f>IF(AJQ50,AJO50/(1+VATRate),AJO50)</f>
        <v/>
      </c>
      <c r="AJS50" s="12">
        <f>AJO50-AJR50</f>
        <v/>
      </c>
      <c r="AJT50" s="12">
        <f>IF(AJQ50=0,0,IF(AIP50=1,SUMPRODUCT(--(($AIQ$5:$AIQ50=$AIQ50-1)*($AIP$5:$AIP50&gt;=10)*($AIP$5:$AIP50&lt;=12)),$AJS$5:$AJS50),IF(AIP50=4,SUMPRODUCT(--(($AIQ$5:$AIQ50=$AIQ50)*($AIP$5:$AIP50&gt;=1)*($AIP$5:$AIP50&lt;=3)),$AJS$5:$AJS50),IF(AIP50=7,SUMPRODUCT(--(($AIQ$5:$AIQ50=$AIQ50)*($AIP$5:$AIP50&gt;=4)*($AIP$5:$AIP50&lt;=6)),$AJS$5:$AJS50),IF(AIP50=10,SUMPRODUCT(--(($AIQ$5:$AIQ50=$AIQ50)*($AIP$5:$AIP50&gt;=7)*($AIP$5:$AIP50&lt;=9)),$AJS$5:$AJS50),0)))))</f>
        <v/>
      </c>
      <c r="AJU50" s="12">
        <f>AJU49+AJS50-AJT50</f>
        <v/>
      </c>
      <c r="AJV50" s="12">
        <f>IF(ProviderDelay&gt;=1,AJR49*ProviderShare,AJR50*ProviderShare)</f>
        <v/>
      </c>
      <c r="AJW50" s="12">
        <f>AJO50*PaymentFee</f>
        <v/>
      </c>
      <c r="AJX50" s="12">
        <f>AJI50*OpsAI</f>
        <v/>
      </c>
      <c r="AJY50" s="12">
        <f>MonthlyFixed</f>
        <v/>
      </c>
      <c r="AJZ50" s="12">
        <f>AIW50*ReferralReward</f>
        <v/>
      </c>
      <c r="AKA50" s="12">
        <f>AIU50</f>
        <v/>
      </c>
      <c r="AKB50" s="9">
        <f>AJR50-AJV50-AJW50-AJX50-AJY50-AJZ50-AKA50</f>
        <v/>
      </c>
      <c r="AKC50" s="9">
        <f>AKC49+AJO50-(AJV50+AJW50+AJX50+AJY50+AJZ50+AKA50+AJT50)</f>
        <v/>
      </c>
      <c r="AKD50" s="12">
        <f>IF(AJI50&gt;0,AJJ50/AJI50,0)</f>
        <v/>
      </c>
      <c r="AKE50" s="11">
        <f>IF(AJI49&gt;0,MAX(0,(AJI49+AIX50-AJI50)/AJI49),0)</f>
        <v/>
      </c>
      <c r="AKG50" s="12" t="n">
        <v>46</v>
      </c>
      <c r="AKH50" s="12">
        <f>MOD(AKG50-1+LaunchMonth-1,12)+1</f>
        <v/>
      </c>
      <c r="AKI50" s="12">
        <f>INT((AKG50-1+LaunchMonth-1)/12)+1</f>
        <v/>
      </c>
      <c r="AKJ50" s="12">
        <f>VLOOKUP(AKH50,SeasonTable,2,FALSE)</f>
        <v/>
      </c>
      <c r="AKK50" s="12">
        <f>(1+InflationRate)^INT((AKG50-1)/12)</f>
        <v/>
      </c>
      <c r="AKL50" s="11">
        <f>MonthlyChurn*VLOOKUP(AKH50,ChurnSeasonTable,4,FALSE)</f>
        <v/>
      </c>
      <c r="AKM50" s="12">
        <f>MIN(MAX(MktMin19plus,ALG49*MktPct19plus),MAX(0,ALU49-CashBuffer))</f>
        <v/>
      </c>
      <c r="AKN50" s="12">
        <f>IF(AKM50&gt;0,MAX(1,ROUND(AKM50/'Sens - CAC &amp; Marketing'!$A$12*AKJ50,0)),0)</f>
        <v/>
      </c>
      <c r="AKO50" s="12">
        <f>IF(AKN50&gt;0,ROUND(AKN50*ReferralMix/(1-ReferralMix),0),0)</f>
        <v/>
      </c>
      <c r="AKP50" s="12">
        <f>AKN50+AKO50</f>
        <v/>
      </c>
      <c r="AKQ50" s="12">
        <f>ROUND(AKP50*(1-AnnualMix),0)</f>
        <v/>
      </c>
      <c r="AKR50" s="12">
        <f>AKP50-AKQ50</f>
        <v/>
      </c>
      <c r="AKS50" s="12">
        <f>ROUND(AKQ50*EssentialMix,0)</f>
        <v/>
      </c>
      <c r="AKT50" s="12">
        <f>AKQ50-AKS50</f>
        <v/>
      </c>
      <c r="AKU50" s="12">
        <f>ROUND(AKR50*EssentialMix,0)</f>
        <v/>
      </c>
      <c r="AKV50" s="12">
        <f>AKR50-AKU50</f>
        <v/>
      </c>
      <c r="AKW50" s="12">
        <f>AKS50+AKS49+AKS48+MAX(0,AKW49-AKS49-AKS48)*(1-AKL50)</f>
        <v/>
      </c>
      <c r="AKX50" s="12">
        <f>AKT50+AKT49+AKT48+MAX(0,AKX49-AKT49-AKT48)*(1-AKL50)</f>
        <v/>
      </c>
      <c r="AKY50" s="12">
        <f>AKY49+AKU50-AKU38*(AnnualChurn*VLOOKUP(AKH50,ChurnSeasonTable,4,FALSE))*POWER(1-(AnnualChurn*VLOOKUP(AKH50,ChurnSeasonTable,4,FALSE)),0)+AKU26*(AnnualChurn*VLOOKUP(AKH50,ChurnSeasonTable,4,FALSE))*POWER(1-(AnnualChurn*VLOOKUP(AKH50,ChurnSeasonTable,4,FALSE)),1)+AKU14*(AnnualChurn*VLOOKUP(AKH50,ChurnSeasonTable,4,FALSE))*POWER(1-(AnnualChurn*VLOOKUP(AKH50,ChurnSeasonTable,4,FALSE)),2)</f>
        <v/>
      </c>
      <c r="AKZ50" s="12">
        <f>AKZ49+AKV50-AKV38*(AnnualChurn*VLOOKUP(AKH50,ChurnSeasonTable,4,FALSE))*POWER(1-(AnnualChurn*VLOOKUP(AKH50,ChurnSeasonTable,4,FALSE)),0)+AKV26*(AnnualChurn*VLOOKUP(AKH50,ChurnSeasonTable,4,FALSE))*POWER(1-(AnnualChurn*VLOOKUP(AKH50,ChurnSeasonTable,4,FALSE)),1)+AKV14*(AnnualChurn*VLOOKUP(AKH50,ChurnSeasonTable,4,FALSE))*POWER(1-(AnnualChurn*VLOOKUP(AKH50,ChurnSeasonTable,4,FALSE)),2)</f>
        <v/>
      </c>
      <c r="ALA50" s="12">
        <f>AKW50+AKX50+AKY50+AKZ50</f>
        <v/>
      </c>
      <c r="ALB50" s="9">
        <f>AKW50*PriceEssMonthly*AKK50+AKX50*PricePremMonthly*AKK50+AKY50*PriceEssAnnual*AKK50/12+AKZ50*PricePremAnnual*AKK50/12</f>
        <v/>
      </c>
      <c r="ALC50" s="9">
        <f>ALB50*12</f>
        <v/>
      </c>
      <c r="ALD50" s="12">
        <f>AKW50*PriceEssMonthly*AKK50+AKX50*PricePremMonthly*AKK50</f>
        <v/>
      </c>
      <c r="ALE50" s="12">
        <f>AKU50*PriceEssAnnual*AKK50+AKV50*PricePremAnnual*AKK50</f>
        <v/>
      </c>
      <c r="ALF50" s="12">
        <f>AKU38*POWER(1-(AnnualChurn*VLOOKUP(AKH50,ChurnSeasonTable,4,FALSE)),1)*PriceEssAnnual*AKK50+AKU26*POWER(1-(AnnualChurn*VLOOKUP(AKH50,ChurnSeasonTable,4,FALSE)),2)*PriceEssAnnual*AKK50+AKU14*POWER(1-(AnnualChurn*VLOOKUP(AKH50,ChurnSeasonTable,4,FALSE)),3)*PriceEssAnnual*AKK50+AKV38*POWER(1-(AnnualChurn*VLOOKUP(AKH50,ChurnSeasonTable,4,FALSE)),1)*PricePremAnnual*AKK50+AKV26*POWER(1-(AnnualChurn*VLOOKUP(AKH50,ChurnSeasonTable,4,FALSE)),2)*PricePremAnnual*AKK50+AKV14*POWER(1-(AnnualChurn*VLOOKUP(AKH50,ChurnSeasonTable,4,FALSE)),3)*PricePremAnnual*AKK50</f>
        <v/>
      </c>
      <c r="ALG50" s="9">
        <f>ALD50+ALE50+ALF50</f>
        <v/>
      </c>
      <c r="ALH50" s="12">
        <f>SUM(ALG39:ALG50)</f>
        <v/>
      </c>
      <c r="ALI50" s="12">
        <f>OR(ALI49,ALH50&gt;=VATThreshold)</f>
        <v/>
      </c>
      <c r="ALJ50" s="9">
        <f>IF(ALI50,ALG50/(1+VATRate),ALG50)</f>
        <v/>
      </c>
      <c r="ALK50" s="12">
        <f>ALG50-ALJ50</f>
        <v/>
      </c>
      <c r="ALL50" s="12">
        <f>IF(ALI50=0,0,IF(AKH50=1,SUMPRODUCT(--(($AKI$5:$AKI50=$AKI50-1)*($AKH$5:$AKH50&gt;=10)*($AKH$5:$AKH50&lt;=12)),$ALK$5:$ALK50),IF(AKH50=4,SUMPRODUCT(--(($AKI$5:$AKI50=$AKI50)*($AKH$5:$AKH50&gt;=1)*($AKH$5:$AKH50&lt;=3)),$ALK$5:$ALK50),IF(AKH50=7,SUMPRODUCT(--(($AKI$5:$AKI50=$AKI50)*($AKH$5:$AKH50&gt;=4)*($AKH$5:$AKH50&lt;=6)),$ALK$5:$ALK50),IF(AKH50=10,SUMPRODUCT(--(($AKI$5:$AKI50=$AKI50)*($AKH$5:$AKH50&gt;=7)*($AKH$5:$AKH50&lt;=9)),$ALK$5:$ALK50),0)))))</f>
        <v/>
      </c>
      <c r="ALM50" s="12">
        <f>ALM49+ALK50-ALL50</f>
        <v/>
      </c>
      <c r="ALN50" s="12">
        <f>IF(ProviderDelay&gt;=1,ALJ49*ProviderShare,ALJ50*ProviderShare)</f>
        <v/>
      </c>
      <c r="ALO50" s="12">
        <f>ALG50*PaymentFee</f>
        <v/>
      </c>
      <c r="ALP50" s="12">
        <f>ALA50*OpsAI</f>
        <v/>
      </c>
      <c r="ALQ50" s="12">
        <f>MonthlyFixed</f>
        <v/>
      </c>
      <c r="ALR50" s="12">
        <f>AKO50*ReferralReward</f>
        <v/>
      </c>
      <c r="ALS50" s="12">
        <f>AKM50</f>
        <v/>
      </c>
      <c r="ALT50" s="9">
        <f>ALJ50-ALN50-ALO50-ALP50-ALQ50-ALR50-ALS50</f>
        <v/>
      </c>
      <c r="ALU50" s="9">
        <f>ALU49+ALG50-(ALN50+ALO50+ALP50+ALQ50+ALR50+ALS50+ALL50)</f>
        <v/>
      </c>
      <c r="ALV50" s="12">
        <f>IF(ALA50&gt;0,ALB50/ALA50,0)</f>
        <v/>
      </c>
      <c r="ALW50" s="11">
        <f>IF(ALA49&gt;0,MAX(0,(ALA49+AKP50-ALA50)/ALA49),0)</f>
        <v/>
      </c>
      <c r="ALY50" s="12" t="n">
        <v>46</v>
      </c>
      <c r="ALZ50" s="12">
        <f>MOD(ALY50-1+LaunchMonth-1,12)+1</f>
        <v/>
      </c>
      <c r="AMA50" s="12">
        <f>INT((ALY50-1+LaunchMonth-1)/12)+1</f>
        <v/>
      </c>
      <c r="AMB50" s="12">
        <f>VLOOKUP(ALZ50,SeasonTable,2,FALSE)</f>
        <v/>
      </c>
      <c r="AMC50" s="12">
        <f>(1+InflationRate)^INT((ALY50-1)/12)</f>
        <v/>
      </c>
      <c r="AMD50" s="11">
        <f>MonthlyChurn*VLOOKUP(ALZ50,ChurnSeasonTable,4,FALSE)</f>
        <v/>
      </c>
      <c r="AME50" s="12">
        <f>MIN(MAX(MktMin19plus,AMY49*MktPct19plus),MAX(0,ANM49-CashBuffer))</f>
        <v/>
      </c>
      <c r="AMF50" s="12">
        <f>IF(AME50&gt;0,MAX(1,ROUND(AME50/'Sens - CAC &amp; Marketing'!$A$13*AMB50,0)),0)</f>
        <v/>
      </c>
      <c r="AMG50" s="12">
        <f>IF(AMF50&gt;0,ROUND(AMF50*ReferralMix/(1-ReferralMix),0),0)</f>
        <v/>
      </c>
      <c r="AMH50" s="12">
        <f>AMF50+AMG50</f>
        <v/>
      </c>
      <c r="AMI50" s="12">
        <f>ROUND(AMH50*(1-AnnualMix),0)</f>
        <v/>
      </c>
      <c r="AMJ50" s="12">
        <f>AMH50-AMI50</f>
        <v/>
      </c>
      <c r="AMK50" s="12">
        <f>ROUND(AMI50*EssentialMix,0)</f>
        <v/>
      </c>
      <c r="AML50" s="12">
        <f>AMI50-AMK50</f>
        <v/>
      </c>
      <c r="AMM50" s="12">
        <f>ROUND(AMJ50*EssentialMix,0)</f>
        <v/>
      </c>
      <c r="AMN50" s="12">
        <f>AMJ50-AMM50</f>
        <v/>
      </c>
      <c r="AMO50" s="12">
        <f>AMK50+AMK49+AMK48+MAX(0,AMO49-AMK49-AMK48)*(1-AMD50)</f>
        <v/>
      </c>
      <c r="AMP50" s="12">
        <f>AML50+AML49+AML48+MAX(0,AMP49-AML49-AML48)*(1-AMD50)</f>
        <v/>
      </c>
      <c r="AMQ50" s="12">
        <f>AMQ49+AMM50-AMM38*(AnnualChurn*VLOOKUP(ALZ50,ChurnSeasonTable,4,FALSE))*POWER(1-(AnnualChurn*VLOOKUP(ALZ50,ChurnSeasonTable,4,FALSE)),0)+AMM26*(AnnualChurn*VLOOKUP(ALZ50,ChurnSeasonTable,4,FALSE))*POWER(1-(AnnualChurn*VLOOKUP(ALZ50,ChurnSeasonTable,4,FALSE)),1)+AMM14*(AnnualChurn*VLOOKUP(ALZ50,ChurnSeasonTable,4,FALSE))*POWER(1-(AnnualChurn*VLOOKUP(ALZ50,ChurnSeasonTable,4,FALSE)),2)</f>
        <v/>
      </c>
      <c r="AMR50" s="12">
        <f>AMR49+AMN50-AMN38*(AnnualChurn*VLOOKUP(ALZ50,ChurnSeasonTable,4,FALSE))*POWER(1-(AnnualChurn*VLOOKUP(ALZ50,ChurnSeasonTable,4,FALSE)),0)+AMN26*(AnnualChurn*VLOOKUP(ALZ50,ChurnSeasonTable,4,FALSE))*POWER(1-(AnnualChurn*VLOOKUP(ALZ50,ChurnSeasonTable,4,FALSE)),1)+AMN14*(AnnualChurn*VLOOKUP(ALZ50,ChurnSeasonTable,4,FALSE))*POWER(1-(AnnualChurn*VLOOKUP(ALZ50,ChurnSeasonTable,4,FALSE)),2)</f>
        <v/>
      </c>
      <c r="AMS50" s="12">
        <f>AMO50+AMP50+AMQ50+AMR50</f>
        <v/>
      </c>
      <c r="AMT50" s="9">
        <f>AMO50*PriceEssMonthly*AMC50+AMP50*PricePremMonthly*AMC50+AMQ50*PriceEssAnnual*AMC50/12+AMR50*PricePremAnnual*AMC50/12</f>
        <v/>
      </c>
      <c r="AMU50" s="9">
        <f>AMT50*12</f>
        <v/>
      </c>
      <c r="AMV50" s="12">
        <f>AMO50*PriceEssMonthly*AMC50+AMP50*PricePremMonthly*AMC50</f>
        <v/>
      </c>
      <c r="AMW50" s="12">
        <f>AMM50*PriceEssAnnual*AMC50+AMN50*PricePremAnnual*AMC50</f>
        <v/>
      </c>
      <c r="AMX50" s="12">
        <f>AMM38*POWER(1-(AnnualChurn*VLOOKUP(ALZ50,ChurnSeasonTable,4,FALSE)),1)*PriceEssAnnual*AMC50+AMM26*POWER(1-(AnnualChurn*VLOOKUP(ALZ50,ChurnSeasonTable,4,FALSE)),2)*PriceEssAnnual*AMC50+AMM14*POWER(1-(AnnualChurn*VLOOKUP(ALZ50,ChurnSeasonTable,4,FALSE)),3)*PriceEssAnnual*AMC50+AMN38*POWER(1-(AnnualChurn*VLOOKUP(ALZ50,ChurnSeasonTable,4,FALSE)),1)*PricePremAnnual*AMC50+AMN26*POWER(1-(AnnualChurn*VLOOKUP(ALZ50,ChurnSeasonTable,4,FALSE)),2)*PricePremAnnual*AMC50+AMN14*POWER(1-(AnnualChurn*VLOOKUP(ALZ50,ChurnSeasonTable,4,FALSE)),3)*PricePremAnnual*AMC50</f>
        <v/>
      </c>
      <c r="AMY50" s="9">
        <f>AMV50+AMW50+AMX50</f>
        <v/>
      </c>
      <c r="AMZ50" s="12">
        <f>SUM(AMY39:AMY50)</f>
        <v/>
      </c>
      <c r="ANA50" s="12">
        <f>OR(ANA49,AMZ50&gt;=VATThreshold)</f>
        <v/>
      </c>
      <c r="ANB50" s="9">
        <f>IF(ANA50,AMY50/(1+VATRate),AMY50)</f>
        <v/>
      </c>
      <c r="ANC50" s="12">
        <f>AMY50-ANB50</f>
        <v/>
      </c>
      <c r="AND50" s="12">
        <f>IF(ANA50=0,0,IF(ALZ50=1,SUMPRODUCT(--(($AMA$5:$AMA50=$AMA50-1)*($ALZ$5:$ALZ50&gt;=10)*($ALZ$5:$ALZ50&lt;=12)),$ANC$5:$ANC50),IF(ALZ50=4,SUMPRODUCT(--(($AMA$5:$AMA50=$AMA50)*($ALZ$5:$ALZ50&gt;=1)*($ALZ$5:$ALZ50&lt;=3)),$ANC$5:$ANC50),IF(ALZ50=7,SUMPRODUCT(--(($AMA$5:$AMA50=$AMA50)*($ALZ$5:$ALZ50&gt;=4)*($ALZ$5:$ALZ50&lt;=6)),$ANC$5:$ANC50),IF(ALZ50=10,SUMPRODUCT(--(($AMA$5:$AMA50=$AMA50)*($ALZ$5:$ALZ50&gt;=7)*($ALZ$5:$ALZ50&lt;=9)),$ANC$5:$ANC50),0)))))</f>
        <v/>
      </c>
      <c r="ANE50" s="12">
        <f>ANE49+ANC50-AND50</f>
        <v/>
      </c>
      <c r="ANF50" s="12">
        <f>IF(ProviderDelay&gt;=1,ANB49*ProviderShare,ANB50*ProviderShare)</f>
        <v/>
      </c>
      <c r="ANG50" s="12">
        <f>AMY50*PaymentFee</f>
        <v/>
      </c>
      <c r="ANH50" s="12">
        <f>AMS50*OpsAI</f>
        <v/>
      </c>
      <c r="ANI50" s="12">
        <f>MonthlyFixed</f>
        <v/>
      </c>
      <c r="ANJ50" s="12">
        <f>AMG50*ReferralReward</f>
        <v/>
      </c>
      <c r="ANK50" s="12">
        <f>AME50</f>
        <v/>
      </c>
      <c r="ANL50" s="9">
        <f>ANB50-ANF50-ANG50-ANH50-ANI50-ANJ50-ANK50</f>
        <v/>
      </c>
      <c r="ANM50" s="9">
        <f>ANM49+AMY50-(ANF50+ANG50+ANH50+ANI50+ANJ50+ANK50+AND50)</f>
        <v/>
      </c>
      <c r="ANN50" s="12">
        <f>IF(AMS50&gt;0,AMT50/AMS50,0)</f>
        <v/>
      </c>
      <c r="ANO50" s="11">
        <f>IF(AMS49&gt;0,MAX(0,(AMS49+AMH50-AMS50)/AMS49),0)</f>
        <v/>
      </c>
      <c r="ANQ50" s="12" t="n">
        <v>46</v>
      </c>
      <c r="ANR50" s="12">
        <f>MOD(ANQ50-1+LaunchMonth-1,12)+1</f>
        <v/>
      </c>
      <c r="ANS50" s="12">
        <f>INT((ANQ50-1+LaunchMonth-1)/12)+1</f>
        <v/>
      </c>
      <c r="ANT50" s="12">
        <f>VLOOKUP(ANR50,SeasonTable,2,FALSE)</f>
        <v/>
      </c>
      <c r="ANU50" s="12">
        <f>(1+InflationRate)^INT((ANQ50-1)/12)</f>
        <v/>
      </c>
      <c r="ANV50" s="11">
        <f>MonthlyChurn*VLOOKUP(ANR50,ChurnSeasonTable,4,FALSE)</f>
        <v/>
      </c>
      <c r="ANW50" s="12">
        <f>MIN(MAX(MktMin19plus,AOQ49*MktPct19plus),MAX(0,APE49-CashBuffer))</f>
        <v/>
      </c>
      <c r="ANX50" s="12">
        <f>IF(ANW50&gt;0,MAX(1,ROUND(ANW50/'Sens - CAC &amp; Marketing'!$A$14*ANT50,0)),0)</f>
        <v/>
      </c>
      <c r="ANY50" s="12">
        <f>IF(ANX50&gt;0,ROUND(ANX50*ReferralMix/(1-ReferralMix),0),0)</f>
        <v/>
      </c>
      <c r="ANZ50" s="12">
        <f>ANX50+ANY50</f>
        <v/>
      </c>
      <c r="AOA50" s="12">
        <f>ROUND(ANZ50*(1-AnnualMix),0)</f>
        <v/>
      </c>
      <c r="AOB50" s="12">
        <f>ANZ50-AOA50</f>
        <v/>
      </c>
      <c r="AOC50" s="12">
        <f>ROUND(AOA50*EssentialMix,0)</f>
        <v/>
      </c>
      <c r="AOD50" s="12">
        <f>AOA50-AOC50</f>
        <v/>
      </c>
      <c r="AOE50" s="12">
        <f>ROUND(AOB50*EssentialMix,0)</f>
        <v/>
      </c>
      <c r="AOF50" s="12">
        <f>AOB50-AOE50</f>
        <v/>
      </c>
      <c r="AOG50" s="12">
        <f>AOC50+AOC49+AOC48+MAX(0,AOG49-AOC49-AOC48)*(1-ANV50)</f>
        <v/>
      </c>
      <c r="AOH50" s="12">
        <f>AOD50+AOD49+AOD48+MAX(0,AOH49-AOD49-AOD48)*(1-ANV50)</f>
        <v/>
      </c>
      <c r="AOI50" s="12">
        <f>AOI49+AOE50-AOE38*(AnnualChurn*VLOOKUP(ANR50,ChurnSeasonTable,4,FALSE))*POWER(1-(AnnualChurn*VLOOKUP(ANR50,ChurnSeasonTable,4,FALSE)),0)+AOE26*(AnnualChurn*VLOOKUP(ANR50,ChurnSeasonTable,4,FALSE))*POWER(1-(AnnualChurn*VLOOKUP(ANR50,ChurnSeasonTable,4,FALSE)),1)+AOE14*(AnnualChurn*VLOOKUP(ANR50,ChurnSeasonTable,4,FALSE))*POWER(1-(AnnualChurn*VLOOKUP(ANR50,ChurnSeasonTable,4,FALSE)),2)</f>
        <v/>
      </c>
      <c r="AOJ50" s="12">
        <f>AOJ49+AOF50-AOF38*(AnnualChurn*VLOOKUP(ANR50,ChurnSeasonTable,4,FALSE))*POWER(1-(AnnualChurn*VLOOKUP(ANR50,ChurnSeasonTable,4,FALSE)),0)+AOF26*(AnnualChurn*VLOOKUP(ANR50,ChurnSeasonTable,4,FALSE))*POWER(1-(AnnualChurn*VLOOKUP(ANR50,ChurnSeasonTable,4,FALSE)),1)+AOF14*(AnnualChurn*VLOOKUP(ANR50,ChurnSeasonTable,4,FALSE))*POWER(1-(AnnualChurn*VLOOKUP(ANR50,ChurnSeasonTable,4,FALSE)),2)</f>
        <v/>
      </c>
      <c r="AOK50" s="12">
        <f>AOG50+AOH50+AOI50+AOJ50</f>
        <v/>
      </c>
      <c r="AOL50" s="9">
        <f>AOG50*PriceEssMonthly*ANU50+AOH50*PricePremMonthly*ANU50+AOI50*PriceEssAnnual*ANU50/12+AOJ50*PricePremAnnual*ANU50/12</f>
        <v/>
      </c>
      <c r="AOM50" s="9">
        <f>AOL50*12</f>
        <v/>
      </c>
      <c r="AON50" s="12">
        <f>AOG50*PriceEssMonthly*ANU50+AOH50*PricePremMonthly*ANU50</f>
        <v/>
      </c>
      <c r="AOO50" s="12">
        <f>AOE50*PriceEssAnnual*ANU50+AOF50*PricePremAnnual*ANU50</f>
        <v/>
      </c>
      <c r="AOP50" s="12">
        <f>AOE38*POWER(1-(AnnualChurn*VLOOKUP(ANR50,ChurnSeasonTable,4,FALSE)),1)*PriceEssAnnual*ANU50+AOE26*POWER(1-(AnnualChurn*VLOOKUP(ANR50,ChurnSeasonTable,4,FALSE)),2)*PriceEssAnnual*ANU50+AOE14*POWER(1-(AnnualChurn*VLOOKUP(ANR50,ChurnSeasonTable,4,FALSE)),3)*PriceEssAnnual*ANU50+AOF38*POWER(1-(AnnualChurn*VLOOKUP(ANR50,ChurnSeasonTable,4,FALSE)),1)*PricePremAnnual*ANU50+AOF26*POWER(1-(AnnualChurn*VLOOKUP(ANR50,ChurnSeasonTable,4,FALSE)),2)*PricePremAnnual*ANU50+AOF14*POWER(1-(AnnualChurn*VLOOKUP(ANR50,ChurnSeasonTable,4,FALSE)),3)*PricePremAnnual*ANU50</f>
        <v/>
      </c>
      <c r="AOQ50" s="9">
        <f>AON50+AOO50+AOP50</f>
        <v/>
      </c>
      <c r="AOR50" s="12">
        <f>SUM(AOQ39:AOQ50)</f>
        <v/>
      </c>
      <c r="AOS50" s="12">
        <f>OR(AOS49,AOR50&gt;=VATThreshold)</f>
        <v/>
      </c>
      <c r="AOT50" s="9">
        <f>IF(AOS50,AOQ50/(1+VATRate),AOQ50)</f>
        <v/>
      </c>
      <c r="AOU50" s="12">
        <f>AOQ50-AOT50</f>
        <v/>
      </c>
      <c r="AOV50" s="12">
        <f>IF(AOS50=0,0,IF(ANR50=1,SUMPRODUCT(--(($ANS$5:$ANS50=$ANS50-1)*($ANR$5:$ANR50&gt;=10)*($ANR$5:$ANR50&lt;=12)),$AOU$5:$AOU50),IF(ANR50=4,SUMPRODUCT(--(($ANS$5:$ANS50=$ANS50)*($ANR$5:$ANR50&gt;=1)*($ANR$5:$ANR50&lt;=3)),$AOU$5:$AOU50),IF(ANR50=7,SUMPRODUCT(--(($ANS$5:$ANS50=$ANS50)*($ANR$5:$ANR50&gt;=4)*($ANR$5:$ANR50&lt;=6)),$AOU$5:$AOU50),IF(ANR50=10,SUMPRODUCT(--(($ANS$5:$ANS50=$ANS50)*($ANR$5:$ANR50&gt;=7)*($ANR$5:$ANR50&lt;=9)),$AOU$5:$AOU50),0)))))</f>
        <v/>
      </c>
      <c r="AOW50" s="12">
        <f>AOW49+AOU50-AOV50</f>
        <v/>
      </c>
      <c r="AOX50" s="12">
        <f>IF(ProviderDelay&gt;=1,AOT49*ProviderShare,AOT50*ProviderShare)</f>
        <v/>
      </c>
      <c r="AOY50" s="12">
        <f>AOQ50*PaymentFee</f>
        <v/>
      </c>
      <c r="AOZ50" s="12">
        <f>AOK50*OpsAI</f>
        <v/>
      </c>
      <c r="APA50" s="12">
        <f>MonthlyFixed</f>
        <v/>
      </c>
      <c r="APB50" s="12">
        <f>ANY50*ReferralReward</f>
        <v/>
      </c>
      <c r="APC50" s="12">
        <f>ANW50</f>
        <v/>
      </c>
      <c r="APD50" s="9">
        <f>AOT50-AOX50-AOY50-AOZ50-APA50-APB50-APC50</f>
        <v/>
      </c>
      <c r="APE50" s="9">
        <f>APE49+AOQ50-(AOX50+AOY50+AOZ50+APA50+APB50+APC50+AOV50)</f>
        <v/>
      </c>
      <c r="APF50" s="12">
        <f>IF(AOK50&gt;0,AOL50/AOK50,0)</f>
        <v/>
      </c>
      <c r="APG50" s="11">
        <f>IF(AOK49&gt;0,MAX(0,(AOK49+ANZ50-AOK50)/AOK49),0)</f>
        <v/>
      </c>
      <c r="API50" s="12" t="n">
        <v>46</v>
      </c>
      <c r="APJ50" s="12">
        <f>MOD(API50-1+LaunchMonth-1,12)+1</f>
        <v/>
      </c>
      <c r="APK50" s="12">
        <f>INT((API50-1+LaunchMonth-1)/12)+1</f>
        <v/>
      </c>
      <c r="APL50" s="12">
        <f>VLOOKUP(APJ50,SeasonTable,2,FALSE)</f>
        <v/>
      </c>
      <c r="APM50" s="12">
        <f>(1+InflationRate)^INT((API50-1)/12)</f>
        <v/>
      </c>
      <c r="APN50" s="11">
        <f>MonthlyChurn*VLOOKUP(APJ50,ChurnSeasonTable,4,FALSE)</f>
        <v/>
      </c>
      <c r="APO50" s="12">
        <f>MIN(MAX(MktMin19plus,AQI49*MktPct19plus),MAX(0,AQW49-CashBuffer))</f>
        <v/>
      </c>
      <c r="APP50" s="12">
        <f>IF(APO50&gt;0,MAX(1,ROUND(APO50/'Sens - CAC &amp; Marketing'!$A$15*APL50,0)),0)</f>
        <v/>
      </c>
      <c r="APQ50" s="12">
        <f>IF(APP50&gt;0,ROUND(APP50*ReferralMix/(1-ReferralMix),0),0)</f>
        <v/>
      </c>
      <c r="APR50" s="12">
        <f>APP50+APQ50</f>
        <v/>
      </c>
      <c r="APS50" s="12">
        <f>ROUND(APR50*(1-AnnualMix),0)</f>
        <v/>
      </c>
      <c r="APT50" s="12">
        <f>APR50-APS50</f>
        <v/>
      </c>
      <c r="APU50" s="12">
        <f>ROUND(APS50*EssentialMix,0)</f>
        <v/>
      </c>
      <c r="APV50" s="12">
        <f>APS50-APU50</f>
        <v/>
      </c>
      <c r="APW50" s="12">
        <f>ROUND(APT50*EssentialMix,0)</f>
        <v/>
      </c>
      <c r="APX50" s="12">
        <f>APT50-APW50</f>
        <v/>
      </c>
      <c r="APY50" s="12">
        <f>APU50+APU49+APU48+MAX(0,APY49-APU49-APU48)*(1-APN50)</f>
        <v/>
      </c>
      <c r="APZ50" s="12">
        <f>APV50+APV49+APV48+MAX(0,APZ49-APV49-APV48)*(1-APN50)</f>
        <v/>
      </c>
      <c r="AQA50" s="12">
        <f>AQA49+APW50-APW38*(AnnualChurn*VLOOKUP(APJ50,ChurnSeasonTable,4,FALSE))*POWER(1-(AnnualChurn*VLOOKUP(APJ50,ChurnSeasonTable,4,FALSE)),0)+APW26*(AnnualChurn*VLOOKUP(APJ50,ChurnSeasonTable,4,FALSE))*POWER(1-(AnnualChurn*VLOOKUP(APJ50,ChurnSeasonTable,4,FALSE)),1)+APW14*(AnnualChurn*VLOOKUP(APJ50,ChurnSeasonTable,4,FALSE))*POWER(1-(AnnualChurn*VLOOKUP(APJ50,ChurnSeasonTable,4,FALSE)),2)</f>
        <v/>
      </c>
      <c r="AQB50" s="12">
        <f>AQB49+APX50-APX38*(AnnualChurn*VLOOKUP(APJ50,ChurnSeasonTable,4,FALSE))*POWER(1-(AnnualChurn*VLOOKUP(APJ50,ChurnSeasonTable,4,FALSE)),0)+APX26*(AnnualChurn*VLOOKUP(APJ50,ChurnSeasonTable,4,FALSE))*POWER(1-(AnnualChurn*VLOOKUP(APJ50,ChurnSeasonTable,4,FALSE)),1)+APX14*(AnnualChurn*VLOOKUP(APJ50,ChurnSeasonTable,4,FALSE))*POWER(1-(AnnualChurn*VLOOKUP(APJ50,ChurnSeasonTable,4,FALSE)),2)</f>
        <v/>
      </c>
      <c r="AQC50" s="12">
        <f>APY50+APZ50+AQA50+AQB50</f>
        <v/>
      </c>
      <c r="AQD50" s="9">
        <f>APY50*PriceEssMonthly*APM50+APZ50*PricePremMonthly*APM50+AQA50*PriceEssAnnual*APM50/12+AQB50*PricePremAnnual*APM50/12</f>
        <v/>
      </c>
      <c r="AQE50" s="9">
        <f>AQD50*12</f>
        <v/>
      </c>
      <c r="AQF50" s="12">
        <f>APY50*PriceEssMonthly*APM50+APZ50*PricePremMonthly*APM50</f>
        <v/>
      </c>
      <c r="AQG50" s="12">
        <f>APW50*PriceEssAnnual*APM50+APX50*PricePremAnnual*APM50</f>
        <v/>
      </c>
      <c r="AQH50" s="12">
        <f>APW38*POWER(1-(AnnualChurn*VLOOKUP(APJ50,ChurnSeasonTable,4,FALSE)),1)*PriceEssAnnual*APM50+APW26*POWER(1-(AnnualChurn*VLOOKUP(APJ50,ChurnSeasonTable,4,FALSE)),2)*PriceEssAnnual*APM50+APW14*POWER(1-(AnnualChurn*VLOOKUP(APJ50,ChurnSeasonTable,4,FALSE)),3)*PriceEssAnnual*APM50+APX38*POWER(1-(AnnualChurn*VLOOKUP(APJ50,ChurnSeasonTable,4,FALSE)),1)*PricePremAnnual*APM50+APX26*POWER(1-(AnnualChurn*VLOOKUP(APJ50,ChurnSeasonTable,4,FALSE)),2)*PricePremAnnual*APM50+APX14*POWER(1-(AnnualChurn*VLOOKUP(APJ50,ChurnSeasonTable,4,FALSE)),3)*PricePremAnnual*APM50</f>
        <v/>
      </c>
      <c r="AQI50" s="9">
        <f>AQF50+AQG50+AQH50</f>
        <v/>
      </c>
      <c r="AQJ50" s="12">
        <f>SUM(AQI39:AQI50)</f>
        <v/>
      </c>
      <c r="AQK50" s="12">
        <f>OR(AQK49,AQJ50&gt;=VATThreshold)</f>
        <v/>
      </c>
      <c r="AQL50" s="9">
        <f>IF(AQK50,AQI50/(1+VATRate),AQI50)</f>
        <v/>
      </c>
      <c r="AQM50" s="12">
        <f>AQI50-AQL50</f>
        <v/>
      </c>
      <c r="AQN50" s="12">
        <f>IF(AQK50=0,0,IF(APJ50=1,SUMPRODUCT(--(($APK$5:$APK50=$APK50-1)*($APJ$5:$APJ50&gt;=10)*($APJ$5:$APJ50&lt;=12)),$AQM$5:$AQM50),IF(APJ50=4,SUMPRODUCT(--(($APK$5:$APK50=$APK50)*($APJ$5:$APJ50&gt;=1)*($APJ$5:$APJ50&lt;=3)),$AQM$5:$AQM50),IF(APJ50=7,SUMPRODUCT(--(($APK$5:$APK50=$APK50)*($APJ$5:$APJ50&gt;=4)*($APJ$5:$APJ50&lt;=6)),$AQM$5:$AQM50),IF(APJ50=10,SUMPRODUCT(--(($APK$5:$APK50=$APK50)*($APJ$5:$APJ50&gt;=7)*($APJ$5:$APJ50&lt;=9)),$AQM$5:$AQM50),0)))))</f>
        <v/>
      </c>
      <c r="AQO50" s="12">
        <f>AQO49+AQM50-AQN50</f>
        <v/>
      </c>
      <c r="AQP50" s="12">
        <f>IF(ProviderDelay&gt;=1,AQL49*ProviderShare,AQL50*ProviderShare)</f>
        <v/>
      </c>
      <c r="AQQ50" s="12">
        <f>AQI50*PaymentFee</f>
        <v/>
      </c>
      <c r="AQR50" s="12">
        <f>AQC50*OpsAI</f>
        <v/>
      </c>
      <c r="AQS50" s="12">
        <f>MonthlyFixed</f>
        <v/>
      </c>
      <c r="AQT50" s="12">
        <f>APQ50*ReferralReward</f>
        <v/>
      </c>
      <c r="AQU50" s="12">
        <f>APO50</f>
        <v/>
      </c>
      <c r="AQV50" s="9">
        <f>AQL50-AQP50-AQQ50-AQR50-AQS50-AQT50-AQU50</f>
        <v/>
      </c>
      <c r="AQW50" s="9">
        <f>AQW49+AQI50-(AQP50+AQQ50+AQR50+AQS50+AQT50+AQU50+AQN50)</f>
        <v/>
      </c>
      <c r="AQX50" s="12">
        <f>IF(AQC50&gt;0,AQD50/AQC50,0)</f>
        <v/>
      </c>
      <c r="AQY50" s="11">
        <f>IF(AQC49&gt;0,MAX(0,(AQC49+APR50-AQC50)/AQC49),0)</f>
        <v/>
      </c>
      <c r="ARA50" s="12" t="n">
        <v>46</v>
      </c>
      <c r="ARB50" s="12">
        <f>MOD(ARA50-1+LaunchMonth-1,12)+1</f>
        <v/>
      </c>
      <c r="ARC50" s="12">
        <f>INT((ARA50-1+LaunchMonth-1)/12)+1</f>
        <v/>
      </c>
      <c r="ARD50" s="12">
        <f>VLOOKUP(ARB50,WinterPivotSeasonTable,5,FALSE)</f>
        <v/>
      </c>
      <c r="ARE50" s="12">
        <f>(1+InflationRate)^INT((ARA50-1)/12)</f>
        <v/>
      </c>
      <c r="ARF50" s="11">
        <f>MonthlyChurn*VLOOKUP(ARB50,WinterPivotChurnTable,6,FALSE)</f>
        <v/>
      </c>
      <c r="ARG50" s="12">
        <f>MIN(MAX(MktMin19plus,ASA49*MktPct19plus),MAX(0,ASO49-CashBuffer))</f>
        <v/>
      </c>
      <c r="ARH50" s="12">
        <f>IF(ARG50&gt;0,MAX(1,ROUND(ARG50/CAC*ARD50,0)),0)</f>
        <v/>
      </c>
      <c r="ARI50" s="12">
        <f>IF(ARH50&gt;0,ROUND(ARH50*ReferralMix/(1-ReferralMix),0),0)</f>
        <v/>
      </c>
      <c r="ARJ50" s="12">
        <f>ARH50+ARI50</f>
        <v/>
      </c>
      <c r="ARK50" s="12">
        <f>ROUND(ARJ50*(1-AnnualMix),0)</f>
        <v/>
      </c>
      <c r="ARL50" s="12">
        <f>ARJ50-ARK50</f>
        <v/>
      </c>
      <c r="ARM50" s="12">
        <f>ROUND(ARK50*'Sens - Winter Pivot'!$B$6,0)</f>
        <v/>
      </c>
      <c r="ARN50" s="12">
        <f>ARK50-ARM50</f>
        <v/>
      </c>
      <c r="ARO50" s="12">
        <f>ROUND(ARL50*'Sens - Winter Pivot'!$B$6,0)</f>
        <v/>
      </c>
      <c r="ARP50" s="12">
        <f>ARL50-ARO50</f>
        <v/>
      </c>
      <c r="ARQ50" s="12">
        <f>ARM50+ARM49+ARM48+MAX(0,ARQ49-ARM49-ARM48)*(1-ARF50)</f>
        <v/>
      </c>
      <c r="ARR50" s="12">
        <f>ARN50+ARN49+ARN48+MAX(0,ARR49-ARN49-ARN48)*(1-ARF50)</f>
        <v/>
      </c>
      <c r="ARS50" s="12">
        <f>ARS49+ARO50-ARO38*(AnnualChurn*VLOOKUP(ARB50,WinterPivotChurnTable,6,FALSE))*POWER(1-(AnnualChurn*VLOOKUP(ARB50,WinterPivotChurnTable,6,FALSE)),0)+ARO26*(AnnualChurn*VLOOKUP(ARB50,WinterPivotChurnTable,6,FALSE))*POWER(1-(AnnualChurn*VLOOKUP(ARB50,WinterPivotChurnTable,6,FALSE)),1)+ARO14*(AnnualChurn*VLOOKUP(ARB50,WinterPivotChurnTable,6,FALSE))*POWER(1-(AnnualChurn*VLOOKUP(ARB50,WinterPivotChurnTable,6,FALSE)),2)</f>
        <v/>
      </c>
      <c r="ART50" s="12">
        <f>ART49+ARP50-ARP38*(AnnualChurn*VLOOKUP(ARB50,WinterPivotChurnTable,6,FALSE))*POWER(1-(AnnualChurn*VLOOKUP(ARB50,WinterPivotChurnTable,6,FALSE)),0)+ARP26*(AnnualChurn*VLOOKUP(ARB50,WinterPivotChurnTable,6,FALSE))*POWER(1-(AnnualChurn*VLOOKUP(ARB50,WinterPivotChurnTable,6,FALSE)),1)+ARP14*(AnnualChurn*VLOOKUP(ARB50,WinterPivotChurnTable,6,FALSE))*POWER(1-(AnnualChurn*VLOOKUP(ARB50,WinterPivotChurnTable,6,FALSE)),2)</f>
        <v/>
      </c>
      <c r="ARU50" s="12">
        <f>ARQ50+ARR50+ARS50+ART50</f>
        <v/>
      </c>
      <c r="ARV50" s="9">
        <f>ARQ50*PriceEssMonthly*ARE50+ARR50*(PricePremMonthly+'Sens - Winter Pivot'!$B$7)*ARE50+ARS50*PriceEssAnnual*ARE50/12+ART50*(PricePremAnnual+'Sens - Winter Pivot'!$B$7*12)*ARE50/12</f>
        <v/>
      </c>
      <c r="ARW50" s="9">
        <f>ARV50*12</f>
        <v/>
      </c>
      <c r="ARX50" s="12">
        <f>ARQ50*PriceEssMonthly*ARE50+ARR50*(PricePremMonthly+'Sens - Winter Pivot'!$B$7)*ARE50</f>
        <v/>
      </c>
      <c r="ARY50" s="12">
        <f>ARO50*PriceEssAnnual*ARE50+ARP50*(PricePremAnnual+'Sens - Winter Pivot'!$B$7*12)*ARE50</f>
        <v/>
      </c>
      <c r="ARZ50" s="12">
        <f>ARO38*POWER(1-(AnnualChurn*VLOOKUP(ARB50,WinterPivotChurnTable,6,FALSE)),1)*PriceEssAnnual*ARE50+ARO26*POWER(1-(AnnualChurn*VLOOKUP(ARB50,WinterPivotChurnTable,6,FALSE)),2)*PriceEssAnnual*ARE50+ARO14*POWER(1-(AnnualChurn*VLOOKUP(ARB50,WinterPivotChurnTable,6,FALSE)),3)*PriceEssAnnual*ARE50+ARP38*POWER(1-(AnnualChurn*VLOOKUP(ARB50,WinterPivotChurnTable,6,FALSE)),1)*PricePremAnnual*ARE50+ARP26*POWER(1-(AnnualChurn*VLOOKUP(ARB50,WinterPivotChurnTable,6,FALSE)),2)*PricePremAnnual*ARE50+ARP14*POWER(1-(AnnualChurn*VLOOKUP(ARB50,WinterPivotChurnTable,6,FALSE)),3)*PricePremAnnual*ARE50</f>
        <v/>
      </c>
      <c r="ASA50" s="9">
        <f>ARX50+ARY50+ARZ50</f>
        <v/>
      </c>
      <c r="ASB50" s="12">
        <f>SUM(ASA39:ASA50)</f>
        <v/>
      </c>
      <c r="ASC50" s="12">
        <f>OR(ASC49,ASB50&gt;=VATThreshold)</f>
        <v/>
      </c>
      <c r="ASD50" s="9">
        <f>IF(ASC50,ASA50/(1+VATRate),ASA50)</f>
        <v/>
      </c>
      <c r="ASE50" s="12">
        <f>ASA50-ASD50</f>
        <v/>
      </c>
      <c r="ASF50" s="12">
        <f>IF(ASC50=0,0,IF(ARB50=1,SUMPRODUCT(--(($ARC$5:$ARC50=$ARC50-1)*($ARB$5:$ARB50&gt;=10)*($ARB$5:$ARB50&lt;=12)),$ASE$5:$ASE50),IF(ARB50=4,SUMPRODUCT(--(($ARC$5:$ARC50=$ARC50)*($ARB$5:$ARB50&gt;=1)*($ARB$5:$ARB50&lt;=3)),$ASE$5:$ASE50),IF(ARB50=7,SUMPRODUCT(--(($ARC$5:$ARC50=$ARC50)*($ARB$5:$ARB50&gt;=4)*($ARB$5:$ARB50&lt;=6)),$ASE$5:$ASE50),IF(ARB50=10,SUMPRODUCT(--(($ARC$5:$ARC50=$ARC50)*($ARB$5:$ARB50&gt;=7)*($ARB$5:$ARB50&lt;=9)),$ASE$5:$ASE50),0)))))</f>
        <v/>
      </c>
      <c r="ASG50" s="12">
        <f>ASG49+ASE50-ASF50</f>
        <v/>
      </c>
      <c r="ASH50" s="12">
        <f>IF(ProviderDelay&gt;=1,ASD49*ProviderShare,ASD50*ProviderShare)</f>
        <v/>
      </c>
      <c r="ASI50" s="12">
        <f>ASA50*PaymentFee</f>
        <v/>
      </c>
      <c r="ASJ50" s="12">
        <f>ARU50*OpsAI</f>
        <v/>
      </c>
      <c r="ASK50" s="12">
        <f>MonthlyFixed</f>
        <v/>
      </c>
      <c r="ASL50" s="12">
        <f>ARI50*ReferralReward</f>
        <v/>
      </c>
      <c r="ASM50" s="12">
        <f>ARG50</f>
        <v/>
      </c>
      <c r="ASN50" s="9">
        <f>ASD50-ASH50-ASI50-ASJ50-ASK50-ASL50-ASM50</f>
        <v/>
      </c>
      <c r="ASO50" s="9">
        <f>ASO49+ASA50-(ASH50+ASI50+ASJ50+ASK50+ASL50+ASM50+ASF50)</f>
        <v/>
      </c>
      <c r="ASP50" s="12">
        <f>IF(ARU50&gt;0,ARV50/ARU50,0)</f>
        <v/>
      </c>
      <c r="ASQ50" s="11">
        <f>IF(ARU49&gt;0,MAX(0,(ARU49+ARJ50-ARU50)/ARU49),0)</f>
        <v/>
      </c>
    </row>
    <row r="51">
      <c r="A51" s="12" t="n">
        <v>47</v>
      </c>
      <c r="B51" s="12">
        <f>MOD(A51-1+LaunchMonth-1,12)+1</f>
        <v/>
      </c>
      <c r="C51" s="12">
        <f>INT((A51-1+LaunchMonth-1)/12)+1</f>
        <v/>
      </c>
      <c r="D51" s="12">
        <f>VLOOKUP(B51,SeasonTable,2,FALSE)</f>
        <v/>
      </c>
      <c r="E51" s="12">
        <f>(1+InflationRate)^INT((A51-1)/12)</f>
        <v/>
      </c>
      <c r="F51" s="11">
        <f>'Sens - Scenarios'!$B$5*VLOOKUP(B51,ChurnSeasonTable,4,FALSE)</f>
        <v/>
      </c>
      <c r="G51" s="12">
        <f>MIN(MAX(MktMin19plus,AA50*MktPct19plus),MAX(0,AO50-CashBuffer))</f>
        <v/>
      </c>
      <c r="H51" s="12">
        <f>IF(G51&gt;0,MAX(1,ROUND(G51/'Sens - Scenarios'!$B$8*D51,0)),0)</f>
        <v/>
      </c>
      <c r="I51" s="12">
        <f>IF(H51&gt;0,ROUND(H51*ReferralMix/(1-ReferralMix),0),0)</f>
        <v/>
      </c>
      <c r="J51" s="12">
        <f>H51+I51</f>
        <v/>
      </c>
      <c r="K51" s="12">
        <f>ROUND(J51*(1-'Sens - Scenarios'!$B$7),0)</f>
        <v/>
      </c>
      <c r="L51" s="12">
        <f>J51-K51</f>
        <v/>
      </c>
      <c r="M51" s="12">
        <f>ROUND(K51*EssentialMix,0)</f>
        <v/>
      </c>
      <c r="N51" s="12">
        <f>K51-M51</f>
        <v/>
      </c>
      <c r="O51" s="12">
        <f>ROUND(L51*EssentialMix,0)</f>
        <v/>
      </c>
      <c r="P51" s="12">
        <f>L51-O51</f>
        <v/>
      </c>
      <c r="Q51" s="12">
        <f>M51+M50+M49+MAX(0,Q50-M50-M49)*(1-F51)</f>
        <v/>
      </c>
      <c r="R51" s="12">
        <f>N51+N50+N49+MAX(0,R50-N50-N49)*(1-F51)</f>
        <v/>
      </c>
      <c r="S51" s="12">
        <f>S50+O51-O39*('Sens - Scenarios'!$B$6*VLOOKUP(B51,ChurnSeasonTable,4,FALSE))*POWER(1-('Sens - Scenarios'!$B$6*VLOOKUP(B51,ChurnSeasonTable,4,FALSE)),0)+O27*('Sens - Scenarios'!$B$6*VLOOKUP(B51,ChurnSeasonTable,4,FALSE))*POWER(1-('Sens - Scenarios'!$B$6*VLOOKUP(B51,ChurnSeasonTable,4,FALSE)),1)+O15*('Sens - Scenarios'!$B$6*VLOOKUP(B51,ChurnSeasonTable,4,FALSE))*POWER(1-('Sens - Scenarios'!$B$6*VLOOKUP(B51,ChurnSeasonTable,4,FALSE)),2)</f>
        <v/>
      </c>
      <c r="T51" s="12">
        <f>T50+P51-P39*('Sens - Scenarios'!$B$6*VLOOKUP(B51,ChurnSeasonTable,4,FALSE))*POWER(1-('Sens - Scenarios'!$B$6*VLOOKUP(B51,ChurnSeasonTable,4,FALSE)),0)+P27*('Sens - Scenarios'!$B$6*VLOOKUP(B51,ChurnSeasonTable,4,FALSE))*POWER(1-('Sens - Scenarios'!$B$6*VLOOKUP(B51,ChurnSeasonTable,4,FALSE)),1)+P15*('Sens - Scenarios'!$B$6*VLOOKUP(B51,ChurnSeasonTable,4,FALSE))*POWER(1-('Sens - Scenarios'!$B$6*VLOOKUP(B51,ChurnSeasonTable,4,FALSE)),2)</f>
        <v/>
      </c>
      <c r="U51" s="12">
        <f>Q51+R51+S51+T51</f>
        <v/>
      </c>
      <c r="V51" s="9">
        <f>Q51*PriceEssMonthly*E51+R51*PricePremMonthly*E51+S51*PriceEssAnnual*E51/12+T51*PricePremAnnual*E51/12</f>
        <v/>
      </c>
      <c r="W51" s="9">
        <f>V51*12</f>
        <v/>
      </c>
      <c r="X51" s="12">
        <f>Q51*PriceEssMonthly*E51+R51*PricePremMonthly*E51</f>
        <v/>
      </c>
      <c r="Y51" s="12">
        <f>O51*PriceEssAnnual*E51+P51*PricePremAnnual*E51</f>
        <v/>
      </c>
      <c r="Z51" s="12">
        <f>O39*POWER(1-('Sens - Scenarios'!$B$6*VLOOKUP(B51,ChurnSeasonTable,4,FALSE)),1)*PriceEssAnnual*E51+O27*POWER(1-('Sens - Scenarios'!$B$6*VLOOKUP(B51,ChurnSeasonTable,4,FALSE)),2)*PriceEssAnnual*E51+O15*POWER(1-('Sens - Scenarios'!$B$6*VLOOKUP(B51,ChurnSeasonTable,4,FALSE)),3)*PriceEssAnnual*E51+P39*POWER(1-('Sens - Scenarios'!$B$6*VLOOKUP(B51,ChurnSeasonTable,4,FALSE)),1)*PricePremAnnual*E51+P27*POWER(1-('Sens - Scenarios'!$B$6*VLOOKUP(B51,ChurnSeasonTable,4,FALSE)),2)*PricePremAnnual*E51+P15*POWER(1-('Sens - Scenarios'!$B$6*VLOOKUP(B51,ChurnSeasonTable,4,FALSE)),3)*PricePremAnnual*E51</f>
        <v/>
      </c>
      <c r="AA51" s="9">
        <f>X51+Y51+Z51</f>
        <v/>
      </c>
      <c r="AB51" s="12">
        <f>SUM(AA40:AA51)</f>
        <v/>
      </c>
      <c r="AC51" s="12">
        <f>OR(AC50,AB51&gt;=VATThreshold)</f>
        <v/>
      </c>
      <c r="AD51" s="9">
        <f>IF(AC51,AA51/(1+VATRate),AA51)</f>
        <v/>
      </c>
      <c r="AE51" s="12">
        <f>AA51-AD51</f>
        <v/>
      </c>
      <c r="AF51" s="12">
        <f>IF(AC51=0,0,IF(B51=1,SUMPRODUCT(--(($C$5:$C51=$C51-1)*($B$5:$B51&gt;=10)*($B$5:$B51&lt;=12)),$AE$5:$AE51),IF(B51=4,SUMPRODUCT(--(($C$5:$C51=$C51)*($B$5:$B51&gt;=1)*($B$5:$B51&lt;=3)),$AE$5:$AE51),IF(B51=7,SUMPRODUCT(--(($C$5:$C51=$C51)*($B$5:$B51&gt;=4)*($B$5:$B51&lt;=6)),$AE$5:$AE51),IF(B51=10,SUMPRODUCT(--(($C$5:$C51=$C51)*($B$5:$B51&gt;=7)*($B$5:$B51&lt;=9)),$AE$5:$AE51),0)))))</f>
        <v/>
      </c>
      <c r="AG51" s="12">
        <f>AG50+AE51-AF51</f>
        <v/>
      </c>
      <c r="AH51" s="12">
        <f>IF(ProviderDelay&gt;=1,AD50*ProviderShare,AD51*ProviderShare)</f>
        <v/>
      </c>
      <c r="AI51" s="12">
        <f>AA51*PaymentFee</f>
        <v/>
      </c>
      <c r="AJ51" s="12">
        <f>U51*OpsAI</f>
        <v/>
      </c>
      <c r="AK51" s="12">
        <f>MonthlyFixed</f>
        <v/>
      </c>
      <c r="AL51" s="12">
        <f>I51*ReferralReward</f>
        <v/>
      </c>
      <c r="AM51" s="12">
        <f>G51</f>
        <v/>
      </c>
      <c r="AN51" s="9">
        <f>AD51-AH51-AI51-AJ51-AK51-AL51-AM51</f>
        <v/>
      </c>
      <c r="AO51" s="9">
        <f>AO50+AA51-(AH51+AI51+AJ51+AK51+AL51+AM51+AF51)</f>
        <v/>
      </c>
      <c r="AP51" s="12">
        <f>IF(U51&gt;0,V51/U51,0)</f>
        <v/>
      </c>
      <c r="AQ51" s="11">
        <f>IF(U50&gt;0,MAX(0,(U50+J51-U51)/U50),0)</f>
        <v/>
      </c>
      <c r="AS51" s="12" t="n">
        <v>47</v>
      </c>
      <c r="AT51" s="12">
        <f>MOD(AS51-1+LaunchMonth-1,12)+1</f>
        <v/>
      </c>
      <c r="AU51" s="12">
        <f>INT((AS51-1+LaunchMonth-1)/12)+1</f>
        <v/>
      </c>
      <c r="AV51" s="12">
        <f>VLOOKUP(AT51,SeasonTable,2,FALSE)</f>
        <v/>
      </c>
      <c r="AW51" s="12">
        <f>(1+InflationRate)^INT((AS51-1)/12)</f>
        <v/>
      </c>
      <c r="AX51" s="11">
        <f>MonthlyChurn*VLOOKUP(AT51,ChurnSeasonTable,4,FALSE)</f>
        <v/>
      </c>
      <c r="AY51" s="12">
        <f>MIN(MAX(MktMin19plus,BS50*MktPct19plus),MAX(0,CG50-CashBuffer))</f>
        <v/>
      </c>
      <c r="AZ51" s="12">
        <f>IF(AY51&gt;0,MAX(1,ROUND(AY51/CAC*AV51,0)),0)</f>
        <v/>
      </c>
      <c r="BA51" s="12">
        <f>IF(AZ51&gt;0,ROUND(AZ51*ReferralMix/(1-ReferralMix),0),0)</f>
        <v/>
      </c>
      <c r="BB51" s="12">
        <f>AZ51+BA51</f>
        <v/>
      </c>
      <c r="BC51" s="12">
        <f>ROUND(BB51*(1-AnnualMix),0)</f>
        <v/>
      </c>
      <c r="BD51" s="12">
        <f>BB51-BC51</f>
        <v/>
      </c>
      <c r="BE51" s="12">
        <f>ROUND(BC51*EssentialMix,0)</f>
        <v/>
      </c>
      <c r="BF51" s="12">
        <f>BC51-BE51</f>
        <v/>
      </c>
      <c r="BG51" s="12">
        <f>ROUND(BD51*EssentialMix,0)</f>
        <v/>
      </c>
      <c r="BH51" s="12">
        <f>BD51-BG51</f>
        <v/>
      </c>
      <c r="BI51" s="12">
        <f>BE51+BE50+BE49+MAX(0,BI50-BE50-BE49)*(1-AX51)</f>
        <v/>
      </c>
      <c r="BJ51" s="12">
        <f>BF51+BF50+BF49+MAX(0,BJ50-BF50-BF49)*(1-AX51)</f>
        <v/>
      </c>
      <c r="BK51" s="12">
        <f>BK50+BG51-BG39*(AnnualChurn*VLOOKUP(AT51,ChurnSeasonTable,4,FALSE))*POWER(1-(AnnualChurn*VLOOKUP(AT51,ChurnSeasonTable,4,FALSE)),0)+BG27*(AnnualChurn*VLOOKUP(AT51,ChurnSeasonTable,4,FALSE))*POWER(1-(AnnualChurn*VLOOKUP(AT51,ChurnSeasonTable,4,FALSE)),1)+BG15*(AnnualChurn*VLOOKUP(AT51,ChurnSeasonTable,4,FALSE))*POWER(1-(AnnualChurn*VLOOKUP(AT51,ChurnSeasonTable,4,FALSE)),2)</f>
        <v/>
      </c>
      <c r="BL51" s="12">
        <f>BL50+BH51-BH39*(AnnualChurn*VLOOKUP(AT51,ChurnSeasonTable,4,FALSE))*POWER(1-(AnnualChurn*VLOOKUP(AT51,ChurnSeasonTable,4,FALSE)),0)+BH27*(AnnualChurn*VLOOKUP(AT51,ChurnSeasonTable,4,FALSE))*POWER(1-(AnnualChurn*VLOOKUP(AT51,ChurnSeasonTable,4,FALSE)),1)+BH15*(AnnualChurn*VLOOKUP(AT51,ChurnSeasonTable,4,FALSE))*POWER(1-(AnnualChurn*VLOOKUP(AT51,ChurnSeasonTable,4,FALSE)),2)</f>
        <v/>
      </c>
      <c r="BM51" s="12">
        <f>BI51+BJ51+BK51+BL51</f>
        <v/>
      </c>
      <c r="BN51" s="9">
        <f>BI51*PriceEssMonthly*AW51+BJ51*PricePremMonthly*AW51+BK51*PriceEssAnnual*AW51/12+BL51*PricePremAnnual*AW51/12</f>
        <v/>
      </c>
      <c r="BO51" s="9">
        <f>BN51*12</f>
        <v/>
      </c>
      <c r="BP51" s="12">
        <f>BI51*PriceEssMonthly*AW51+BJ51*PricePremMonthly*AW51</f>
        <v/>
      </c>
      <c r="BQ51" s="12">
        <f>BG51*PriceEssAnnual*AW51+BH51*PricePremAnnual*AW51</f>
        <v/>
      </c>
      <c r="BR51" s="12">
        <f>BG39*POWER(1-(AnnualChurn*VLOOKUP(AT51,ChurnSeasonTable,4,FALSE)),1)*PriceEssAnnual*AW51+BG27*POWER(1-(AnnualChurn*VLOOKUP(AT51,ChurnSeasonTable,4,FALSE)),2)*PriceEssAnnual*AW51+BG15*POWER(1-(AnnualChurn*VLOOKUP(AT51,ChurnSeasonTable,4,FALSE)),3)*PriceEssAnnual*AW51+BH39*POWER(1-(AnnualChurn*VLOOKUP(AT51,ChurnSeasonTable,4,FALSE)),1)*PricePremAnnual*AW51+BH27*POWER(1-(AnnualChurn*VLOOKUP(AT51,ChurnSeasonTable,4,FALSE)),2)*PricePremAnnual*AW51+BH15*POWER(1-(AnnualChurn*VLOOKUP(AT51,ChurnSeasonTable,4,FALSE)),3)*PricePremAnnual*AW51</f>
        <v/>
      </c>
      <c r="BS51" s="9">
        <f>BP51+BQ51+BR51</f>
        <v/>
      </c>
      <c r="BT51" s="12">
        <f>SUM(BS40:BS51)</f>
        <v/>
      </c>
      <c r="BU51" s="12">
        <f>OR(BU50,BT51&gt;=VATThreshold)</f>
        <v/>
      </c>
      <c r="BV51" s="9">
        <f>IF(BU51,BS51/(1+VATRate),BS51)</f>
        <v/>
      </c>
      <c r="BW51" s="12">
        <f>BS51-BV51</f>
        <v/>
      </c>
      <c r="BX51" s="12">
        <f>IF(BU51=0,0,IF(AT51=1,SUMPRODUCT(--(($AU$5:$AU51=$AU51-1)*($AT$5:$AT51&gt;=10)*($AT$5:$AT51&lt;=12)),$BW$5:$BW51),IF(AT51=4,SUMPRODUCT(--(($AU$5:$AU51=$AU51)*($AT$5:$AT51&gt;=1)*($AT$5:$AT51&lt;=3)),$BW$5:$BW51),IF(AT51=7,SUMPRODUCT(--(($AU$5:$AU51=$AU51)*($AT$5:$AT51&gt;=4)*($AT$5:$AT51&lt;=6)),$BW$5:$BW51),IF(AT51=10,SUMPRODUCT(--(($AU$5:$AU51=$AU51)*($AT$5:$AT51&gt;=7)*($AT$5:$AT51&lt;=9)),$BW$5:$BW51),0)))))</f>
        <v/>
      </c>
      <c r="BY51" s="12">
        <f>BY50+BW51-BX51</f>
        <v/>
      </c>
      <c r="BZ51" s="12">
        <f>IF(ProviderDelay&gt;=1,BV50*ProviderShare,BV51*ProviderShare)</f>
        <v/>
      </c>
      <c r="CA51" s="12">
        <f>BS51*PaymentFee</f>
        <v/>
      </c>
      <c r="CB51" s="12">
        <f>BM51*OpsAI</f>
        <v/>
      </c>
      <c r="CC51" s="12">
        <f>MonthlyFixed</f>
        <v/>
      </c>
      <c r="CD51" s="12">
        <f>BA51*ReferralReward</f>
        <v/>
      </c>
      <c r="CE51" s="12">
        <f>AY51</f>
        <v/>
      </c>
      <c r="CF51" s="9">
        <f>BV51-BZ51-CA51-CB51-CC51-CD51-CE51</f>
        <v/>
      </c>
      <c r="CG51" s="9">
        <f>CG50+BS51-(BZ51+CA51+CB51+CC51+CD51+CE51+BX51)</f>
        <v/>
      </c>
      <c r="CH51" s="12">
        <f>IF(BM51&gt;0,BN51/BM51,0)</f>
        <v/>
      </c>
      <c r="CI51" s="11">
        <f>IF(BM50&gt;0,MAX(0,(BM50+BB51-BM51)/BM50),0)</f>
        <v/>
      </c>
      <c r="CK51" s="12" t="n">
        <v>47</v>
      </c>
      <c r="CL51" s="12">
        <f>MOD(CK51-1+LaunchMonth-1,12)+1</f>
        <v/>
      </c>
      <c r="CM51" s="12">
        <f>INT((CK51-1+LaunchMonth-1)/12)+1</f>
        <v/>
      </c>
      <c r="CN51" s="12">
        <f>VLOOKUP(CL51,SeasonTable,2,FALSE)</f>
        <v/>
      </c>
      <c r="CO51" s="12">
        <f>(1+InflationRate)^INT((CK51-1)/12)</f>
        <v/>
      </c>
      <c r="CP51" s="11">
        <f>'Sens - Scenarios'!$D$5*VLOOKUP(CL51,ChurnSeasonTable,4,FALSE)</f>
        <v/>
      </c>
      <c r="CQ51" s="12">
        <f>MIN(MAX(MktMin19plus,DK50*MktPct19plus),MAX(0,DY50-CashBuffer))</f>
        <v/>
      </c>
      <c r="CR51" s="12">
        <f>IF(CQ51&gt;0,MAX(1,ROUND(CQ51/'Sens - Scenarios'!$D$8*CN51,0)),0)</f>
        <v/>
      </c>
      <c r="CS51" s="12">
        <f>IF(CR51&gt;0,ROUND(CR51*ReferralMix/(1-ReferralMix),0),0)</f>
        <v/>
      </c>
      <c r="CT51" s="12">
        <f>CR51+CS51</f>
        <v/>
      </c>
      <c r="CU51" s="12">
        <f>ROUND(CT51*(1-'Sens - Scenarios'!$D$7),0)</f>
        <v/>
      </c>
      <c r="CV51" s="12">
        <f>CT51-CU51</f>
        <v/>
      </c>
      <c r="CW51" s="12">
        <f>ROUND(CU51*EssentialMix,0)</f>
        <v/>
      </c>
      <c r="CX51" s="12">
        <f>CU51-CW51</f>
        <v/>
      </c>
      <c r="CY51" s="12">
        <f>ROUND(CV51*EssentialMix,0)</f>
        <v/>
      </c>
      <c r="CZ51" s="12">
        <f>CV51-CY51</f>
        <v/>
      </c>
      <c r="DA51" s="12">
        <f>CW51+CW50+CW49+MAX(0,DA50-CW50-CW49)*(1-CP51)</f>
        <v/>
      </c>
      <c r="DB51" s="12">
        <f>CX51+CX50+CX49+MAX(0,DB50-CX50-CX49)*(1-CP51)</f>
        <v/>
      </c>
      <c r="DC51" s="12">
        <f>DC50+CY51-CY39*('Sens - Scenarios'!$D$6*VLOOKUP(CL51,ChurnSeasonTable,4,FALSE))*POWER(1-('Sens - Scenarios'!$D$6*VLOOKUP(CL51,ChurnSeasonTable,4,FALSE)),0)+CY27*('Sens - Scenarios'!$D$6*VLOOKUP(CL51,ChurnSeasonTable,4,FALSE))*POWER(1-('Sens - Scenarios'!$D$6*VLOOKUP(CL51,ChurnSeasonTable,4,FALSE)),1)+CY15*('Sens - Scenarios'!$D$6*VLOOKUP(CL51,ChurnSeasonTable,4,FALSE))*POWER(1-('Sens - Scenarios'!$D$6*VLOOKUP(CL51,ChurnSeasonTable,4,FALSE)),2)</f>
        <v/>
      </c>
      <c r="DD51" s="12">
        <f>DD50+CZ51-CZ39*('Sens - Scenarios'!$D$6*VLOOKUP(CL51,ChurnSeasonTable,4,FALSE))*POWER(1-('Sens - Scenarios'!$D$6*VLOOKUP(CL51,ChurnSeasonTable,4,FALSE)),0)+CZ27*('Sens - Scenarios'!$D$6*VLOOKUP(CL51,ChurnSeasonTable,4,FALSE))*POWER(1-('Sens - Scenarios'!$D$6*VLOOKUP(CL51,ChurnSeasonTable,4,FALSE)),1)+CZ15*('Sens - Scenarios'!$D$6*VLOOKUP(CL51,ChurnSeasonTable,4,FALSE))*POWER(1-('Sens - Scenarios'!$D$6*VLOOKUP(CL51,ChurnSeasonTable,4,FALSE)),2)</f>
        <v/>
      </c>
      <c r="DE51" s="12">
        <f>DA51+DB51+DC51+DD51</f>
        <v/>
      </c>
      <c r="DF51" s="9">
        <f>DA51*PriceEssMonthly*CO51+DB51*PricePremMonthly*CO51+DC51*PriceEssAnnual*CO51/12+DD51*PricePremAnnual*CO51/12</f>
        <v/>
      </c>
      <c r="DG51" s="9">
        <f>DF51*12</f>
        <v/>
      </c>
      <c r="DH51" s="12">
        <f>DA51*PriceEssMonthly*CO51+DB51*PricePremMonthly*CO51</f>
        <v/>
      </c>
      <c r="DI51" s="12">
        <f>CY51*PriceEssAnnual*CO51+CZ51*PricePremAnnual*CO51</f>
        <v/>
      </c>
      <c r="DJ51" s="12">
        <f>CY39*POWER(1-('Sens - Scenarios'!$D$6*VLOOKUP(CL51,ChurnSeasonTable,4,FALSE)),1)*PriceEssAnnual*CO51+CY27*POWER(1-('Sens - Scenarios'!$D$6*VLOOKUP(CL51,ChurnSeasonTable,4,FALSE)),2)*PriceEssAnnual*CO51+CY15*POWER(1-('Sens - Scenarios'!$D$6*VLOOKUP(CL51,ChurnSeasonTable,4,FALSE)),3)*PriceEssAnnual*CO51+CZ39*POWER(1-('Sens - Scenarios'!$D$6*VLOOKUP(CL51,ChurnSeasonTable,4,FALSE)),1)*PricePremAnnual*CO51+CZ27*POWER(1-('Sens - Scenarios'!$D$6*VLOOKUP(CL51,ChurnSeasonTable,4,FALSE)),2)*PricePremAnnual*CO51+CZ15*POWER(1-('Sens - Scenarios'!$D$6*VLOOKUP(CL51,ChurnSeasonTable,4,FALSE)),3)*PricePremAnnual*CO51</f>
        <v/>
      </c>
      <c r="DK51" s="9">
        <f>DH51+DI51+DJ51</f>
        <v/>
      </c>
      <c r="DL51" s="12">
        <f>SUM(DK40:DK51)</f>
        <v/>
      </c>
      <c r="DM51" s="12">
        <f>OR(DM50,DL51&gt;=VATThreshold)</f>
        <v/>
      </c>
      <c r="DN51" s="9">
        <f>IF(DM51,DK51/(1+VATRate),DK51)</f>
        <v/>
      </c>
      <c r="DO51" s="12">
        <f>DK51-DN51</f>
        <v/>
      </c>
      <c r="DP51" s="12">
        <f>IF(DM51=0,0,IF(CL51=1,SUMPRODUCT(--(($CM$5:$CM51=$CM51-1)*($CL$5:$CL51&gt;=10)*($CL$5:$CL51&lt;=12)),$DO$5:$DO51),IF(CL51=4,SUMPRODUCT(--(($CM$5:$CM51=$CM51)*($CL$5:$CL51&gt;=1)*($CL$5:$CL51&lt;=3)),$DO$5:$DO51),IF(CL51=7,SUMPRODUCT(--(($CM$5:$CM51=$CM51)*($CL$5:$CL51&gt;=4)*($CL$5:$CL51&lt;=6)),$DO$5:$DO51),IF(CL51=10,SUMPRODUCT(--(($CM$5:$CM51=$CM51)*($CL$5:$CL51&gt;=7)*($CL$5:$CL51&lt;=9)),$DO$5:$DO51),0)))))</f>
        <v/>
      </c>
      <c r="DQ51" s="12">
        <f>DQ50+DO51-DP51</f>
        <v/>
      </c>
      <c r="DR51" s="12">
        <f>IF(ProviderDelay&gt;=1,DN50*ProviderShare,DN51*ProviderShare)</f>
        <v/>
      </c>
      <c r="DS51" s="12">
        <f>DK51*PaymentFee</f>
        <v/>
      </c>
      <c r="DT51" s="12">
        <f>DE51*OpsAI</f>
        <v/>
      </c>
      <c r="DU51" s="12">
        <f>MonthlyFixed</f>
        <v/>
      </c>
      <c r="DV51" s="12">
        <f>CS51*ReferralReward</f>
        <v/>
      </c>
      <c r="DW51" s="12">
        <f>CQ51</f>
        <v/>
      </c>
      <c r="DX51" s="9">
        <f>DN51-DR51-DS51-DT51-DU51-DV51-DW51</f>
        <v/>
      </c>
      <c r="DY51" s="9">
        <f>DY50+DK51-(DR51+DS51+DT51+DU51+DV51+DW51+DP51)</f>
        <v/>
      </c>
      <c r="DZ51" s="12">
        <f>IF(DE51&gt;0,DF51/DE51,0)</f>
        <v/>
      </c>
      <c r="EA51" s="11">
        <f>IF(DE50&gt;0,MAX(0,(DE50+CT51-DE51)/DE50),0)</f>
        <v/>
      </c>
      <c r="EC51" s="12" t="n">
        <v>47</v>
      </c>
      <c r="ED51" s="12">
        <f>MOD(EC51-1+LaunchMonth-1,12)+1</f>
        <v/>
      </c>
      <c r="EE51" s="12">
        <f>INT((EC51-1+LaunchMonth-1)/12)+1</f>
        <v/>
      </c>
      <c r="EF51" s="12">
        <f>VLOOKUP(ED51,SeasonTable,2,FALSE)</f>
        <v/>
      </c>
      <c r="EG51" s="12">
        <f>(1+InflationRate)^INT((EC51-1)/12)</f>
        <v/>
      </c>
      <c r="EH51" s="11">
        <f>'Sens - Churn'!$A$13*VLOOKUP(ED51,ChurnSeasonTable,4,FALSE)</f>
        <v/>
      </c>
      <c r="EI51" s="12">
        <f>MIN(MAX(MktMin19plus,FC50*MktPct19plus),MAX(0,FQ50-CashBuffer))</f>
        <v/>
      </c>
      <c r="EJ51" s="12">
        <f>IF(EI51&gt;0,MAX(1,ROUND(EI51/CAC*EF51,0)),0)</f>
        <v/>
      </c>
      <c r="EK51" s="12">
        <f>IF(EJ51&gt;0,ROUND(EJ51*ReferralMix/(1-ReferralMix),0),0)</f>
        <v/>
      </c>
      <c r="EL51" s="12">
        <f>EJ51+EK51</f>
        <v/>
      </c>
      <c r="EM51" s="12">
        <f>ROUND(EL51*(1-AnnualMix),0)</f>
        <v/>
      </c>
      <c r="EN51" s="12">
        <f>EL51-EM51</f>
        <v/>
      </c>
      <c r="EO51" s="12">
        <f>ROUND(EM51*EssentialMix,0)</f>
        <v/>
      </c>
      <c r="EP51" s="12">
        <f>EM51-EO51</f>
        <v/>
      </c>
      <c r="EQ51" s="12">
        <f>ROUND(EN51*EssentialMix,0)</f>
        <v/>
      </c>
      <c r="ER51" s="12">
        <f>EN51-EQ51</f>
        <v/>
      </c>
      <c r="ES51" s="12">
        <f>EO51+EO50+EO49+MAX(0,ES50-EO50-EO49)*(1-EH51)</f>
        <v/>
      </c>
      <c r="ET51" s="12">
        <f>EP51+EP50+EP49+MAX(0,ET50-EP50-EP49)*(1-EH51)</f>
        <v/>
      </c>
      <c r="EU51" s="12">
        <f>EU50+EQ51-EQ39*(AnnualChurn*VLOOKUP(ED51,ChurnSeasonTable,4,FALSE))*POWER(1-(AnnualChurn*VLOOKUP(ED51,ChurnSeasonTable,4,FALSE)),0)+EQ27*(AnnualChurn*VLOOKUP(ED51,ChurnSeasonTable,4,FALSE))*POWER(1-(AnnualChurn*VLOOKUP(ED51,ChurnSeasonTable,4,FALSE)),1)+EQ15*(AnnualChurn*VLOOKUP(ED51,ChurnSeasonTable,4,FALSE))*POWER(1-(AnnualChurn*VLOOKUP(ED51,ChurnSeasonTable,4,FALSE)),2)</f>
        <v/>
      </c>
      <c r="EV51" s="12">
        <f>EV50+ER51-ER39*(AnnualChurn*VLOOKUP(ED51,ChurnSeasonTable,4,FALSE))*POWER(1-(AnnualChurn*VLOOKUP(ED51,ChurnSeasonTable,4,FALSE)),0)+ER27*(AnnualChurn*VLOOKUP(ED51,ChurnSeasonTable,4,FALSE))*POWER(1-(AnnualChurn*VLOOKUP(ED51,ChurnSeasonTable,4,FALSE)),1)+ER15*(AnnualChurn*VLOOKUP(ED51,ChurnSeasonTable,4,FALSE))*POWER(1-(AnnualChurn*VLOOKUP(ED51,ChurnSeasonTable,4,FALSE)),2)</f>
        <v/>
      </c>
      <c r="EW51" s="12">
        <f>ES51+ET51+EU51+EV51</f>
        <v/>
      </c>
      <c r="EX51" s="9">
        <f>ES51*PriceEssMonthly*EG51+ET51*PricePremMonthly*EG51+EU51*PriceEssAnnual*EG51/12+EV51*PricePremAnnual*EG51/12</f>
        <v/>
      </c>
      <c r="EY51" s="9">
        <f>EX51*12</f>
        <v/>
      </c>
      <c r="EZ51" s="12">
        <f>ES51*PriceEssMonthly*EG51+ET51*PricePremMonthly*EG51</f>
        <v/>
      </c>
      <c r="FA51" s="12">
        <f>EQ51*PriceEssAnnual*EG51+ER51*PricePremAnnual*EG51</f>
        <v/>
      </c>
      <c r="FB51" s="12">
        <f>EQ39*POWER(1-(AnnualChurn*VLOOKUP(ED51,ChurnSeasonTable,4,FALSE)),1)*PriceEssAnnual*EG51+EQ27*POWER(1-(AnnualChurn*VLOOKUP(ED51,ChurnSeasonTable,4,FALSE)),2)*PriceEssAnnual*EG51+EQ15*POWER(1-(AnnualChurn*VLOOKUP(ED51,ChurnSeasonTable,4,FALSE)),3)*PriceEssAnnual*EG51+ER39*POWER(1-(AnnualChurn*VLOOKUP(ED51,ChurnSeasonTable,4,FALSE)),1)*PricePremAnnual*EG51+ER27*POWER(1-(AnnualChurn*VLOOKUP(ED51,ChurnSeasonTable,4,FALSE)),2)*PricePremAnnual*EG51+ER15*POWER(1-(AnnualChurn*VLOOKUP(ED51,ChurnSeasonTable,4,FALSE)),3)*PricePremAnnual*EG51</f>
        <v/>
      </c>
      <c r="FC51" s="9">
        <f>EZ51+FA51+FB51</f>
        <v/>
      </c>
      <c r="FD51" s="12">
        <f>SUM(FC40:FC51)</f>
        <v/>
      </c>
      <c r="FE51" s="12">
        <f>OR(FE50,FD51&gt;=VATThreshold)</f>
        <v/>
      </c>
      <c r="FF51" s="9">
        <f>IF(FE51,FC51/(1+VATRate),FC51)</f>
        <v/>
      </c>
      <c r="FG51" s="12">
        <f>FC51-FF51</f>
        <v/>
      </c>
      <c r="FH51" s="12">
        <f>IF(FE51=0,0,IF(ED51=1,SUMPRODUCT(--(($EE$5:$EE51=$EE51-1)*($ED$5:$ED51&gt;=10)*($ED$5:$ED51&lt;=12)),$FG$5:$FG51),IF(ED51=4,SUMPRODUCT(--(($EE$5:$EE51=$EE51)*($ED$5:$ED51&gt;=1)*($ED$5:$ED51&lt;=3)),$FG$5:$FG51),IF(ED51=7,SUMPRODUCT(--(($EE$5:$EE51=$EE51)*($ED$5:$ED51&gt;=4)*($ED$5:$ED51&lt;=6)),$FG$5:$FG51),IF(ED51=10,SUMPRODUCT(--(($EE$5:$EE51=$EE51)*($ED$5:$ED51&gt;=7)*($ED$5:$ED51&lt;=9)),$FG$5:$FG51),0)))))</f>
        <v/>
      </c>
      <c r="FI51" s="12">
        <f>FI50+FG51-FH51</f>
        <v/>
      </c>
      <c r="FJ51" s="12">
        <f>IF(ProviderDelay&gt;=1,FF50*ProviderShare,FF51*ProviderShare)</f>
        <v/>
      </c>
      <c r="FK51" s="12">
        <f>FC51*PaymentFee</f>
        <v/>
      </c>
      <c r="FL51" s="12">
        <f>EW51*OpsAI</f>
        <v/>
      </c>
      <c r="FM51" s="12">
        <f>MonthlyFixed</f>
        <v/>
      </c>
      <c r="FN51" s="12">
        <f>EK51*ReferralReward</f>
        <v/>
      </c>
      <c r="FO51" s="12">
        <f>EI51</f>
        <v/>
      </c>
      <c r="FP51" s="9">
        <f>FF51-FJ51-FK51-FL51-FM51-FN51-FO51</f>
        <v/>
      </c>
      <c r="FQ51" s="9">
        <f>FQ50+FC51-(FJ51+FK51+FL51+FM51+FN51+FO51+FH51)</f>
        <v/>
      </c>
      <c r="FR51" s="12">
        <f>IF(EW51&gt;0,EX51/EW51,0)</f>
        <v/>
      </c>
      <c r="FS51" s="11">
        <f>IF(EW50&gt;0,MAX(0,(EW50+EL51-EW51)/EW50),0)</f>
        <v/>
      </c>
      <c r="FU51" s="12" t="n">
        <v>47</v>
      </c>
      <c r="FV51" s="12">
        <f>MOD(FU51-1+LaunchMonth-1,12)+1</f>
        <v/>
      </c>
      <c r="FW51" s="12">
        <f>INT((FU51-1+LaunchMonth-1)/12)+1</f>
        <v/>
      </c>
      <c r="FX51" s="12">
        <f>VLOOKUP(FV51,SeasonTable,2,FALSE)</f>
        <v/>
      </c>
      <c r="FY51" s="12">
        <f>(1+InflationRate)^INT((FU51-1)/12)</f>
        <v/>
      </c>
      <c r="FZ51" s="11">
        <f>'Sens - Churn'!$A$14*VLOOKUP(FV51,ChurnSeasonTable,4,FALSE)</f>
        <v/>
      </c>
      <c r="GA51" s="12">
        <f>MIN(MAX(MktMin19plus,GU50*MktPct19plus),MAX(0,HI50-CashBuffer))</f>
        <v/>
      </c>
      <c r="GB51" s="12">
        <f>IF(GA51&gt;0,MAX(1,ROUND(GA51/CAC*FX51,0)),0)</f>
        <v/>
      </c>
      <c r="GC51" s="12">
        <f>IF(GB51&gt;0,ROUND(GB51*ReferralMix/(1-ReferralMix),0),0)</f>
        <v/>
      </c>
      <c r="GD51" s="12">
        <f>GB51+GC51</f>
        <v/>
      </c>
      <c r="GE51" s="12">
        <f>ROUND(GD51*(1-AnnualMix),0)</f>
        <v/>
      </c>
      <c r="GF51" s="12">
        <f>GD51-GE51</f>
        <v/>
      </c>
      <c r="GG51" s="12">
        <f>ROUND(GE51*EssentialMix,0)</f>
        <v/>
      </c>
      <c r="GH51" s="12">
        <f>GE51-GG51</f>
        <v/>
      </c>
      <c r="GI51" s="12">
        <f>ROUND(GF51*EssentialMix,0)</f>
        <v/>
      </c>
      <c r="GJ51" s="12">
        <f>GF51-GI51</f>
        <v/>
      </c>
      <c r="GK51" s="12">
        <f>GG51+GG50+GG49+MAX(0,GK50-GG50-GG49)*(1-FZ51)</f>
        <v/>
      </c>
      <c r="GL51" s="12">
        <f>GH51+GH50+GH49+MAX(0,GL50-GH50-GH49)*(1-FZ51)</f>
        <v/>
      </c>
      <c r="GM51" s="12">
        <f>GM50+GI51-GI39*(AnnualChurn*VLOOKUP(FV51,ChurnSeasonTable,4,FALSE))*POWER(1-(AnnualChurn*VLOOKUP(FV51,ChurnSeasonTable,4,FALSE)),0)+GI27*(AnnualChurn*VLOOKUP(FV51,ChurnSeasonTable,4,FALSE))*POWER(1-(AnnualChurn*VLOOKUP(FV51,ChurnSeasonTable,4,FALSE)),1)+GI15*(AnnualChurn*VLOOKUP(FV51,ChurnSeasonTable,4,FALSE))*POWER(1-(AnnualChurn*VLOOKUP(FV51,ChurnSeasonTable,4,FALSE)),2)</f>
        <v/>
      </c>
      <c r="GN51" s="12">
        <f>GN50+GJ51-GJ39*(AnnualChurn*VLOOKUP(FV51,ChurnSeasonTable,4,FALSE))*POWER(1-(AnnualChurn*VLOOKUP(FV51,ChurnSeasonTable,4,FALSE)),0)+GJ27*(AnnualChurn*VLOOKUP(FV51,ChurnSeasonTable,4,FALSE))*POWER(1-(AnnualChurn*VLOOKUP(FV51,ChurnSeasonTable,4,FALSE)),1)+GJ15*(AnnualChurn*VLOOKUP(FV51,ChurnSeasonTable,4,FALSE))*POWER(1-(AnnualChurn*VLOOKUP(FV51,ChurnSeasonTable,4,FALSE)),2)</f>
        <v/>
      </c>
      <c r="GO51" s="12">
        <f>GK51+GL51+GM51+GN51</f>
        <v/>
      </c>
      <c r="GP51" s="9">
        <f>GK51*PriceEssMonthly*FY51+GL51*PricePremMonthly*FY51+GM51*PriceEssAnnual*FY51/12+GN51*PricePremAnnual*FY51/12</f>
        <v/>
      </c>
      <c r="GQ51" s="9">
        <f>GP51*12</f>
        <v/>
      </c>
      <c r="GR51" s="12">
        <f>GK51*PriceEssMonthly*FY51+GL51*PricePremMonthly*FY51</f>
        <v/>
      </c>
      <c r="GS51" s="12">
        <f>GI51*PriceEssAnnual*FY51+GJ51*PricePremAnnual*FY51</f>
        <v/>
      </c>
      <c r="GT51" s="12">
        <f>GI39*POWER(1-(AnnualChurn*VLOOKUP(FV51,ChurnSeasonTable,4,FALSE)),1)*PriceEssAnnual*FY51+GI27*POWER(1-(AnnualChurn*VLOOKUP(FV51,ChurnSeasonTable,4,FALSE)),2)*PriceEssAnnual*FY51+GI15*POWER(1-(AnnualChurn*VLOOKUP(FV51,ChurnSeasonTable,4,FALSE)),3)*PriceEssAnnual*FY51+GJ39*POWER(1-(AnnualChurn*VLOOKUP(FV51,ChurnSeasonTable,4,FALSE)),1)*PricePremAnnual*FY51+GJ27*POWER(1-(AnnualChurn*VLOOKUP(FV51,ChurnSeasonTable,4,FALSE)),2)*PricePremAnnual*FY51+GJ15*POWER(1-(AnnualChurn*VLOOKUP(FV51,ChurnSeasonTable,4,FALSE)),3)*PricePremAnnual*FY51</f>
        <v/>
      </c>
      <c r="GU51" s="9">
        <f>GR51+GS51+GT51</f>
        <v/>
      </c>
      <c r="GV51" s="12">
        <f>SUM(GU40:GU51)</f>
        <v/>
      </c>
      <c r="GW51" s="12">
        <f>OR(GW50,GV51&gt;=VATThreshold)</f>
        <v/>
      </c>
      <c r="GX51" s="9">
        <f>IF(GW51,GU51/(1+VATRate),GU51)</f>
        <v/>
      </c>
      <c r="GY51" s="12">
        <f>GU51-GX51</f>
        <v/>
      </c>
      <c r="GZ51" s="12">
        <f>IF(GW51=0,0,IF(FV51=1,SUMPRODUCT(--(($FW$5:$FW51=$FW51-1)*($FV$5:$FV51&gt;=10)*($FV$5:$FV51&lt;=12)),$GY$5:$GY51),IF(FV51=4,SUMPRODUCT(--(($FW$5:$FW51=$FW51)*($FV$5:$FV51&gt;=1)*($FV$5:$FV51&lt;=3)),$GY$5:$GY51),IF(FV51=7,SUMPRODUCT(--(($FW$5:$FW51=$FW51)*($FV$5:$FV51&gt;=4)*($FV$5:$FV51&lt;=6)),$GY$5:$GY51),IF(FV51=10,SUMPRODUCT(--(($FW$5:$FW51=$FW51)*($FV$5:$FV51&gt;=7)*($FV$5:$FV51&lt;=9)),$GY$5:$GY51),0)))))</f>
        <v/>
      </c>
      <c r="HA51" s="12">
        <f>HA50+GY51-GZ51</f>
        <v/>
      </c>
      <c r="HB51" s="12">
        <f>IF(ProviderDelay&gt;=1,GX50*ProviderShare,GX51*ProviderShare)</f>
        <v/>
      </c>
      <c r="HC51" s="12">
        <f>GU51*PaymentFee</f>
        <v/>
      </c>
      <c r="HD51" s="12">
        <f>GO51*OpsAI</f>
        <v/>
      </c>
      <c r="HE51" s="12">
        <f>MonthlyFixed</f>
        <v/>
      </c>
      <c r="HF51" s="12">
        <f>GC51*ReferralReward</f>
        <v/>
      </c>
      <c r="HG51" s="12">
        <f>GA51</f>
        <v/>
      </c>
      <c r="HH51" s="9">
        <f>GX51-HB51-HC51-HD51-HE51-HF51-HG51</f>
        <v/>
      </c>
      <c r="HI51" s="9">
        <f>HI50+GU51-(HB51+HC51+HD51+HE51+HF51+HG51+GZ51)</f>
        <v/>
      </c>
      <c r="HJ51" s="12">
        <f>IF(GO51&gt;0,GP51/GO51,0)</f>
        <v/>
      </c>
      <c r="HK51" s="11">
        <f>IF(GO50&gt;0,MAX(0,(GO50+GD51-GO51)/GO50),0)</f>
        <v/>
      </c>
      <c r="HM51" s="12" t="n">
        <v>47</v>
      </c>
      <c r="HN51" s="12">
        <f>MOD(HM51-1+LaunchMonth-1,12)+1</f>
        <v/>
      </c>
      <c r="HO51" s="12">
        <f>INT((HM51-1+LaunchMonth-1)/12)+1</f>
        <v/>
      </c>
      <c r="HP51" s="12">
        <f>VLOOKUP(HN51,SeasonTable,2,FALSE)</f>
        <v/>
      </c>
      <c r="HQ51" s="12">
        <f>(1+InflationRate)^INT((HM51-1)/12)</f>
        <v/>
      </c>
      <c r="HR51" s="11">
        <f>'Sens - Churn'!$A$15*VLOOKUP(HN51,ChurnSeasonTable,4,FALSE)</f>
        <v/>
      </c>
      <c r="HS51" s="12">
        <f>MIN(MAX(MktMin19plus,IM50*MktPct19plus),MAX(0,JA50-CashBuffer))</f>
        <v/>
      </c>
      <c r="HT51" s="12">
        <f>IF(HS51&gt;0,MAX(1,ROUND(HS51/CAC*HP51,0)),0)</f>
        <v/>
      </c>
      <c r="HU51" s="12">
        <f>IF(HT51&gt;0,ROUND(HT51*ReferralMix/(1-ReferralMix),0),0)</f>
        <v/>
      </c>
      <c r="HV51" s="12">
        <f>HT51+HU51</f>
        <v/>
      </c>
      <c r="HW51" s="12">
        <f>ROUND(HV51*(1-AnnualMix),0)</f>
        <v/>
      </c>
      <c r="HX51" s="12">
        <f>HV51-HW51</f>
        <v/>
      </c>
      <c r="HY51" s="12">
        <f>ROUND(HW51*EssentialMix,0)</f>
        <v/>
      </c>
      <c r="HZ51" s="12">
        <f>HW51-HY51</f>
        <v/>
      </c>
      <c r="IA51" s="12">
        <f>ROUND(HX51*EssentialMix,0)</f>
        <v/>
      </c>
      <c r="IB51" s="12">
        <f>HX51-IA51</f>
        <v/>
      </c>
      <c r="IC51" s="12">
        <f>HY51+HY50+HY49+MAX(0,IC50-HY50-HY49)*(1-HR51)</f>
        <v/>
      </c>
      <c r="ID51" s="12">
        <f>HZ51+HZ50+HZ49+MAX(0,ID50-HZ50-HZ49)*(1-HR51)</f>
        <v/>
      </c>
      <c r="IE51" s="12">
        <f>IE50+IA51-IA39*(AnnualChurn*VLOOKUP(HN51,ChurnSeasonTable,4,FALSE))*POWER(1-(AnnualChurn*VLOOKUP(HN51,ChurnSeasonTable,4,FALSE)),0)+IA27*(AnnualChurn*VLOOKUP(HN51,ChurnSeasonTable,4,FALSE))*POWER(1-(AnnualChurn*VLOOKUP(HN51,ChurnSeasonTable,4,FALSE)),1)+IA15*(AnnualChurn*VLOOKUP(HN51,ChurnSeasonTable,4,FALSE))*POWER(1-(AnnualChurn*VLOOKUP(HN51,ChurnSeasonTable,4,FALSE)),2)</f>
        <v/>
      </c>
      <c r="IF51" s="12">
        <f>IF50+IB51-IB39*(AnnualChurn*VLOOKUP(HN51,ChurnSeasonTable,4,FALSE))*POWER(1-(AnnualChurn*VLOOKUP(HN51,ChurnSeasonTable,4,FALSE)),0)+IB27*(AnnualChurn*VLOOKUP(HN51,ChurnSeasonTable,4,FALSE))*POWER(1-(AnnualChurn*VLOOKUP(HN51,ChurnSeasonTable,4,FALSE)),1)+IB15*(AnnualChurn*VLOOKUP(HN51,ChurnSeasonTable,4,FALSE))*POWER(1-(AnnualChurn*VLOOKUP(HN51,ChurnSeasonTable,4,FALSE)),2)</f>
        <v/>
      </c>
      <c r="IG51" s="12">
        <f>IC51+ID51+IE51+IF51</f>
        <v/>
      </c>
      <c r="IH51" s="9">
        <f>IC51*PriceEssMonthly*HQ51+ID51*PricePremMonthly*HQ51+IE51*PriceEssAnnual*HQ51/12+IF51*PricePremAnnual*HQ51/12</f>
        <v/>
      </c>
      <c r="II51" s="9">
        <f>IH51*12</f>
        <v/>
      </c>
      <c r="IJ51" s="12">
        <f>IC51*PriceEssMonthly*HQ51+ID51*PricePremMonthly*HQ51</f>
        <v/>
      </c>
      <c r="IK51" s="12">
        <f>IA51*PriceEssAnnual*HQ51+IB51*PricePremAnnual*HQ51</f>
        <v/>
      </c>
      <c r="IL51" s="12">
        <f>IA39*POWER(1-(AnnualChurn*VLOOKUP(HN51,ChurnSeasonTable,4,FALSE)),1)*PriceEssAnnual*HQ51+IA27*POWER(1-(AnnualChurn*VLOOKUP(HN51,ChurnSeasonTable,4,FALSE)),2)*PriceEssAnnual*HQ51+IA15*POWER(1-(AnnualChurn*VLOOKUP(HN51,ChurnSeasonTable,4,FALSE)),3)*PriceEssAnnual*HQ51+IB39*POWER(1-(AnnualChurn*VLOOKUP(HN51,ChurnSeasonTable,4,FALSE)),1)*PricePremAnnual*HQ51+IB27*POWER(1-(AnnualChurn*VLOOKUP(HN51,ChurnSeasonTable,4,FALSE)),2)*PricePremAnnual*HQ51+IB15*POWER(1-(AnnualChurn*VLOOKUP(HN51,ChurnSeasonTable,4,FALSE)),3)*PricePremAnnual*HQ51</f>
        <v/>
      </c>
      <c r="IM51" s="9">
        <f>IJ51+IK51+IL51</f>
        <v/>
      </c>
      <c r="IN51" s="12">
        <f>SUM(IM40:IM51)</f>
        <v/>
      </c>
      <c r="IO51" s="12">
        <f>OR(IO50,IN51&gt;=VATThreshold)</f>
        <v/>
      </c>
      <c r="IP51" s="9">
        <f>IF(IO51,IM51/(1+VATRate),IM51)</f>
        <v/>
      </c>
      <c r="IQ51" s="12">
        <f>IM51-IP51</f>
        <v/>
      </c>
      <c r="IR51" s="12">
        <f>IF(IO51=0,0,IF(HN51=1,SUMPRODUCT(--(($HO$5:$HO51=$HO51-1)*($HN$5:$HN51&gt;=10)*($HN$5:$HN51&lt;=12)),$IQ$5:$IQ51),IF(HN51=4,SUMPRODUCT(--(($HO$5:$HO51=$HO51)*($HN$5:$HN51&gt;=1)*($HN$5:$HN51&lt;=3)),$IQ$5:$IQ51),IF(HN51=7,SUMPRODUCT(--(($HO$5:$HO51=$HO51)*($HN$5:$HN51&gt;=4)*($HN$5:$HN51&lt;=6)),$IQ$5:$IQ51),IF(HN51=10,SUMPRODUCT(--(($HO$5:$HO51=$HO51)*($HN$5:$HN51&gt;=7)*($HN$5:$HN51&lt;=9)),$IQ$5:$IQ51),0)))))</f>
        <v/>
      </c>
      <c r="IS51" s="12">
        <f>IS50+IQ51-IR51</f>
        <v/>
      </c>
      <c r="IT51" s="12">
        <f>IF(ProviderDelay&gt;=1,IP50*ProviderShare,IP51*ProviderShare)</f>
        <v/>
      </c>
      <c r="IU51" s="12">
        <f>IM51*PaymentFee</f>
        <v/>
      </c>
      <c r="IV51" s="12">
        <f>IG51*OpsAI</f>
        <v/>
      </c>
      <c r="IW51" s="12">
        <f>MonthlyFixed</f>
        <v/>
      </c>
      <c r="IX51" s="12">
        <f>HU51*ReferralReward</f>
        <v/>
      </c>
      <c r="IY51" s="12">
        <f>HS51</f>
        <v/>
      </c>
      <c r="IZ51" s="9">
        <f>IP51-IT51-IU51-IV51-IW51-IX51-IY51</f>
        <v/>
      </c>
      <c r="JA51" s="9">
        <f>JA50+IM51-(IT51+IU51+IV51+IW51+IX51+IY51+IR51)</f>
        <v/>
      </c>
      <c r="JB51" s="12">
        <f>IF(IG51&gt;0,IH51/IG51,0)</f>
        <v/>
      </c>
      <c r="JC51" s="11">
        <f>IF(IG50&gt;0,MAX(0,(IG50+HV51-IG51)/IG50),0)</f>
        <v/>
      </c>
      <c r="JE51" s="12" t="n">
        <v>47</v>
      </c>
      <c r="JF51" s="12">
        <f>MOD(JE51-1+LaunchMonth-1,12)+1</f>
        <v/>
      </c>
      <c r="JG51" s="12">
        <f>INT((JE51-1+LaunchMonth-1)/12)+1</f>
        <v/>
      </c>
      <c r="JH51" s="12">
        <f>VLOOKUP(JF51,SeasonTable,2,FALSE)</f>
        <v/>
      </c>
      <c r="JI51" s="12">
        <f>(1+InflationRate)^INT((JE51-1)/12)</f>
        <v/>
      </c>
      <c r="JJ51" s="11">
        <f>'Sens - Churn'!$A$16*VLOOKUP(JF51,ChurnSeasonTable,4,FALSE)</f>
        <v/>
      </c>
      <c r="JK51" s="12">
        <f>MIN(MAX(MktMin19plus,KE50*MktPct19plus),MAX(0,KS50-CashBuffer))</f>
        <v/>
      </c>
      <c r="JL51" s="12">
        <f>IF(JK51&gt;0,MAX(1,ROUND(JK51/CAC*JH51,0)),0)</f>
        <v/>
      </c>
      <c r="JM51" s="12">
        <f>IF(JL51&gt;0,ROUND(JL51*ReferralMix/(1-ReferralMix),0),0)</f>
        <v/>
      </c>
      <c r="JN51" s="12">
        <f>JL51+JM51</f>
        <v/>
      </c>
      <c r="JO51" s="12">
        <f>ROUND(JN51*(1-AnnualMix),0)</f>
        <v/>
      </c>
      <c r="JP51" s="12">
        <f>JN51-JO51</f>
        <v/>
      </c>
      <c r="JQ51" s="12">
        <f>ROUND(JO51*EssentialMix,0)</f>
        <v/>
      </c>
      <c r="JR51" s="12">
        <f>JO51-JQ51</f>
        <v/>
      </c>
      <c r="JS51" s="12">
        <f>ROUND(JP51*EssentialMix,0)</f>
        <v/>
      </c>
      <c r="JT51" s="12">
        <f>JP51-JS51</f>
        <v/>
      </c>
      <c r="JU51" s="12">
        <f>JQ51+JQ50+JQ49+MAX(0,JU50-JQ50-JQ49)*(1-JJ51)</f>
        <v/>
      </c>
      <c r="JV51" s="12">
        <f>JR51+JR50+JR49+MAX(0,JV50-JR50-JR49)*(1-JJ51)</f>
        <v/>
      </c>
      <c r="JW51" s="12">
        <f>JW50+JS51-JS39*(AnnualChurn*VLOOKUP(JF51,ChurnSeasonTable,4,FALSE))*POWER(1-(AnnualChurn*VLOOKUP(JF51,ChurnSeasonTable,4,FALSE)),0)+JS27*(AnnualChurn*VLOOKUP(JF51,ChurnSeasonTable,4,FALSE))*POWER(1-(AnnualChurn*VLOOKUP(JF51,ChurnSeasonTable,4,FALSE)),1)+JS15*(AnnualChurn*VLOOKUP(JF51,ChurnSeasonTable,4,FALSE))*POWER(1-(AnnualChurn*VLOOKUP(JF51,ChurnSeasonTable,4,FALSE)),2)</f>
        <v/>
      </c>
      <c r="JX51" s="12">
        <f>JX50+JT51-JT39*(AnnualChurn*VLOOKUP(JF51,ChurnSeasonTable,4,FALSE))*POWER(1-(AnnualChurn*VLOOKUP(JF51,ChurnSeasonTable,4,FALSE)),0)+JT27*(AnnualChurn*VLOOKUP(JF51,ChurnSeasonTable,4,FALSE))*POWER(1-(AnnualChurn*VLOOKUP(JF51,ChurnSeasonTable,4,FALSE)),1)+JT15*(AnnualChurn*VLOOKUP(JF51,ChurnSeasonTable,4,FALSE))*POWER(1-(AnnualChurn*VLOOKUP(JF51,ChurnSeasonTable,4,FALSE)),2)</f>
        <v/>
      </c>
      <c r="JY51" s="12">
        <f>JU51+JV51+JW51+JX51</f>
        <v/>
      </c>
      <c r="JZ51" s="9">
        <f>JU51*PriceEssMonthly*JI51+JV51*PricePremMonthly*JI51+JW51*PriceEssAnnual*JI51/12+JX51*PricePremAnnual*JI51/12</f>
        <v/>
      </c>
      <c r="KA51" s="9">
        <f>JZ51*12</f>
        <v/>
      </c>
      <c r="KB51" s="12">
        <f>JU51*PriceEssMonthly*JI51+JV51*PricePremMonthly*JI51</f>
        <v/>
      </c>
      <c r="KC51" s="12">
        <f>JS51*PriceEssAnnual*JI51+JT51*PricePremAnnual*JI51</f>
        <v/>
      </c>
      <c r="KD51" s="12">
        <f>JS39*POWER(1-(AnnualChurn*VLOOKUP(JF51,ChurnSeasonTable,4,FALSE)),1)*PriceEssAnnual*JI51+JS27*POWER(1-(AnnualChurn*VLOOKUP(JF51,ChurnSeasonTable,4,FALSE)),2)*PriceEssAnnual*JI51+JS15*POWER(1-(AnnualChurn*VLOOKUP(JF51,ChurnSeasonTable,4,FALSE)),3)*PriceEssAnnual*JI51+JT39*POWER(1-(AnnualChurn*VLOOKUP(JF51,ChurnSeasonTable,4,FALSE)),1)*PricePremAnnual*JI51+JT27*POWER(1-(AnnualChurn*VLOOKUP(JF51,ChurnSeasonTable,4,FALSE)),2)*PricePremAnnual*JI51+JT15*POWER(1-(AnnualChurn*VLOOKUP(JF51,ChurnSeasonTable,4,FALSE)),3)*PricePremAnnual*JI51</f>
        <v/>
      </c>
      <c r="KE51" s="9">
        <f>KB51+KC51+KD51</f>
        <v/>
      </c>
      <c r="KF51" s="12">
        <f>SUM(KE40:KE51)</f>
        <v/>
      </c>
      <c r="KG51" s="12">
        <f>OR(KG50,KF51&gt;=VATThreshold)</f>
        <v/>
      </c>
      <c r="KH51" s="9">
        <f>IF(KG51,KE51/(1+VATRate),KE51)</f>
        <v/>
      </c>
      <c r="KI51" s="12">
        <f>KE51-KH51</f>
        <v/>
      </c>
      <c r="KJ51" s="12">
        <f>IF(KG51=0,0,IF(JF51=1,SUMPRODUCT(--(($JG$5:$JG51=$JG51-1)*($JF$5:$JF51&gt;=10)*($JF$5:$JF51&lt;=12)),$KI$5:$KI51),IF(JF51=4,SUMPRODUCT(--(($JG$5:$JG51=$JG51)*($JF$5:$JF51&gt;=1)*($JF$5:$JF51&lt;=3)),$KI$5:$KI51),IF(JF51=7,SUMPRODUCT(--(($JG$5:$JG51=$JG51)*($JF$5:$JF51&gt;=4)*($JF$5:$JF51&lt;=6)),$KI$5:$KI51),IF(JF51=10,SUMPRODUCT(--(($JG$5:$JG51=$JG51)*($JF$5:$JF51&gt;=7)*($JF$5:$JF51&lt;=9)),$KI$5:$KI51),0)))))</f>
        <v/>
      </c>
      <c r="KK51" s="12">
        <f>KK50+KI51-KJ51</f>
        <v/>
      </c>
      <c r="KL51" s="12">
        <f>IF(ProviderDelay&gt;=1,KH50*ProviderShare,KH51*ProviderShare)</f>
        <v/>
      </c>
      <c r="KM51" s="12">
        <f>KE51*PaymentFee</f>
        <v/>
      </c>
      <c r="KN51" s="12">
        <f>JY51*OpsAI</f>
        <v/>
      </c>
      <c r="KO51" s="12">
        <f>MonthlyFixed</f>
        <v/>
      </c>
      <c r="KP51" s="12">
        <f>JM51*ReferralReward</f>
        <v/>
      </c>
      <c r="KQ51" s="12">
        <f>JK51</f>
        <v/>
      </c>
      <c r="KR51" s="9">
        <f>KH51-KL51-KM51-KN51-KO51-KP51-KQ51</f>
        <v/>
      </c>
      <c r="KS51" s="9">
        <f>KS50+KE51-(KL51+KM51+KN51+KO51+KP51+KQ51+KJ51)</f>
        <v/>
      </c>
      <c r="KT51" s="12">
        <f>IF(JY51&gt;0,JZ51/JY51,0)</f>
        <v/>
      </c>
      <c r="KU51" s="11">
        <f>IF(JY50&gt;0,MAX(0,(JY50+JN51-JY51)/JY50),0)</f>
        <v/>
      </c>
      <c r="KW51" s="12" t="n">
        <v>47</v>
      </c>
      <c r="KX51" s="12">
        <f>MOD(KW51-1+LaunchMonth-1,12)+1</f>
        <v/>
      </c>
      <c r="KY51" s="12">
        <f>INT((KW51-1+LaunchMonth-1)/12)+1</f>
        <v/>
      </c>
      <c r="KZ51" s="12">
        <f>VLOOKUP(KX51,SeasonTable,2,FALSE)</f>
        <v/>
      </c>
      <c r="LA51" s="12">
        <f>(1+InflationRate)^INT((KW51-1)/12)</f>
        <v/>
      </c>
      <c r="LB51" s="11">
        <f>'Sens - Churn'!$A$17*VLOOKUP(KX51,ChurnSeasonTable,4,FALSE)</f>
        <v/>
      </c>
      <c r="LC51" s="12">
        <f>MIN(MAX(MktMin19plus,LW50*MktPct19plus),MAX(0,MK50-CashBuffer))</f>
        <v/>
      </c>
      <c r="LD51" s="12">
        <f>IF(LC51&gt;0,MAX(1,ROUND(LC51/CAC*KZ51,0)),0)</f>
        <v/>
      </c>
      <c r="LE51" s="12">
        <f>IF(LD51&gt;0,ROUND(LD51*ReferralMix/(1-ReferralMix),0),0)</f>
        <v/>
      </c>
      <c r="LF51" s="12">
        <f>LD51+LE51</f>
        <v/>
      </c>
      <c r="LG51" s="12">
        <f>ROUND(LF51*(1-AnnualMix),0)</f>
        <v/>
      </c>
      <c r="LH51" s="12">
        <f>LF51-LG51</f>
        <v/>
      </c>
      <c r="LI51" s="12">
        <f>ROUND(LG51*EssentialMix,0)</f>
        <v/>
      </c>
      <c r="LJ51" s="12">
        <f>LG51-LI51</f>
        <v/>
      </c>
      <c r="LK51" s="12">
        <f>ROUND(LH51*EssentialMix,0)</f>
        <v/>
      </c>
      <c r="LL51" s="12">
        <f>LH51-LK51</f>
        <v/>
      </c>
      <c r="LM51" s="12">
        <f>LI51+LI50+LI49+MAX(0,LM50-LI50-LI49)*(1-LB51)</f>
        <v/>
      </c>
      <c r="LN51" s="12">
        <f>LJ51+LJ50+LJ49+MAX(0,LN50-LJ50-LJ49)*(1-LB51)</f>
        <v/>
      </c>
      <c r="LO51" s="12">
        <f>LO50+LK51-LK39*(AnnualChurn*VLOOKUP(KX51,ChurnSeasonTable,4,FALSE))*POWER(1-(AnnualChurn*VLOOKUP(KX51,ChurnSeasonTable,4,FALSE)),0)+LK27*(AnnualChurn*VLOOKUP(KX51,ChurnSeasonTable,4,FALSE))*POWER(1-(AnnualChurn*VLOOKUP(KX51,ChurnSeasonTable,4,FALSE)),1)+LK15*(AnnualChurn*VLOOKUP(KX51,ChurnSeasonTable,4,FALSE))*POWER(1-(AnnualChurn*VLOOKUP(KX51,ChurnSeasonTable,4,FALSE)),2)</f>
        <v/>
      </c>
      <c r="LP51" s="12">
        <f>LP50+LL51-LL39*(AnnualChurn*VLOOKUP(KX51,ChurnSeasonTable,4,FALSE))*POWER(1-(AnnualChurn*VLOOKUP(KX51,ChurnSeasonTable,4,FALSE)),0)+LL27*(AnnualChurn*VLOOKUP(KX51,ChurnSeasonTable,4,FALSE))*POWER(1-(AnnualChurn*VLOOKUP(KX51,ChurnSeasonTable,4,FALSE)),1)+LL15*(AnnualChurn*VLOOKUP(KX51,ChurnSeasonTable,4,FALSE))*POWER(1-(AnnualChurn*VLOOKUP(KX51,ChurnSeasonTable,4,FALSE)),2)</f>
        <v/>
      </c>
      <c r="LQ51" s="12">
        <f>LM51+LN51+LO51+LP51</f>
        <v/>
      </c>
      <c r="LR51" s="9">
        <f>LM51*PriceEssMonthly*LA51+LN51*PricePremMonthly*LA51+LO51*PriceEssAnnual*LA51/12+LP51*PricePremAnnual*LA51/12</f>
        <v/>
      </c>
      <c r="LS51" s="9">
        <f>LR51*12</f>
        <v/>
      </c>
      <c r="LT51" s="12">
        <f>LM51*PriceEssMonthly*LA51+LN51*PricePremMonthly*LA51</f>
        <v/>
      </c>
      <c r="LU51" s="12">
        <f>LK51*PriceEssAnnual*LA51+LL51*PricePremAnnual*LA51</f>
        <v/>
      </c>
      <c r="LV51" s="12">
        <f>LK39*POWER(1-(AnnualChurn*VLOOKUP(KX51,ChurnSeasonTable,4,FALSE)),1)*PriceEssAnnual*LA51+LK27*POWER(1-(AnnualChurn*VLOOKUP(KX51,ChurnSeasonTable,4,FALSE)),2)*PriceEssAnnual*LA51+LK15*POWER(1-(AnnualChurn*VLOOKUP(KX51,ChurnSeasonTable,4,FALSE)),3)*PriceEssAnnual*LA51+LL39*POWER(1-(AnnualChurn*VLOOKUP(KX51,ChurnSeasonTable,4,FALSE)),1)*PricePremAnnual*LA51+LL27*POWER(1-(AnnualChurn*VLOOKUP(KX51,ChurnSeasonTable,4,FALSE)),2)*PricePremAnnual*LA51+LL15*POWER(1-(AnnualChurn*VLOOKUP(KX51,ChurnSeasonTable,4,FALSE)),3)*PricePremAnnual*LA51</f>
        <v/>
      </c>
      <c r="LW51" s="9">
        <f>LT51+LU51+LV51</f>
        <v/>
      </c>
      <c r="LX51" s="12">
        <f>SUM(LW40:LW51)</f>
        <v/>
      </c>
      <c r="LY51" s="12">
        <f>OR(LY50,LX51&gt;=VATThreshold)</f>
        <v/>
      </c>
      <c r="LZ51" s="9">
        <f>IF(LY51,LW51/(1+VATRate),LW51)</f>
        <v/>
      </c>
      <c r="MA51" s="12">
        <f>LW51-LZ51</f>
        <v/>
      </c>
      <c r="MB51" s="12">
        <f>IF(LY51=0,0,IF(KX51=1,SUMPRODUCT(--(($KY$5:$KY51=$KY51-1)*($KX$5:$KX51&gt;=10)*($KX$5:$KX51&lt;=12)),$MA$5:$MA51),IF(KX51=4,SUMPRODUCT(--(($KY$5:$KY51=$KY51)*($KX$5:$KX51&gt;=1)*($KX$5:$KX51&lt;=3)),$MA$5:$MA51),IF(KX51=7,SUMPRODUCT(--(($KY$5:$KY51=$KY51)*($KX$5:$KX51&gt;=4)*($KX$5:$KX51&lt;=6)),$MA$5:$MA51),IF(KX51=10,SUMPRODUCT(--(($KY$5:$KY51=$KY51)*($KX$5:$KX51&gt;=7)*($KX$5:$KX51&lt;=9)),$MA$5:$MA51),0)))))</f>
        <v/>
      </c>
      <c r="MC51" s="12">
        <f>MC50+MA51-MB51</f>
        <v/>
      </c>
      <c r="MD51" s="12">
        <f>IF(ProviderDelay&gt;=1,LZ50*ProviderShare,LZ51*ProviderShare)</f>
        <v/>
      </c>
      <c r="ME51" s="12">
        <f>LW51*PaymentFee</f>
        <v/>
      </c>
      <c r="MF51" s="12">
        <f>LQ51*OpsAI</f>
        <v/>
      </c>
      <c r="MG51" s="12">
        <f>MonthlyFixed</f>
        <v/>
      </c>
      <c r="MH51" s="12">
        <f>LE51*ReferralReward</f>
        <v/>
      </c>
      <c r="MI51" s="12">
        <f>LC51</f>
        <v/>
      </c>
      <c r="MJ51" s="9">
        <f>LZ51-MD51-ME51-MF51-MG51-MH51-MI51</f>
        <v/>
      </c>
      <c r="MK51" s="9">
        <f>MK50+LW51-(MD51+ME51+MF51+MG51+MH51+MI51+MB51)</f>
        <v/>
      </c>
      <c r="ML51" s="12">
        <f>IF(LQ51&gt;0,LR51/LQ51,0)</f>
        <v/>
      </c>
      <c r="MM51" s="11">
        <f>IF(LQ50&gt;0,MAX(0,(LQ50+LF51-LQ51)/LQ50),0)</f>
        <v/>
      </c>
      <c r="MO51" s="12" t="n">
        <v>47</v>
      </c>
      <c r="MP51" s="12">
        <f>MOD(MO51-1+LaunchMonth-1,12)+1</f>
        <v/>
      </c>
      <c r="MQ51" s="12">
        <f>INT((MO51-1+LaunchMonth-1)/12)+1</f>
        <v/>
      </c>
      <c r="MR51" s="12">
        <f>VLOOKUP(MP51,SeasonTable,2,FALSE)</f>
        <v/>
      </c>
      <c r="MS51" s="12">
        <f>(1+InflationRate)^INT((MO51-1)/12)</f>
        <v/>
      </c>
      <c r="MT51" s="11">
        <f>'Sens - Churn'!$A$18*VLOOKUP(MP51,ChurnSeasonTable,4,FALSE)</f>
        <v/>
      </c>
      <c r="MU51" s="12">
        <f>MIN(MAX(MktMin19plus,NO50*MktPct19plus),MAX(0,OC50-CashBuffer))</f>
        <v/>
      </c>
      <c r="MV51" s="12">
        <f>IF(MU51&gt;0,MAX(1,ROUND(MU51/CAC*MR51,0)),0)</f>
        <v/>
      </c>
      <c r="MW51" s="12">
        <f>IF(MV51&gt;0,ROUND(MV51*ReferralMix/(1-ReferralMix),0),0)</f>
        <v/>
      </c>
      <c r="MX51" s="12">
        <f>MV51+MW51</f>
        <v/>
      </c>
      <c r="MY51" s="12">
        <f>ROUND(MX51*(1-AnnualMix),0)</f>
        <v/>
      </c>
      <c r="MZ51" s="12">
        <f>MX51-MY51</f>
        <v/>
      </c>
      <c r="NA51" s="12">
        <f>ROUND(MY51*EssentialMix,0)</f>
        <v/>
      </c>
      <c r="NB51" s="12">
        <f>MY51-NA51</f>
        <v/>
      </c>
      <c r="NC51" s="12">
        <f>ROUND(MZ51*EssentialMix,0)</f>
        <v/>
      </c>
      <c r="ND51" s="12">
        <f>MZ51-NC51</f>
        <v/>
      </c>
      <c r="NE51" s="12">
        <f>NA51+NA50+NA49+MAX(0,NE50-NA50-NA49)*(1-MT51)</f>
        <v/>
      </c>
      <c r="NF51" s="12">
        <f>NB51+NB50+NB49+MAX(0,NF50-NB50-NB49)*(1-MT51)</f>
        <v/>
      </c>
      <c r="NG51" s="12">
        <f>NG50+NC51-NC39*(AnnualChurn*VLOOKUP(MP51,ChurnSeasonTable,4,FALSE))*POWER(1-(AnnualChurn*VLOOKUP(MP51,ChurnSeasonTable,4,FALSE)),0)+NC27*(AnnualChurn*VLOOKUP(MP51,ChurnSeasonTable,4,FALSE))*POWER(1-(AnnualChurn*VLOOKUP(MP51,ChurnSeasonTable,4,FALSE)),1)+NC15*(AnnualChurn*VLOOKUP(MP51,ChurnSeasonTable,4,FALSE))*POWER(1-(AnnualChurn*VLOOKUP(MP51,ChurnSeasonTable,4,FALSE)),2)</f>
        <v/>
      </c>
      <c r="NH51" s="12">
        <f>NH50+ND51-ND39*(AnnualChurn*VLOOKUP(MP51,ChurnSeasonTable,4,FALSE))*POWER(1-(AnnualChurn*VLOOKUP(MP51,ChurnSeasonTable,4,FALSE)),0)+ND27*(AnnualChurn*VLOOKUP(MP51,ChurnSeasonTable,4,FALSE))*POWER(1-(AnnualChurn*VLOOKUP(MP51,ChurnSeasonTable,4,FALSE)),1)+ND15*(AnnualChurn*VLOOKUP(MP51,ChurnSeasonTable,4,FALSE))*POWER(1-(AnnualChurn*VLOOKUP(MP51,ChurnSeasonTable,4,FALSE)),2)</f>
        <v/>
      </c>
      <c r="NI51" s="12">
        <f>NE51+NF51+NG51+NH51</f>
        <v/>
      </c>
      <c r="NJ51" s="9">
        <f>NE51*PriceEssMonthly*MS51+NF51*PricePremMonthly*MS51+NG51*PriceEssAnnual*MS51/12+NH51*PricePremAnnual*MS51/12</f>
        <v/>
      </c>
      <c r="NK51" s="9">
        <f>NJ51*12</f>
        <v/>
      </c>
      <c r="NL51" s="12">
        <f>NE51*PriceEssMonthly*MS51+NF51*PricePremMonthly*MS51</f>
        <v/>
      </c>
      <c r="NM51" s="12">
        <f>NC51*PriceEssAnnual*MS51+ND51*PricePremAnnual*MS51</f>
        <v/>
      </c>
      <c r="NN51" s="12">
        <f>NC39*POWER(1-(AnnualChurn*VLOOKUP(MP51,ChurnSeasonTable,4,FALSE)),1)*PriceEssAnnual*MS51+NC27*POWER(1-(AnnualChurn*VLOOKUP(MP51,ChurnSeasonTable,4,FALSE)),2)*PriceEssAnnual*MS51+NC15*POWER(1-(AnnualChurn*VLOOKUP(MP51,ChurnSeasonTable,4,FALSE)),3)*PriceEssAnnual*MS51+ND39*POWER(1-(AnnualChurn*VLOOKUP(MP51,ChurnSeasonTable,4,FALSE)),1)*PricePremAnnual*MS51+ND27*POWER(1-(AnnualChurn*VLOOKUP(MP51,ChurnSeasonTable,4,FALSE)),2)*PricePremAnnual*MS51+ND15*POWER(1-(AnnualChurn*VLOOKUP(MP51,ChurnSeasonTable,4,FALSE)),3)*PricePremAnnual*MS51</f>
        <v/>
      </c>
      <c r="NO51" s="9">
        <f>NL51+NM51+NN51</f>
        <v/>
      </c>
      <c r="NP51" s="12">
        <f>SUM(NO40:NO51)</f>
        <v/>
      </c>
      <c r="NQ51" s="12">
        <f>OR(NQ50,NP51&gt;=VATThreshold)</f>
        <v/>
      </c>
      <c r="NR51" s="9">
        <f>IF(NQ51,NO51/(1+VATRate),NO51)</f>
        <v/>
      </c>
      <c r="NS51" s="12">
        <f>NO51-NR51</f>
        <v/>
      </c>
      <c r="NT51" s="12">
        <f>IF(NQ51=0,0,IF(MP51=1,SUMPRODUCT(--(($MQ$5:$MQ51=$MQ51-1)*($MP$5:$MP51&gt;=10)*($MP$5:$MP51&lt;=12)),$NS$5:$NS51),IF(MP51=4,SUMPRODUCT(--(($MQ$5:$MQ51=$MQ51)*($MP$5:$MP51&gt;=1)*($MP$5:$MP51&lt;=3)),$NS$5:$NS51),IF(MP51=7,SUMPRODUCT(--(($MQ$5:$MQ51=$MQ51)*($MP$5:$MP51&gt;=4)*($MP$5:$MP51&lt;=6)),$NS$5:$NS51),IF(MP51=10,SUMPRODUCT(--(($MQ$5:$MQ51=$MQ51)*($MP$5:$MP51&gt;=7)*($MP$5:$MP51&lt;=9)),$NS$5:$NS51),0)))))</f>
        <v/>
      </c>
      <c r="NU51" s="12">
        <f>NU50+NS51-NT51</f>
        <v/>
      </c>
      <c r="NV51" s="12">
        <f>IF(ProviderDelay&gt;=1,NR50*ProviderShare,NR51*ProviderShare)</f>
        <v/>
      </c>
      <c r="NW51" s="12">
        <f>NO51*PaymentFee</f>
        <v/>
      </c>
      <c r="NX51" s="12">
        <f>NI51*OpsAI</f>
        <v/>
      </c>
      <c r="NY51" s="12">
        <f>MonthlyFixed</f>
        <v/>
      </c>
      <c r="NZ51" s="12">
        <f>MW51*ReferralReward</f>
        <v/>
      </c>
      <c r="OA51" s="12">
        <f>MU51</f>
        <v/>
      </c>
      <c r="OB51" s="9">
        <f>NR51-NV51-NW51-NX51-NY51-NZ51-OA51</f>
        <v/>
      </c>
      <c r="OC51" s="9">
        <f>OC50+NO51-(NV51+NW51+NX51+NY51+NZ51+OA51+NT51)</f>
        <v/>
      </c>
      <c r="OD51" s="12">
        <f>IF(NI51&gt;0,NJ51/NI51,0)</f>
        <v/>
      </c>
      <c r="OE51" s="11">
        <f>IF(NI50&gt;0,MAX(0,(NI50+MX51-NI51)/NI50),0)</f>
        <v/>
      </c>
      <c r="OG51" s="12" t="n">
        <v>47</v>
      </c>
      <c r="OH51" s="12">
        <f>MOD(OG51-1+LaunchMonth-1,12)+1</f>
        <v/>
      </c>
      <c r="OI51" s="12">
        <f>INT((OG51-1+LaunchMonth-1)/12)+1</f>
        <v/>
      </c>
      <c r="OJ51" s="12">
        <f>VLOOKUP(OH51,SeasonTable,2,FALSE)</f>
        <v/>
      </c>
      <c r="OK51" s="12">
        <f>(1+InflationRate)^INT((OG51-1)/12)</f>
        <v/>
      </c>
      <c r="OL51" s="11">
        <f>'Sens - Churn'!$A$19*VLOOKUP(OH51,ChurnSeasonTable,4,FALSE)</f>
        <v/>
      </c>
      <c r="OM51" s="12">
        <f>MIN(MAX(MktMin19plus,PG50*MktPct19plus),MAX(0,PU50-CashBuffer))</f>
        <v/>
      </c>
      <c r="ON51" s="12">
        <f>IF(OM51&gt;0,MAX(1,ROUND(OM51/CAC*OJ51,0)),0)</f>
        <v/>
      </c>
      <c r="OO51" s="12">
        <f>IF(ON51&gt;0,ROUND(ON51*ReferralMix/(1-ReferralMix),0),0)</f>
        <v/>
      </c>
      <c r="OP51" s="12">
        <f>ON51+OO51</f>
        <v/>
      </c>
      <c r="OQ51" s="12">
        <f>ROUND(OP51*(1-AnnualMix),0)</f>
        <v/>
      </c>
      <c r="OR51" s="12">
        <f>OP51-OQ51</f>
        <v/>
      </c>
      <c r="OS51" s="12">
        <f>ROUND(OQ51*EssentialMix,0)</f>
        <v/>
      </c>
      <c r="OT51" s="12">
        <f>OQ51-OS51</f>
        <v/>
      </c>
      <c r="OU51" s="12">
        <f>ROUND(OR51*EssentialMix,0)</f>
        <v/>
      </c>
      <c r="OV51" s="12">
        <f>OR51-OU51</f>
        <v/>
      </c>
      <c r="OW51" s="12">
        <f>OS51+OS50+OS49+MAX(0,OW50-OS50-OS49)*(1-OL51)</f>
        <v/>
      </c>
      <c r="OX51" s="12">
        <f>OT51+OT50+OT49+MAX(0,OX50-OT50-OT49)*(1-OL51)</f>
        <v/>
      </c>
      <c r="OY51" s="12">
        <f>OY50+OU51-OU39*(AnnualChurn*VLOOKUP(OH51,ChurnSeasonTable,4,FALSE))*POWER(1-(AnnualChurn*VLOOKUP(OH51,ChurnSeasonTable,4,FALSE)),0)+OU27*(AnnualChurn*VLOOKUP(OH51,ChurnSeasonTable,4,FALSE))*POWER(1-(AnnualChurn*VLOOKUP(OH51,ChurnSeasonTable,4,FALSE)),1)+OU15*(AnnualChurn*VLOOKUP(OH51,ChurnSeasonTable,4,FALSE))*POWER(1-(AnnualChurn*VLOOKUP(OH51,ChurnSeasonTable,4,FALSE)),2)</f>
        <v/>
      </c>
      <c r="OZ51" s="12">
        <f>OZ50+OV51-OV39*(AnnualChurn*VLOOKUP(OH51,ChurnSeasonTable,4,FALSE))*POWER(1-(AnnualChurn*VLOOKUP(OH51,ChurnSeasonTable,4,FALSE)),0)+OV27*(AnnualChurn*VLOOKUP(OH51,ChurnSeasonTable,4,FALSE))*POWER(1-(AnnualChurn*VLOOKUP(OH51,ChurnSeasonTable,4,FALSE)),1)+OV15*(AnnualChurn*VLOOKUP(OH51,ChurnSeasonTable,4,FALSE))*POWER(1-(AnnualChurn*VLOOKUP(OH51,ChurnSeasonTable,4,FALSE)),2)</f>
        <v/>
      </c>
      <c r="PA51" s="12">
        <f>OW51+OX51+OY51+OZ51</f>
        <v/>
      </c>
      <c r="PB51" s="9">
        <f>OW51*PriceEssMonthly*OK51+OX51*PricePremMonthly*OK51+OY51*PriceEssAnnual*OK51/12+OZ51*PricePremAnnual*OK51/12</f>
        <v/>
      </c>
      <c r="PC51" s="9">
        <f>PB51*12</f>
        <v/>
      </c>
      <c r="PD51" s="12">
        <f>OW51*PriceEssMonthly*OK51+OX51*PricePremMonthly*OK51</f>
        <v/>
      </c>
      <c r="PE51" s="12">
        <f>OU51*PriceEssAnnual*OK51+OV51*PricePremAnnual*OK51</f>
        <v/>
      </c>
      <c r="PF51" s="12">
        <f>OU39*POWER(1-(AnnualChurn*VLOOKUP(OH51,ChurnSeasonTable,4,FALSE)),1)*PriceEssAnnual*OK51+OU27*POWER(1-(AnnualChurn*VLOOKUP(OH51,ChurnSeasonTable,4,FALSE)),2)*PriceEssAnnual*OK51+OU15*POWER(1-(AnnualChurn*VLOOKUP(OH51,ChurnSeasonTable,4,FALSE)),3)*PriceEssAnnual*OK51+OV39*POWER(1-(AnnualChurn*VLOOKUP(OH51,ChurnSeasonTable,4,FALSE)),1)*PricePremAnnual*OK51+OV27*POWER(1-(AnnualChurn*VLOOKUP(OH51,ChurnSeasonTable,4,FALSE)),2)*PricePremAnnual*OK51+OV15*POWER(1-(AnnualChurn*VLOOKUP(OH51,ChurnSeasonTable,4,FALSE)),3)*PricePremAnnual*OK51</f>
        <v/>
      </c>
      <c r="PG51" s="9">
        <f>PD51+PE51+PF51</f>
        <v/>
      </c>
      <c r="PH51" s="12">
        <f>SUM(PG40:PG51)</f>
        <v/>
      </c>
      <c r="PI51" s="12">
        <f>OR(PI50,PH51&gt;=VATThreshold)</f>
        <v/>
      </c>
      <c r="PJ51" s="9">
        <f>IF(PI51,PG51/(1+VATRate),PG51)</f>
        <v/>
      </c>
      <c r="PK51" s="12">
        <f>PG51-PJ51</f>
        <v/>
      </c>
      <c r="PL51" s="12">
        <f>IF(PI51=0,0,IF(OH51=1,SUMPRODUCT(--(($OI$5:$OI51=$OI51-1)*($OH$5:$OH51&gt;=10)*($OH$5:$OH51&lt;=12)),$PK$5:$PK51),IF(OH51=4,SUMPRODUCT(--(($OI$5:$OI51=$OI51)*($OH$5:$OH51&gt;=1)*($OH$5:$OH51&lt;=3)),$PK$5:$PK51),IF(OH51=7,SUMPRODUCT(--(($OI$5:$OI51=$OI51)*($OH$5:$OH51&gt;=4)*($OH$5:$OH51&lt;=6)),$PK$5:$PK51),IF(OH51=10,SUMPRODUCT(--(($OI$5:$OI51=$OI51)*($OH$5:$OH51&gt;=7)*($OH$5:$OH51&lt;=9)),$PK$5:$PK51),0)))))</f>
        <v/>
      </c>
      <c r="PM51" s="12">
        <f>PM50+PK51-PL51</f>
        <v/>
      </c>
      <c r="PN51" s="12">
        <f>IF(ProviderDelay&gt;=1,PJ50*ProviderShare,PJ51*ProviderShare)</f>
        <v/>
      </c>
      <c r="PO51" s="12">
        <f>PG51*PaymentFee</f>
        <v/>
      </c>
      <c r="PP51" s="12">
        <f>PA51*OpsAI</f>
        <v/>
      </c>
      <c r="PQ51" s="12">
        <f>MonthlyFixed</f>
        <v/>
      </c>
      <c r="PR51" s="12">
        <f>OO51*ReferralReward</f>
        <v/>
      </c>
      <c r="PS51" s="12">
        <f>OM51</f>
        <v/>
      </c>
      <c r="PT51" s="9">
        <f>PJ51-PN51-PO51-PP51-PQ51-PR51-PS51</f>
        <v/>
      </c>
      <c r="PU51" s="9">
        <f>PU50+PG51-(PN51+PO51+PP51+PQ51+PR51+PS51+PL51)</f>
        <v/>
      </c>
      <c r="PV51" s="12">
        <f>IF(PA51&gt;0,PB51/PA51,0)</f>
        <v/>
      </c>
      <c r="PW51" s="11">
        <f>IF(PA50&gt;0,MAX(0,(PA50+OP51-PA51)/PA50),0)</f>
        <v/>
      </c>
      <c r="PY51" s="12" t="n">
        <v>47</v>
      </c>
      <c r="PZ51" s="12">
        <f>MOD(PY51-1+LaunchMonth-1,12)+1</f>
        <v/>
      </c>
      <c r="QA51" s="12">
        <f>INT((PY51-1+LaunchMonth-1)/12)+1</f>
        <v/>
      </c>
      <c r="QB51" s="12">
        <f>VLOOKUP(PZ51,SeasonTable,2,FALSE)</f>
        <v/>
      </c>
      <c r="QC51" s="12">
        <f>(1+InflationRate)^INT((PY51-1)/12)</f>
        <v/>
      </c>
      <c r="QD51" s="11">
        <f>'Sens - Churn'!$A$20*VLOOKUP(PZ51,ChurnSeasonTable,4,FALSE)</f>
        <v/>
      </c>
      <c r="QE51" s="12">
        <f>MIN(MAX(MktMin19plus,QY50*MktPct19plus),MAX(0,RM50-CashBuffer))</f>
        <v/>
      </c>
      <c r="QF51" s="12">
        <f>IF(QE51&gt;0,MAX(1,ROUND(QE51/CAC*QB51,0)),0)</f>
        <v/>
      </c>
      <c r="QG51" s="12">
        <f>IF(QF51&gt;0,ROUND(QF51*ReferralMix/(1-ReferralMix),0),0)</f>
        <v/>
      </c>
      <c r="QH51" s="12">
        <f>QF51+QG51</f>
        <v/>
      </c>
      <c r="QI51" s="12">
        <f>ROUND(QH51*(1-AnnualMix),0)</f>
        <v/>
      </c>
      <c r="QJ51" s="12">
        <f>QH51-QI51</f>
        <v/>
      </c>
      <c r="QK51" s="12">
        <f>ROUND(QI51*EssentialMix,0)</f>
        <v/>
      </c>
      <c r="QL51" s="12">
        <f>QI51-QK51</f>
        <v/>
      </c>
      <c r="QM51" s="12">
        <f>ROUND(QJ51*EssentialMix,0)</f>
        <v/>
      </c>
      <c r="QN51" s="12">
        <f>QJ51-QM51</f>
        <v/>
      </c>
      <c r="QO51" s="12">
        <f>QK51+QK50+QK49+MAX(0,QO50-QK50-QK49)*(1-QD51)</f>
        <v/>
      </c>
      <c r="QP51" s="12">
        <f>QL51+QL50+QL49+MAX(0,QP50-QL50-QL49)*(1-QD51)</f>
        <v/>
      </c>
      <c r="QQ51" s="12">
        <f>QQ50+QM51-QM39*(AnnualChurn*VLOOKUP(PZ51,ChurnSeasonTable,4,FALSE))*POWER(1-(AnnualChurn*VLOOKUP(PZ51,ChurnSeasonTable,4,FALSE)),0)+QM27*(AnnualChurn*VLOOKUP(PZ51,ChurnSeasonTable,4,FALSE))*POWER(1-(AnnualChurn*VLOOKUP(PZ51,ChurnSeasonTable,4,FALSE)),1)+QM15*(AnnualChurn*VLOOKUP(PZ51,ChurnSeasonTable,4,FALSE))*POWER(1-(AnnualChurn*VLOOKUP(PZ51,ChurnSeasonTable,4,FALSE)),2)</f>
        <v/>
      </c>
      <c r="QR51" s="12">
        <f>QR50+QN51-QN39*(AnnualChurn*VLOOKUP(PZ51,ChurnSeasonTable,4,FALSE))*POWER(1-(AnnualChurn*VLOOKUP(PZ51,ChurnSeasonTable,4,FALSE)),0)+QN27*(AnnualChurn*VLOOKUP(PZ51,ChurnSeasonTable,4,FALSE))*POWER(1-(AnnualChurn*VLOOKUP(PZ51,ChurnSeasonTable,4,FALSE)),1)+QN15*(AnnualChurn*VLOOKUP(PZ51,ChurnSeasonTable,4,FALSE))*POWER(1-(AnnualChurn*VLOOKUP(PZ51,ChurnSeasonTable,4,FALSE)),2)</f>
        <v/>
      </c>
      <c r="QS51" s="12">
        <f>QO51+QP51+QQ51+QR51</f>
        <v/>
      </c>
      <c r="QT51" s="9">
        <f>QO51*PriceEssMonthly*QC51+QP51*PricePremMonthly*QC51+QQ51*PriceEssAnnual*QC51/12+QR51*PricePremAnnual*QC51/12</f>
        <v/>
      </c>
      <c r="QU51" s="9">
        <f>QT51*12</f>
        <v/>
      </c>
      <c r="QV51" s="12">
        <f>QO51*PriceEssMonthly*QC51+QP51*PricePremMonthly*QC51</f>
        <v/>
      </c>
      <c r="QW51" s="12">
        <f>QM51*PriceEssAnnual*QC51+QN51*PricePremAnnual*QC51</f>
        <v/>
      </c>
      <c r="QX51" s="12">
        <f>QM39*POWER(1-(AnnualChurn*VLOOKUP(PZ51,ChurnSeasonTable,4,FALSE)),1)*PriceEssAnnual*QC51+QM27*POWER(1-(AnnualChurn*VLOOKUP(PZ51,ChurnSeasonTable,4,FALSE)),2)*PriceEssAnnual*QC51+QM15*POWER(1-(AnnualChurn*VLOOKUP(PZ51,ChurnSeasonTable,4,FALSE)),3)*PriceEssAnnual*QC51+QN39*POWER(1-(AnnualChurn*VLOOKUP(PZ51,ChurnSeasonTable,4,FALSE)),1)*PricePremAnnual*QC51+QN27*POWER(1-(AnnualChurn*VLOOKUP(PZ51,ChurnSeasonTable,4,FALSE)),2)*PricePremAnnual*QC51+QN15*POWER(1-(AnnualChurn*VLOOKUP(PZ51,ChurnSeasonTable,4,FALSE)),3)*PricePremAnnual*QC51</f>
        <v/>
      </c>
      <c r="QY51" s="9">
        <f>QV51+QW51+QX51</f>
        <v/>
      </c>
      <c r="QZ51" s="12">
        <f>SUM(QY40:QY51)</f>
        <v/>
      </c>
      <c r="RA51" s="12">
        <f>OR(RA50,QZ51&gt;=VATThreshold)</f>
        <v/>
      </c>
      <c r="RB51" s="9">
        <f>IF(RA51,QY51/(1+VATRate),QY51)</f>
        <v/>
      </c>
      <c r="RC51" s="12">
        <f>QY51-RB51</f>
        <v/>
      </c>
      <c r="RD51" s="12">
        <f>IF(RA51=0,0,IF(PZ51=1,SUMPRODUCT(--(($QA$5:$QA51=$QA51-1)*($PZ$5:$PZ51&gt;=10)*($PZ$5:$PZ51&lt;=12)),$RC$5:$RC51),IF(PZ51=4,SUMPRODUCT(--(($QA$5:$QA51=$QA51)*($PZ$5:$PZ51&gt;=1)*($PZ$5:$PZ51&lt;=3)),$RC$5:$RC51),IF(PZ51=7,SUMPRODUCT(--(($QA$5:$QA51=$QA51)*($PZ$5:$PZ51&gt;=4)*($PZ$5:$PZ51&lt;=6)),$RC$5:$RC51),IF(PZ51=10,SUMPRODUCT(--(($QA$5:$QA51=$QA51)*($PZ$5:$PZ51&gt;=7)*($PZ$5:$PZ51&lt;=9)),$RC$5:$RC51),0)))))</f>
        <v/>
      </c>
      <c r="RE51" s="12">
        <f>RE50+RC51-RD51</f>
        <v/>
      </c>
      <c r="RF51" s="12">
        <f>IF(ProviderDelay&gt;=1,RB50*ProviderShare,RB51*ProviderShare)</f>
        <v/>
      </c>
      <c r="RG51" s="12">
        <f>QY51*PaymentFee</f>
        <v/>
      </c>
      <c r="RH51" s="12">
        <f>QS51*OpsAI</f>
        <v/>
      </c>
      <c r="RI51" s="12">
        <f>MonthlyFixed</f>
        <v/>
      </c>
      <c r="RJ51" s="12">
        <f>QG51*ReferralReward</f>
        <v/>
      </c>
      <c r="RK51" s="12">
        <f>QE51</f>
        <v/>
      </c>
      <c r="RL51" s="9">
        <f>RB51-RF51-RG51-RH51-RI51-RJ51-RK51</f>
        <v/>
      </c>
      <c r="RM51" s="9">
        <f>RM50+QY51-(RF51+RG51+RH51+RI51+RJ51+RK51+RD51)</f>
        <v/>
      </c>
      <c r="RN51" s="12">
        <f>IF(QS51&gt;0,QT51/QS51,0)</f>
        <v/>
      </c>
      <c r="RO51" s="11">
        <f>IF(QS50&gt;0,MAX(0,(QS50+QH51-QS51)/QS50),0)</f>
        <v/>
      </c>
      <c r="RQ51" s="12" t="n">
        <v>47</v>
      </c>
      <c r="RR51" s="12">
        <f>MOD(RQ51-1+LaunchMonth-1,12)+1</f>
        <v/>
      </c>
      <c r="RS51" s="12">
        <f>INT((RQ51-1+LaunchMonth-1)/12)+1</f>
        <v/>
      </c>
      <c r="RT51" s="12">
        <f>VLOOKUP(RR51,SeasonTable,2,FALSE)</f>
        <v/>
      </c>
      <c r="RU51" s="12">
        <f>(1+InflationRate)^INT((RQ51-1)/12)</f>
        <v/>
      </c>
      <c r="RV51" s="11">
        <f>'Sens - Churn'!$A$21*VLOOKUP(RR51,ChurnSeasonTable,4,FALSE)</f>
        <v/>
      </c>
      <c r="RW51" s="12">
        <f>MIN(MAX(MktMin19plus,SQ50*MktPct19plus),MAX(0,TE50-CashBuffer))</f>
        <v/>
      </c>
      <c r="RX51" s="12">
        <f>IF(RW51&gt;0,MAX(1,ROUND(RW51/CAC*RT51,0)),0)</f>
        <v/>
      </c>
      <c r="RY51" s="12">
        <f>IF(RX51&gt;0,ROUND(RX51*ReferralMix/(1-ReferralMix),0),0)</f>
        <v/>
      </c>
      <c r="RZ51" s="12">
        <f>RX51+RY51</f>
        <v/>
      </c>
      <c r="SA51" s="12">
        <f>ROUND(RZ51*(1-AnnualMix),0)</f>
        <v/>
      </c>
      <c r="SB51" s="12">
        <f>RZ51-SA51</f>
        <v/>
      </c>
      <c r="SC51" s="12">
        <f>ROUND(SA51*EssentialMix,0)</f>
        <v/>
      </c>
      <c r="SD51" s="12">
        <f>SA51-SC51</f>
        <v/>
      </c>
      <c r="SE51" s="12">
        <f>ROUND(SB51*EssentialMix,0)</f>
        <v/>
      </c>
      <c r="SF51" s="12">
        <f>SB51-SE51</f>
        <v/>
      </c>
      <c r="SG51" s="12">
        <f>SC51+SC50+SC49+MAX(0,SG50-SC50-SC49)*(1-RV51)</f>
        <v/>
      </c>
      <c r="SH51" s="12">
        <f>SD51+SD50+SD49+MAX(0,SH50-SD50-SD49)*(1-RV51)</f>
        <v/>
      </c>
      <c r="SI51" s="12">
        <f>SI50+SE51-SE39*(AnnualChurn*VLOOKUP(RR51,ChurnSeasonTable,4,FALSE))*POWER(1-(AnnualChurn*VLOOKUP(RR51,ChurnSeasonTable,4,FALSE)),0)+SE27*(AnnualChurn*VLOOKUP(RR51,ChurnSeasonTable,4,FALSE))*POWER(1-(AnnualChurn*VLOOKUP(RR51,ChurnSeasonTable,4,FALSE)),1)+SE15*(AnnualChurn*VLOOKUP(RR51,ChurnSeasonTable,4,FALSE))*POWER(1-(AnnualChurn*VLOOKUP(RR51,ChurnSeasonTable,4,FALSE)),2)</f>
        <v/>
      </c>
      <c r="SJ51" s="12">
        <f>SJ50+SF51-SF39*(AnnualChurn*VLOOKUP(RR51,ChurnSeasonTable,4,FALSE))*POWER(1-(AnnualChurn*VLOOKUP(RR51,ChurnSeasonTable,4,FALSE)),0)+SF27*(AnnualChurn*VLOOKUP(RR51,ChurnSeasonTable,4,FALSE))*POWER(1-(AnnualChurn*VLOOKUP(RR51,ChurnSeasonTable,4,FALSE)),1)+SF15*(AnnualChurn*VLOOKUP(RR51,ChurnSeasonTable,4,FALSE))*POWER(1-(AnnualChurn*VLOOKUP(RR51,ChurnSeasonTable,4,FALSE)),2)</f>
        <v/>
      </c>
      <c r="SK51" s="12">
        <f>SG51+SH51+SI51+SJ51</f>
        <v/>
      </c>
      <c r="SL51" s="9">
        <f>SG51*PriceEssMonthly*RU51+SH51*PricePremMonthly*RU51+SI51*PriceEssAnnual*RU51/12+SJ51*PricePremAnnual*RU51/12</f>
        <v/>
      </c>
      <c r="SM51" s="9">
        <f>SL51*12</f>
        <v/>
      </c>
      <c r="SN51" s="12">
        <f>SG51*PriceEssMonthly*RU51+SH51*PricePremMonthly*RU51</f>
        <v/>
      </c>
      <c r="SO51" s="12">
        <f>SE51*PriceEssAnnual*RU51+SF51*PricePremAnnual*RU51</f>
        <v/>
      </c>
      <c r="SP51" s="12">
        <f>SE39*POWER(1-(AnnualChurn*VLOOKUP(RR51,ChurnSeasonTable,4,FALSE)),1)*PriceEssAnnual*RU51+SE27*POWER(1-(AnnualChurn*VLOOKUP(RR51,ChurnSeasonTable,4,FALSE)),2)*PriceEssAnnual*RU51+SE15*POWER(1-(AnnualChurn*VLOOKUP(RR51,ChurnSeasonTable,4,FALSE)),3)*PriceEssAnnual*RU51+SF39*POWER(1-(AnnualChurn*VLOOKUP(RR51,ChurnSeasonTable,4,FALSE)),1)*PricePremAnnual*RU51+SF27*POWER(1-(AnnualChurn*VLOOKUP(RR51,ChurnSeasonTable,4,FALSE)),2)*PricePremAnnual*RU51+SF15*POWER(1-(AnnualChurn*VLOOKUP(RR51,ChurnSeasonTable,4,FALSE)),3)*PricePremAnnual*RU51</f>
        <v/>
      </c>
      <c r="SQ51" s="9">
        <f>SN51+SO51+SP51</f>
        <v/>
      </c>
      <c r="SR51" s="12">
        <f>SUM(SQ40:SQ51)</f>
        <v/>
      </c>
      <c r="SS51" s="12">
        <f>OR(SS50,SR51&gt;=VATThreshold)</f>
        <v/>
      </c>
      <c r="ST51" s="9">
        <f>IF(SS51,SQ51/(1+VATRate),SQ51)</f>
        <v/>
      </c>
      <c r="SU51" s="12">
        <f>SQ51-ST51</f>
        <v/>
      </c>
      <c r="SV51" s="12">
        <f>IF(SS51=0,0,IF(RR51=1,SUMPRODUCT(--(($RS$5:$RS51=$RS51-1)*($RR$5:$RR51&gt;=10)*($RR$5:$RR51&lt;=12)),$SU$5:$SU51),IF(RR51=4,SUMPRODUCT(--(($RS$5:$RS51=$RS51)*($RR$5:$RR51&gt;=1)*($RR$5:$RR51&lt;=3)),$SU$5:$SU51),IF(RR51=7,SUMPRODUCT(--(($RS$5:$RS51=$RS51)*($RR$5:$RR51&gt;=4)*($RR$5:$RR51&lt;=6)),$SU$5:$SU51),IF(RR51=10,SUMPRODUCT(--(($RS$5:$RS51=$RS51)*($RR$5:$RR51&gt;=7)*($RR$5:$RR51&lt;=9)),$SU$5:$SU51),0)))))</f>
        <v/>
      </c>
      <c r="SW51" s="12">
        <f>SW50+SU51-SV51</f>
        <v/>
      </c>
      <c r="SX51" s="12">
        <f>IF(ProviderDelay&gt;=1,ST50*ProviderShare,ST51*ProviderShare)</f>
        <v/>
      </c>
      <c r="SY51" s="12">
        <f>SQ51*PaymentFee</f>
        <v/>
      </c>
      <c r="SZ51" s="12">
        <f>SK51*OpsAI</f>
        <v/>
      </c>
      <c r="TA51" s="12">
        <f>MonthlyFixed</f>
        <v/>
      </c>
      <c r="TB51" s="12">
        <f>RY51*ReferralReward</f>
        <v/>
      </c>
      <c r="TC51" s="12">
        <f>RW51</f>
        <v/>
      </c>
      <c r="TD51" s="9">
        <f>ST51-SX51-SY51-SZ51-TA51-TB51-TC51</f>
        <v/>
      </c>
      <c r="TE51" s="9">
        <f>TE50+SQ51-(SX51+SY51+SZ51+TA51+TB51+TC51+SV51)</f>
        <v/>
      </c>
      <c r="TF51" s="12">
        <f>IF(SK51&gt;0,SL51/SK51,0)</f>
        <v/>
      </c>
      <c r="TG51" s="11">
        <f>IF(SK50&gt;0,MAX(0,(SK50+RZ51-SK51)/SK50),0)</f>
        <v/>
      </c>
      <c r="TI51" s="12" t="n">
        <v>47</v>
      </c>
      <c r="TJ51" s="12">
        <f>MOD(TI51-1+LaunchMonth-1,12)+1</f>
        <v/>
      </c>
      <c r="TK51" s="12">
        <f>INT((TI51-1+LaunchMonth-1)/12)+1</f>
        <v/>
      </c>
      <c r="TL51" s="12">
        <f>VLOOKUP(TJ51,SeasonTable,2,FALSE)</f>
        <v/>
      </c>
      <c r="TM51" s="12">
        <f>(1+InflationRate)^INT((TI51-1)/12)</f>
        <v/>
      </c>
      <c r="TN51" s="11">
        <f>MonthlyChurn*VLOOKUP(TJ51,ChurnSeasonTable,4,FALSE)</f>
        <v/>
      </c>
      <c r="TO51" s="12">
        <f>MIN(MAX(MktMin19plus,UI50*MktPct19plus),MAX(0,UW50-CashBuffer))</f>
        <v/>
      </c>
      <c r="TP51" s="12">
        <f>IF(TO51&gt;0,MAX(1,ROUND(TO51/CAC*TL51,0)),0)</f>
        <v/>
      </c>
      <c r="TQ51" s="12">
        <f>IF(TP51&gt;0,ROUND(TP51*ReferralMix/(1-ReferralMix),0),0)</f>
        <v/>
      </c>
      <c r="TR51" s="12">
        <f>TP51+TQ51</f>
        <v/>
      </c>
      <c r="TS51" s="12">
        <f>ROUND(TR51*(1-'Sens - Annual Mix'!$A$9),0)</f>
        <v/>
      </c>
      <c r="TT51" s="12">
        <f>TR51-TS51</f>
        <v/>
      </c>
      <c r="TU51" s="12">
        <f>ROUND(TS51*EssentialMix,0)</f>
        <v/>
      </c>
      <c r="TV51" s="12">
        <f>TS51-TU51</f>
        <v/>
      </c>
      <c r="TW51" s="12">
        <f>ROUND(TT51*EssentialMix,0)</f>
        <v/>
      </c>
      <c r="TX51" s="12">
        <f>TT51-TW51</f>
        <v/>
      </c>
      <c r="TY51" s="12">
        <f>TU51+TU50+TU49+MAX(0,TY50-TU50-TU49)*(1-TN51)</f>
        <v/>
      </c>
      <c r="TZ51" s="12">
        <f>TV51+TV50+TV49+MAX(0,TZ50-TV50-TV49)*(1-TN51)</f>
        <v/>
      </c>
      <c r="UA51" s="12">
        <f>UA50+TW51-TW39*(AnnualChurn*VLOOKUP(TJ51,ChurnSeasonTable,4,FALSE))*POWER(1-(AnnualChurn*VLOOKUP(TJ51,ChurnSeasonTable,4,FALSE)),0)+TW27*(AnnualChurn*VLOOKUP(TJ51,ChurnSeasonTable,4,FALSE))*POWER(1-(AnnualChurn*VLOOKUP(TJ51,ChurnSeasonTable,4,FALSE)),1)+TW15*(AnnualChurn*VLOOKUP(TJ51,ChurnSeasonTable,4,FALSE))*POWER(1-(AnnualChurn*VLOOKUP(TJ51,ChurnSeasonTable,4,FALSE)),2)</f>
        <v/>
      </c>
      <c r="UB51" s="12">
        <f>UB50+TX51-TX39*(AnnualChurn*VLOOKUP(TJ51,ChurnSeasonTable,4,FALSE))*POWER(1-(AnnualChurn*VLOOKUP(TJ51,ChurnSeasonTable,4,FALSE)),0)+TX27*(AnnualChurn*VLOOKUP(TJ51,ChurnSeasonTable,4,FALSE))*POWER(1-(AnnualChurn*VLOOKUP(TJ51,ChurnSeasonTable,4,FALSE)),1)+TX15*(AnnualChurn*VLOOKUP(TJ51,ChurnSeasonTable,4,FALSE))*POWER(1-(AnnualChurn*VLOOKUP(TJ51,ChurnSeasonTable,4,FALSE)),2)</f>
        <v/>
      </c>
      <c r="UC51" s="12">
        <f>TY51+TZ51+UA51+UB51</f>
        <v/>
      </c>
      <c r="UD51" s="9">
        <f>TY51*PriceEssMonthly*TM51+TZ51*PricePremMonthly*TM51+UA51*PriceEssAnnual*TM51/12+UB51*PricePremAnnual*TM51/12</f>
        <v/>
      </c>
      <c r="UE51" s="9">
        <f>UD51*12</f>
        <v/>
      </c>
      <c r="UF51" s="12">
        <f>TY51*PriceEssMonthly*TM51+TZ51*PricePremMonthly*TM51</f>
        <v/>
      </c>
      <c r="UG51" s="12">
        <f>TW51*PriceEssAnnual*TM51+TX51*PricePremAnnual*TM51</f>
        <v/>
      </c>
      <c r="UH51" s="12">
        <f>TW39*POWER(1-(AnnualChurn*VLOOKUP(TJ51,ChurnSeasonTable,4,FALSE)),1)*PriceEssAnnual*TM51+TW27*POWER(1-(AnnualChurn*VLOOKUP(TJ51,ChurnSeasonTable,4,FALSE)),2)*PriceEssAnnual*TM51+TW15*POWER(1-(AnnualChurn*VLOOKUP(TJ51,ChurnSeasonTable,4,FALSE)),3)*PriceEssAnnual*TM51+TX39*POWER(1-(AnnualChurn*VLOOKUP(TJ51,ChurnSeasonTable,4,FALSE)),1)*PricePremAnnual*TM51+TX27*POWER(1-(AnnualChurn*VLOOKUP(TJ51,ChurnSeasonTable,4,FALSE)),2)*PricePremAnnual*TM51+TX15*POWER(1-(AnnualChurn*VLOOKUP(TJ51,ChurnSeasonTable,4,FALSE)),3)*PricePremAnnual*TM51</f>
        <v/>
      </c>
      <c r="UI51" s="9">
        <f>UF51+UG51+UH51</f>
        <v/>
      </c>
      <c r="UJ51" s="12">
        <f>SUM(UI40:UI51)</f>
        <v/>
      </c>
      <c r="UK51" s="12">
        <f>OR(UK50,UJ51&gt;=VATThreshold)</f>
        <v/>
      </c>
      <c r="UL51" s="9">
        <f>IF(UK51,UI51/(1+VATRate),UI51)</f>
        <v/>
      </c>
      <c r="UM51" s="12">
        <f>UI51-UL51</f>
        <v/>
      </c>
      <c r="UN51" s="12">
        <f>IF(UK51=0,0,IF(TJ51=1,SUMPRODUCT(--(($TK$5:$TK51=$TK51-1)*($TJ$5:$TJ51&gt;=10)*($TJ$5:$TJ51&lt;=12)),$UM$5:$UM51),IF(TJ51=4,SUMPRODUCT(--(($TK$5:$TK51=$TK51)*($TJ$5:$TJ51&gt;=1)*($TJ$5:$TJ51&lt;=3)),$UM$5:$UM51),IF(TJ51=7,SUMPRODUCT(--(($TK$5:$TK51=$TK51)*($TJ$5:$TJ51&gt;=4)*($TJ$5:$TJ51&lt;=6)),$UM$5:$UM51),IF(TJ51=10,SUMPRODUCT(--(($TK$5:$TK51=$TK51)*($TJ$5:$TJ51&gt;=7)*($TJ$5:$TJ51&lt;=9)),$UM$5:$UM51),0)))))</f>
        <v/>
      </c>
      <c r="UO51" s="12">
        <f>UO50+UM51-UN51</f>
        <v/>
      </c>
      <c r="UP51" s="12">
        <f>IF(ProviderDelay&gt;=1,UL50*ProviderShare,UL51*ProviderShare)</f>
        <v/>
      </c>
      <c r="UQ51" s="12">
        <f>UI51*PaymentFee</f>
        <v/>
      </c>
      <c r="UR51" s="12">
        <f>UC51*OpsAI</f>
        <v/>
      </c>
      <c r="US51" s="12">
        <f>MonthlyFixed</f>
        <v/>
      </c>
      <c r="UT51" s="12">
        <f>TQ51*ReferralReward</f>
        <v/>
      </c>
      <c r="UU51" s="12">
        <f>TO51</f>
        <v/>
      </c>
      <c r="UV51" s="9">
        <f>UL51-UP51-UQ51-UR51-US51-UT51-UU51</f>
        <v/>
      </c>
      <c r="UW51" s="9">
        <f>UW50+UI51-(UP51+UQ51+UR51+US51+UT51+UU51+UN51)</f>
        <v/>
      </c>
      <c r="UX51" s="12">
        <f>IF(UC51&gt;0,UD51/UC51,0)</f>
        <v/>
      </c>
      <c r="UY51" s="11">
        <f>IF(UC50&gt;0,MAX(0,(UC50+TR51-UC51)/UC50),0)</f>
        <v/>
      </c>
      <c r="VA51" s="12" t="n">
        <v>47</v>
      </c>
      <c r="VB51" s="12">
        <f>MOD(VA51-1+LaunchMonth-1,12)+1</f>
        <v/>
      </c>
      <c r="VC51" s="12">
        <f>INT((VA51-1+LaunchMonth-1)/12)+1</f>
        <v/>
      </c>
      <c r="VD51" s="12">
        <f>VLOOKUP(VB51,SeasonTable,2,FALSE)</f>
        <v/>
      </c>
      <c r="VE51" s="12">
        <f>(1+InflationRate)^INT((VA51-1)/12)</f>
        <v/>
      </c>
      <c r="VF51" s="11">
        <f>MonthlyChurn*VLOOKUP(VB51,ChurnSeasonTable,4,FALSE)</f>
        <v/>
      </c>
      <c r="VG51" s="12">
        <f>MIN(MAX(MktMin19plus,WA50*MktPct19plus),MAX(0,WO50-CashBuffer))</f>
        <v/>
      </c>
      <c r="VH51" s="12">
        <f>IF(VG51&gt;0,MAX(1,ROUND(VG51/CAC*VD51,0)),0)</f>
        <v/>
      </c>
      <c r="VI51" s="12">
        <f>IF(VH51&gt;0,ROUND(VH51*ReferralMix/(1-ReferralMix),0),0)</f>
        <v/>
      </c>
      <c r="VJ51" s="12">
        <f>VH51+VI51</f>
        <v/>
      </c>
      <c r="VK51" s="12">
        <f>ROUND(VJ51*(1-'Sens - Annual Mix'!$A$10),0)</f>
        <v/>
      </c>
      <c r="VL51" s="12">
        <f>VJ51-VK51</f>
        <v/>
      </c>
      <c r="VM51" s="12">
        <f>ROUND(VK51*EssentialMix,0)</f>
        <v/>
      </c>
      <c r="VN51" s="12">
        <f>VK51-VM51</f>
        <v/>
      </c>
      <c r="VO51" s="12">
        <f>ROUND(VL51*EssentialMix,0)</f>
        <v/>
      </c>
      <c r="VP51" s="12">
        <f>VL51-VO51</f>
        <v/>
      </c>
      <c r="VQ51" s="12">
        <f>VM51+VM50+VM49+MAX(0,VQ50-VM50-VM49)*(1-VF51)</f>
        <v/>
      </c>
      <c r="VR51" s="12">
        <f>VN51+VN50+VN49+MAX(0,VR50-VN50-VN49)*(1-VF51)</f>
        <v/>
      </c>
      <c r="VS51" s="12">
        <f>VS50+VO51-VO39*(AnnualChurn*VLOOKUP(VB51,ChurnSeasonTable,4,FALSE))*POWER(1-(AnnualChurn*VLOOKUP(VB51,ChurnSeasonTable,4,FALSE)),0)+VO27*(AnnualChurn*VLOOKUP(VB51,ChurnSeasonTable,4,FALSE))*POWER(1-(AnnualChurn*VLOOKUP(VB51,ChurnSeasonTable,4,FALSE)),1)+VO15*(AnnualChurn*VLOOKUP(VB51,ChurnSeasonTable,4,FALSE))*POWER(1-(AnnualChurn*VLOOKUP(VB51,ChurnSeasonTable,4,FALSE)),2)</f>
        <v/>
      </c>
      <c r="VT51" s="12">
        <f>VT50+VP51-VP39*(AnnualChurn*VLOOKUP(VB51,ChurnSeasonTable,4,FALSE))*POWER(1-(AnnualChurn*VLOOKUP(VB51,ChurnSeasonTable,4,FALSE)),0)+VP27*(AnnualChurn*VLOOKUP(VB51,ChurnSeasonTable,4,FALSE))*POWER(1-(AnnualChurn*VLOOKUP(VB51,ChurnSeasonTable,4,FALSE)),1)+VP15*(AnnualChurn*VLOOKUP(VB51,ChurnSeasonTable,4,FALSE))*POWER(1-(AnnualChurn*VLOOKUP(VB51,ChurnSeasonTable,4,FALSE)),2)</f>
        <v/>
      </c>
      <c r="VU51" s="12">
        <f>VQ51+VR51+VS51+VT51</f>
        <v/>
      </c>
      <c r="VV51" s="9">
        <f>VQ51*PriceEssMonthly*VE51+VR51*PricePremMonthly*VE51+VS51*PriceEssAnnual*VE51/12+VT51*PricePremAnnual*VE51/12</f>
        <v/>
      </c>
      <c r="VW51" s="9">
        <f>VV51*12</f>
        <v/>
      </c>
      <c r="VX51" s="12">
        <f>VQ51*PriceEssMonthly*VE51+VR51*PricePremMonthly*VE51</f>
        <v/>
      </c>
      <c r="VY51" s="12">
        <f>VO51*PriceEssAnnual*VE51+VP51*PricePremAnnual*VE51</f>
        <v/>
      </c>
      <c r="VZ51" s="12">
        <f>VO39*POWER(1-(AnnualChurn*VLOOKUP(VB51,ChurnSeasonTable,4,FALSE)),1)*PriceEssAnnual*VE51+VO27*POWER(1-(AnnualChurn*VLOOKUP(VB51,ChurnSeasonTable,4,FALSE)),2)*PriceEssAnnual*VE51+VO15*POWER(1-(AnnualChurn*VLOOKUP(VB51,ChurnSeasonTable,4,FALSE)),3)*PriceEssAnnual*VE51+VP39*POWER(1-(AnnualChurn*VLOOKUP(VB51,ChurnSeasonTable,4,FALSE)),1)*PricePremAnnual*VE51+VP27*POWER(1-(AnnualChurn*VLOOKUP(VB51,ChurnSeasonTable,4,FALSE)),2)*PricePremAnnual*VE51+VP15*POWER(1-(AnnualChurn*VLOOKUP(VB51,ChurnSeasonTable,4,FALSE)),3)*PricePremAnnual*VE51</f>
        <v/>
      </c>
      <c r="WA51" s="9">
        <f>VX51+VY51+VZ51</f>
        <v/>
      </c>
      <c r="WB51" s="12">
        <f>SUM(WA40:WA51)</f>
        <v/>
      </c>
      <c r="WC51" s="12">
        <f>OR(WC50,WB51&gt;=VATThreshold)</f>
        <v/>
      </c>
      <c r="WD51" s="9">
        <f>IF(WC51,WA51/(1+VATRate),WA51)</f>
        <v/>
      </c>
      <c r="WE51" s="12">
        <f>WA51-WD51</f>
        <v/>
      </c>
      <c r="WF51" s="12">
        <f>IF(WC51=0,0,IF(VB51=1,SUMPRODUCT(--(($VC$5:$VC51=$VC51-1)*($VB$5:$VB51&gt;=10)*($VB$5:$VB51&lt;=12)),$WE$5:$WE51),IF(VB51=4,SUMPRODUCT(--(($VC$5:$VC51=$VC51)*($VB$5:$VB51&gt;=1)*($VB$5:$VB51&lt;=3)),$WE$5:$WE51),IF(VB51=7,SUMPRODUCT(--(($VC$5:$VC51=$VC51)*($VB$5:$VB51&gt;=4)*($VB$5:$VB51&lt;=6)),$WE$5:$WE51),IF(VB51=10,SUMPRODUCT(--(($VC$5:$VC51=$VC51)*($VB$5:$VB51&gt;=7)*($VB$5:$VB51&lt;=9)),$WE$5:$WE51),0)))))</f>
        <v/>
      </c>
      <c r="WG51" s="12">
        <f>WG50+WE51-WF51</f>
        <v/>
      </c>
      <c r="WH51" s="12">
        <f>IF(ProviderDelay&gt;=1,WD50*ProviderShare,WD51*ProviderShare)</f>
        <v/>
      </c>
      <c r="WI51" s="12">
        <f>WA51*PaymentFee</f>
        <v/>
      </c>
      <c r="WJ51" s="12">
        <f>VU51*OpsAI</f>
        <v/>
      </c>
      <c r="WK51" s="12">
        <f>MonthlyFixed</f>
        <v/>
      </c>
      <c r="WL51" s="12">
        <f>VI51*ReferralReward</f>
        <v/>
      </c>
      <c r="WM51" s="12">
        <f>VG51</f>
        <v/>
      </c>
      <c r="WN51" s="9">
        <f>WD51-WH51-WI51-WJ51-WK51-WL51-WM51</f>
        <v/>
      </c>
      <c r="WO51" s="9">
        <f>WO50+WA51-(WH51+WI51+WJ51+WK51+WL51+WM51+WF51)</f>
        <v/>
      </c>
      <c r="WP51" s="12">
        <f>IF(VU51&gt;0,VV51/VU51,0)</f>
        <v/>
      </c>
      <c r="WQ51" s="11">
        <f>IF(VU50&gt;0,MAX(0,(VU50+VJ51-VU51)/VU50),0)</f>
        <v/>
      </c>
      <c r="WS51" s="12" t="n">
        <v>47</v>
      </c>
      <c r="WT51" s="12">
        <f>MOD(WS51-1+LaunchMonth-1,12)+1</f>
        <v/>
      </c>
      <c r="WU51" s="12">
        <f>INT((WS51-1+LaunchMonth-1)/12)+1</f>
        <v/>
      </c>
      <c r="WV51" s="12">
        <f>VLOOKUP(WT51,SeasonTable,2,FALSE)</f>
        <v/>
      </c>
      <c r="WW51" s="12">
        <f>(1+InflationRate)^INT((WS51-1)/12)</f>
        <v/>
      </c>
      <c r="WX51" s="11">
        <f>MonthlyChurn*VLOOKUP(WT51,ChurnSeasonTable,4,FALSE)</f>
        <v/>
      </c>
      <c r="WY51" s="12">
        <f>MIN(MAX(MktMin19plus,XS50*MktPct19plus),MAX(0,YG50-CashBuffer))</f>
        <v/>
      </c>
      <c r="WZ51" s="12">
        <f>IF(WY51&gt;0,MAX(1,ROUND(WY51/CAC*WV51,0)),0)</f>
        <v/>
      </c>
      <c r="XA51" s="12">
        <f>IF(WZ51&gt;0,ROUND(WZ51*ReferralMix/(1-ReferralMix),0),0)</f>
        <v/>
      </c>
      <c r="XB51" s="12">
        <f>WZ51+XA51</f>
        <v/>
      </c>
      <c r="XC51" s="12">
        <f>ROUND(XB51*(1-'Sens - Annual Mix'!$A$11),0)</f>
        <v/>
      </c>
      <c r="XD51" s="12">
        <f>XB51-XC51</f>
        <v/>
      </c>
      <c r="XE51" s="12">
        <f>ROUND(XC51*EssentialMix,0)</f>
        <v/>
      </c>
      <c r="XF51" s="12">
        <f>XC51-XE51</f>
        <v/>
      </c>
      <c r="XG51" s="12">
        <f>ROUND(XD51*EssentialMix,0)</f>
        <v/>
      </c>
      <c r="XH51" s="12">
        <f>XD51-XG51</f>
        <v/>
      </c>
      <c r="XI51" s="12">
        <f>XE51+XE50+XE49+MAX(0,XI50-XE50-XE49)*(1-WX51)</f>
        <v/>
      </c>
      <c r="XJ51" s="12">
        <f>XF51+XF50+XF49+MAX(0,XJ50-XF50-XF49)*(1-WX51)</f>
        <v/>
      </c>
      <c r="XK51" s="12">
        <f>XK50+XG51-XG39*(AnnualChurn*VLOOKUP(WT51,ChurnSeasonTable,4,FALSE))*POWER(1-(AnnualChurn*VLOOKUP(WT51,ChurnSeasonTable,4,FALSE)),0)+XG27*(AnnualChurn*VLOOKUP(WT51,ChurnSeasonTable,4,FALSE))*POWER(1-(AnnualChurn*VLOOKUP(WT51,ChurnSeasonTable,4,FALSE)),1)+XG15*(AnnualChurn*VLOOKUP(WT51,ChurnSeasonTable,4,FALSE))*POWER(1-(AnnualChurn*VLOOKUP(WT51,ChurnSeasonTable,4,FALSE)),2)</f>
        <v/>
      </c>
      <c r="XL51" s="12">
        <f>XL50+XH51-XH39*(AnnualChurn*VLOOKUP(WT51,ChurnSeasonTable,4,FALSE))*POWER(1-(AnnualChurn*VLOOKUP(WT51,ChurnSeasonTable,4,FALSE)),0)+XH27*(AnnualChurn*VLOOKUP(WT51,ChurnSeasonTable,4,FALSE))*POWER(1-(AnnualChurn*VLOOKUP(WT51,ChurnSeasonTable,4,FALSE)),1)+XH15*(AnnualChurn*VLOOKUP(WT51,ChurnSeasonTable,4,FALSE))*POWER(1-(AnnualChurn*VLOOKUP(WT51,ChurnSeasonTable,4,FALSE)),2)</f>
        <v/>
      </c>
      <c r="XM51" s="12">
        <f>XI51+XJ51+XK51+XL51</f>
        <v/>
      </c>
      <c r="XN51" s="9">
        <f>XI51*PriceEssMonthly*WW51+XJ51*PricePremMonthly*WW51+XK51*PriceEssAnnual*WW51/12+XL51*PricePremAnnual*WW51/12</f>
        <v/>
      </c>
      <c r="XO51" s="9">
        <f>XN51*12</f>
        <v/>
      </c>
      <c r="XP51" s="12">
        <f>XI51*PriceEssMonthly*WW51+XJ51*PricePremMonthly*WW51</f>
        <v/>
      </c>
      <c r="XQ51" s="12">
        <f>XG51*PriceEssAnnual*WW51+XH51*PricePremAnnual*WW51</f>
        <v/>
      </c>
      <c r="XR51" s="12">
        <f>XG39*POWER(1-(AnnualChurn*VLOOKUP(WT51,ChurnSeasonTable,4,FALSE)),1)*PriceEssAnnual*WW51+XG27*POWER(1-(AnnualChurn*VLOOKUP(WT51,ChurnSeasonTable,4,FALSE)),2)*PriceEssAnnual*WW51+XG15*POWER(1-(AnnualChurn*VLOOKUP(WT51,ChurnSeasonTable,4,FALSE)),3)*PriceEssAnnual*WW51+XH39*POWER(1-(AnnualChurn*VLOOKUP(WT51,ChurnSeasonTable,4,FALSE)),1)*PricePremAnnual*WW51+XH27*POWER(1-(AnnualChurn*VLOOKUP(WT51,ChurnSeasonTable,4,FALSE)),2)*PricePremAnnual*WW51+XH15*POWER(1-(AnnualChurn*VLOOKUP(WT51,ChurnSeasonTable,4,FALSE)),3)*PricePremAnnual*WW51</f>
        <v/>
      </c>
      <c r="XS51" s="9">
        <f>XP51+XQ51+XR51</f>
        <v/>
      </c>
      <c r="XT51" s="12">
        <f>SUM(XS40:XS51)</f>
        <v/>
      </c>
      <c r="XU51" s="12">
        <f>OR(XU50,XT51&gt;=VATThreshold)</f>
        <v/>
      </c>
      <c r="XV51" s="9">
        <f>IF(XU51,XS51/(1+VATRate),XS51)</f>
        <v/>
      </c>
      <c r="XW51" s="12">
        <f>XS51-XV51</f>
        <v/>
      </c>
      <c r="XX51" s="12">
        <f>IF(XU51=0,0,IF(WT51=1,SUMPRODUCT(--(($WU$5:$WU51=$WU51-1)*($WT$5:$WT51&gt;=10)*($WT$5:$WT51&lt;=12)),$XW$5:$XW51),IF(WT51=4,SUMPRODUCT(--(($WU$5:$WU51=$WU51)*($WT$5:$WT51&gt;=1)*($WT$5:$WT51&lt;=3)),$XW$5:$XW51),IF(WT51=7,SUMPRODUCT(--(($WU$5:$WU51=$WU51)*($WT$5:$WT51&gt;=4)*($WT$5:$WT51&lt;=6)),$XW$5:$XW51),IF(WT51=10,SUMPRODUCT(--(($WU$5:$WU51=$WU51)*($WT$5:$WT51&gt;=7)*($WT$5:$WT51&lt;=9)),$XW$5:$XW51),0)))))</f>
        <v/>
      </c>
      <c r="XY51" s="12">
        <f>XY50+XW51-XX51</f>
        <v/>
      </c>
      <c r="XZ51" s="12">
        <f>IF(ProviderDelay&gt;=1,XV50*ProviderShare,XV51*ProviderShare)</f>
        <v/>
      </c>
      <c r="YA51" s="12">
        <f>XS51*PaymentFee</f>
        <v/>
      </c>
      <c r="YB51" s="12">
        <f>XM51*OpsAI</f>
        <v/>
      </c>
      <c r="YC51" s="12">
        <f>MonthlyFixed</f>
        <v/>
      </c>
      <c r="YD51" s="12">
        <f>XA51*ReferralReward</f>
        <v/>
      </c>
      <c r="YE51" s="12">
        <f>WY51</f>
        <v/>
      </c>
      <c r="YF51" s="9">
        <f>XV51-XZ51-YA51-YB51-YC51-YD51-YE51</f>
        <v/>
      </c>
      <c r="YG51" s="9">
        <f>YG50+XS51-(XZ51+YA51+YB51+YC51+YD51+YE51+XX51)</f>
        <v/>
      </c>
      <c r="YH51" s="12">
        <f>IF(XM51&gt;0,XN51/XM51,0)</f>
        <v/>
      </c>
      <c r="YI51" s="11">
        <f>IF(XM50&gt;0,MAX(0,(XM50+XB51-XM51)/XM50),0)</f>
        <v/>
      </c>
      <c r="YK51" s="12" t="n">
        <v>47</v>
      </c>
      <c r="YL51" s="12">
        <f>MOD(YK51-1+LaunchMonth-1,12)+1</f>
        <v/>
      </c>
      <c r="YM51" s="12">
        <f>INT((YK51-1+LaunchMonth-1)/12)+1</f>
        <v/>
      </c>
      <c r="YN51" s="12">
        <f>VLOOKUP(YL51,SeasonTable,2,FALSE)</f>
        <v/>
      </c>
      <c r="YO51" s="12">
        <f>(1+InflationRate)^INT((YK51-1)/12)</f>
        <v/>
      </c>
      <c r="YP51" s="11">
        <f>MonthlyChurn*VLOOKUP(YL51,ChurnSeasonTable,4,FALSE)</f>
        <v/>
      </c>
      <c r="YQ51" s="12">
        <f>MIN(MAX(MktMin19plus,ZK50*MktPct19plus),MAX(0,ZY50-CashBuffer))</f>
        <v/>
      </c>
      <c r="YR51" s="12">
        <f>IF(YQ51&gt;0,MAX(1,ROUND(YQ51/CAC*YN51,0)),0)</f>
        <v/>
      </c>
      <c r="YS51" s="12">
        <f>IF(YR51&gt;0,ROUND(YR51*ReferralMix/(1-ReferralMix),0),0)</f>
        <v/>
      </c>
      <c r="YT51" s="12">
        <f>YR51+YS51</f>
        <v/>
      </c>
      <c r="YU51" s="12">
        <f>ROUND(YT51*(1-'Sens - Annual Mix'!$A$12),0)</f>
        <v/>
      </c>
      <c r="YV51" s="12">
        <f>YT51-YU51</f>
        <v/>
      </c>
      <c r="YW51" s="12">
        <f>ROUND(YU51*EssentialMix,0)</f>
        <v/>
      </c>
      <c r="YX51" s="12">
        <f>YU51-YW51</f>
        <v/>
      </c>
      <c r="YY51" s="12">
        <f>ROUND(YV51*EssentialMix,0)</f>
        <v/>
      </c>
      <c r="YZ51" s="12">
        <f>YV51-YY51</f>
        <v/>
      </c>
      <c r="ZA51" s="12">
        <f>YW51+YW50+YW49+MAX(0,ZA50-YW50-YW49)*(1-YP51)</f>
        <v/>
      </c>
      <c r="ZB51" s="12">
        <f>YX51+YX50+YX49+MAX(0,ZB50-YX50-YX49)*(1-YP51)</f>
        <v/>
      </c>
      <c r="ZC51" s="12">
        <f>ZC50+YY51-YY39*(AnnualChurn*VLOOKUP(YL51,ChurnSeasonTable,4,FALSE))*POWER(1-(AnnualChurn*VLOOKUP(YL51,ChurnSeasonTable,4,FALSE)),0)+YY27*(AnnualChurn*VLOOKUP(YL51,ChurnSeasonTable,4,FALSE))*POWER(1-(AnnualChurn*VLOOKUP(YL51,ChurnSeasonTable,4,FALSE)),1)+YY15*(AnnualChurn*VLOOKUP(YL51,ChurnSeasonTable,4,FALSE))*POWER(1-(AnnualChurn*VLOOKUP(YL51,ChurnSeasonTable,4,FALSE)),2)</f>
        <v/>
      </c>
      <c r="ZD51" s="12">
        <f>ZD50+YZ51-YZ39*(AnnualChurn*VLOOKUP(YL51,ChurnSeasonTable,4,FALSE))*POWER(1-(AnnualChurn*VLOOKUP(YL51,ChurnSeasonTable,4,FALSE)),0)+YZ27*(AnnualChurn*VLOOKUP(YL51,ChurnSeasonTable,4,FALSE))*POWER(1-(AnnualChurn*VLOOKUP(YL51,ChurnSeasonTable,4,FALSE)),1)+YZ15*(AnnualChurn*VLOOKUP(YL51,ChurnSeasonTable,4,FALSE))*POWER(1-(AnnualChurn*VLOOKUP(YL51,ChurnSeasonTable,4,FALSE)),2)</f>
        <v/>
      </c>
      <c r="ZE51" s="12">
        <f>ZA51+ZB51+ZC51+ZD51</f>
        <v/>
      </c>
      <c r="ZF51" s="9">
        <f>ZA51*PriceEssMonthly*YO51+ZB51*PricePremMonthly*YO51+ZC51*PriceEssAnnual*YO51/12+ZD51*PricePremAnnual*YO51/12</f>
        <v/>
      </c>
      <c r="ZG51" s="9">
        <f>ZF51*12</f>
        <v/>
      </c>
      <c r="ZH51" s="12">
        <f>ZA51*PriceEssMonthly*YO51+ZB51*PricePremMonthly*YO51</f>
        <v/>
      </c>
      <c r="ZI51" s="12">
        <f>YY51*PriceEssAnnual*YO51+YZ51*PricePremAnnual*YO51</f>
        <v/>
      </c>
      <c r="ZJ51" s="12">
        <f>YY39*POWER(1-(AnnualChurn*VLOOKUP(YL51,ChurnSeasonTable,4,FALSE)),1)*PriceEssAnnual*YO51+YY27*POWER(1-(AnnualChurn*VLOOKUP(YL51,ChurnSeasonTable,4,FALSE)),2)*PriceEssAnnual*YO51+YY15*POWER(1-(AnnualChurn*VLOOKUP(YL51,ChurnSeasonTable,4,FALSE)),3)*PriceEssAnnual*YO51+YZ39*POWER(1-(AnnualChurn*VLOOKUP(YL51,ChurnSeasonTable,4,FALSE)),1)*PricePremAnnual*YO51+YZ27*POWER(1-(AnnualChurn*VLOOKUP(YL51,ChurnSeasonTable,4,FALSE)),2)*PricePremAnnual*YO51+YZ15*POWER(1-(AnnualChurn*VLOOKUP(YL51,ChurnSeasonTable,4,FALSE)),3)*PricePremAnnual*YO51</f>
        <v/>
      </c>
      <c r="ZK51" s="9">
        <f>ZH51+ZI51+ZJ51</f>
        <v/>
      </c>
      <c r="ZL51" s="12">
        <f>SUM(ZK40:ZK51)</f>
        <v/>
      </c>
      <c r="ZM51" s="12">
        <f>OR(ZM50,ZL51&gt;=VATThreshold)</f>
        <v/>
      </c>
      <c r="ZN51" s="9">
        <f>IF(ZM51,ZK51/(1+VATRate),ZK51)</f>
        <v/>
      </c>
      <c r="ZO51" s="12">
        <f>ZK51-ZN51</f>
        <v/>
      </c>
      <c r="ZP51" s="12">
        <f>IF(ZM51=0,0,IF(YL51=1,SUMPRODUCT(--(($YM$5:$YM51=$YM51-1)*($YL$5:$YL51&gt;=10)*($YL$5:$YL51&lt;=12)),$ZO$5:$ZO51),IF(YL51=4,SUMPRODUCT(--(($YM$5:$YM51=$YM51)*($YL$5:$YL51&gt;=1)*($YL$5:$YL51&lt;=3)),$ZO$5:$ZO51),IF(YL51=7,SUMPRODUCT(--(($YM$5:$YM51=$YM51)*($YL$5:$YL51&gt;=4)*($YL$5:$YL51&lt;=6)),$ZO$5:$ZO51),IF(YL51=10,SUMPRODUCT(--(($YM$5:$YM51=$YM51)*($YL$5:$YL51&gt;=7)*($YL$5:$YL51&lt;=9)),$ZO$5:$ZO51),0)))))</f>
        <v/>
      </c>
      <c r="ZQ51" s="12">
        <f>ZQ50+ZO51-ZP51</f>
        <v/>
      </c>
      <c r="ZR51" s="12">
        <f>IF(ProviderDelay&gt;=1,ZN50*ProviderShare,ZN51*ProviderShare)</f>
        <v/>
      </c>
      <c r="ZS51" s="12">
        <f>ZK51*PaymentFee</f>
        <v/>
      </c>
      <c r="ZT51" s="12">
        <f>ZE51*OpsAI</f>
        <v/>
      </c>
      <c r="ZU51" s="12">
        <f>MonthlyFixed</f>
        <v/>
      </c>
      <c r="ZV51" s="12">
        <f>YS51*ReferralReward</f>
        <v/>
      </c>
      <c r="ZW51" s="12">
        <f>YQ51</f>
        <v/>
      </c>
      <c r="ZX51" s="9">
        <f>ZN51-ZR51-ZS51-ZT51-ZU51-ZV51-ZW51</f>
        <v/>
      </c>
      <c r="ZY51" s="9">
        <f>ZY50+ZK51-(ZR51+ZS51+ZT51+ZU51+ZV51+ZW51+ZP51)</f>
        <v/>
      </c>
      <c r="ZZ51" s="12">
        <f>IF(ZE51&gt;0,ZF51/ZE51,0)</f>
        <v/>
      </c>
      <c r="AAA51" s="11">
        <f>IF(ZE50&gt;0,MAX(0,(ZE50+YT51-ZE51)/ZE50),0)</f>
        <v/>
      </c>
      <c r="AAC51" s="12" t="n">
        <v>47</v>
      </c>
      <c r="AAD51" s="12">
        <f>MOD(AAC51-1+LaunchMonth-1,12)+1</f>
        <v/>
      </c>
      <c r="AAE51" s="12">
        <f>INT((AAC51-1+LaunchMonth-1)/12)+1</f>
        <v/>
      </c>
      <c r="AAF51" s="12">
        <f>VLOOKUP(AAD51,SeasonTable,2,FALSE)</f>
        <v/>
      </c>
      <c r="AAG51" s="12">
        <f>(1+InflationRate)^INT((AAC51-1)/12)</f>
        <v/>
      </c>
      <c r="AAH51" s="11">
        <f>MonthlyChurn*VLOOKUP(AAD51,ChurnSeasonTable,4,FALSE)</f>
        <v/>
      </c>
      <c r="AAI51" s="12">
        <f>MIN(MAX(MktMin19plus,ABC50*MktPct19plus),MAX(0,ABQ50-CashBuffer))</f>
        <v/>
      </c>
      <c r="AAJ51" s="12">
        <f>IF(AAI51&gt;0,MAX(1,ROUND(AAI51/CAC*AAF51,0)),0)</f>
        <v/>
      </c>
      <c r="AAK51" s="12">
        <f>IF(AAJ51&gt;0,ROUND(AAJ51*ReferralMix/(1-ReferralMix),0),0)</f>
        <v/>
      </c>
      <c r="AAL51" s="12">
        <f>AAJ51+AAK51</f>
        <v/>
      </c>
      <c r="AAM51" s="12">
        <f>ROUND(AAL51*(1-'Sens - Annual Mix'!$A$13),0)</f>
        <v/>
      </c>
      <c r="AAN51" s="12">
        <f>AAL51-AAM51</f>
        <v/>
      </c>
      <c r="AAO51" s="12">
        <f>ROUND(AAM51*EssentialMix,0)</f>
        <v/>
      </c>
      <c r="AAP51" s="12">
        <f>AAM51-AAO51</f>
        <v/>
      </c>
      <c r="AAQ51" s="12">
        <f>ROUND(AAN51*EssentialMix,0)</f>
        <v/>
      </c>
      <c r="AAR51" s="12">
        <f>AAN51-AAQ51</f>
        <v/>
      </c>
      <c r="AAS51" s="12">
        <f>AAO51+AAO50+AAO49+MAX(0,AAS50-AAO50-AAO49)*(1-AAH51)</f>
        <v/>
      </c>
      <c r="AAT51" s="12">
        <f>AAP51+AAP50+AAP49+MAX(0,AAT50-AAP50-AAP49)*(1-AAH51)</f>
        <v/>
      </c>
      <c r="AAU51" s="12">
        <f>AAU50+AAQ51-AAQ39*(AnnualChurn*VLOOKUP(AAD51,ChurnSeasonTable,4,FALSE))*POWER(1-(AnnualChurn*VLOOKUP(AAD51,ChurnSeasonTable,4,FALSE)),0)+AAQ27*(AnnualChurn*VLOOKUP(AAD51,ChurnSeasonTable,4,FALSE))*POWER(1-(AnnualChurn*VLOOKUP(AAD51,ChurnSeasonTable,4,FALSE)),1)+AAQ15*(AnnualChurn*VLOOKUP(AAD51,ChurnSeasonTable,4,FALSE))*POWER(1-(AnnualChurn*VLOOKUP(AAD51,ChurnSeasonTable,4,FALSE)),2)</f>
        <v/>
      </c>
      <c r="AAV51" s="12">
        <f>AAV50+AAR51-AAR39*(AnnualChurn*VLOOKUP(AAD51,ChurnSeasonTable,4,FALSE))*POWER(1-(AnnualChurn*VLOOKUP(AAD51,ChurnSeasonTable,4,FALSE)),0)+AAR27*(AnnualChurn*VLOOKUP(AAD51,ChurnSeasonTable,4,FALSE))*POWER(1-(AnnualChurn*VLOOKUP(AAD51,ChurnSeasonTable,4,FALSE)),1)+AAR15*(AnnualChurn*VLOOKUP(AAD51,ChurnSeasonTable,4,FALSE))*POWER(1-(AnnualChurn*VLOOKUP(AAD51,ChurnSeasonTable,4,FALSE)),2)</f>
        <v/>
      </c>
      <c r="AAW51" s="12">
        <f>AAS51+AAT51+AAU51+AAV51</f>
        <v/>
      </c>
      <c r="AAX51" s="9">
        <f>AAS51*PriceEssMonthly*AAG51+AAT51*PricePremMonthly*AAG51+AAU51*PriceEssAnnual*AAG51/12+AAV51*PricePremAnnual*AAG51/12</f>
        <v/>
      </c>
      <c r="AAY51" s="9">
        <f>AAX51*12</f>
        <v/>
      </c>
      <c r="AAZ51" s="12">
        <f>AAS51*PriceEssMonthly*AAG51+AAT51*PricePremMonthly*AAG51</f>
        <v/>
      </c>
      <c r="ABA51" s="12">
        <f>AAQ51*PriceEssAnnual*AAG51+AAR51*PricePremAnnual*AAG51</f>
        <v/>
      </c>
      <c r="ABB51" s="12">
        <f>AAQ39*POWER(1-(AnnualChurn*VLOOKUP(AAD51,ChurnSeasonTable,4,FALSE)),1)*PriceEssAnnual*AAG51+AAQ27*POWER(1-(AnnualChurn*VLOOKUP(AAD51,ChurnSeasonTable,4,FALSE)),2)*PriceEssAnnual*AAG51+AAQ15*POWER(1-(AnnualChurn*VLOOKUP(AAD51,ChurnSeasonTable,4,FALSE)),3)*PriceEssAnnual*AAG51+AAR39*POWER(1-(AnnualChurn*VLOOKUP(AAD51,ChurnSeasonTable,4,FALSE)),1)*PricePremAnnual*AAG51+AAR27*POWER(1-(AnnualChurn*VLOOKUP(AAD51,ChurnSeasonTable,4,FALSE)),2)*PricePremAnnual*AAG51+AAR15*POWER(1-(AnnualChurn*VLOOKUP(AAD51,ChurnSeasonTable,4,FALSE)),3)*PricePremAnnual*AAG51</f>
        <v/>
      </c>
      <c r="ABC51" s="9">
        <f>AAZ51+ABA51+ABB51</f>
        <v/>
      </c>
      <c r="ABD51" s="12">
        <f>SUM(ABC40:ABC51)</f>
        <v/>
      </c>
      <c r="ABE51" s="12">
        <f>OR(ABE50,ABD51&gt;=VATThreshold)</f>
        <v/>
      </c>
      <c r="ABF51" s="9">
        <f>IF(ABE51,ABC51/(1+VATRate),ABC51)</f>
        <v/>
      </c>
      <c r="ABG51" s="12">
        <f>ABC51-ABF51</f>
        <v/>
      </c>
      <c r="ABH51" s="12">
        <f>IF(ABE51=0,0,IF(AAD51=1,SUMPRODUCT(--(($AAE$5:$AAE51=$AAE51-1)*($AAD$5:$AAD51&gt;=10)*($AAD$5:$AAD51&lt;=12)),$ABG$5:$ABG51),IF(AAD51=4,SUMPRODUCT(--(($AAE$5:$AAE51=$AAE51)*($AAD$5:$AAD51&gt;=1)*($AAD$5:$AAD51&lt;=3)),$ABG$5:$ABG51),IF(AAD51=7,SUMPRODUCT(--(($AAE$5:$AAE51=$AAE51)*($AAD$5:$AAD51&gt;=4)*($AAD$5:$AAD51&lt;=6)),$ABG$5:$ABG51),IF(AAD51=10,SUMPRODUCT(--(($AAE$5:$AAE51=$AAE51)*($AAD$5:$AAD51&gt;=7)*($AAD$5:$AAD51&lt;=9)),$ABG$5:$ABG51),0)))))</f>
        <v/>
      </c>
      <c r="ABI51" s="12">
        <f>ABI50+ABG51-ABH51</f>
        <v/>
      </c>
      <c r="ABJ51" s="12">
        <f>IF(ProviderDelay&gt;=1,ABF50*ProviderShare,ABF51*ProviderShare)</f>
        <v/>
      </c>
      <c r="ABK51" s="12">
        <f>ABC51*PaymentFee</f>
        <v/>
      </c>
      <c r="ABL51" s="12">
        <f>AAW51*OpsAI</f>
        <v/>
      </c>
      <c r="ABM51" s="12">
        <f>MonthlyFixed</f>
        <v/>
      </c>
      <c r="ABN51" s="12">
        <f>AAK51*ReferralReward</f>
        <v/>
      </c>
      <c r="ABO51" s="12">
        <f>AAI51</f>
        <v/>
      </c>
      <c r="ABP51" s="9">
        <f>ABF51-ABJ51-ABK51-ABL51-ABM51-ABN51-ABO51</f>
        <v/>
      </c>
      <c r="ABQ51" s="9">
        <f>ABQ50+ABC51-(ABJ51+ABK51+ABL51+ABM51+ABN51+ABO51+ABH51)</f>
        <v/>
      </c>
      <c r="ABR51" s="12">
        <f>IF(AAW51&gt;0,AAX51/AAW51,0)</f>
        <v/>
      </c>
      <c r="ABS51" s="11">
        <f>IF(AAW50&gt;0,MAX(0,(AAW50+AAL51-AAW51)/AAW50),0)</f>
        <v/>
      </c>
      <c r="ABU51" s="12" t="n">
        <v>47</v>
      </c>
      <c r="ABV51" s="12">
        <f>MOD(ABU51-1+LaunchMonth-1,12)+1</f>
        <v/>
      </c>
      <c r="ABW51" s="12">
        <f>INT((ABU51-1+LaunchMonth-1)/12)+1</f>
        <v/>
      </c>
      <c r="ABX51" s="12">
        <f>VLOOKUP(ABV51,SeasonTable,2,FALSE)</f>
        <v/>
      </c>
      <c r="ABY51" s="12">
        <f>(1+InflationRate)^INT((ABU51-1)/12)</f>
        <v/>
      </c>
      <c r="ABZ51" s="11">
        <f>MonthlyChurn*VLOOKUP(ABV51,ChurnSeasonTable,4,FALSE)</f>
        <v/>
      </c>
      <c r="ACA51" s="12">
        <f>MIN(MAX(MktMin19plus,ACU50*MktPct19plus),MAX(0,ADI50-CashBuffer))</f>
        <v/>
      </c>
      <c r="ACB51" s="12">
        <f>IF(ACA51&gt;0,MAX(1,ROUND(ACA51/CAC*ABX51,0)),0)</f>
        <v/>
      </c>
      <c r="ACC51" s="12">
        <f>IF(ACB51&gt;0,ROUND(ACB51*ReferralMix/(1-ReferralMix),0),0)</f>
        <v/>
      </c>
      <c r="ACD51" s="12">
        <f>ACB51+ACC51</f>
        <v/>
      </c>
      <c r="ACE51" s="12">
        <f>ROUND(ACD51*(1-'Sens - Annual Mix'!$A$14),0)</f>
        <v/>
      </c>
      <c r="ACF51" s="12">
        <f>ACD51-ACE51</f>
        <v/>
      </c>
      <c r="ACG51" s="12">
        <f>ROUND(ACE51*EssentialMix,0)</f>
        <v/>
      </c>
      <c r="ACH51" s="12">
        <f>ACE51-ACG51</f>
        <v/>
      </c>
      <c r="ACI51" s="12">
        <f>ROUND(ACF51*EssentialMix,0)</f>
        <v/>
      </c>
      <c r="ACJ51" s="12">
        <f>ACF51-ACI51</f>
        <v/>
      </c>
      <c r="ACK51" s="12">
        <f>ACG51+ACG50+ACG49+MAX(0,ACK50-ACG50-ACG49)*(1-ABZ51)</f>
        <v/>
      </c>
      <c r="ACL51" s="12">
        <f>ACH51+ACH50+ACH49+MAX(0,ACL50-ACH50-ACH49)*(1-ABZ51)</f>
        <v/>
      </c>
      <c r="ACM51" s="12">
        <f>ACM50+ACI51-ACI39*(AnnualChurn*VLOOKUP(ABV51,ChurnSeasonTable,4,FALSE))*POWER(1-(AnnualChurn*VLOOKUP(ABV51,ChurnSeasonTable,4,FALSE)),0)+ACI27*(AnnualChurn*VLOOKUP(ABV51,ChurnSeasonTable,4,FALSE))*POWER(1-(AnnualChurn*VLOOKUP(ABV51,ChurnSeasonTable,4,FALSE)),1)+ACI15*(AnnualChurn*VLOOKUP(ABV51,ChurnSeasonTable,4,FALSE))*POWER(1-(AnnualChurn*VLOOKUP(ABV51,ChurnSeasonTable,4,FALSE)),2)</f>
        <v/>
      </c>
      <c r="ACN51" s="12">
        <f>ACN50+ACJ51-ACJ39*(AnnualChurn*VLOOKUP(ABV51,ChurnSeasonTable,4,FALSE))*POWER(1-(AnnualChurn*VLOOKUP(ABV51,ChurnSeasonTable,4,FALSE)),0)+ACJ27*(AnnualChurn*VLOOKUP(ABV51,ChurnSeasonTable,4,FALSE))*POWER(1-(AnnualChurn*VLOOKUP(ABV51,ChurnSeasonTable,4,FALSE)),1)+ACJ15*(AnnualChurn*VLOOKUP(ABV51,ChurnSeasonTable,4,FALSE))*POWER(1-(AnnualChurn*VLOOKUP(ABV51,ChurnSeasonTable,4,FALSE)),2)</f>
        <v/>
      </c>
      <c r="ACO51" s="12">
        <f>ACK51+ACL51+ACM51+ACN51</f>
        <v/>
      </c>
      <c r="ACP51" s="9">
        <f>ACK51*PriceEssMonthly*ABY51+ACL51*PricePremMonthly*ABY51+ACM51*PriceEssAnnual*ABY51/12+ACN51*PricePremAnnual*ABY51/12</f>
        <v/>
      </c>
      <c r="ACQ51" s="9">
        <f>ACP51*12</f>
        <v/>
      </c>
      <c r="ACR51" s="12">
        <f>ACK51*PriceEssMonthly*ABY51+ACL51*PricePremMonthly*ABY51</f>
        <v/>
      </c>
      <c r="ACS51" s="12">
        <f>ACI51*PriceEssAnnual*ABY51+ACJ51*PricePremAnnual*ABY51</f>
        <v/>
      </c>
      <c r="ACT51" s="12">
        <f>ACI39*POWER(1-(AnnualChurn*VLOOKUP(ABV51,ChurnSeasonTable,4,FALSE)),1)*PriceEssAnnual*ABY51+ACI27*POWER(1-(AnnualChurn*VLOOKUP(ABV51,ChurnSeasonTable,4,FALSE)),2)*PriceEssAnnual*ABY51+ACI15*POWER(1-(AnnualChurn*VLOOKUP(ABV51,ChurnSeasonTable,4,FALSE)),3)*PriceEssAnnual*ABY51+ACJ39*POWER(1-(AnnualChurn*VLOOKUP(ABV51,ChurnSeasonTable,4,FALSE)),1)*PricePremAnnual*ABY51+ACJ27*POWER(1-(AnnualChurn*VLOOKUP(ABV51,ChurnSeasonTable,4,FALSE)),2)*PricePremAnnual*ABY51+ACJ15*POWER(1-(AnnualChurn*VLOOKUP(ABV51,ChurnSeasonTable,4,FALSE)),3)*PricePremAnnual*ABY51</f>
        <v/>
      </c>
      <c r="ACU51" s="9">
        <f>ACR51+ACS51+ACT51</f>
        <v/>
      </c>
      <c r="ACV51" s="12">
        <f>SUM(ACU40:ACU51)</f>
        <v/>
      </c>
      <c r="ACW51" s="12">
        <f>OR(ACW50,ACV51&gt;=VATThreshold)</f>
        <v/>
      </c>
      <c r="ACX51" s="9">
        <f>IF(ACW51,ACU51/(1+VATRate),ACU51)</f>
        <v/>
      </c>
      <c r="ACY51" s="12">
        <f>ACU51-ACX51</f>
        <v/>
      </c>
      <c r="ACZ51" s="12">
        <f>IF(ACW51=0,0,IF(ABV51=1,SUMPRODUCT(--(($ABW$5:$ABW51=$ABW51-1)*($ABV$5:$ABV51&gt;=10)*($ABV$5:$ABV51&lt;=12)),$ACY$5:$ACY51),IF(ABV51=4,SUMPRODUCT(--(($ABW$5:$ABW51=$ABW51)*($ABV$5:$ABV51&gt;=1)*($ABV$5:$ABV51&lt;=3)),$ACY$5:$ACY51),IF(ABV51=7,SUMPRODUCT(--(($ABW$5:$ABW51=$ABW51)*($ABV$5:$ABV51&gt;=4)*($ABV$5:$ABV51&lt;=6)),$ACY$5:$ACY51),IF(ABV51=10,SUMPRODUCT(--(($ABW$5:$ABW51=$ABW51)*($ABV$5:$ABV51&gt;=7)*($ABV$5:$ABV51&lt;=9)),$ACY$5:$ACY51),0)))))</f>
        <v/>
      </c>
      <c r="ADA51" s="12">
        <f>ADA50+ACY51-ACZ51</f>
        <v/>
      </c>
      <c r="ADB51" s="12">
        <f>IF(ProviderDelay&gt;=1,ACX50*ProviderShare,ACX51*ProviderShare)</f>
        <v/>
      </c>
      <c r="ADC51" s="12">
        <f>ACU51*PaymentFee</f>
        <v/>
      </c>
      <c r="ADD51" s="12">
        <f>ACO51*OpsAI</f>
        <v/>
      </c>
      <c r="ADE51" s="12">
        <f>MonthlyFixed</f>
        <v/>
      </c>
      <c r="ADF51" s="12">
        <f>ACC51*ReferralReward</f>
        <v/>
      </c>
      <c r="ADG51" s="12">
        <f>ACA51</f>
        <v/>
      </c>
      <c r="ADH51" s="9">
        <f>ACX51-ADB51-ADC51-ADD51-ADE51-ADF51-ADG51</f>
        <v/>
      </c>
      <c r="ADI51" s="9">
        <f>ADI50+ACU51-(ADB51+ADC51+ADD51+ADE51+ADF51+ADG51+ACZ51)</f>
        <v/>
      </c>
      <c r="ADJ51" s="12">
        <f>IF(ACO51&gt;0,ACP51/ACO51,0)</f>
        <v/>
      </c>
      <c r="ADK51" s="11">
        <f>IF(ACO50&gt;0,MAX(0,(ACO50+ACD51-ACO51)/ACO50),0)</f>
        <v/>
      </c>
      <c r="ADM51" s="12" t="n">
        <v>47</v>
      </c>
      <c r="ADN51" s="12">
        <f>MOD(ADM51-1+LaunchMonth-1,12)+1</f>
        <v/>
      </c>
      <c r="ADO51" s="12">
        <f>INT((ADM51-1+LaunchMonth-1)/12)+1</f>
        <v/>
      </c>
      <c r="ADP51" s="12">
        <f>VLOOKUP(ADN51,SeasonTable,2,FALSE)</f>
        <v/>
      </c>
      <c r="ADQ51" s="12">
        <f>(1+InflationRate)^INT((ADM51-1)/12)</f>
        <v/>
      </c>
      <c r="ADR51" s="11">
        <f>MonthlyChurn*VLOOKUP(ADN51,ChurnSeasonTable,4,FALSE)</f>
        <v/>
      </c>
      <c r="ADS51" s="12">
        <f>MIN(MAX(MktMin19plus,AEM50*MktPct19plus),MAX(0,AFA50-CashBuffer))</f>
        <v/>
      </c>
      <c r="ADT51" s="12">
        <f>IF(ADS51&gt;0,MAX(1,ROUND(ADS51/CAC*ADP51,0)),0)</f>
        <v/>
      </c>
      <c r="ADU51" s="12">
        <f>IF(ADT51&gt;0,ROUND(ADT51*ReferralMix/(1-ReferralMix),0),0)</f>
        <v/>
      </c>
      <c r="ADV51" s="12">
        <f>ADT51+ADU51</f>
        <v/>
      </c>
      <c r="ADW51" s="12">
        <f>ROUND(ADV51*(1-'Sens - Annual Mix'!$A$15),0)</f>
        <v/>
      </c>
      <c r="ADX51" s="12">
        <f>ADV51-ADW51</f>
        <v/>
      </c>
      <c r="ADY51" s="12">
        <f>ROUND(ADW51*EssentialMix,0)</f>
        <v/>
      </c>
      <c r="ADZ51" s="12">
        <f>ADW51-ADY51</f>
        <v/>
      </c>
      <c r="AEA51" s="12">
        <f>ROUND(ADX51*EssentialMix,0)</f>
        <v/>
      </c>
      <c r="AEB51" s="12">
        <f>ADX51-AEA51</f>
        <v/>
      </c>
      <c r="AEC51" s="12">
        <f>ADY51+ADY50+ADY49+MAX(0,AEC50-ADY50-ADY49)*(1-ADR51)</f>
        <v/>
      </c>
      <c r="AED51" s="12">
        <f>ADZ51+ADZ50+ADZ49+MAX(0,AED50-ADZ50-ADZ49)*(1-ADR51)</f>
        <v/>
      </c>
      <c r="AEE51" s="12">
        <f>AEE50+AEA51-AEA39*(AnnualChurn*VLOOKUP(ADN51,ChurnSeasonTable,4,FALSE))*POWER(1-(AnnualChurn*VLOOKUP(ADN51,ChurnSeasonTable,4,FALSE)),0)+AEA27*(AnnualChurn*VLOOKUP(ADN51,ChurnSeasonTable,4,FALSE))*POWER(1-(AnnualChurn*VLOOKUP(ADN51,ChurnSeasonTable,4,FALSE)),1)+AEA15*(AnnualChurn*VLOOKUP(ADN51,ChurnSeasonTable,4,FALSE))*POWER(1-(AnnualChurn*VLOOKUP(ADN51,ChurnSeasonTable,4,FALSE)),2)</f>
        <v/>
      </c>
      <c r="AEF51" s="12">
        <f>AEF50+AEB51-AEB39*(AnnualChurn*VLOOKUP(ADN51,ChurnSeasonTable,4,FALSE))*POWER(1-(AnnualChurn*VLOOKUP(ADN51,ChurnSeasonTable,4,FALSE)),0)+AEB27*(AnnualChurn*VLOOKUP(ADN51,ChurnSeasonTable,4,FALSE))*POWER(1-(AnnualChurn*VLOOKUP(ADN51,ChurnSeasonTable,4,FALSE)),1)+AEB15*(AnnualChurn*VLOOKUP(ADN51,ChurnSeasonTable,4,FALSE))*POWER(1-(AnnualChurn*VLOOKUP(ADN51,ChurnSeasonTable,4,FALSE)),2)</f>
        <v/>
      </c>
      <c r="AEG51" s="12">
        <f>AEC51+AED51+AEE51+AEF51</f>
        <v/>
      </c>
      <c r="AEH51" s="9">
        <f>AEC51*PriceEssMonthly*ADQ51+AED51*PricePremMonthly*ADQ51+AEE51*PriceEssAnnual*ADQ51/12+AEF51*PricePremAnnual*ADQ51/12</f>
        <v/>
      </c>
      <c r="AEI51" s="9">
        <f>AEH51*12</f>
        <v/>
      </c>
      <c r="AEJ51" s="12">
        <f>AEC51*PriceEssMonthly*ADQ51+AED51*PricePremMonthly*ADQ51</f>
        <v/>
      </c>
      <c r="AEK51" s="12">
        <f>AEA51*PriceEssAnnual*ADQ51+AEB51*PricePremAnnual*ADQ51</f>
        <v/>
      </c>
      <c r="AEL51" s="12">
        <f>AEA39*POWER(1-(AnnualChurn*VLOOKUP(ADN51,ChurnSeasonTable,4,FALSE)),1)*PriceEssAnnual*ADQ51+AEA27*POWER(1-(AnnualChurn*VLOOKUP(ADN51,ChurnSeasonTable,4,FALSE)),2)*PriceEssAnnual*ADQ51+AEA15*POWER(1-(AnnualChurn*VLOOKUP(ADN51,ChurnSeasonTable,4,FALSE)),3)*PriceEssAnnual*ADQ51+AEB39*POWER(1-(AnnualChurn*VLOOKUP(ADN51,ChurnSeasonTable,4,FALSE)),1)*PricePremAnnual*ADQ51+AEB27*POWER(1-(AnnualChurn*VLOOKUP(ADN51,ChurnSeasonTable,4,FALSE)),2)*PricePremAnnual*ADQ51+AEB15*POWER(1-(AnnualChurn*VLOOKUP(ADN51,ChurnSeasonTable,4,FALSE)),3)*PricePremAnnual*ADQ51</f>
        <v/>
      </c>
      <c r="AEM51" s="9">
        <f>AEJ51+AEK51+AEL51</f>
        <v/>
      </c>
      <c r="AEN51" s="12">
        <f>SUM(AEM40:AEM51)</f>
        <v/>
      </c>
      <c r="AEO51" s="12">
        <f>OR(AEO50,AEN51&gt;=VATThreshold)</f>
        <v/>
      </c>
      <c r="AEP51" s="9">
        <f>IF(AEO51,AEM51/(1+VATRate),AEM51)</f>
        <v/>
      </c>
      <c r="AEQ51" s="12">
        <f>AEM51-AEP51</f>
        <v/>
      </c>
      <c r="AER51" s="12">
        <f>IF(AEO51=0,0,IF(ADN51=1,SUMPRODUCT(--(($ADO$5:$ADO51=$ADO51-1)*($ADN$5:$ADN51&gt;=10)*($ADN$5:$ADN51&lt;=12)),$AEQ$5:$AEQ51),IF(ADN51=4,SUMPRODUCT(--(($ADO$5:$ADO51=$ADO51)*($ADN$5:$ADN51&gt;=1)*($ADN$5:$ADN51&lt;=3)),$AEQ$5:$AEQ51),IF(ADN51=7,SUMPRODUCT(--(($ADO$5:$ADO51=$ADO51)*($ADN$5:$ADN51&gt;=4)*($ADN$5:$ADN51&lt;=6)),$AEQ$5:$AEQ51),IF(ADN51=10,SUMPRODUCT(--(($ADO$5:$ADO51=$ADO51)*($ADN$5:$ADN51&gt;=7)*($ADN$5:$ADN51&lt;=9)),$AEQ$5:$AEQ51),0)))))</f>
        <v/>
      </c>
      <c r="AES51" s="12">
        <f>AES50+AEQ51-AER51</f>
        <v/>
      </c>
      <c r="AET51" s="12">
        <f>IF(ProviderDelay&gt;=1,AEP50*ProviderShare,AEP51*ProviderShare)</f>
        <v/>
      </c>
      <c r="AEU51" s="12">
        <f>AEM51*PaymentFee</f>
        <v/>
      </c>
      <c r="AEV51" s="12">
        <f>AEG51*OpsAI</f>
        <v/>
      </c>
      <c r="AEW51" s="12">
        <f>MonthlyFixed</f>
        <v/>
      </c>
      <c r="AEX51" s="12">
        <f>ADU51*ReferralReward</f>
        <v/>
      </c>
      <c r="AEY51" s="12">
        <f>ADS51</f>
        <v/>
      </c>
      <c r="AEZ51" s="9">
        <f>AEP51-AET51-AEU51-AEV51-AEW51-AEX51-AEY51</f>
        <v/>
      </c>
      <c r="AFA51" s="9">
        <f>AFA50+AEM51-(AET51+AEU51+AEV51+AEW51+AEX51+AEY51+AER51)</f>
        <v/>
      </c>
      <c r="AFB51" s="12">
        <f>IF(AEG51&gt;0,AEH51/AEG51,0)</f>
        <v/>
      </c>
      <c r="AFC51" s="11">
        <f>IF(AEG50&gt;0,MAX(0,(AEG50+ADV51-AEG51)/AEG50),0)</f>
        <v/>
      </c>
      <c r="AFE51" s="12" t="n">
        <v>47</v>
      </c>
      <c r="AFF51" s="12">
        <f>MOD(AFE51-1+LaunchMonth-1,12)+1</f>
        <v/>
      </c>
      <c r="AFG51" s="12">
        <f>INT((AFE51-1+LaunchMonth-1)/12)+1</f>
        <v/>
      </c>
      <c r="AFH51" s="12">
        <f>VLOOKUP(AFF51,SeasonTable,2,FALSE)</f>
        <v/>
      </c>
      <c r="AFI51" s="12">
        <f>(1+InflationRate)^INT((AFE51-1)/12)</f>
        <v/>
      </c>
      <c r="AFJ51" s="11">
        <f>MonthlyChurn*VLOOKUP(AFF51,ChurnSeasonTable,4,FALSE)</f>
        <v/>
      </c>
      <c r="AFK51" s="12">
        <f>MIN(MAX(MktMin19plus,AGE50*MktPct19plus),MAX(0,AGS50-CashBuffer))</f>
        <v/>
      </c>
      <c r="AFL51" s="12">
        <f>IF(AFK51&gt;0,MAX(1,ROUND(AFK51/'Sens - CAC &amp; Marketing'!$A$9*AFH51,0)),0)</f>
        <v/>
      </c>
      <c r="AFM51" s="12">
        <f>IF(AFL51&gt;0,ROUND(AFL51*ReferralMix/(1-ReferralMix),0),0)</f>
        <v/>
      </c>
      <c r="AFN51" s="12">
        <f>AFL51+AFM51</f>
        <v/>
      </c>
      <c r="AFO51" s="12">
        <f>ROUND(AFN51*(1-AnnualMix),0)</f>
        <v/>
      </c>
      <c r="AFP51" s="12">
        <f>AFN51-AFO51</f>
        <v/>
      </c>
      <c r="AFQ51" s="12">
        <f>ROUND(AFO51*EssentialMix,0)</f>
        <v/>
      </c>
      <c r="AFR51" s="12">
        <f>AFO51-AFQ51</f>
        <v/>
      </c>
      <c r="AFS51" s="12">
        <f>ROUND(AFP51*EssentialMix,0)</f>
        <v/>
      </c>
      <c r="AFT51" s="12">
        <f>AFP51-AFS51</f>
        <v/>
      </c>
      <c r="AFU51" s="12">
        <f>AFQ51+AFQ50+AFQ49+MAX(0,AFU50-AFQ50-AFQ49)*(1-AFJ51)</f>
        <v/>
      </c>
      <c r="AFV51" s="12">
        <f>AFR51+AFR50+AFR49+MAX(0,AFV50-AFR50-AFR49)*(1-AFJ51)</f>
        <v/>
      </c>
      <c r="AFW51" s="12">
        <f>AFW50+AFS51-AFS39*(AnnualChurn*VLOOKUP(AFF51,ChurnSeasonTable,4,FALSE))*POWER(1-(AnnualChurn*VLOOKUP(AFF51,ChurnSeasonTable,4,FALSE)),0)+AFS27*(AnnualChurn*VLOOKUP(AFF51,ChurnSeasonTable,4,FALSE))*POWER(1-(AnnualChurn*VLOOKUP(AFF51,ChurnSeasonTable,4,FALSE)),1)+AFS15*(AnnualChurn*VLOOKUP(AFF51,ChurnSeasonTable,4,FALSE))*POWER(1-(AnnualChurn*VLOOKUP(AFF51,ChurnSeasonTable,4,FALSE)),2)</f>
        <v/>
      </c>
      <c r="AFX51" s="12">
        <f>AFX50+AFT51-AFT39*(AnnualChurn*VLOOKUP(AFF51,ChurnSeasonTable,4,FALSE))*POWER(1-(AnnualChurn*VLOOKUP(AFF51,ChurnSeasonTable,4,FALSE)),0)+AFT27*(AnnualChurn*VLOOKUP(AFF51,ChurnSeasonTable,4,FALSE))*POWER(1-(AnnualChurn*VLOOKUP(AFF51,ChurnSeasonTable,4,FALSE)),1)+AFT15*(AnnualChurn*VLOOKUP(AFF51,ChurnSeasonTable,4,FALSE))*POWER(1-(AnnualChurn*VLOOKUP(AFF51,ChurnSeasonTable,4,FALSE)),2)</f>
        <v/>
      </c>
      <c r="AFY51" s="12">
        <f>AFU51+AFV51+AFW51+AFX51</f>
        <v/>
      </c>
      <c r="AFZ51" s="9">
        <f>AFU51*PriceEssMonthly*AFI51+AFV51*PricePremMonthly*AFI51+AFW51*PriceEssAnnual*AFI51/12+AFX51*PricePremAnnual*AFI51/12</f>
        <v/>
      </c>
      <c r="AGA51" s="9">
        <f>AFZ51*12</f>
        <v/>
      </c>
      <c r="AGB51" s="12">
        <f>AFU51*PriceEssMonthly*AFI51+AFV51*PricePremMonthly*AFI51</f>
        <v/>
      </c>
      <c r="AGC51" s="12">
        <f>AFS51*PriceEssAnnual*AFI51+AFT51*PricePremAnnual*AFI51</f>
        <v/>
      </c>
      <c r="AGD51" s="12">
        <f>AFS39*POWER(1-(AnnualChurn*VLOOKUP(AFF51,ChurnSeasonTable,4,FALSE)),1)*PriceEssAnnual*AFI51+AFS27*POWER(1-(AnnualChurn*VLOOKUP(AFF51,ChurnSeasonTable,4,FALSE)),2)*PriceEssAnnual*AFI51+AFS15*POWER(1-(AnnualChurn*VLOOKUP(AFF51,ChurnSeasonTable,4,FALSE)),3)*PriceEssAnnual*AFI51+AFT39*POWER(1-(AnnualChurn*VLOOKUP(AFF51,ChurnSeasonTable,4,FALSE)),1)*PricePremAnnual*AFI51+AFT27*POWER(1-(AnnualChurn*VLOOKUP(AFF51,ChurnSeasonTable,4,FALSE)),2)*PricePremAnnual*AFI51+AFT15*POWER(1-(AnnualChurn*VLOOKUP(AFF51,ChurnSeasonTable,4,FALSE)),3)*PricePremAnnual*AFI51</f>
        <v/>
      </c>
      <c r="AGE51" s="9">
        <f>AGB51+AGC51+AGD51</f>
        <v/>
      </c>
      <c r="AGF51" s="12">
        <f>SUM(AGE40:AGE51)</f>
        <v/>
      </c>
      <c r="AGG51" s="12">
        <f>OR(AGG50,AGF51&gt;=VATThreshold)</f>
        <v/>
      </c>
      <c r="AGH51" s="9">
        <f>IF(AGG51,AGE51/(1+VATRate),AGE51)</f>
        <v/>
      </c>
      <c r="AGI51" s="12">
        <f>AGE51-AGH51</f>
        <v/>
      </c>
      <c r="AGJ51" s="12">
        <f>IF(AGG51=0,0,IF(AFF51=1,SUMPRODUCT(--(($AFG$5:$AFG51=$AFG51-1)*($AFF$5:$AFF51&gt;=10)*($AFF$5:$AFF51&lt;=12)),$AGI$5:$AGI51),IF(AFF51=4,SUMPRODUCT(--(($AFG$5:$AFG51=$AFG51)*($AFF$5:$AFF51&gt;=1)*($AFF$5:$AFF51&lt;=3)),$AGI$5:$AGI51),IF(AFF51=7,SUMPRODUCT(--(($AFG$5:$AFG51=$AFG51)*($AFF$5:$AFF51&gt;=4)*($AFF$5:$AFF51&lt;=6)),$AGI$5:$AGI51),IF(AFF51=10,SUMPRODUCT(--(($AFG$5:$AFG51=$AFG51)*($AFF$5:$AFF51&gt;=7)*($AFF$5:$AFF51&lt;=9)),$AGI$5:$AGI51),0)))))</f>
        <v/>
      </c>
      <c r="AGK51" s="12">
        <f>AGK50+AGI51-AGJ51</f>
        <v/>
      </c>
      <c r="AGL51" s="12">
        <f>IF(ProviderDelay&gt;=1,AGH50*ProviderShare,AGH51*ProviderShare)</f>
        <v/>
      </c>
      <c r="AGM51" s="12">
        <f>AGE51*PaymentFee</f>
        <v/>
      </c>
      <c r="AGN51" s="12">
        <f>AFY51*OpsAI</f>
        <v/>
      </c>
      <c r="AGO51" s="12">
        <f>MonthlyFixed</f>
        <v/>
      </c>
      <c r="AGP51" s="12">
        <f>AFM51*ReferralReward</f>
        <v/>
      </c>
      <c r="AGQ51" s="12">
        <f>AFK51</f>
        <v/>
      </c>
      <c r="AGR51" s="9">
        <f>AGH51-AGL51-AGM51-AGN51-AGO51-AGP51-AGQ51</f>
        <v/>
      </c>
      <c r="AGS51" s="9">
        <f>AGS50+AGE51-(AGL51+AGM51+AGN51+AGO51+AGP51+AGQ51+AGJ51)</f>
        <v/>
      </c>
      <c r="AGT51" s="12">
        <f>IF(AFY51&gt;0,AFZ51/AFY51,0)</f>
        <v/>
      </c>
      <c r="AGU51" s="11">
        <f>IF(AFY50&gt;0,MAX(0,(AFY50+AFN51-AFY51)/AFY50),0)</f>
        <v/>
      </c>
      <c r="AGW51" s="12" t="n">
        <v>47</v>
      </c>
      <c r="AGX51" s="12">
        <f>MOD(AGW51-1+LaunchMonth-1,12)+1</f>
        <v/>
      </c>
      <c r="AGY51" s="12">
        <f>INT((AGW51-1+LaunchMonth-1)/12)+1</f>
        <v/>
      </c>
      <c r="AGZ51" s="12">
        <f>VLOOKUP(AGX51,SeasonTable,2,FALSE)</f>
        <v/>
      </c>
      <c r="AHA51" s="12">
        <f>(1+InflationRate)^INT((AGW51-1)/12)</f>
        <v/>
      </c>
      <c r="AHB51" s="11">
        <f>MonthlyChurn*VLOOKUP(AGX51,ChurnSeasonTable,4,FALSE)</f>
        <v/>
      </c>
      <c r="AHC51" s="12">
        <f>MIN(MAX(MktMin19plus,AHW50*MktPct19plus),MAX(0,AIK50-CashBuffer))</f>
        <v/>
      </c>
      <c r="AHD51" s="12">
        <f>IF(AHC51&gt;0,MAX(1,ROUND(AHC51/'Sens - CAC &amp; Marketing'!$A$10*AGZ51,0)),0)</f>
        <v/>
      </c>
      <c r="AHE51" s="12">
        <f>IF(AHD51&gt;0,ROUND(AHD51*ReferralMix/(1-ReferralMix),0),0)</f>
        <v/>
      </c>
      <c r="AHF51" s="12">
        <f>AHD51+AHE51</f>
        <v/>
      </c>
      <c r="AHG51" s="12">
        <f>ROUND(AHF51*(1-AnnualMix),0)</f>
        <v/>
      </c>
      <c r="AHH51" s="12">
        <f>AHF51-AHG51</f>
        <v/>
      </c>
      <c r="AHI51" s="12">
        <f>ROUND(AHG51*EssentialMix,0)</f>
        <v/>
      </c>
      <c r="AHJ51" s="12">
        <f>AHG51-AHI51</f>
        <v/>
      </c>
      <c r="AHK51" s="12">
        <f>ROUND(AHH51*EssentialMix,0)</f>
        <v/>
      </c>
      <c r="AHL51" s="12">
        <f>AHH51-AHK51</f>
        <v/>
      </c>
      <c r="AHM51" s="12">
        <f>AHI51+AHI50+AHI49+MAX(0,AHM50-AHI50-AHI49)*(1-AHB51)</f>
        <v/>
      </c>
      <c r="AHN51" s="12">
        <f>AHJ51+AHJ50+AHJ49+MAX(0,AHN50-AHJ50-AHJ49)*(1-AHB51)</f>
        <v/>
      </c>
      <c r="AHO51" s="12">
        <f>AHO50+AHK51-AHK39*(AnnualChurn*VLOOKUP(AGX51,ChurnSeasonTable,4,FALSE))*POWER(1-(AnnualChurn*VLOOKUP(AGX51,ChurnSeasonTable,4,FALSE)),0)+AHK27*(AnnualChurn*VLOOKUP(AGX51,ChurnSeasonTable,4,FALSE))*POWER(1-(AnnualChurn*VLOOKUP(AGX51,ChurnSeasonTable,4,FALSE)),1)+AHK15*(AnnualChurn*VLOOKUP(AGX51,ChurnSeasonTable,4,FALSE))*POWER(1-(AnnualChurn*VLOOKUP(AGX51,ChurnSeasonTable,4,FALSE)),2)</f>
        <v/>
      </c>
      <c r="AHP51" s="12">
        <f>AHP50+AHL51-AHL39*(AnnualChurn*VLOOKUP(AGX51,ChurnSeasonTable,4,FALSE))*POWER(1-(AnnualChurn*VLOOKUP(AGX51,ChurnSeasonTable,4,FALSE)),0)+AHL27*(AnnualChurn*VLOOKUP(AGX51,ChurnSeasonTable,4,FALSE))*POWER(1-(AnnualChurn*VLOOKUP(AGX51,ChurnSeasonTable,4,FALSE)),1)+AHL15*(AnnualChurn*VLOOKUP(AGX51,ChurnSeasonTable,4,FALSE))*POWER(1-(AnnualChurn*VLOOKUP(AGX51,ChurnSeasonTable,4,FALSE)),2)</f>
        <v/>
      </c>
      <c r="AHQ51" s="12">
        <f>AHM51+AHN51+AHO51+AHP51</f>
        <v/>
      </c>
      <c r="AHR51" s="9">
        <f>AHM51*PriceEssMonthly*AHA51+AHN51*PricePremMonthly*AHA51+AHO51*PriceEssAnnual*AHA51/12+AHP51*PricePremAnnual*AHA51/12</f>
        <v/>
      </c>
      <c r="AHS51" s="9">
        <f>AHR51*12</f>
        <v/>
      </c>
      <c r="AHT51" s="12">
        <f>AHM51*PriceEssMonthly*AHA51+AHN51*PricePremMonthly*AHA51</f>
        <v/>
      </c>
      <c r="AHU51" s="12">
        <f>AHK51*PriceEssAnnual*AHA51+AHL51*PricePremAnnual*AHA51</f>
        <v/>
      </c>
      <c r="AHV51" s="12">
        <f>AHK39*POWER(1-(AnnualChurn*VLOOKUP(AGX51,ChurnSeasonTable,4,FALSE)),1)*PriceEssAnnual*AHA51+AHK27*POWER(1-(AnnualChurn*VLOOKUP(AGX51,ChurnSeasonTable,4,FALSE)),2)*PriceEssAnnual*AHA51+AHK15*POWER(1-(AnnualChurn*VLOOKUP(AGX51,ChurnSeasonTable,4,FALSE)),3)*PriceEssAnnual*AHA51+AHL39*POWER(1-(AnnualChurn*VLOOKUP(AGX51,ChurnSeasonTable,4,FALSE)),1)*PricePremAnnual*AHA51+AHL27*POWER(1-(AnnualChurn*VLOOKUP(AGX51,ChurnSeasonTable,4,FALSE)),2)*PricePremAnnual*AHA51+AHL15*POWER(1-(AnnualChurn*VLOOKUP(AGX51,ChurnSeasonTable,4,FALSE)),3)*PricePremAnnual*AHA51</f>
        <v/>
      </c>
      <c r="AHW51" s="9">
        <f>AHT51+AHU51+AHV51</f>
        <v/>
      </c>
      <c r="AHX51" s="12">
        <f>SUM(AHW40:AHW51)</f>
        <v/>
      </c>
      <c r="AHY51" s="12">
        <f>OR(AHY50,AHX51&gt;=VATThreshold)</f>
        <v/>
      </c>
      <c r="AHZ51" s="9">
        <f>IF(AHY51,AHW51/(1+VATRate),AHW51)</f>
        <v/>
      </c>
      <c r="AIA51" s="12">
        <f>AHW51-AHZ51</f>
        <v/>
      </c>
      <c r="AIB51" s="12">
        <f>IF(AHY51=0,0,IF(AGX51=1,SUMPRODUCT(--(($AGY$5:$AGY51=$AGY51-1)*($AGX$5:$AGX51&gt;=10)*($AGX$5:$AGX51&lt;=12)),$AIA$5:$AIA51),IF(AGX51=4,SUMPRODUCT(--(($AGY$5:$AGY51=$AGY51)*($AGX$5:$AGX51&gt;=1)*($AGX$5:$AGX51&lt;=3)),$AIA$5:$AIA51),IF(AGX51=7,SUMPRODUCT(--(($AGY$5:$AGY51=$AGY51)*($AGX$5:$AGX51&gt;=4)*($AGX$5:$AGX51&lt;=6)),$AIA$5:$AIA51),IF(AGX51=10,SUMPRODUCT(--(($AGY$5:$AGY51=$AGY51)*($AGX$5:$AGX51&gt;=7)*($AGX$5:$AGX51&lt;=9)),$AIA$5:$AIA51),0)))))</f>
        <v/>
      </c>
      <c r="AIC51" s="12">
        <f>AIC50+AIA51-AIB51</f>
        <v/>
      </c>
      <c r="AID51" s="12">
        <f>IF(ProviderDelay&gt;=1,AHZ50*ProviderShare,AHZ51*ProviderShare)</f>
        <v/>
      </c>
      <c r="AIE51" s="12">
        <f>AHW51*PaymentFee</f>
        <v/>
      </c>
      <c r="AIF51" s="12">
        <f>AHQ51*OpsAI</f>
        <v/>
      </c>
      <c r="AIG51" s="12">
        <f>MonthlyFixed</f>
        <v/>
      </c>
      <c r="AIH51" s="12">
        <f>AHE51*ReferralReward</f>
        <v/>
      </c>
      <c r="AII51" s="12">
        <f>AHC51</f>
        <v/>
      </c>
      <c r="AIJ51" s="9">
        <f>AHZ51-AID51-AIE51-AIF51-AIG51-AIH51-AII51</f>
        <v/>
      </c>
      <c r="AIK51" s="9">
        <f>AIK50+AHW51-(AID51+AIE51+AIF51+AIG51+AIH51+AII51+AIB51)</f>
        <v/>
      </c>
      <c r="AIL51" s="12">
        <f>IF(AHQ51&gt;0,AHR51/AHQ51,0)</f>
        <v/>
      </c>
      <c r="AIM51" s="11">
        <f>IF(AHQ50&gt;0,MAX(0,(AHQ50+AHF51-AHQ51)/AHQ50),0)</f>
        <v/>
      </c>
      <c r="AIO51" s="12" t="n">
        <v>47</v>
      </c>
      <c r="AIP51" s="12">
        <f>MOD(AIO51-1+LaunchMonth-1,12)+1</f>
        <v/>
      </c>
      <c r="AIQ51" s="12">
        <f>INT((AIO51-1+LaunchMonth-1)/12)+1</f>
        <v/>
      </c>
      <c r="AIR51" s="12">
        <f>VLOOKUP(AIP51,SeasonTable,2,FALSE)</f>
        <v/>
      </c>
      <c r="AIS51" s="12">
        <f>(1+InflationRate)^INT((AIO51-1)/12)</f>
        <v/>
      </c>
      <c r="AIT51" s="11">
        <f>MonthlyChurn*VLOOKUP(AIP51,ChurnSeasonTable,4,FALSE)</f>
        <v/>
      </c>
      <c r="AIU51" s="12">
        <f>MIN(MAX(MktMin19plus,AJO50*MktPct19plus),MAX(0,AKC50-CashBuffer))</f>
        <v/>
      </c>
      <c r="AIV51" s="12">
        <f>IF(AIU51&gt;0,MAX(1,ROUND(AIU51/'Sens - CAC &amp; Marketing'!$A$11*AIR51,0)),0)</f>
        <v/>
      </c>
      <c r="AIW51" s="12">
        <f>IF(AIV51&gt;0,ROUND(AIV51*ReferralMix/(1-ReferralMix),0),0)</f>
        <v/>
      </c>
      <c r="AIX51" s="12">
        <f>AIV51+AIW51</f>
        <v/>
      </c>
      <c r="AIY51" s="12">
        <f>ROUND(AIX51*(1-AnnualMix),0)</f>
        <v/>
      </c>
      <c r="AIZ51" s="12">
        <f>AIX51-AIY51</f>
        <v/>
      </c>
      <c r="AJA51" s="12">
        <f>ROUND(AIY51*EssentialMix,0)</f>
        <v/>
      </c>
      <c r="AJB51" s="12">
        <f>AIY51-AJA51</f>
        <v/>
      </c>
      <c r="AJC51" s="12">
        <f>ROUND(AIZ51*EssentialMix,0)</f>
        <v/>
      </c>
      <c r="AJD51" s="12">
        <f>AIZ51-AJC51</f>
        <v/>
      </c>
      <c r="AJE51" s="12">
        <f>AJA51+AJA50+AJA49+MAX(0,AJE50-AJA50-AJA49)*(1-AIT51)</f>
        <v/>
      </c>
      <c r="AJF51" s="12">
        <f>AJB51+AJB50+AJB49+MAX(0,AJF50-AJB50-AJB49)*(1-AIT51)</f>
        <v/>
      </c>
      <c r="AJG51" s="12">
        <f>AJG50+AJC51-AJC39*(AnnualChurn*VLOOKUP(AIP51,ChurnSeasonTable,4,FALSE))*POWER(1-(AnnualChurn*VLOOKUP(AIP51,ChurnSeasonTable,4,FALSE)),0)+AJC27*(AnnualChurn*VLOOKUP(AIP51,ChurnSeasonTable,4,FALSE))*POWER(1-(AnnualChurn*VLOOKUP(AIP51,ChurnSeasonTable,4,FALSE)),1)+AJC15*(AnnualChurn*VLOOKUP(AIP51,ChurnSeasonTable,4,FALSE))*POWER(1-(AnnualChurn*VLOOKUP(AIP51,ChurnSeasonTable,4,FALSE)),2)</f>
        <v/>
      </c>
      <c r="AJH51" s="12">
        <f>AJH50+AJD51-AJD39*(AnnualChurn*VLOOKUP(AIP51,ChurnSeasonTable,4,FALSE))*POWER(1-(AnnualChurn*VLOOKUP(AIP51,ChurnSeasonTable,4,FALSE)),0)+AJD27*(AnnualChurn*VLOOKUP(AIP51,ChurnSeasonTable,4,FALSE))*POWER(1-(AnnualChurn*VLOOKUP(AIP51,ChurnSeasonTable,4,FALSE)),1)+AJD15*(AnnualChurn*VLOOKUP(AIP51,ChurnSeasonTable,4,FALSE))*POWER(1-(AnnualChurn*VLOOKUP(AIP51,ChurnSeasonTable,4,FALSE)),2)</f>
        <v/>
      </c>
      <c r="AJI51" s="12">
        <f>AJE51+AJF51+AJG51+AJH51</f>
        <v/>
      </c>
      <c r="AJJ51" s="9">
        <f>AJE51*PriceEssMonthly*AIS51+AJF51*PricePremMonthly*AIS51+AJG51*PriceEssAnnual*AIS51/12+AJH51*PricePremAnnual*AIS51/12</f>
        <v/>
      </c>
      <c r="AJK51" s="9">
        <f>AJJ51*12</f>
        <v/>
      </c>
      <c r="AJL51" s="12">
        <f>AJE51*PriceEssMonthly*AIS51+AJF51*PricePremMonthly*AIS51</f>
        <v/>
      </c>
      <c r="AJM51" s="12">
        <f>AJC51*PriceEssAnnual*AIS51+AJD51*PricePremAnnual*AIS51</f>
        <v/>
      </c>
      <c r="AJN51" s="12">
        <f>AJC39*POWER(1-(AnnualChurn*VLOOKUP(AIP51,ChurnSeasonTable,4,FALSE)),1)*PriceEssAnnual*AIS51+AJC27*POWER(1-(AnnualChurn*VLOOKUP(AIP51,ChurnSeasonTable,4,FALSE)),2)*PriceEssAnnual*AIS51+AJC15*POWER(1-(AnnualChurn*VLOOKUP(AIP51,ChurnSeasonTable,4,FALSE)),3)*PriceEssAnnual*AIS51+AJD39*POWER(1-(AnnualChurn*VLOOKUP(AIP51,ChurnSeasonTable,4,FALSE)),1)*PricePremAnnual*AIS51+AJD27*POWER(1-(AnnualChurn*VLOOKUP(AIP51,ChurnSeasonTable,4,FALSE)),2)*PricePremAnnual*AIS51+AJD15*POWER(1-(AnnualChurn*VLOOKUP(AIP51,ChurnSeasonTable,4,FALSE)),3)*PricePremAnnual*AIS51</f>
        <v/>
      </c>
      <c r="AJO51" s="9">
        <f>AJL51+AJM51+AJN51</f>
        <v/>
      </c>
      <c r="AJP51" s="12">
        <f>SUM(AJO40:AJO51)</f>
        <v/>
      </c>
      <c r="AJQ51" s="12">
        <f>OR(AJQ50,AJP51&gt;=VATThreshold)</f>
        <v/>
      </c>
      <c r="AJR51" s="9">
        <f>IF(AJQ51,AJO51/(1+VATRate),AJO51)</f>
        <v/>
      </c>
      <c r="AJS51" s="12">
        <f>AJO51-AJR51</f>
        <v/>
      </c>
      <c r="AJT51" s="12">
        <f>IF(AJQ51=0,0,IF(AIP51=1,SUMPRODUCT(--(($AIQ$5:$AIQ51=$AIQ51-1)*($AIP$5:$AIP51&gt;=10)*($AIP$5:$AIP51&lt;=12)),$AJS$5:$AJS51),IF(AIP51=4,SUMPRODUCT(--(($AIQ$5:$AIQ51=$AIQ51)*($AIP$5:$AIP51&gt;=1)*($AIP$5:$AIP51&lt;=3)),$AJS$5:$AJS51),IF(AIP51=7,SUMPRODUCT(--(($AIQ$5:$AIQ51=$AIQ51)*($AIP$5:$AIP51&gt;=4)*($AIP$5:$AIP51&lt;=6)),$AJS$5:$AJS51),IF(AIP51=10,SUMPRODUCT(--(($AIQ$5:$AIQ51=$AIQ51)*($AIP$5:$AIP51&gt;=7)*($AIP$5:$AIP51&lt;=9)),$AJS$5:$AJS51),0)))))</f>
        <v/>
      </c>
      <c r="AJU51" s="12">
        <f>AJU50+AJS51-AJT51</f>
        <v/>
      </c>
      <c r="AJV51" s="12">
        <f>IF(ProviderDelay&gt;=1,AJR50*ProviderShare,AJR51*ProviderShare)</f>
        <v/>
      </c>
      <c r="AJW51" s="12">
        <f>AJO51*PaymentFee</f>
        <v/>
      </c>
      <c r="AJX51" s="12">
        <f>AJI51*OpsAI</f>
        <v/>
      </c>
      <c r="AJY51" s="12">
        <f>MonthlyFixed</f>
        <v/>
      </c>
      <c r="AJZ51" s="12">
        <f>AIW51*ReferralReward</f>
        <v/>
      </c>
      <c r="AKA51" s="12">
        <f>AIU51</f>
        <v/>
      </c>
      <c r="AKB51" s="9">
        <f>AJR51-AJV51-AJW51-AJX51-AJY51-AJZ51-AKA51</f>
        <v/>
      </c>
      <c r="AKC51" s="9">
        <f>AKC50+AJO51-(AJV51+AJW51+AJX51+AJY51+AJZ51+AKA51+AJT51)</f>
        <v/>
      </c>
      <c r="AKD51" s="12">
        <f>IF(AJI51&gt;0,AJJ51/AJI51,0)</f>
        <v/>
      </c>
      <c r="AKE51" s="11">
        <f>IF(AJI50&gt;0,MAX(0,(AJI50+AIX51-AJI51)/AJI50),0)</f>
        <v/>
      </c>
      <c r="AKG51" s="12" t="n">
        <v>47</v>
      </c>
      <c r="AKH51" s="12">
        <f>MOD(AKG51-1+LaunchMonth-1,12)+1</f>
        <v/>
      </c>
      <c r="AKI51" s="12">
        <f>INT((AKG51-1+LaunchMonth-1)/12)+1</f>
        <v/>
      </c>
      <c r="AKJ51" s="12">
        <f>VLOOKUP(AKH51,SeasonTable,2,FALSE)</f>
        <v/>
      </c>
      <c r="AKK51" s="12">
        <f>(1+InflationRate)^INT((AKG51-1)/12)</f>
        <v/>
      </c>
      <c r="AKL51" s="11">
        <f>MonthlyChurn*VLOOKUP(AKH51,ChurnSeasonTable,4,FALSE)</f>
        <v/>
      </c>
      <c r="AKM51" s="12">
        <f>MIN(MAX(MktMin19plus,ALG50*MktPct19plus),MAX(0,ALU50-CashBuffer))</f>
        <v/>
      </c>
      <c r="AKN51" s="12">
        <f>IF(AKM51&gt;0,MAX(1,ROUND(AKM51/'Sens - CAC &amp; Marketing'!$A$12*AKJ51,0)),0)</f>
        <v/>
      </c>
      <c r="AKO51" s="12">
        <f>IF(AKN51&gt;0,ROUND(AKN51*ReferralMix/(1-ReferralMix),0),0)</f>
        <v/>
      </c>
      <c r="AKP51" s="12">
        <f>AKN51+AKO51</f>
        <v/>
      </c>
      <c r="AKQ51" s="12">
        <f>ROUND(AKP51*(1-AnnualMix),0)</f>
        <v/>
      </c>
      <c r="AKR51" s="12">
        <f>AKP51-AKQ51</f>
        <v/>
      </c>
      <c r="AKS51" s="12">
        <f>ROUND(AKQ51*EssentialMix,0)</f>
        <v/>
      </c>
      <c r="AKT51" s="12">
        <f>AKQ51-AKS51</f>
        <v/>
      </c>
      <c r="AKU51" s="12">
        <f>ROUND(AKR51*EssentialMix,0)</f>
        <v/>
      </c>
      <c r="AKV51" s="12">
        <f>AKR51-AKU51</f>
        <v/>
      </c>
      <c r="AKW51" s="12">
        <f>AKS51+AKS50+AKS49+MAX(0,AKW50-AKS50-AKS49)*(1-AKL51)</f>
        <v/>
      </c>
      <c r="AKX51" s="12">
        <f>AKT51+AKT50+AKT49+MAX(0,AKX50-AKT50-AKT49)*(1-AKL51)</f>
        <v/>
      </c>
      <c r="AKY51" s="12">
        <f>AKY50+AKU51-AKU39*(AnnualChurn*VLOOKUP(AKH51,ChurnSeasonTable,4,FALSE))*POWER(1-(AnnualChurn*VLOOKUP(AKH51,ChurnSeasonTable,4,FALSE)),0)+AKU27*(AnnualChurn*VLOOKUP(AKH51,ChurnSeasonTable,4,FALSE))*POWER(1-(AnnualChurn*VLOOKUP(AKH51,ChurnSeasonTable,4,FALSE)),1)+AKU15*(AnnualChurn*VLOOKUP(AKH51,ChurnSeasonTable,4,FALSE))*POWER(1-(AnnualChurn*VLOOKUP(AKH51,ChurnSeasonTable,4,FALSE)),2)</f>
        <v/>
      </c>
      <c r="AKZ51" s="12">
        <f>AKZ50+AKV51-AKV39*(AnnualChurn*VLOOKUP(AKH51,ChurnSeasonTable,4,FALSE))*POWER(1-(AnnualChurn*VLOOKUP(AKH51,ChurnSeasonTable,4,FALSE)),0)+AKV27*(AnnualChurn*VLOOKUP(AKH51,ChurnSeasonTable,4,FALSE))*POWER(1-(AnnualChurn*VLOOKUP(AKH51,ChurnSeasonTable,4,FALSE)),1)+AKV15*(AnnualChurn*VLOOKUP(AKH51,ChurnSeasonTable,4,FALSE))*POWER(1-(AnnualChurn*VLOOKUP(AKH51,ChurnSeasonTable,4,FALSE)),2)</f>
        <v/>
      </c>
      <c r="ALA51" s="12">
        <f>AKW51+AKX51+AKY51+AKZ51</f>
        <v/>
      </c>
      <c r="ALB51" s="9">
        <f>AKW51*PriceEssMonthly*AKK51+AKX51*PricePremMonthly*AKK51+AKY51*PriceEssAnnual*AKK51/12+AKZ51*PricePremAnnual*AKK51/12</f>
        <v/>
      </c>
      <c r="ALC51" s="9">
        <f>ALB51*12</f>
        <v/>
      </c>
      <c r="ALD51" s="12">
        <f>AKW51*PriceEssMonthly*AKK51+AKX51*PricePremMonthly*AKK51</f>
        <v/>
      </c>
      <c r="ALE51" s="12">
        <f>AKU51*PriceEssAnnual*AKK51+AKV51*PricePremAnnual*AKK51</f>
        <v/>
      </c>
      <c r="ALF51" s="12">
        <f>AKU39*POWER(1-(AnnualChurn*VLOOKUP(AKH51,ChurnSeasonTable,4,FALSE)),1)*PriceEssAnnual*AKK51+AKU27*POWER(1-(AnnualChurn*VLOOKUP(AKH51,ChurnSeasonTable,4,FALSE)),2)*PriceEssAnnual*AKK51+AKU15*POWER(1-(AnnualChurn*VLOOKUP(AKH51,ChurnSeasonTable,4,FALSE)),3)*PriceEssAnnual*AKK51+AKV39*POWER(1-(AnnualChurn*VLOOKUP(AKH51,ChurnSeasonTable,4,FALSE)),1)*PricePremAnnual*AKK51+AKV27*POWER(1-(AnnualChurn*VLOOKUP(AKH51,ChurnSeasonTable,4,FALSE)),2)*PricePremAnnual*AKK51+AKV15*POWER(1-(AnnualChurn*VLOOKUP(AKH51,ChurnSeasonTable,4,FALSE)),3)*PricePremAnnual*AKK51</f>
        <v/>
      </c>
      <c r="ALG51" s="9">
        <f>ALD51+ALE51+ALF51</f>
        <v/>
      </c>
      <c r="ALH51" s="12">
        <f>SUM(ALG40:ALG51)</f>
        <v/>
      </c>
      <c r="ALI51" s="12">
        <f>OR(ALI50,ALH51&gt;=VATThreshold)</f>
        <v/>
      </c>
      <c r="ALJ51" s="9">
        <f>IF(ALI51,ALG51/(1+VATRate),ALG51)</f>
        <v/>
      </c>
      <c r="ALK51" s="12">
        <f>ALG51-ALJ51</f>
        <v/>
      </c>
      <c r="ALL51" s="12">
        <f>IF(ALI51=0,0,IF(AKH51=1,SUMPRODUCT(--(($AKI$5:$AKI51=$AKI51-1)*($AKH$5:$AKH51&gt;=10)*($AKH$5:$AKH51&lt;=12)),$ALK$5:$ALK51),IF(AKH51=4,SUMPRODUCT(--(($AKI$5:$AKI51=$AKI51)*($AKH$5:$AKH51&gt;=1)*($AKH$5:$AKH51&lt;=3)),$ALK$5:$ALK51),IF(AKH51=7,SUMPRODUCT(--(($AKI$5:$AKI51=$AKI51)*($AKH$5:$AKH51&gt;=4)*($AKH$5:$AKH51&lt;=6)),$ALK$5:$ALK51),IF(AKH51=10,SUMPRODUCT(--(($AKI$5:$AKI51=$AKI51)*($AKH$5:$AKH51&gt;=7)*($AKH$5:$AKH51&lt;=9)),$ALK$5:$ALK51),0)))))</f>
        <v/>
      </c>
      <c r="ALM51" s="12">
        <f>ALM50+ALK51-ALL51</f>
        <v/>
      </c>
      <c r="ALN51" s="12">
        <f>IF(ProviderDelay&gt;=1,ALJ50*ProviderShare,ALJ51*ProviderShare)</f>
        <v/>
      </c>
      <c r="ALO51" s="12">
        <f>ALG51*PaymentFee</f>
        <v/>
      </c>
      <c r="ALP51" s="12">
        <f>ALA51*OpsAI</f>
        <v/>
      </c>
      <c r="ALQ51" s="12">
        <f>MonthlyFixed</f>
        <v/>
      </c>
      <c r="ALR51" s="12">
        <f>AKO51*ReferralReward</f>
        <v/>
      </c>
      <c r="ALS51" s="12">
        <f>AKM51</f>
        <v/>
      </c>
      <c r="ALT51" s="9">
        <f>ALJ51-ALN51-ALO51-ALP51-ALQ51-ALR51-ALS51</f>
        <v/>
      </c>
      <c r="ALU51" s="9">
        <f>ALU50+ALG51-(ALN51+ALO51+ALP51+ALQ51+ALR51+ALS51+ALL51)</f>
        <v/>
      </c>
      <c r="ALV51" s="12">
        <f>IF(ALA51&gt;0,ALB51/ALA51,0)</f>
        <v/>
      </c>
      <c r="ALW51" s="11">
        <f>IF(ALA50&gt;0,MAX(0,(ALA50+AKP51-ALA51)/ALA50),0)</f>
        <v/>
      </c>
      <c r="ALY51" s="12" t="n">
        <v>47</v>
      </c>
      <c r="ALZ51" s="12">
        <f>MOD(ALY51-1+LaunchMonth-1,12)+1</f>
        <v/>
      </c>
      <c r="AMA51" s="12">
        <f>INT((ALY51-1+LaunchMonth-1)/12)+1</f>
        <v/>
      </c>
      <c r="AMB51" s="12">
        <f>VLOOKUP(ALZ51,SeasonTable,2,FALSE)</f>
        <v/>
      </c>
      <c r="AMC51" s="12">
        <f>(1+InflationRate)^INT((ALY51-1)/12)</f>
        <v/>
      </c>
      <c r="AMD51" s="11">
        <f>MonthlyChurn*VLOOKUP(ALZ51,ChurnSeasonTable,4,FALSE)</f>
        <v/>
      </c>
      <c r="AME51" s="12">
        <f>MIN(MAX(MktMin19plus,AMY50*MktPct19plus),MAX(0,ANM50-CashBuffer))</f>
        <v/>
      </c>
      <c r="AMF51" s="12">
        <f>IF(AME51&gt;0,MAX(1,ROUND(AME51/'Sens - CAC &amp; Marketing'!$A$13*AMB51,0)),0)</f>
        <v/>
      </c>
      <c r="AMG51" s="12">
        <f>IF(AMF51&gt;0,ROUND(AMF51*ReferralMix/(1-ReferralMix),0),0)</f>
        <v/>
      </c>
      <c r="AMH51" s="12">
        <f>AMF51+AMG51</f>
        <v/>
      </c>
      <c r="AMI51" s="12">
        <f>ROUND(AMH51*(1-AnnualMix),0)</f>
        <v/>
      </c>
      <c r="AMJ51" s="12">
        <f>AMH51-AMI51</f>
        <v/>
      </c>
      <c r="AMK51" s="12">
        <f>ROUND(AMI51*EssentialMix,0)</f>
        <v/>
      </c>
      <c r="AML51" s="12">
        <f>AMI51-AMK51</f>
        <v/>
      </c>
      <c r="AMM51" s="12">
        <f>ROUND(AMJ51*EssentialMix,0)</f>
        <v/>
      </c>
      <c r="AMN51" s="12">
        <f>AMJ51-AMM51</f>
        <v/>
      </c>
      <c r="AMO51" s="12">
        <f>AMK51+AMK50+AMK49+MAX(0,AMO50-AMK50-AMK49)*(1-AMD51)</f>
        <v/>
      </c>
      <c r="AMP51" s="12">
        <f>AML51+AML50+AML49+MAX(0,AMP50-AML50-AML49)*(1-AMD51)</f>
        <v/>
      </c>
      <c r="AMQ51" s="12">
        <f>AMQ50+AMM51-AMM39*(AnnualChurn*VLOOKUP(ALZ51,ChurnSeasonTable,4,FALSE))*POWER(1-(AnnualChurn*VLOOKUP(ALZ51,ChurnSeasonTable,4,FALSE)),0)+AMM27*(AnnualChurn*VLOOKUP(ALZ51,ChurnSeasonTable,4,FALSE))*POWER(1-(AnnualChurn*VLOOKUP(ALZ51,ChurnSeasonTable,4,FALSE)),1)+AMM15*(AnnualChurn*VLOOKUP(ALZ51,ChurnSeasonTable,4,FALSE))*POWER(1-(AnnualChurn*VLOOKUP(ALZ51,ChurnSeasonTable,4,FALSE)),2)</f>
        <v/>
      </c>
      <c r="AMR51" s="12">
        <f>AMR50+AMN51-AMN39*(AnnualChurn*VLOOKUP(ALZ51,ChurnSeasonTable,4,FALSE))*POWER(1-(AnnualChurn*VLOOKUP(ALZ51,ChurnSeasonTable,4,FALSE)),0)+AMN27*(AnnualChurn*VLOOKUP(ALZ51,ChurnSeasonTable,4,FALSE))*POWER(1-(AnnualChurn*VLOOKUP(ALZ51,ChurnSeasonTable,4,FALSE)),1)+AMN15*(AnnualChurn*VLOOKUP(ALZ51,ChurnSeasonTable,4,FALSE))*POWER(1-(AnnualChurn*VLOOKUP(ALZ51,ChurnSeasonTable,4,FALSE)),2)</f>
        <v/>
      </c>
      <c r="AMS51" s="12">
        <f>AMO51+AMP51+AMQ51+AMR51</f>
        <v/>
      </c>
      <c r="AMT51" s="9">
        <f>AMO51*PriceEssMonthly*AMC51+AMP51*PricePremMonthly*AMC51+AMQ51*PriceEssAnnual*AMC51/12+AMR51*PricePremAnnual*AMC51/12</f>
        <v/>
      </c>
      <c r="AMU51" s="9">
        <f>AMT51*12</f>
        <v/>
      </c>
      <c r="AMV51" s="12">
        <f>AMO51*PriceEssMonthly*AMC51+AMP51*PricePremMonthly*AMC51</f>
        <v/>
      </c>
      <c r="AMW51" s="12">
        <f>AMM51*PriceEssAnnual*AMC51+AMN51*PricePremAnnual*AMC51</f>
        <v/>
      </c>
      <c r="AMX51" s="12">
        <f>AMM39*POWER(1-(AnnualChurn*VLOOKUP(ALZ51,ChurnSeasonTable,4,FALSE)),1)*PriceEssAnnual*AMC51+AMM27*POWER(1-(AnnualChurn*VLOOKUP(ALZ51,ChurnSeasonTable,4,FALSE)),2)*PriceEssAnnual*AMC51+AMM15*POWER(1-(AnnualChurn*VLOOKUP(ALZ51,ChurnSeasonTable,4,FALSE)),3)*PriceEssAnnual*AMC51+AMN39*POWER(1-(AnnualChurn*VLOOKUP(ALZ51,ChurnSeasonTable,4,FALSE)),1)*PricePremAnnual*AMC51+AMN27*POWER(1-(AnnualChurn*VLOOKUP(ALZ51,ChurnSeasonTable,4,FALSE)),2)*PricePremAnnual*AMC51+AMN15*POWER(1-(AnnualChurn*VLOOKUP(ALZ51,ChurnSeasonTable,4,FALSE)),3)*PricePremAnnual*AMC51</f>
        <v/>
      </c>
      <c r="AMY51" s="9">
        <f>AMV51+AMW51+AMX51</f>
        <v/>
      </c>
      <c r="AMZ51" s="12">
        <f>SUM(AMY40:AMY51)</f>
        <v/>
      </c>
      <c r="ANA51" s="12">
        <f>OR(ANA50,AMZ51&gt;=VATThreshold)</f>
        <v/>
      </c>
      <c r="ANB51" s="9">
        <f>IF(ANA51,AMY51/(1+VATRate),AMY51)</f>
        <v/>
      </c>
      <c r="ANC51" s="12">
        <f>AMY51-ANB51</f>
        <v/>
      </c>
      <c r="AND51" s="12">
        <f>IF(ANA51=0,0,IF(ALZ51=1,SUMPRODUCT(--(($AMA$5:$AMA51=$AMA51-1)*($ALZ$5:$ALZ51&gt;=10)*($ALZ$5:$ALZ51&lt;=12)),$ANC$5:$ANC51),IF(ALZ51=4,SUMPRODUCT(--(($AMA$5:$AMA51=$AMA51)*($ALZ$5:$ALZ51&gt;=1)*($ALZ$5:$ALZ51&lt;=3)),$ANC$5:$ANC51),IF(ALZ51=7,SUMPRODUCT(--(($AMA$5:$AMA51=$AMA51)*($ALZ$5:$ALZ51&gt;=4)*($ALZ$5:$ALZ51&lt;=6)),$ANC$5:$ANC51),IF(ALZ51=10,SUMPRODUCT(--(($AMA$5:$AMA51=$AMA51)*($ALZ$5:$ALZ51&gt;=7)*($ALZ$5:$ALZ51&lt;=9)),$ANC$5:$ANC51),0)))))</f>
        <v/>
      </c>
      <c r="ANE51" s="12">
        <f>ANE50+ANC51-AND51</f>
        <v/>
      </c>
      <c r="ANF51" s="12">
        <f>IF(ProviderDelay&gt;=1,ANB50*ProviderShare,ANB51*ProviderShare)</f>
        <v/>
      </c>
      <c r="ANG51" s="12">
        <f>AMY51*PaymentFee</f>
        <v/>
      </c>
      <c r="ANH51" s="12">
        <f>AMS51*OpsAI</f>
        <v/>
      </c>
      <c r="ANI51" s="12">
        <f>MonthlyFixed</f>
        <v/>
      </c>
      <c r="ANJ51" s="12">
        <f>AMG51*ReferralReward</f>
        <v/>
      </c>
      <c r="ANK51" s="12">
        <f>AME51</f>
        <v/>
      </c>
      <c r="ANL51" s="9">
        <f>ANB51-ANF51-ANG51-ANH51-ANI51-ANJ51-ANK51</f>
        <v/>
      </c>
      <c r="ANM51" s="9">
        <f>ANM50+AMY51-(ANF51+ANG51+ANH51+ANI51+ANJ51+ANK51+AND51)</f>
        <v/>
      </c>
      <c r="ANN51" s="12">
        <f>IF(AMS51&gt;0,AMT51/AMS51,0)</f>
        <v/>
      </c>
      <c r="ANO51" s="11">
        <f>IF(AMS50&gt;0,MAX(0,(AMS50+AMH51-AMS51)/AMS50),0)</f>
        <v/>
      </c>
      <c r="ANQ51" s="12" t="n">
        <v>47</v>
      </c>
      <c r="ANR51" s="12">
        <f>MOD(ANQ51-1+LaunchMonth-1,12)+1</f>
        <v/>
      </c>
      <c r="ANS51" s="12">
        <f>INT((ANQ51-1+LaunchMonth-1)/12)+1</f>
        <v/>
      </c>
      <c r="ANT51" s="12">
        <f>VLOOKUP(ANR51,SeasonTable,2,FALSE)</f>
        <v/>
      </c>
      <c r="ANU51" s="12">
        <f>(1+InflationRate)^INT((ANQ51-1)/12)</f>
        <v/>
      </c>
      <c r="ANV51" s="11">
        <f>MonthlyChurn*VLOOKUP(ANR51,ChurnSeasonTable,4,FALSE)</f>
        <v/>
      </c>
      <c r="ANW51" s="12">
        <f>MIN(MAX(MktMin19plus,AOQ50*MktPct19plus),MAX(0,APE50-CashBuffer))</f>
        <v/>
      </c>
      <c r="ANX51" s="12">
        <f>IF(ANW51&gt;0,MAX(1,ROUND(ANW51/'Sens - CAC &amp; Marketing'!$A$14*ANT51,0)),0)</f>
        <v/>
      </c>
      <c r="ANY51" s="12">
        <f>IF(ANX51&gt;0,ROUND(ANX51*ReferralMix/(1-ReferralMix),0),0)</f>
        <v/>
      </c>
      <c r="ANZ51" s="12">
        <f>ANX51+ANY51</f>
        <v/>
      </c>
      <c r="AOA51" s="12">
        <f>ROUND(ANZ51*(1-AnnualMix),0)</f>
        <v/>
      </c>
      <c r="AOB51" s="12">
        <f>ANZ51-AOA51</f>
        <v/>
      </c>
      <c r="AOC51" s="12">
        <f>ROUND(AOA51*EssentialMix,0)</f>
        <v/>
      </c>
      <c r="AOD51" s="12">
        <f>AOA51-AOC51</f>
        <v/>
      </c>
      <c r="AOE51" s="12">
        <f>ROUND(AOB51*EssentialMix,0)</f>
        <v/>
      </c>
      <c r="AOF51" s="12">
        <f>AOB51-AOE51</f>
        <v/>
      </c>
      <c r="AOG51" s="12">
        <f>AOC51+AOC50+AOC49+MAX(0,AOG50-AOC50-AOC49)*(1-ANV51)</f>
        <v/>
      </c>
      <c r="AOH51" s="12">
        <f>AOD51+AOD50+AOD49+MAX(0,AOH50-AOD50-AOD49)*(1-ANV51)</f>
        <v/>
      </c>
      <c r="AOI51" s="12">
        <f>AOI50+AOE51-AOE39*(AnnualChurn*VLOOKUP(ANR51,ChurnSeasonTable,4,FALSE))*POWER(1-(AnnualChurn*VLOOKUP(ANR51,ChurnSeasonTable,4,FALSE)),0)+AOE27*(AnnualChurn*VLOOKUP(ANR51,ChurnSeasonTable,4,FALSE))*POWER(1-(AnnualChurn*VLOOKUP(ANR51,ChurnSeasonTable,4,FALSE)),1)+AOE15*(AnnualChurn*VLOOKUP(ANR51,ChurnSeasonTable,4,FALSE))*POWER(1-(AnnualChurn*VLOOKUP(ANR51,ChurnSeasonTable,4,FALSE)),2)</f>
        <v/>
      </c>
      <c r="AOJ51" s="12">
        <f>AOJ50+AOF51-AOF39*(AnnualChurn*VLOOKUP(ANR51,ChurnSeasonTable,4,FALSE))*POWER(1-(AnnualChurn*VLOOKUP(ANR51,ChurnSeasonTable,4,FALSE)),0)+AOF27*(AnnualChurn*VLOOKUP(ANR51,ChurnSeasonTable,4,FALSE))*POWER(1-(AnnualChurn*VLOOKUP(ANR51,ChurnSeasonTable,4,FALSE)),1)+AOF15*(AnnualChurn*VLOOKUP(ANR51,ChurnSeasonTable,4,FALSE))*POWER(1-(AnnualChurn*VLOOKUP(ANR51,ChurnSeasonTable,4,FALSE)),2)</f>
        <v/>
      </c>
      <c r="AOK51" s="12">
        <f>AOG51+AOH51+AOI51+AOJ51</f>
        <v/>
      </c>
      <c r="AOL51" s="9">
        <f>AOG51*PriceEssMonthly*ANU51+AOH51*PricePremMonthly*ANU51+AOI51*PriceEssAnnual*ANU51/12+AOJ51*PricePremAnnual*ANU51/12</f>
        <v/>
      </c>
      <c r="AOM51" s="9">
        <f>AOL51*12</f>
        <v/>
      </c>
      <c r="AON51" s="12">
        <f>AOG51*PriceEssMonthly*ANU51+AOH51*PricePremMonthly*ANU51</f>
        <v/>
      </c>
      <c r="AOO51" s="12">
        <f>AOE51*PriceEssAnnual*ANU51+AOF51*PricePremAnnual*ANU51</f>
        <v/>
      </c>
      <c r="AOP51" s="12">
        <f>AOE39*POWER(1-(AnnualChurn*VLOOKUP(ANR51,ChurnSeasonTable,4,FALSE)),1)*PriceEssAnnual*ANU51+AOE27*POWER(1-(AnnualChurn*VLOOKUP(ANR51,ChurnSeasonTable,4,FALSE)),2)*PriceEssAnnual*ANU51+AOE15*POWER(1-(AnnualChurn*VLOOKUP(ANR51,ChurnSeasonTable,4,FALSE)),3)*PriceEssAnnual*ANU51+AOF39*POWER(1-(AnnualChurn*VLOOKUP(ANR51,ChurnSeasonTable,4,FALSE)),1)*PricePremAnnual*ANU51+AOF27*POWER(1-(AnnualChurn*VLOOKUP(ANR51,ChurnSeasonTable,4,FALSE)),2)*PricePremAnnual*ANU51+AOF15*POWER(1-(AnnualChurn*VLOOKUP(ANR51,ChurnSeasonTable,4,FALSE)),3)*PricePremAnnual*ANU51</f>
        <v/>
      </c>
      <c r="AOQ51" s="9">
        <f>AON51+AOO51+AOP51</f>
        <v/>
      </c>
      <c r="AOR51" s="12">
        <f>SUM(AOQ40:AOQ51)</f>
        <v/>
      </c>
      <c r="AOS51" s="12">
        <f>OR(AOS50,AOR51&gt;=VATThreshold)</f>
        <v/>
      </c>
      <c r="AOT51" s="9">
        <f>IF(AOS51,AOQ51/(1+VATRate),AOQ51)</f>
        <v/>
      </c>
      <c r="AOU51" s="12">
        <f>AOQ51-AOT51</f>
        <v/>
      </c>
      <c r="AOV51" s="12">
        <f>IF(AOS51=0,0,IF(ANR51=1,SUMPRODUCT(--(($ANS$5:$ANS51=$ANS51-1)*($ANR$5:$ANR51&gt;=10)*($ANR$5:$ANR51&lt;=12)),$AOU$5:$AOU51),IF(ANR51=4,SUMPRODUCT(--(($ANS$5:$ANS51=$ANS51)*($ANR$5:$ANR51&gt;=1)*($ANR$5:$ANR51&lt;=3)),$AOU$5:$AOU51),IF(ANR51=7,SUMPRODUCT(--(($ANS$5:$ANS51=$ANS51)*($ANR$5:$ANR51&gt;=4)*($ANR$5:$ANR51&lt;=6)),$AOU$5:$AOU51),IF(ANR51=10,SUMPRODUCT(--(($ANS$5:$ANS51=$ANS51)*($ANR$5:$ANR51&gt;=7)*($ANR$5:$ANR51&lt;=9)),$AOU$5:$AOU51),0)))))</f>
        <v/>
      </c>
      <c r="AOW51" s="12">
        <f>AOW50+AOU51-AOV51</f>
        <v/>
      </c>
      <c r="AOX51" s="12">
        <f>IF(ProviderDelay&gt;=1,AOT50*ProviderShare,AOT51*ProviderShare)</f>
        <v/>
      </c>
      <c r="AOY51" s="12">
        <f>AOQ51*PaymentFee</f>
        <v/>
      </c>
      <c r="AOZ51" s="12">
        <f>AOK51*OpsAI</f>
        <v/>
      </c>
      <c r="APA51" s="12">
        <f>MonthlyFixed</f>
        <v/>
      </c>
      <c r="APB51" s="12">
        <f>ANY51*ReferralReward</f>
        <v/>
      </c>
      <c r="APC51" s="12">
        <f>ANW51</f>
        <v/>
      </c>
      <c r="APD51" s="9">
        <f>AOT51-AOX51-AOY51-AOZ51-APA51-APB51-APC51</f>
        <v/>
      </c>
      <c r="APE51" s="9">
        <f>APE50+AOQ51-(AOX51+AOY51+AOZ51+APA51+APB51+APC51+AOV51)</f>
        <v/>
      </c>
      <c r="APF51" s="12">
        <f>IF(AOK51&gt;0,AOL51/AOK51,0)</f>
        <v/>
      </c>
      <c r="APG51" s="11">
        <f>IF(AOK50&gt;0,MAX(0,(AOK50+ANZ51-AOK51)/AOK50),0)</f>
        <v/>
      </c>
      <c r="API51" s="12" t="n">
        <v>47</v>
      </c>
      <c r="APJ51" s="12">
        <f>MOD(API51-1+LaunchMonth-1,12)+1</f>
        <v/>
      </c>
      <c r="APK51" s="12">
        <f>INT((API51-1+LaunchMonth-1)/12)+1</f>
        <v/>
      </c>
      <c r="APL51" s="12">
        <f>VLOOKUP(APJ51,SeasonTable,2,FALSE)</f>
        <v/>
      </c>
      <c r="APM51" s="12">
        <f>(1+InflationRate)^INT((API51-1)/12)</f>
        <v/>
      </c>
      <c r="APN51" s="11">
        <f>MonthlyChurn*VLOOKUP(APJ51,ChurnSeasonTable,4,FALSE)</f>
        <v/>
      </c>
      <c r="APO51" s="12">
        <f>MIN(MAX(MktMin19plus,AQI50*MktPct19plus),MAX(0,AQW50-CashBuffer))</f>
        <v/>
      </c>
      <c r="APP51" s="12">
        <f>IF(APO51&gt;0,MAX(1,ROUND(APO51/'Sens - CAC &amp; Marketing'!$A$15*APL51,0)),0)</f>
        <v/>
      </c>
      <c r="APQ51" s="12">
        <f>IF(APP51&gt;0,ROUND(APP51*ReferralMix/(1-ReferralMix),0),0)</f>
        <v/>
      </c>
      <c r="APR51" s="12">
        <f>APP51+APQ51</f>
        <v/>
      </c>
      <c r="APS51" s="12">
        <f>ROUND(APR51*(1-AnnualMix),0)</f>
        <v/>
      </c>
      <c r="APT51" s="12">
        <f>APR51-APS51</f>
        <v/>
      </c>
      <c r="APU51" s="12">
        <f>ROUND(APS51*EssentialMix,0)</f>
        <v/>
      </c>
      <c r="APV51" s="12">
        <f>APS51-APU51</f>
        <v/>
      </c>
      <c r="APW51" s="12">
        <f>ROUND(APT51*EssentialMix,0)</f>
        <v/>
      </c>
      <c r="APX51" s="12">
        <f>APT51-APW51</f>
        <v/>
      </c>
      <c r="APY51" s="12">
        <f>APU51+APU50+APU49+MAX(0,APY50-APU50-APU49)*(1-APN51)</f>
        <v/>
      </c>
      <c r="APZ51" s="12">
        <f>APV51+APV50+APV49+MAX(0,APZ50-APV50-APV49)*(1-APN51)</f>
        <v/>
      </c>
      <c r="AQA51" s="12">
        <f>AQA50+APW51-APW39*(AnnualChurn*VLOOKUP(APJ51,ChurnSeasonTable,4,FALSE))*POWER(1-(AnnualChurn*VLOOKUP(APJ51,ChurnSeasonTable,4,FALSE)),0)+APW27*(AnnualChurn*VLOOKUP(APJ51,ChurnSeasonTable,4,FALSE))*POWER(1-(AnnualChurn*VLOOKUP(APJ51,ChurnSeasonTable,4,FALSE)),1)+APW15*(AnnualChurn*VLOOKUP(APJ51,ChurnSeasonTable,4,FALSE))*POWER(1-(AnnualChurn*VLOOKUP(APJ51,ChurnSeasonTable,4,FALSE)),2)</f>
        <v/>
      </c>
      <c r="AQB51" s="12">
        <f>AQB50+APX51-APX39*(AnnualChurn*VLOOKUP(APJ51,ChurnSeasonTable,4,FALSE))*POWER(1-(AnnualChurn*VLOOKUP(APJ51,ChurnSeasonTable,4,FALSE)),0)+APX27*(AnnualChurn*VLOOKUP(APJ51,ChurnSeasonTable,4,FALSE))*POWER(1-(AnnualChurn*VLOOKUP(APJ51,ChurnSeasonTable,4,FALSE)),1)+APX15*(AnnualChurn*VLOOKUP(APJ51,ChurnSeasonTable,4,FALSE))*POWER(1-(AnnualChurn*VLOOKUP(APJ51,ChurnSeasonTable,4,FALSE)),2)</f>
        <v/>
      </c>
      <c r="AQC51" s="12">
        <f>APY51+APZ51+AQA51+AQB51</f>
        <v/>
      </c>
      <c r="AQD51" s="9">
        <f>APY51*PriceEssMonthly*APM51+APZ51*PricePremMonthly*APM51+AQA51*PriceEssAnnual*APM51/12+AQB51*PricePremAnnual*APM51/12</f>
        <v/>
      </c>
      <c r="AQE51" s="9">
        <f>AQD51*12</f>
        <v/>
      </c>
      <c r="AQF51" s="12">
        <f>APY51*PriceEssMonthly*APM51+APZ51*PricePremMonthly*APM51</f>
        <v/>
      </c>
      <c r="AQG51" s="12">
        <f>APW51*PriceEssAnnual*APM51+APX51*PricePremAnnual*APM51</f>
        <v/>
      </c>
      <c r="AQH51" s="12">
        <f>APW39*POWER(1-(AnnualChurn*VLOOKUP(APJ51,ChurnSeasonTable,4,FALSE)),1)*PriceEssAnnual*APM51+APW27*POWER(1-(AnnualChurn*VLOOKUP(APJ51,ChurnSeasonTable,4,FALSE)),2)*PriceEssAnnual*APM51+APW15*POWER(1-(AnnualChurn*VLOOKUP(APJ51,ChurnSeasonTable,4,FALSE)),3)*PriceEssAnnual*APM51+APX39*POWER(1-(AnnualChurn*VLOOKUP(APJ51,ChurnSeasonTable,4,FALSE)),1)*PricePremAnnual*APM51+APX27*POWER(1-(AnnualChurn*VLOOKUP(APJ51,ChurnSeasonTable,4,FALSE)),2)*PricePremAnnual*APM51+APX15*POWER(1-(AnnualChurn*VLOOKUP(APJ51,ChurnSeasonTable,4,FALSE)),3)*PricePremAnnual*APM51</f>
        <v/>
      </c>
      <c r="AQI51" s="9">
        <f>AQF51+AQG51+AQH51</f>
        <v/>
      </c>
      <c r="AQJ51" s="12">
        <f>SUM(AQI40:AQI51)</f>
        <v/>
      </c>
      <c r="AQK51" s="12">
        <f>OR(AQK50,AQJ51&gt;=VATThreshold)</f>
        <v/>
      </c>
      <c r="AQL51" s="9">
        <f>IF(AQK51,AQI51/(1+VATRate),AQI51)</f>
        <v/>
      </c>
      <c r="AQM51" s="12">
        <f>AQI51-AQL51</f>
        <v/>
      </c>
      <c r="AQN51" s="12">
        <f>IF(AQK51=0,0,IF(APJ51=1,SUMPRODUCT(--(($APK$5:$APK51=$APK51-1)*($APJ$5:$APJ51&gt;=10)*($APJ$5:$APJ51&lt;=12)),$AQM$5:$AQM51),IF(APJ51=4,SUMPRODUCT(--(($APK$5:$APK51=$APK51)*($APJ$5:$APJ51&gt;=1)*($APJ$5:$APJ51&lt;=3)),$AQM$5:$AQM51),IF(APJ51=7,SUMPRODUCT(--(($APK$5:$APK51=$APK51)*($APJ$5:$APJ51&gt;=4)*($APJ$5:$APJ51&lt;=6)),$AQM$5:$AQM51),IF(APJ51=10,SUMPRODUCT(--(($APK$5:$APK51=$APK51)*($APJ$5:$APJ51&gt;=7)*($APJ$5:$APJ51&lt;=9)),$AQM$5:$AQM51),0)))))</f>
        <v/>
      </c>
      <c r="AQO51" s="12">
        <f>AQO50+AQM51-AQN51</f>
        <v/>
      </c>
      <c r="AQP51" s="12">
        <f>IF(ProviderDelay&gt;=1,AQL50*ProviderShare,AQL51*ProviderShare)</f>
        <v/>
      </c>
      <c r="AQQ51" s="12">
        <f>AQI51*PaymentFee</f>
        <v/>
      </c>
      <c r="AQR51" s="12">
        <f>AQC51*OpsAI</f>
        <v/>
      </c>
      <c r="AQS51" s="12">
        <f>MonthlyFixed</f>
        <v/>
      </c>
      <c r="AQT51" s="12">
        <f>APQ51*ReferralReward</f>
        <v/>
      </c>
      <c r="AQU51" s="12">
        <f>APO51</f>
        <v/>
      </c>
      <c r="AQV51" s="9">
        <f>AQL51-AQP51-AQQ51-AQR51-AQS51-AQT51-AQU51</f>
        <v/>
      </c>
      <c r="AQW51" s="9">
        <f>AQW50+AQI51-(AQP51+AQQ51+AQR51+AQS51+AQT51+AQU51+AQN51)</f>
        <v/>
      </c>
      <c r="AQX51" s="12">
        <f>IF(AQC51&gt;0,AQD51/AQC51,0)</f>
        <v/>
      </c>
      <c r="AQY51" s="11">
        <f>IF(AQC50&gt;0,MAX(0,(AQC50+APR51-AQC51)/AQC50),0)</f>
        <v/>
      </c>
      <c r="ARA51" s="12" t="n">
        <v>47</v>
      </c>
      <c r="ARB51" s="12">
        <f>MOD(ARA51-1+LaunchMonth-1,12)+1</f>
        <v/>
      </c>
      <c r="ARC51" s="12">
        <f>INT((ARA51-1+LaunchMonth-1)/12)+1</f>
        <v/>
      </c>
      <c r="ARD51" s="12">
        <f>VLOOKUP(ARB51,WinterPivotSeasonTable,5,FALSE)</f>
        <v/>
      </c>
      <c r="ARE51" s="12">
        <f>(1+InflationRate)^INT((ARA51-1)/12)</f>
        <v/>
      </c>
      <c r="ARF51" s="11">
        <f>MonthlyChurn*VLOOKUP(ARB51,WinterPivotChurnTable,6,FALSE)</f>
        <v/>
      </c>
      <c r="ARG51" s="12">
        <f>MIN(MAX(MktMin19plus,ASA50*MktPct19plus),MAX(0,ASO50-CashBuffer))</f>
        <v/>
      </c>
      <c r="ARH51" s="12">
        <f>IF(ARG51&gt;0,MAX(1,ROUND(ARG51/CAC*ARD51,0)),0)</f>
        <v/>
      </c>
      <c r="ARI51" s="12">
        <f>IF(ARH51&gt;0,ROUND(ARH51*ReferralMix/(1-ReferralMix),0),0)</f>
        <v/>
      </c>
      <c r="ARJ51" s="12">
        <f>ARH51+ARI51</f>
        <v/>
      </c>
      <c r="ARK51" s="12">
        <f>ROUND(ARJ51*(1-AnnualMix),0)</f>
        <v/>
      </c>
      <c r="ARL51" s="12">
        <f>ARJ51-ARK51</f>
        <v/>
      </c>
      <c r="ARM51" s="12">
        <f>ROUND(ARK51*'Sens - Winter Pivot'!$B$6,0)</f>
        <v/>
      </c>
      <c r="ARN51" s="12">
        <f>ARK51-ARM51</f>
        <v/>
      </c>
      <c r="ARO51" s="12">
        <f>ROUND(ARL51*'Sens - Winter Pivot'!$B$6,0)</f>
        <v/>
      </c>
      <c r="ARP51" s="12">
        <f>ARL51-ARO51</f>
        <v/>
      </c>
      <c r="ARQ51" s="12">
        <f>ARM51+ARM50+ARM49+MAX(0,ARQ50-ARM50-ARM49)*(1-ARF51)</f>
        <v/>
      </c>
      <c r="ARR51" s="12">
        <f>ARN51+ARN50+ARN49+MAX(0,ARR50-ARN50-ARN49)*(1-ARF51)</f>
        <v/>
      </c>
      <c r="ARS51" s="12">
        <f>ARS50+ARO51-ARO39*(AnnualChurn*VLOOKUP(ARB51,WinterPivotChurnTable,6,FALSE))*POWER(1-(AnnualChurn*VLOOKUP(ARB51,WinterPivotChurnTable,6,FALSE)),0)+ARO27*(AnnualChurn*VLOOKUP(ARB51,WinterPivotChurnTable,6,FALSE))*POWER(1-(AnnualChurn*VLOOKUP(ARB51,WinterPivotChurnTable,6,FALSE)),1)+ARO15*(AnnualChurn*VLOOKUP(ARB51,WinterPivotChurnTable,6,FALSE))*POWER(1-(AnnualChurn*VLOOKUP(ARB51,WinterPivotChurnTable,6,FALSE)),2)</f>
        <v/>
      </c>
      <c r="ART51" s="12">
        <f>ART50+ARP51-ARP39*(AnnualChurn*VLOOKUP(ARB51,WinterPivotChurnTable,6,FALSE))*POWER(1-(AnnualChurn*VLOOKUP(ARB51,WinterPivotChurnTable,6,FALSE)),0)+ARP27*(AnnualChurn*VLOOKUP(ARB51,WinterPivotChurnTable,6,FALSE))*POWER(1-(AnnualChurn*VLOOKUP(ARB51,WinterPivotChurnTable,6,FALSE)),1)+ARP15*(AnnualChurn*VLOOKUP(ARB51,WinterPivotChurnTable,6,FALSE))*POWER(1-(AnnualChurn*VLOOKUP(ARB51,WinterPivotChurnTable,6,FALSE)),2)</f>
        <v/>
      </c>
      <c r="ARU51" s="12">
        <f>ARQ51+ARR51+ARS51+ART51</f>
        <v/>
      </c>
      <c r="ARV51" s="9">
        <f>ARQ51*PriceEssMonthly*ARE51+ARR51*(PricePremMonthly+'Sens - Winter Pivot'!$B$7)*ARE51+ARS51*PriceEssAnnual*ARE51/12+ART51*(PricePremAnnual+'Sens - Winter Pivot'!$B$7*12)*ARE51/12</f>
        <v/>
      </c>
      <c r="ARW51" s="9">
        <f>ARV51*12</f>
        <v/>
      </c>
      <c r="ARX51" s="12">
        <f>ARQ51*PriceEssMonthly*ARE51+ARR51*(PricePremMonthly+'Sens - Winter Pivot'!$B$7)*ARE51</f>
        <v/>
      </c>
      <c r="ARY51" s="12">
        <f>ARO51*PriceEssAnnual*ARE51+ARP51*(PricePremAnnual+'Sens - Winter Pivot'!$B$7*12)*ARE51</f>
        <v/>
      </c>
      <c r="ARZ51" s="12">
        <f>ARO39*POWER(1-(AnnualChurn*VLOOKUP(ARB51,WinterPivotChurnTable,6,FALSE)),1)*PriceEssAnnual*ARE51+ARO27*POWER(1-(AnnualChurn*VLOOKUP(ARB51,WinterPivotChurnTable,6,FALSE)),2)*PriceEssAnnual*ARE51+ARO15*POWER(1-(AnnualChurn*VLOOKUP(ARB51,WinterPivotChurnTable,6,FALSE)),3)*PriceEssAnnual*ARE51+ARP39*POWER(1-(AnnualChurn*VLOOKUP(ARB51,WinterPivotChurnTable,6,FALSE)),1)*PricePremAnnual*ARE51+ARP27*POWER(1-(AnnualChurn*VLOOKUP(ARB51,WinterPivotChurnTable,6,FALSE)),2)*PricePremAnnual*ARE51+ARP15*POWER(1-(AnnualChurn*VLOOKUP(ARB51,WinterPivotChurnTable,6,FALSE)),3)*PricePremAnnual*ARE51</f>
        <v/>
      </c>
      <c r="ASA51" s="9">
        <f>ARX51+ARY51+ARZ51</f>
        <v/>
      </c>
      <c r="ASB51" s="12">
        <f>SUM(ASA40:ASA51)</f>
        <v/>
      </c>
      <c r="ASC51" s="12">
        <f>OR(ASC50,ASB51&gt;=VATThreshold)</f>
        <v/>
      </c>
      <c r="ASD51" s="9">
        <f>IF(ASC51,ASA51/(1+VATRate),ASA51)</f>
        <v/>
      </c>
      <c r="ASE51" s="12">
        <f>ASA51-ASD51</f>
        <v/>
      </c>
      <c r="ASF51" s="12">
        <f>IF(ASC51=0,0,IF(ARB51=1,SUMPRODUCT(--(($ARC$5:$ARC51=$ARC51-1)*($ARB$5:$ARB51&gt;=10)*($ARB$5:$ARB51&lt;=12)),$ASE$5:$ASE51),IF(ARB51=4,SUMPRODUCT(--(($ARC$5:$ARC51=$ARC51)*($ARB$5:$ARB51&gt;=1)*($ARB$5:$ARB51&lt;=3)),$ASE$5:$ASE51),IF(ARB51=7,SUMPRODUCT(--(($ARC$5:$ARC51=$ARC51)*($ARB$5:$ARB51&gt;=4)*($ARB$5:$ARB51&lt;=6)),$ASE$5:$ASE51),IF(ARB51=10,SUMPRODUCT(--(($ARC$5:$ARC51=$ARC51)*($ARB$5:$ARB51&gt;=7)*($ARB$5:$ARB51&lt;=9)),$ASE$5:$ASE51),0)))))</f>
        <v/>
      </c>
      <c r="ASG51" s="12">
        <f>ASG50+ASE51-ASF51</f>
        <v/>
      </c>
      <c r="ASH51" s="12">
        <f>IF(ProviderDelay&gt;=1,ASD50*ProviderShare,ASD51*ProviderShare)</f>
        <v/>
      </c>
      <c r="ASI51" s="12">
        <f>ASA51*PaymentFee</f>
        <v/>
      </c>
      <c r="ASJ51" s="12">
        <f>ARU51*OpsAI</f>
        <v/>
      </c>
      <c r="ASK51" s="12">
        <f>MonthlyFixed</f>
        <v/>
      </c>
      <c r="ASL51" s="12">
        <f>ARI51*ReferralReward</f>
        <v/>
      </c>
      <c r="ASM51" s="12">
        <f>ARG51</f>
        <v/>
      </c>
      <c r="ASN51" s="9">
        <f>ASD51-ASH51-ASI51-ASJ51-ASK51-ASL51-ASM51</f>
        <v/>
      </c>
      <c r="ASO51" s="9">
        <f>ASO50+ASA51-(ASH51+ASI51+ASJ51+ASK51+ASL51+ASM51+ASF51)</f>
        <v/>
      </c>
      <c r="ASP51" s="12">
        <f>IF(ARU51&gt;0,ARV51/ARU51,0)</f>
        <v/>
      </c>
      <c r="ASQ51" s="11">
        <f>IF(ARU50&gt;0,MAX(0,(ARU50+ARJ51-ARU51)/ARU50),0)</f>
        <v/>
      </c>
    </row>
    <row r="52">
      <c r="A52" s="12" t="n">
        <v>48</v>
      </c>
      <c r="B52" s="12">
        <f>MOD(A52-1+LaunchMonth-1,12)+1</f>
        <v/>
      </c>
      <c r="C52" s="12">
        <f>INT((A52-1+LaunchMonth-1)/12)+1</f>
        <v/>
      </c>
      <c r="D52" s="12">
        <f>VLOOKUP(B52,SeasonTable,2,FALSE)</f>
        <v/>
      </c>
      <c r="E52" s="12">
        <f>(1+InflationRate)^INT((A52-1)/12)</f>
        <v/>
      </c>
      <c r="F52" s="11">
        <f>'Sens - Scenarios'!$B$5*VLOOKUP(B52,ChurnSeasonTable,4,FALSE)</f>
        <v/>
      </c>
      <c r="G52" s="12">
        <f>MIN(MAX(MktMin19plus,AA51*MktPct19plus),MAX(0,AO51-CashBuffer))</f>
        <v/>
      </c>
      <c r="H52" s="12">
        <f>IF(G52&gt;0,MAX(1,ROUND(G52/'Sens - Scenarios'!$B$8*D52,0)),0)</f>
        <v/>
      </c>
      <c r="I52" s="12">
        <f>IF(H52&gt;0,ROUND(H52*ReferralMix/(1-ReferralMix),0),0)</f>
        <v/>
      </c>
      <c r="J52" s="12">
        <f>H52+I52</f>
        <v/>
      </c>
      <c r="K52" s="12">
        <f>ROUND(J52*(1-'Sens - Scenarios'!$B$7),0)</f>
        <v/>
      </c>
      <c r="L52" s="12">
        <f>J52-K52</f>
        <v/>
      </c>
      <c r="M52" s="12">
        <f>ROUND(K52*EssentialMix,0)</f>
        <v/>
      </c>
      <c r="N52" s="12">
        <f>K52-M52</f>
        <v/>
      </c>
      <c r="O52" s="12">
        <f>ROUND(L52*EssentialMix,0)</f>
        <v/>
      </c>
      <c r="P52" s="12">
        <f>L52-O52</f>
        <v/>
      </c>
      <c r="Q52" s="12">
        <f>M52+M51+M50+MAX(0,Q51-M51-M50)*(1-F52)</f>
        <v/>
      </c>
      <c r="R52" s="12">
        <f>N52+N51+N50+MAX(0,R51-N51-N50)*(1-F52)</f>
        <v/>
      </c>
      <c r="S52" s="12">
        <f>S51+O52-O40*('Sens - Scenarios'!$B$6*VLOOKUP(B52,ChurnSeasonTable,4,FALSE))*POWER(1-('Sens - Scenarios'!$B$6*VLOOKUP(B52,ChurnSeasonTable,4,FALSE)),0)+O28*('Sens - Scenarios'!$B$6*VLOOKUP(B52,ChurnSeasonTable,4,FALSE))*POWER(1-('Sens - Scenarios'!$B$6*VLOOKUP(B52,ChurnSeasonTable,4,FALSE)),1)+O16*('Sens - Scenarios'!$B$6*VLOOKUP(B52,ChurnSeasonTable,4,FALSE))*POWER(1-('Sens - Scenarios'!$B$6*VLOOKUP(B52,ChurnSeasonTable,4,FALSE)),2)</f>
        <v/>
      </c>
      <c r="T52" s="12">
        <f>T51+P52-P40*('Sens - Scenarios'!$B$6*VLOOKUP(B52,ChurnSeasonTable,4,FALSE))*POWER(1-('Sens - Scenarios'!$B$6*VLOOKUP(B52,ChurnSeasonTable,4,FALSE)),0)+P28*('Sens - Scenarios'!$B$6*VLOOKUP(B52,ChurnSeasonTable,4,FALSE))*POWER(1-('Sens - Scenarios'!$B$6*VLOOKUP(B52,ChurnSeasonTable,4,FALSE)),1)+P16*('Sens - Scenarios'!$B$6*VLOOKUP(B52,ChurnSeasonTable,4,FALSE))*POWER(1-('Sens - Scenarios'!$B$6*VLOOKUP(B52,ChurnSeasonTable,4,FALSE)),2)</f>
        <v/>
      </c>
      <c r="U52" s="12">
        <f>Q52+R52+S52+T52</f>
        <v/>
      </c>
      <c r="V52" s="9">
        <f>Q52*PriceEssMonthly*E52+R52*PricePremMonthly*E52+S52*PriceEssAnnual*E52/12+T52*PricePremAnnual*E52/12</f>
        <v/>
      </c>
      <c r="W52" s="9">
        <f>V52*12</f>
        <v/>
      </c>
      <c r="X52" s="12">
        <f>Q52*PriceEssMonthly*E52+R52*PricePremMonthly*E52</f>
        <v/>
      </c>
      <c r="Y52" s="12">
        <f>O52*PriceEssAnnual*E52+P52*PricePremAnnual*E52</f>
        <v/>
      </c>
      <c r="Z52" s="12">
        <f>O40*POWER(1-('Sens - Scenarios'!$B$6*VLOOKUP(B52,ChurnSeasonTable,4,FALSE)),1)*PriceEssAnnual*E52+O28*POWER(1-('Sens - Scenarios'!$B$6*VLOOKUP(B52,ChurnSeasonTable,4,FALSE)),2)*PriceEssAnnual*E52+O16*POWER(1-('Sens - Scenarios'!$B$6*VLOOKUP(B52,ChurnSeasonTable,4,FALSE)),3)*PriceEssAnnual*E52+P40*POWER(1-('Sens - Scenarios'!$B$6*VLOOKUP(B52,ChurnSeasonTable,4,FALSE)),1)*PricePremAnnual*E52+P28*POWER(1-('Sens - Scenarios'!$B$6*VLOOKUP(B52,ChurnSeasonTable,4,FALSE)),2)*PricePremAnnual*E52+P16*POWER(1-('Sens - Scenarios'!$B$6*VLOOKUP(B52,ChurnSeasonTable,4,FALSE)),3)*PricePremAnnual*E52</f>
        <v/>
      </c>
      <c r="AA52" s="9">
        <f>X52+Y52+Z52</f>
        <v/>
      </c>
      <c r="AB52" s="12">
        <f>SUM(AA41:AA52)</f>
        <v/>
      </c>
      <c r="AC52" s="12">
        <f>OR(AC51,AB52&gt;=VATThreshold)</f>
        <v/>
      </c>
      <c r="AD52" s="9">
        <f>IF(AC52,AA52/(1+VATRate),AA52)</f>
        <v/>
      </c>
      <c r="AE52" s="12">
        <f>AA52-AD52</f>
        <v/>
      </c>
      <c r="AF52" s="12">
        <f>IF(AC52=0,0,IF(B52=1,SUMPRODUCT(--(($C$5:$C52=$C52-1)*($B$5:$B52&gt;=10)*($B$5:$B52&lt;=12)),$AE$5:$AE52),IF(B52=4,SUMPRODUCT(--(($C$5:$C52=$C52)*($B$5:$B52&gt;=1)*($B$5:$B52&lt;=3)),$AE$5:$AE52),IF(B52=7,SUMPRODUCT(--(($C$5:$C52=$C52)*($B$5:$B52&gt;=4)*($B$5:$B52&lt;=6)),$AE$5:$AE52),IF(B52=10,SUMPRODUCT(--(($C$5:$C52=$C52)*($B$5:$B52&gt;=7)*($B$5:$B52&lt;=9)),$AE$5:$AE52),0)))))</f>
        <v/>
      </c>
      <c r="AG52" s="12">
        <f>AG51+AE52-AF52</f>
        <v/>
      </c>
      <c r="AH52" s="12">
        <f>IF(ProviderDelay&gt;=1,AD51*ProviderShare,AD52*ProviderShare)</f>
        <v/>
      </c>
      <c r="AI52" s="12">
        <f>AA52*PaymentFee</f>
        <v/>
      </c>
      <c r="AJ52" s="12">
        <f>U52*OpsAI</f>
        <v/>
      </c>
      <c r="AK52" s="12">
        <f>MonthlyFixed</f>
        <v/>
      </c>
      <c r="AL52" s="12">
        <f>I52*ReferralReward</f>
        <v/>
      </c>
      <c r="AM52" s="12">
        <f>G52</f>
        <v/>
      </c>
      <c r="AN52" s="9">
        <f>AD52-AH52-AI52-AJ52-AK52-AL52-AM52</f>
        <v/>
      </c>
      <c r="AO52" s="9">
        <f>AO51+AA52-(AH52+AI52+AJ52+AK52+AL52+AM52+AF52)</f>
        <v/>
      </c>
      <c r="AP52" s="12">
        <f>IF(U52&gt;0,V52/U52,0)</f>
        <v/>
      </c>
      <c r="AQ52" s="11">
        <f>IF(U51&gt;0,MAX(0,(U51+J52-U52)/U51),0)</f>
        <v/>
      </c>
      <c r="AS52" s="12" t="n">
        <v>48</v>
      </c>
      <c r="AT52" s="12">
        <f>MOD(AS52-1+LaunchMonth-1,12)+1</f>
        <v/>
      </c>
      <c r="AU52" s="12">
        <f>INT((AS52-1+LaunchMonth-1)/12)+1</f>
        <v/>
      </c>
      <c r="AV52" s="12">
        <f>VLOOKUP(AT52,SeasonTable,2,FALSE)</f>
        <v/>
      </c>
      <c r="AW52" s="12">
        <f>(1+InflationRate)^INT((AS52-1)/12)</f>
        <v/>
      </c>
      <c r="AX52" s="11">
        <f>MonthlyChurn*VLOOKUP(AT52,ChurnSeasonTable,4,FALSE)</f>
        <v/>
      </c>
      <c r="AY52" s="12">
        <f>MIN(MAX(MktMin19plus,BS51*MktPct19plus),MAX(0,CG51-CashBuffer))</f>
        <v/>
      </c>
      <c r="AZ52" s="12">
        <f>IF(AY52&gt;0,MAX(1,ROUND(AY52/CAC*AV52,0)),0)</f>
        <v/>
      </c>
      <c r="BA52" s="12">
        <f>IF(AZ52&gt;0,ROUND(AZ52*ReferralMix/(1-ReferralMix),0),0)</f>
        <v/>
      </c>
      <c r="BB52" s="12">
        <f>AZ52+BA52</f>
        <v/>
      </c>
      <c r="BC52" s="12">
        <f>ROUND(BB52*(1-AnnualMix),0)</f>
        <v/>
      </c>
      <c r="BD52" s="12">
        <f>BB52-BC52</f>
        <v/>
      </c>
      <c r="BE52" s="12">
        <f>ROUND(BC52*EssentialMix,0)</f>
        <v/>
      </c>
      <c r="BF52" s="12">
        <f>BC52-BE52</f>
        <v/>
      </c>
      <c r="BG52" s="12">
        <f>ROUND(BD52*EssentialMix,0)</f>
        <v/>
      </c>
      <c r="BH52" s="12">
        <f>BD52-BG52</f>
        <v/>
      </c>
      <c r="BI52" s="12">
        <f>BE52+BE51+BE50+MAX(0,BI51-BE51-BE50)*(1-AX52)</f>
        <v/>
      </c>
      <c r="BJ52" s="12">
        <f>BF52+BF51+BF50+MAX(0,BJ51-BF51-BF50)*(1-AX52)</f>
        <v/>
      </c>
      <c r="BK52" s="12">
        <f>BK51+BG52-BG40*(AnnualChurn*VLOOKUP(AT52,ChurnSeasonTable,4,FALSE))*POWER(1-(AnnualChurn*VLOOKUP(AT52,ChurnSeasonTable,4,FALSE)),0)+BG28*(AnnualChurn*VLOOKUP(AT52,ChurnSeasonTable,4,FALSE))*POWER(1-(AnnualChurn*VLOOKUP(AT52,ChurnSeasonTable,4,FALSE)),1)+BG16*(AnnualChurn*VLOOKUP(AT52,ChurnSeasonTable,4,FALSE))*POWER(1-(AnnualChurn*VLOOKUP(AT52,ChurnSeasonTable,4,FALSE)),2)</f>
        <v/>
      </c>
      <c r="BL52" s="12">
        <f>BL51+BH52-BH40*(AnnualChurn*VLOOKUP(AT52,ChurnSeasonTable,4,FALSE))*POWER(1-(AnnualChurn*VLOOKUP(AT52,ChurnSeasonTable,4,FALSE)),0)+BH28*(AnnualChurn*VLOOKUP(AT52,ChurnSeasonTable,4,FALSE))*POWER(1-(AnnualChurn*VLOOKUP(AT52,ChurnSeasonTable,4,FALSE)),1)+BH16*(AnnualChurn*VLOOKUP(AT52,ChurnSeasonTable,4,FALSE))*POWER(1-(AnnualChurn*VLOOKUP(AT52,ChurnSeasonTable,4,FALSE)),2)</f>
        <v/>
      </c>
      <c r="BM52" s="12">
        <f>BI52+BJ52+BK52+BL52</f>
        <v/>
      </c>
      <c r="BN52" s="9">
        <f>BI52*PriceEssMonthly*AW52+BJ52*PricePremMonthly*AW52+BK52*PriceEssAnnual*AW52/12+BL52*PricePremAnnual*AW52/12</f>
        <v/>
      </c>
      <c r="BO52" s="9">
        <f>BN52*12</f>
        <v/>
      </c>
      <c r="BP52" s="12">
        <f>BI52*PriceEssMonthly*AW52+BJ52*PricePremMonthly*AW52</f>
        <v/>
      </c>
      <c r="BQ52" s="12">
        <f>BG52*PriceEssAnnual*AW52+BH52*PricePremAnnual*AW52</f>
        <v/>
      </c>
      <c r="BR52" s="12">
        <f>BG40*POWER(1-(AnnualChurn*VLOOKUP(AT52,ChurnSeasonTable,4,FALSE)),1)*PriceEssAnnual*AW52+BG28*POWER(1-(AnnualChurn*VLOOKUP(AT52,ChurnSeasonTable,4,FALSE)),2)*PriceEssAnnual*AW52+BG16*POWER(1-(AnnualChurn*VLOOKUP(AT52,ChurnSeasonTable,4,FALSE)),3)*PriceEssAnnual*AW52+BH40*POWER(1-(AnnualChurn*VLOOKUP(AT52,ChurnSeasonTable,4,FALSE)),1)*PricePremAnnual*AW52+BH28*POWER(1-(AnnualChurn*VLOOKUP(AT52,ChurnSeasonTable,4,FALSE)),2)*PricePremAnnual*AW52+BH16*POWER(1-(AnnualChurn*VLOOKUP(AT52,ChurnSeasonTable,4,FALSE)),3)*PricePremAnnual*AW52</f>
        <v/>
      </c>
      <c r="BS52" s="9">
        <f>BP52+BQ52+BR52</f>
        <v/>
      </c>
      <c r="BT52" s="12">
        <f>SUM(BS41:BS52)</f>
        <v/>
      </c>
      <c r="BU52" s="12">
        <f>OR(BU51,BT52&gt;=VATThreshold)</f>
        <v/>
      </c>
      <c r="BV52" s="9">
        <f>IF(BU52,BS52/(1+VATRate),BS52)</f>
        <v/>
      </c>
      <c r="BW52" s="12">
        <f>BS52-BV52</f>
        <v/>
      </c>
      <c r="BX52" s="12">
        <f>IF(BU52=0,0,IF(AT52=1,SUMPRODUCT(--(($AU$5:$AU52=$AU52-1)*($AT$5:$AT52&gt;=10)*($AT$5:$AT52&lt;=12)),$BW$5:$BW52),IF(AT52=4,SUMPRODUCT(--(($AU$5:$AU52=$AU52)*($AT$5:$AT52&gt;=1)*($AT$5:$AT52&lt;=3)),$BW$5:$BW52),IF(AT52=7,SUMPRODUCT(--(($AU$5:$AU52=$AU52)*($AT$5:$AT52&gt;=4)*($AT$5:$AT52&lt;=6)),$BW$5:$BW52),IF(AT52=10,SUMPRODUCT(--(($AU$5:$AU52=$AU52)*($AT$5:$AT52&gt;=7)*($AT$5:$AT52&lt;=9)),$BW$5:$BW52),0)))))</f>
        <v/>
      </c>
      <c r="BY52" s="12">
        <f>BY51+BW52-BX52</f>
        <v/>
      </c>
      <c r="BZ52" s="12">
        <f>IF(ProviderDelay&gt;=1,BV51*ProviderShare,BV52*ProviderShare)</f>
        <v/>
      </c>
      <c r="CA52" s="12">
        <f>BS52*PaymentFee</f>
        <v/>
      </c>
      <c r="CB52" s="12">
        <f>BM52*OpsAI</f>
        <v/>
      </c>
      <c r="CC52" s="12">
        <f>MonthlyFixed</f>
        <v/>
      </c>
      <c r="CD52" s="12">
        <f>BA52*ReferralReward</f>
        <v/>
      </c>
      <c r="CE52" s="12">
        <f>AY52</f>
        <v/>
      </c>
      <c r="CF52" s="9">
        <f>BV52-BZ52-CA52-CB52-CC52-CD52-CE52</f>
        <v/>
      </c>
      <c r="CG52" s="9">
        <f>CG51+BS52-(BZ52+CA52+CB52+CC52+CD52+CE52+BX52)</f>
        <v/>
      </c>
      <c r="CH52" s="12">
        <f>IF(BM52&gt;0,BN52/BM52,0)</f>
        <v/>
      </c>
      <c r="CI52" s="11">
        <f>IF(BM51&gt;0,MAX(0,(BM51+BB52-BM52)/BM51),0)</f>
        <v/>
      </c>
      <c r="CK52" s="12" t="n">
        <v>48</v>
      </c>
      <c r="CL52" s="12">
        <f>MOD(CK52-1+LaunchMonth-1,12)+1</f>
        <v/>
      </c>
      <c r="CM52" s="12">
        <f>INT((CK52-1+LaunchMonth-1)/12)+1</f>
        <v/>
      </c>
      <c r="CN52" s="12">
        <f>VLOOKUP(CL52,SeasonTable,2,FALSE)</f>
        <v/>
      </c>
      <c r="CO52" s="12">
        <f>(1+InflationRate)^INT((CK52-1)/12)</f>
        <v/>
      </c>
      <c r="CP52" s="11">
        <f>'Sens - Scenarios'!$D$5*VLOOKUP(CL52,ChurnSeasonTable,4,FALSE)</f>
        <v/>
      </c>
      <c r="CQ52" s="12">
        <f>MIN(MAX(MktMin19plus,DK51*MktPct19plus),MAX(0,DY51-CashBuffer))</f>
        <v/>
      </c>
      <c r="CR52" s="12">
        <f>IF(CQ52&gt;0,MAX(1,ROUND(CQ52/'Sens - Scenarios'!$D$8*CN52,0)),0)</f>
        <v/>
      </c>
      <c r="CS52" s="12">
        <f>IF(CR52&gt;0,ROUND(CR52*ReferralMix/(1-ReferralMix),0),0)</f>
        <v/>
      </c>
      <c r="CT52" s="12">
        <f>CR52+CS52</f>
        <v/>
      </c>
      <c r="CU52" s="12">
        <f>ROUND(CT52*(1-'Sens - Scenarios'!$D$7),0)</f>
        <v/>
      </c>
      <c r="CV52" s="12">
        <f>CT52-CU52</f>
        <v/>
      </c>
      <c r="CW52" s="12">
        <f>ROUND(CU52*EssentialMix,0)</f>
        <v/>
      </c>
      <c r="CX52" s="12">
        <f>CU52-CW52</f>
        <v/>
      </c>
      <c r="CY52" s="12">
        <f>ROUND(CV52*EssentialMix,0)</f>
        <v/>
      </c>
      <c r="CZ52" s="12">
        <f>CV52-CY52</f>
        <v/>
      </c>
      <c r="DA52" s="12">
        <f>CW52+CW51+CW50+MAX(0,DA51-CW51-CW50)*(1-CP52)</f>
        <v/>
      </c>
      <c r="DB52" s="12">
        <f>CX52+CX51+CX50+MAX(0,DB51-CX51-CX50)*(1-CP52)</f>
        <v/>
      </c>
      <c r="DC52" s="12">
        <f>DC51+CY52-CY40*('Sens - Scenarios'!$D$6*VLOOKUP(CL52,ChurnSeasonTable,4,FALSE))*POWER(1-('Sens - Scenarios'!$D$6*VLOOKUP(CL52,ChurnSeasonTable,4,FALSE)),0)+CY28*('Sens - Scenarios'!$D$6*VLOOKUP(CL52,ChurnSeasonTable,4,FALSE))*POWER(1-('Sens - Scenarios'!$D$6*VLOOKUP(CL52,ChurnSeasonTable,4,FALSE)),1)+CY16*('Sens - Scenarios'!$D$6*VLOOKUP(CL52,ChurnSeasonTable,4,FALSE))*POWER(1-('Sens - Scenarios'!$D$6*VLOOKUP(CL52,ChurnSeasonTable,4,FALSE)),2)</f>
        <v/>
      </c>
      <c r="DD52" s="12">
        <f>DD51+CZ52-CZ40*('Sens - Scenarios'!$D$6*VLOOKUP(CL52,ChurnSeasonTable,4,FALSE))*POWER(1-('Sens - Scenarios'!$D$6*VLOOKUP(CL52,ChurnSeasonTable,4,FALSE)),0)+CZ28*('Sens - Scenarios'!$D$6*VLOOKUP(CL52,ChurnSeasonTable,4,FALSE))*POWER(1-('Sens - Scenarios'!$D$6*VLOOKUP(CL52,ChurnSeasonTable,4,FALSE)),1)+CZ16*('Sens - Scenarios'!$D$6*VLOOKUP(CL52,ChurnSeasonTable,4,FALSE))*POWER(1-('Sens - Scenarios'!$D$6*VLOOKUP(CL52,ChurnSeasonTable,4,FALSE)),2)</f>
        <v/>
      </c>
      <c r="DE52" s="12">
        <f>DA52+DB52+DC52+DD52</f>
        <v/>
      </c>
      <c r="DF52" s="9">
        <f>DA52*PriceEssMonthly*CO52+DB52*PricePremMonthly*CO52+DC52*PriceEssAnnual*CO52/12+DD52*PricePremAnnual*CO52/12</f>
        <v/>
      </c>
      <c r="DG52" s="9">
        <f>DF52*12</f>
        <v/>
      </c>
      <c r="DH52" s="12">
        <f>DA52*PriceEssMonthly*CO52+DB52*PricePremMonthly*CO52</f>
        <v/>
      </c>
      <c r="DI52" s="12">
        <f>CY52*PriceEssAnnual*CO52+CZ52*PricePremAnnual*CO52</f>
        <v/>
      </c>
      <c r="DJ52" s="12">
        <f>CY40*POWER(1-('Sens - Scenarios'!$D$6*VLOOKUP(CL52,ChurnSeasonTable,4,FALSE)),1)*PriceEssAnnual*CO52+CY28*POWER(1-('Sens - Scenarios'!$D$6*VLOOKUP(CL52,ChurnSeasonTable,4,FALSE)),2)*PriceEssAnnual*CO52+CY16*POWER(1-('Sens - Scenarios'!$D$6*VLOOKUP(CL52,ChurnSeasonTable,4,FALSE)),3)*PriceEssAnnual*CO52+CZ40*POWER(1-('Sens - Scenarios'!$D$6*VLOOKUP(CL52,ChurnSeasonTable,4,FALSE)),1)*PricePremAnnual*CO52+CZ28*POWER(1-('Sens - Scenarios'!$D$6*VLOOKUP(CL52,ChurnSeasonTable,4,FALSE)),2)*PricePremAnnual*CO52+CZ16*POWER(1-('Sens - Scenarios'!$D$6*VLOOKUP(CL52,ChurnSeasonTable,4,FALSE)),3)*PricePremAnnual*CO52</f>
        <v/>
      </c>
      <c r="DK52" s="9">
        <f>DH52+DI52+DJ52</f>
        <v/>
      </c>
      <c r="DL52" s="12">
        <f>SUM(DK41:DK52)</f>
        <v/>
      </c>
      <c r="DM52" s="12">
        <f>OR(DM51,DL52&gt;=VATThreshold)</f>
        <v/>
      </c>
      <c r="DN52" s="9">
        <f>IF(DM52,DK52/(1+VATRate),DK52)</f>
        <v/>
      </c>
      <c r="DO52" s="12">
        <f>DK52-DN52</f>
        <v/>
      </c>
      <c r="DP52" s="12">
        <f>IF(DM52=0,0,IF(CL52=1,SUMPRODUCT(--(($CM$5:$CM52=$CM52-1)*($CL$5:$CL52&gt;=10)*($CL$5:$CL52&lt;=12)),$DO$5:$DO52),IF(CL52=4,SUMPRODUCT(--(($CM$5:$CM52=$CM52)*($CL$5:$CL52&gt;=1)*($CL$5:$CL52&lt;=3)),$DO$5:$DO52),IF(CL52=7,SUMPRODUCT(--(($CM$5:$CM52=$CM52)*($CL$5:$CL52&gt;=4)*($CL$5:$CL52&lt;=6)),$DO$5:$DO52),IF(CL52=10,SUMPRODUCT(--(($CM$5:$CM52=$CM52)*($CL$5:$CL52&gt;=7)*($CL$5:$CL52&lt;=9)),$DO$5:$DO52),0)))))</f>
        <v/>
      </c>
      <c r="DQ52" s="12">
        <f>DQ51+DO52-DP52</f>
        <v/>
      </c>
      <c r="DR52" s="12">
        <f>IF(ProviderDelay&gt;=1,DN51*ProviderShare,DN52*ProviderShare)</f>
        <v/>
      </c>
      <c r="DS52" s="12">
        <f>DK52*PaymentFee</f>
        <v/>
      </c>
      <c r="DT52" s="12">
        <f>DE52*OpsAI</f>
        <v/>
      </c>
      <c r="DU52" s="12">
        <f>MonthlyFixed</f>
        <v/>
      </c>
      <c r="DV52" s="12">
        <f>CS52*ReferralReward</f>
        <v/>
      </c>
      <c r="DW52" s="12">
        <f>CQ52</f>
        <v/>
      </c>
      <c r="DX52" s="9">
        <f>DN52-DR52-DS52-DT52-DU52-DV52-DW52</f>
        <v/>
      </c>
      <c r="DY52" s="9">
        <f>DY51+DK52-(DR52+DS52+DT52+DU52+DV52+DW52+DP52)</f>
        <v/>
      </c>
      <c r="DZ52" s="12">
        <f>IF(DE52&gt;0,DF52/DE52,0)</f>
        <v/>
      </c>
      <c r="EA52" s="11">
        <f>IF(DE51&gt;0,MAX(0,(DE51+CT52-DE52)/DE51),0)</f>
        <v/>
      </c>
      <c r="EC52" s="12" t="n">
        <v>48</v>
      </c>
      <c r="ED52" s="12">
        <f>MOD(EC52-1+LaunchMonth-1,12)+1</f>
        <v/>
      </c>
      <c r="EE52" s="12">
        <f>INT((EC52-1+LaunchMonth-1)/12)+1</f>
        <v/>
      </c>
      <c r="EF52" s="12">
        <f>VLOOKUP(ED52,SeasonTable,2,FALSE)</f>
        <v/>
      </c>
      <c r="EG52" s="12">
        <f>(1+InflationRate)^INT((EC52-1)/12)</f>
        <v/>
      </c>
      <c r="EH52" s="11">
        <f>'Sens - Churn'!$A$13*VLOOKUP(ED52,ChurnSeasonTable,4,FALSE)</f>
        <v/>
      </c>
      <c r="EI52" s="12">
        <f>MIN(MAX(MktMin19plus,FC51*MktPct19plus),MAX(0,FQ51-CashBuffer))</f>
        <v/>
      </c>
      <c r="EJ52" s="12">
        <f>IF(EI52&gt;0,MAX(1,ROUND(EI52/CAC*EF52,0)),0)</f>
        <v/>
      </c>
      <c r="EK52" s="12">
        <f>IF(EJ52&gt;0,ROUND(EJ52*ReferralMix/(1-ReferralMix),0),0)</f>
        <v/>
      </c>
      <c r="EL52" s="12">
        <f>EJ52+EK52</f>
        <v/>
      </c>
      <c r="EM52" s="12">
        <f>ROUND(EL52*(1-AnnualMix),0)</f>
        <v/>
      </c>
      <c r="EN52" s="12">
        <f>EL52-EM52</f>
        <v/>
      </c>
      <c r="EO52" s="12">
        <f>ROUND(EM52*EssentialMix,0)</f>
        <v/>
      </c>
      <c r="EP52" s="12">
        <f>EM52-EO52</f>
        <v/>
      </c>
      <c r="EQ52" s="12">
        <f>ROUND(EN52*EssentialMix,0)</f>
        <v/>
      </c>
      <c r="ER52" s="12">
        <f>EN52-EQ52</f>
        <v/>
      </c>
      <c r="ES52" s="12">
        <f>EO52+EO51+EO50+MAX(0,ES51-EO51-EO50)*(1-EH52)</f>
        <v/>
      </c>
      <c r="ET52" s="12">
        <f>EP52+EP51+EP50+MAX(0,ET51-EP51-EP50)*(1-EH52)</f>
        <v/>
      </c>
      <c r="EU52" s="12">
        <f>EU51+EQ52-EQ40*(AnnualChurn*VLOOKUP(ED52,ChurnSeasonTable,4,FALSE))*POWER(1-(AnnualChurn*VLOOKUP(ED52,ChurnSeasonTable,4,FALSE)),0)+EQ28*(AnnualChurn*VLOOKUP(ED52,ChurnSeasonTable,4,FALSE))*POWER(1-(AnnualChurn*VLOOKUP(ED52,ChurnSeasonTable,4,FALSE)),1)+EQ16*(AnnualChurn*VLOOKUP(ED52,ChurnSeasonTable,4,FALSE))*POWER(1-(AnnualChurn*VLOOKUP(ED52,ChurnSeasonTable,4,FALSE)),2)</f>
        <v/>
      </c>
      <c r="EV52" s="12">
        <f>EV51+ER52-ER40*(AnnualChurn*VLOOKUP(ED52,ChurnSeasonTable,4,FALSE))*POWER(1-(AnnualChurn*VLOOKUP(ED52,ChurnSeasonTable,4,FALSE)),0)+ER28*(AnnualChurn*VLOOKUP(ED52,ChurnSeasonTable,4,FALSE))*POWER(1-(AnnualChurn*VLOOKUP(ED52,ChurnSeasonTable,4,FALSE)),1)+ER16*(AnnualChurn*VLOOKUP(ED52,ChurnSeasonTable,4,FALSE))*POWER(1-(AnnualChurn*VLOOKUP(ED52,ChurnSeasonTable,4,FALSE)),2)</f>
        <v/>
      </c>
      <c r="EW52" s="12">
        <f>ES52+ET52+EU52+EV52</f>
        <v/>
      </c>
      <c r="EX52" s="9">
        <f>ES52*PriceEssMonthly*EG52+ET52*PricePremMonthly*EG52+EU52*PriceEssAnnual*EG52/12+EV52*PricePremAnnual*EG52/12</f>
        <v/>
      </c>
      <c r="EY52" s="9">
        <f>EX52*12</f>
        <v/>
      </c>
      <c r="EZ52" s="12">
        <f>ES52*PriceEssMonthly*EG52+ET52*PricePremMonthly*EG52</f>
        <v/>
      </c>
      <c r="FA52" s="12">
        <f>EQ52*PriceEssAnnual*EG52+ER52*PricePremAnnual*EG52</f>
        <v/>
      </c>
      <c r="FB52" s="12">
        <f>EQ40*POWER(1-(AnnualChurn*VLOOKUP(ED52,ChurnSeasonTable,4,FALSE)),1)*PriceEssAnnual*EG52+EQ28*POWER(1-(AnnualChurn*VLOOKUP(ED52,ChurnSeasonTable,4,FALSE)),2)*PriceEssAnnual*EG52+EQ16*POWER(1-(AnnualChurn*VLOOKUP(ED52,ChurnSeasonTable,4,FALSE)),3)*PriceEssAnnual*EG52+ER40*POWER(1-(AnnualChurn*VLOOKUP(ED52,ChurnSeasonTable,4,FALSE)),1)*PricePremAnnual*EG52+ER28*POWER(1-(AnnualChurn*VLOOKUP(ED52,ChurnSeasonTable,4,FALSE)),2)*PricePremAnnual*EG52+ER16*POWER(1-(AnnualChurn*VLOOKUP(ED52,ChurnSeasonTable,4,FALSE)),3)*PricePremAnnual*EG52</f>
        <v/>
      </c>
      <c r="FC52" s="9">
        <f>EZ52+FA52+FB52</f>
        <v/>
      </c>
      <c r="FD52" s="12">
        <f>SUM(FC41:FC52)</f>
        <v/>
      </c>
      <c r="FE52" s="12">
        <f>OR(FE51,FD52&gt;=VATThreshold)</f>
        <v/>
      </c>
      <c r="FF52" s="9">
        <f>IF(FE52,FC52/(1+VATRate),FC52)</f>
        <v/>
      </c>
      <c r="FG52" s="12">
        <f>FC52-FF52</f>
        <v/>
      </c>
      <c r="FH52" s="12">
        <f>IF(FE52=0,0,IF(ED52=1,SUMPRODUCT(--(($EE$5:$EE52=$EE52-1)*($ED$5:$ED52&gt;=10)*($ED$5:$ED52&lt;=12)),$FG$5:$FG52),IF(ED52=4,SUMPRODUCT(--(($EE$5:$EE52=$EE52)*($ED$5:$ED52&gt;=1)*($ED$5:$ED52&lt;=3)),$FG$5:$FG52),IF(ED52=7,SUMPRODUCT(--(($EE$5:$EE52=$EE52)*($ED$5:$ED52&gt;=4)*($ED$5:$ED52&lt;=6)),$FG$5:$FG52),IF(ED52=10,SUMPRODUCT(--(($EE$5:$EE52=$EE52)*($ED$5:$ED52&gt;=7)*($ED$5:$ED52&lt;=9)),$FG$5:$FG52),0)))))</f>
        <v/>
      </c>
      <c r="FI52" s="12">
        <f>FI51+FG52-FH52</f>
        <v/>
      </c>
      <c r="FJ52" s="12">
        <f>IF(ProviderDelay&gt;=1,FF51*ProviderShare,FF52*ProviderShare)</f>
        <v/>
      </c>
      <c r="FK52" s="12">
        <f>FC52*PaymentFee</f>
        <v/>
      </c>
      <c r="FL52" s="12">
        <f>EW52*OpsAI</f>
        <v/>
      </c>
      <c r="FM52" s="12">
        <f>MonthlyFixed</f>
        <v/>
      </c>
      <c r="FN52" s="12">
        <f>EK52*ReferralReward</f>
        <v/>
      </c>
      <c r="FO52" s="12">
        <f>EI52</f>
        <v/>
      </c>
      <c r="FP52" s="9">
        <f>FF52-FJ52-FK52-FL52-FM52-FN52-FO52</f>
        <v/>
      </c>
      <c r="FQ52" s="9">
        <f>FQ51+FC52-(FJ52+FK52+FL52+FM52+FN52+FO52+FH52)</f>
        <v/>
      </c>
      <c r="FR52" s="12">
        <f>IF(EW52&gt;0,EX52/EW52,0)</f>
        <v/>
      </c>
      <c r="FS52" s="11">
        <f>IF(EW51&gt;0,MAX(0,(EW51+EL52-EW52)/EW51),0)</f>
        <v/>
      </c>
      <c r="FU52" s="12" t="n">
        <v>48</v>
      </c>
      <c r="FV52" s="12">
        <f>MOD(FU52-1+LaunchMonth-1,12)+1</f>
        <v/>
      </c>
      <c r="FW52" s="12">
        <f>INT((FU52-1+LaunchMonth-1)/12)+1</f>
        <v/>
      </c>
      <c r="FX52" s="12">
        <f>VLOOKUP(FV52,SeasonTable,2,FALSE)</f>
        <v/>
      </c>
      <c r="FY52" s="12">
        <f>(1+InflationRate)^INT((FU52-1)/12)</f>
        <v/>
      </c>
      <c r="FZ52" s="11">
        <f>'Sens - Churn'!$A$14*VLOOKUP(FV52,ChurnSeasonTable,4,FALSE)</f>
        <v/>
      </c>
      <c r="GA52" s="12">
        <f>MIN(MAX(MktMin19plus,GU51*MktPct19plus),MAX(0,HI51-CashBuffer))</f>
        <v/>
      </c>
      <c r="GB52" s="12">
        <f>IF(GA52&gt;0,MAX(1,ROUND(GA52/CAC*FX52,0)),0)</f>
        <v/>
      </c>
      <c r="GC52" s="12">
        <f>IF(GB52&gt;0,ROUND(GB52*ReferralMix/(1-ReferralMix),0),0)</f>
        <v/>
      </c>
      <c r="GD52" s="12">
        <f>GB52+GC52</f>
        <v/>
      </c>
      <c r="GE52" s="12">
        <f>ROUND(GD52*(1-AnnualMix),0)</f>
        <v/>
      </c>
      <c r="GF52" s="12">
        <f>GD52-GE52</f>
        <v/>
      </c>
      <c r="GG52" s="12">
        <f>ROUND(GE52*EssentialMix,0)</f>
        <v/>
      </c>
      <c r="GH52" s="12">
        <f>GE52-GG52</f>
        <v/>
      </c>
      <c r="GI52" s="12">
        <f>ROUND(GF52*EssentialMix,0)</f>
        <v/>
      </c>
      <c r="GJ52" s="12">
        <f>GF52-GI52</f>
        <v/>
      </c>
      <c r="GK52" s="12">
        <f>GG52+GG51+GG50+MAX(0,GK51-GG51-GG50)*(1-FZ52)</f>
        <v/>
      </c>
      <c r="GL52" s="12">
        <f>GH52+GH51+GH50+MAX(0,GL51-GH51-GH50)*(1-FZ52)</f>
        <v/>
      </c>
      <c r="GM52" s="12">
        <f>GM51+GI52-GI40*(AnnualChurn*VLOOKUP(FV52,ChurnSeasonTable,4,FALSE))*POWER(1-(AnnualChurn*VLOOKUP(FV52,ChurnSeasonTable,4,FALSE)),0)+GI28*(AnnualChurn*VLOOKUP(FV52,ChurnSeasonTable,4,FALSE))*POWER(1-(AnnualChurn*VLOOKUP(FV52,ChurnSeasonTable,4,FALSE)),1)+GI16*(AnnualChurn*VLOOKUP(FV52,ChurnSeasonTable,4,FALSE))*POWER(1-(AnnualChurn*VLOOKUP(FV52,ChurnSeasonTable,4,FALSE)),2)</f>
        <v/>
      </c>
      <c r="GN52" s="12">
        <f>GN51+GJ52-GJ40*(AnnualChurn*VLOOKUP(FV52,ChurnSeasonTable,4,FALSE))*POWER(1-(AnnualChurn*VLOOKUP(FV52,ChurnSeasonTable,4,FALSE)),0)+GJ28*(AnnualChurn*VLOOKUP(FV52,ChurnSeasonTable,4,FALSE))*POWER(1-(AnnualChurn*VLOOKUP(FV52,ChurnSeasonTable,4,FALSE)),1)+GJ16*(AnnualChurn*VLOOKUP(FV52,ChurnSeasonTable,4,FALSE))*POWER(1-(AnnualChurn*VLOOKUP(FV52,ChurnSeasonTable,4,FALSE)),2)</f>
        <v/>
      </c>
      <c r="GO52" s="12">
        <f>GK52+GL52+GM52+GN52</f>
        <v/>
      </c>
      <c r="GP52" s="9">
        <f>GK52*PriceEssMonthly*FY52+GL52*PricePremMonthly*FY52+GM52*PriceEssAnnual*FY52/12+GN52*PricePremAnnual*FY52/12</f>
        <v/>
      </c>
      <c r="GQ52" s="9">
        <f>GP52*12</f>
        <v/>
      </c>
      <c r="GR52" s="12">
        <f>GK52*PriceEssMonthly*FY52+GL52*PricePremMonthly*FY52</f>
        <v/>
      </c>
      <c r="GS52" s="12">
        <f>GI52*PriceEssAnnual*FY52+GJ52*PricePremAnnual*FY52</f>
        <v/>
      </c>
      <c r="GT52" s="12">
        <f>GI40*POWER(1-(AnnualChurn*VLOOKUP(FV52,ChurnSeasonTable,4,FALSE)),1)*PriceEssAnnual*FY52+GI28*POWER(1-(AnnualChurn*VLOOKUP(FV52,ChurnSeasonTable,4,FALSE)),2)*PriceEssAnnual*FY52+GI16*POWER(1-(AnnualChurn*VLOOKUP(FV52,ChurnSeasonTable,4,FALSE)),3)*PriceEssAnnual*FY52+GJ40*POWER(1-(AnnualChurn*VLOOKUP(FV52,ChurnSeasonTable,4,FALSE)),1)*PricePremAnnual*FY52+GJ28*POWER(1-(AnnualChurn*VLOOKUP(FV52,ChurnSeasonTable,4,FALSE)),2)*PricePremAnnual*FY52+GJ16*POWER(1-(AnnualChurn*VLOOKUP(FV52,ChurnSeasonTable,4,FALSE)),3)*PricePremAnnual*FY52</f>
        <v/>
      </c>
      <c r="GU52" s="9">
        <f>GR52+GS52+GT52</f>
        <v/>
      </c>
      <c r="GV52" s="12">
        <f>SUM(GU41:GU52)</f>
        <v/>
      </c>
      <c r="GW52" s="12">
        <f>OR(GW51,GV52&gt;=VATThreshold)</f>
        <v/>
      </c>
      <c r="GX52" s="9">
        <f>IF(GW52,GU52/(1+VATRate),GU52)</f>
        <v/>
      </c>
      <c r="GY52" s="12">
        <f>GU52-GX52</f>
        <v/>
      </c>
      <c r="GZ52" s="12">
        <f>IF(GW52=0,0,IF(FV52=1,SUMPRODUCT(--(($FW$5:$FW52=$FW52-1)*($FV$5:$FV52&gt;=10)*($FV$5:$FV52&lt;=12)),$GY$5:$GY52),IF(FV52=4,SUMPRODUCT(--(($FW$5:$FW52=$FW52)*($FV$5:$FV52&gt;=1)*($FV$5:$FV52&lt;=3)),$GY$5:$GY52),IF(FV52=7,SUMPRODUCT(--(($FW$5:$FW52=$FW52)*($FV$5:$FV52&gt;=4)*($FV$5:$FV52&lt;=6)),$GY$5:$GY52),IF(FV52=10,SUMPRODUCT(--(($FW$5:$FW52=$FW52)*($FV$5:$FV52&gt;=7)*($FV$5:$FV52&lt;=9)),$GY$5:$GY52),0)))))</f>
        <v/>
      </c>
      <c r="HA52" s="12">
        <f>HA51+GY52-GZ52</f>
        <v/>
      </c>
      <c r="HB52" s="12">
        <f>IF(ProviderDelay&gt;=1,GX51*ProviderShare,GX52*ProviderShare)</f>
        <v/>
      </c>
      <c r="HC52" s="12">
        <f>GU52*PaymentFee</f>
        <v/>
      </c>
      <c r="HD52" s="12">
        <f>GO52*OpsAI</f>
        <v/>
      </c>
      <c r="HE52" s="12">
        <f>MonthlyFixed</f>
        <v/>
      </c>
      <c r="HF52" s="12">
        <f>GC52*ReferralReward</f>
        <v/>
      </c>
      <c r="HG52" s="12">
        <f>GA52</f>
        <v/>
      </c>
      <c r="HH52" s="9">
        <f>GX52-HB52-HC52-HD52-HE52-HF52-HG52</f>
        <v/>
      </c>
      <c r="HI52" s="9">
        <f>HI51+GU52-(HB52+HC52+HD52+HE52+HF52+HG52+GZ52)</f>
        <v/>
      </c>
      <c r="HJ52" s="12">
        <f>IF(GO52&gt;0,GP52/GO52,0)</f>
        <v/>
      </c>
      <c r="HK52" s="11">
        <f>IF(GO51&gt;0,MAX(0,(GO51+GD52-GO52)/GO51),0)</f>
        <v/>
      </c>
      <c r="HM52" s="12" t="n">
        <v>48</v>
      </c>
      <c r="HN52" s="12">
        <f>MOD(HM52-1+LaunchMonth-1,12)+1</f>
        <v/>
      </c>
      <c r="HO52" s="12">
        <f>INT((HM52-1+LaunchMonth-1)/12)+1</f>
        <v/>
      </c>
      <c r="HP52" s="12">
        <f>VLOOKUP(HN52,SeasonTable,2,FALSE)</f>
        <v/>
      </c>
      <c r="HQ52" s="12">
        <f>(1+InflationRate)^INT((HM52-1)/12)</f>
        <v/>
      </c>
      <c r="HR52" s="11">
        <f>'Sens - Churn'!$A$15*VLOOKUP(HN52,ChurnSeasonTable,4,FALSE)</f>
        <v/>
      </c>
      <c r="HS52" s="12">
        <f>MIN(MAX(MktMin19plus,IM51*MktPct19plus),MAX(0,JA51-CashBuffer))</f>
        <v/>
      </c>
      <c r="HT52" s="12">
        <f>IF(HS52&gt;0,MAX(1,ROUND(HS52/CAC*HP52,0)),0)</f>
        <v/>
      </c>
      <c r="HU52" s="12">
        <f>IF(HT52&gt;0,ROUND(HT52*ReferralMix/(1-ReferralMix),0),0)</f>
        <v/>
      </c>
      <c r="HV52" s="12">
        <f>HT52+HU52</f>
        <v/>
      </c>
      <c r="HW52" s="12">
        <f>ROUND(HV52*(1-AnnualMix),0)</f>
        <v/>
      </c>
      <c r="HX52" s="12">
        <f>HV52-HW52</f>
        <v/>
      </c>
      <c r="HY52" s="12">
        <f>ROUND(HW52*EssentialMix,0)</f>
        <v/>
      </c>
      <c r="HZ52" s="12">
        <f>HW52-HY52</f>
        <v/>
      </c>
      <c r="IA52" s="12">
        <f>ROUND(HX52*EssentialMix,0)</f>
        <v/>
      </c>
      <c r="IB52" s="12">
        <f>HX52-IA52</f>
        <v/>
      </c>
      <c r="IC52" s="12">
        <f>HY52+HY51+HY50+MAX(0,IC51-HY51-HY50)*(1-HR52)</f>
        <v/>
      </c>
      <c r="ID52" s="12">
        <f>HZ52+HZ51+HZ50+MAX(0,ID51-HZ51-HZ50)*(1-HR52)</f>
        <v/>
      </c>
      <c r="IE52" s="12">
        <f>IE51+IA52-IA40*(AnnualChurn*VLOOKUP(HN52,ChurnSeasonTable,4,FALSE))*POWER(1-(AnnualChurn*VLOOKUP(HN52,ChurnSeasonTable,4,FALSE)),0)+IA28*(AnnualChurn*VLOOKUP(HN52,ChurnSeasonTable,4,FALSE))*POWER(1-(AnnualChurn*VLOOKUP(HN52,ChurnSeasonTable,4,FALSE)),1)+IA16*(AnnualChurn*VLOOKUP(HN52,ChurnSeasonTable,4,FALSE))*POWER(1-(AnnualChurn*VLOOKUP(HN52,ChurnSeasonTable,4,FALSE)),2)</f>
        <v/>
      </c>
      <c r="IF52" s="12">
        <f>IF51+IB52-IB40*(AnnualChurn*VLOOKUP(HN52,ChurnSeasonTable,4,FALSE))*POWER(1-(AnnualChurn*VLOOKUP(HN52,ChurnSeasonTable,4,FALSE)),0)+IB28*(AnnualChurn*VLOOKUP(HN52,ChurnSeasonTable,4,FALSE))*POWER(1-(AnnualChurn*VLOOKUP(HN52,ChurnSeasonTable,4,FALSE)),1)+IB16*(AnnualChurn*VLOOKUP(HN52,ChurnSeasonTable,4,FALSE))*POWER(1-(AnnualChurn*VLOOKUP(HN52,ChurnSeasonTable,4,FALSE)),2)</f>
        <v/>
      </c>
      <c r="IG52" s="12">
        <f>IC52+ID52+IE52+IF52</f>
        <v/>
      </c>
      <c r="IH52" s="9">
        <f>IC52*PriceEssMonthly*HQ52+ID52*PricePremMonthly*HQ52+IE52*PriceEssAnnual*HQ52/12+IF52*PricePremAnnual*HQ52/12</f>
        <v/>
      </c>
      <c r="II52" s="9">
        <f>IH52*12</f>
        <v/>
      </c>
      <c r="IJ52" s="12">
        <f>IC52*PriceEssMonthly*HQ52+ID52*PricePremMonthly*HQ52</f>
        <v/>
      </c>
      <c r="IK52" s="12">
        <f>IA52*PriceEssAnnual*HQ52+IB52*PricePremAnnual*HQ52</f>
        <v/>
      </c>
      <c r="IL52" s="12">
        <f>IA40*POWER(1-(AnnualChurn*VLOOKUP(HN52,ChurnSeasonTable,4,FALSE)),1)*PriceEssAnnual*HQ52+IA28*POWER(1-(AnnualChurn*VLOOKUP(HN52,ChurnSeasonTable,4,FALSE)),2)*PriceEssAnnual*HQ52+IA16*POWER(1-(AnnualChurn*VLOOKUP(HN52,ChurnSeasonTable,4,FALSE)),3)*PriceEssAnnual*HQ52+IB40*POWER(1-(AnnualChurn*VLOOKUP(HN52,ChurnSeasonTable,4,FALSE)),1)*PricePremAnnual*HQ52+IB28*POWER(1-(AnnualChurn*VLOOKUP(HN52,ChurnSeasonTable,4,FALSE)),2)*PricePremAnnual*HQ52+IB16*POWER(1-(AnnualChurn*VLOOKUP(HN52,ChurnSeasonTable,4,FALSE)),3)*PricePremAnnual*HQ52</f>
        <v/>
      </c>
      <c r="IM52" s="9">
        <f>IJ52+IK52+IL52</f>
        <v/>
      </c>
      <c r="IN52" s="12">
        <f>SUM(IM41:IM52)</f>
        <v/>
      </c>
      <c r="IO52" s="12">
        <f>OR(IO51,IN52&gt;=VATThreshold)</f>
        <v/>
      </c>
      <c r="IP52" s="9">
        <f>IF(IO52,IM52/(1+VATRate),IM52)</f>
        <v/>
      </c>
      <c r="IQ52" s="12">
        <f>IM52-IP52</f>
        <v/>
      </c>
      <c r="IR52" s="12">
        <f>IF(IO52=0,0,IF(HN52=1,SUMPRODUCT(--(($HO$5:$HO52=$HO52-1)*($HN$5:$HN52&gt;=10)*($HN$5:$HN52&lt;=12)),$IQ$5:$IQ52),IF(HN52=4,SUMPRODUCT(--(($HO$5:$HO52=$HO52)*($HN$5:$HN52&gt;=1)*($HN$5:$HN52&lt;=3)),$IQ$5:$IQ52),IF(HN52=7,SUMPRODUCT(--(($HO$5:$HO52=$HO52)*($HN$5:$HN52&gt;=4)*($HN$5:$HN52&lt;=6)),$IQ$5:$IQ52),IF(HN52=10,SUMPRODUCT(--(($HO$5:$HO52=$HO52)*($HN$5:$HN52&gt;=7)*($HN$5:$HN52&lt;=9)),$IQ$5:$IQ52),0)))))</f>
        <v/>
      </c>
      <c r="IS52" s="12">
        <f>IS51+IQ52-IR52</f>
        <v/>
      </c>
      <c r="IT52" s="12">
        <f>IF(ProviderDelay&gt;=1,IP51*ProviderShare,IP52*ProviderShare)</f>
        <v/>
      </c>
      <c r="IU52" s="12">
        <f>IM52*PaymentFee</f>
        <v/>
      </c>
      <c r="IV52" s="12">
        <f>IG52*OpsAI</f>
        <v/>
      </c>
      <c r="IW52" s="12">
        <f>MonthlyFixed</f>
        <v/>
      </c>
      <c r="IX52" s="12">
        <f>HU52*ReferralReward</f>
        <v/>
      </c>
      <c r="IY52" s="12">
        <f>HS52</f>
        <v/>
      </c>
      <c r="IZ52" s="9">
        <f>IP52-IT52-IU52-IV52-IW52-IX52-IY52</f>
        <v/>
      </c>
      <c r="JA52" s="9">
        <f>JA51+IM52-(IT52+IU52+IV52+IW52+IX52+IY52+IR52)</f>
        <v/>
      </c>
      <c r="JB52" s="12">
        <f>IF(IG52&gt;0,IH52/IG52,0)</f>
        <v/>
      </c>
      <c r="JC52" s="11">
        <f>IF(IG51&gt;0,MAX(0,(IG51+HV52-IG52)/IG51),0)</f>
        <v/>
      </c>
      <c r="JE52" s="12" t="n">
        <v>48</v>
      </c>
      <c r="JF52" s="12">
        <f>MOD(JE52-1+LaunchMonth-1,12)+1</f>
        <v/>
      </c>
      <c r="JG52" s="12">
        <f>INT((JE52-1+LaunchMonth-1)/12)+1</f>
        <v/>
      </c>
      <c r="JH52" s="12">
        <f>VLOOKUP(JF52,SeasonTable,2,FALSE)</f>
        <v/>
      </c>
      <c r="JI52" s="12">
        <f>(1+InflationRate)^INT((JE52-1)/12)</f>
        <v/>
      </c>
      <c r="JJ52" s="11">
        <f>'Sens - Churn'!$A$16*VLOOKUP(JF52,ChurnSeasonTable,4,FALSE)</f>
        <v/>
      </c>
      <c r="JK52" s="12">
        <f>MIN(MAX(MktMin19plus,KE51*MktPct19plus),MAX(0,KS51-CashBuffer))</f>
        <v/>
      </c>
      <c r="JL52" s="12">
        <f>IF(JK52&gt;0,MAX(1,ROUND(JK52/CAC*JH52,0)),0)</f>
        <v/>
      </c>
      <c r="JM52" s="12">
        <f>IF(JL52&gt;0,ROUND(JL52*ReferralMix/(1-ReferralMix),0),0)</f>
        <v/>
      </c>
      <c r="JN52" s="12">
        <f>JL52+JM52</f>
        <v/>
      </c>
      <c r="JO52" s="12">
        <f>ROUND(JN52*(1-AnnualMix),0)</f>
        <v/>
      </c>
      <c r="JP52" s="12">
        <f>JN52-JO52</f>
        <v/>
      </c>
      <c r="JQ52" s="12">
        <f>ROUND(JO52*EssentialMix,0)</f>
        <v/>
      </c>
      <c r="JR52" s="12">
        <f>JO52-JQ52</f>
        <v/>
      </c>
      <c r="JS52" s="12">
        <f>ROUND(JP52*EssentialMix,0)</f>
        <v/>
      </c>
      <c r="JT52" s="12">
        <f>JP52-JS52</f>
        <v/>
      </c>
      <c r="JU52" s="12">
        <f>JQ52+JQ51+JQ50+MAX(0,JU51-JQ51-JQ50)*(1-JJ52)</f>
        <v/>
      </c>
      <c r="JV52" s="12">
        <f>JR52+JR51+JR50+MAX(0,JV51-JR51-JR50)*(1-JJ52)</f>
        <v/>
      </c>
      <c r="JW52" s="12">
        <f>JW51+JS52-JS40*(AnnualChurn*VLOOKUP(JF52,ChurnSeasonTable,4,FALSE))*POWER(1-(AnnualChurn*VLOOKUP(JF52,ChurnSeasonTable,4,FALSE)),0)+JS28*(AnnualChurn*VLOOKUP(JF52,ChurnSeasonTable,4,FALSE))*POWER(1-(AnnualChurn*VLOOKUP(JF52,ChurnSeasonTable,4,FALSE)),1)+JS16*(AnnualChurn*VLOOKUP(JF52,ChurnSeasonTable,4,FALSE))*POWER(1-(AnnualChurn*VLOOKUP(JF52,ChurnSeasonTable,4,FALSE)),2)</f>
        <v/>
      </c>
      <c r="JX52" s="12">
        <f>JX51+JT52-JT40*(AnnualChurn*VLOOKUP(JF52,ChurnSeasonTable,4,FALSE))*POWER(1-(AnnualChurn*VLOOKUP(JF52,ChurnSeasonTable,4,FALSE)),0)+JT28*(AnnualChurn*VLOOKUP(JF52,ChurnSeasonTable,4,FALSE))*POWER(1-(AnnualChurn*VLOOKUP(JF52,ChurnSeasonTable,4,FALSE)),1)+JT16*(AnnualChurn*VLOOKUP(JF52,ChurnSeasonTable,4,FALSE))*POWER(1-(AnnualChurn*VLOOKUP(JF52,ChurnSeasonTable,4,FALSE)),2)</f>
        <v/>
      </c>
      <c r="JY52" s="12">
        <f>JU52+JV52+JW52+JX52</f>
        <v/>
      </c>
      <c r="JZ52" s="9">
        <f>JU52*PriceEssMonthly*JI52+JV52*PricePremMonthly*JI52+JW52*PriceEssAnnual*JI52/12+JX52*PricePremAnnual*JI52/12</f>
        <v/>
      </c>
      <c r="KA52" s="9">
        <f>JZ52*12</f>
        <v/>
      </c>
      <c r="KB52" s="12">
        <f>JU52*PriceEssMonthly*JI52+JV52*PricePremMonthly*JI52</f>
        <v/>
      </c>
      <c r="KC52" s="12">
        <f>JS52*PriceEssAnnual*JI52+JT52*PricePremAnnual*JI52</f>
        <v/>
      </c>
      <c r="KD52" s="12">
        <f>JS40*POWER(1-(AnnualChurn*VLOOKUP(JF52,ChurnSeasonTable,4,FALSE)),1)*PriceEssAnnual*JI52+JS28*POWER(1-(AnnualChurn*VLOOKUP(JF52,ChurnSeasonTable,4,FALSE)),2)*PriceEssAnnual*JI52+JS16*POWER(1-(AnnualChurn*VLOOKUP(JF52,ChurnSeasonTable,4,FALSE)),3)*PriceEssAnnual*JI52+JT40*POWER(1-(AnnualChurn*VLOOKUP(JF52,ChurnSeasonTable,4,FALSE)),1)*PricePremAnnual*JI52+JT28*POWER(1-(AnnualChurn*VLOOKUP(JF52,ChurnSeasonTable,4,FALSE)),2)*PricePremAnnual*JI52+JT16*POWER(1-(AnnualChurn*VLOOKUP(JF52,ChurnSeasonTable,4,FALSE)),3)*PricePremAnnual*JI52</f>
        <v/>
      </c>
      <c r="KE52" s="9">
        <f>KB52+KC52+KD52</f>
        <v/>
      </c>
      <c r="KF52" s="12">
        <f>SUM(KE41:KE52)</f>
        <v/>
      </c>
      <c r="KG52" s="12">
        <f>OR(KG51,KF52&gt;=VATThreshold)</f>
        <v/>
      </c>
      <c r="KH52" s="9">
        <f>IF(KG52,KE52/(1+VATRate),KE52)</f>
        <v/>
      </c>
      <c r="KI52" s="12">
        <f>KE52-KH52</f>
        <v/>
      </c>
      <c r="KJ52" s="12">
        <f>IF(KG52=0,0,IF(JF52=1,SUMPRODUCT(--(($JG$5:$JG52=$JG52-1)*($JF$5:$JF52&gt;=10)*($JF$5:$JF52&lt;=12)),$KI$5:$KI52),IF(JF52=4,SUMPRODUCT(--(($JG$5:$JG52=$JG52)*($JF$5:$JF52&gt;=1)*($JF$5:$JF52&lt;=3)),$KI$5:$KI52),IF(JF52=7,SUMPRODUCT(--(($JG$5:$JG52=$JG52)*($JF$5:$JF52&gt;=4)*($JF$5:$JF52&lt;=6)),$KI$5:$KI52),IF(JF52=10,SUMPRODUCT(--(($JG$5:$JG52=$JG52)*($JF$5:$JF52&gt;=7)*($JF$5:$JF52&lt;=9)),$KI$5:$KI52),0)))))</f>
        <v/>
      </c>
      <c r="KK52" s="12">
        <f>KK51+KI52-KJ52</f>
        <v/>
      </c>
      <c r="KL52" s="12">
        <f>IF(ProviderDelay&gt;=1,KH51*ProviderShare,KH52*ProviderShare)</f>
        <v/>
      </c>
      <c r="KM52" s="12">
        <f>KE52*PaymentFee</f>
        <v/>
      </c>
      <c r="KN52" s="12">
        <f>JY52*OpsAI</f>
        <v/>
      </c>
      <c r="KO52" s="12">
        <f>MonthlyFixed</f>
        <v/>
      </c>
      <c r="KP52" s="12">
        <f>JM52*ReferralReward</f>
        <v/>
      </c>
      <c r="KQ52" s="12">
        <f>JK52</f>
        <v/>
      </c>
      <c r="KR52" s="9">
        <f>KH52-KL52-KM52-KN52-KO52-KP52-KQ52</f>
        <v/>
      </c>
      <c r="KS52" s="9">
        <f>KS51+KE52-(KL52+KM52+KN52+KO52+KP52+KQ52+KJ52)</f>
        <v/>
      </c>
      <c r="KT52" s="12">
        <f>IF(JY52&gt;0,JZ52/JY52,0)</f>
        <v/>
      </c>
      <c r="KU52" s="11">
        <f>IF(JY51&gt;0,MAX(0,(JY51+JN52-JY52)/JY51),0)</f>
        <v/>
      </c>
      <c r="KW52" s="12" t="n">
        <v>48</v>
      </c>
      <c r="KX52" s="12">
        <f>MOD(KW52-1+LaunchMonth-1,12)+1</f>
        <v/>
      </c>
      <c r="KY52" s="12">
        <f>INT((KW52-1+LaunchMonth-1)/12)+1</f>
        <v/>
      </c>
      <c r="KZ52" s="12">
        <f>VLOOKUP(KX52,SeasonTable,2,FALSE)</f>
        <v/>
      </c>
      <c r="LA52" s="12">
        <f>(1+InflationRate)^INT((KW52-1)/12)</f>
        <v/>
      </c>
      <c r="LB52" s="11">
        <f>'Sens - Churn'!$A$17*VLOOKUP(KX52,ChurnSeasonTable,4,FALSE)</f>
        <v/>
      </c>
      <c r="LC52" s="12">
        <f>MIN(MAX(MktMin19plus,LW51*MktPct19plus),MAX(0,MK51-CashBuffer))</f>
        <v/>
      </c>
      <c r="LD52" s="12">
        <f>IF(LC52&gt;0,MAX(1,ROUND(LC52/CAC*KZ52,0)),0)</f>
        <v/>
      </c>
      <c r="LE52" s="12">
        <f>IF(LD52&gt;0,ROUND(LD52*ReferralMix/(1-ReferralMix),0),0)</f>
        <v/>
      </c>
      <c r="LF52" s="12">
        <f>LD52+LE52</f>
        <v/>
      </c>
      <c r="LG52" s="12">
        <f>ROUND(LF52*(1-AnnualMix),0)</f>
        <v/>
      </c>
      <c r="LH52" s="12">
        <f>LF52-LG52</f>
        <v/>
      </c>
      <c r="LI52" s="12">
        <f>ROUND(LG52*EssentialMix,0)</f>
        <v/>
      </c>
      <c r="LJ52" s="12">
        <f>LG52-LI52</f>
        <v/>
      </c>
      <c r="LK52" s="12">
        <f>ROUND(LH52*EssentialMix,0)</f>
        <v/>
      </c>
      <c r="LL52" s="12">
        <f>LH52-LK52</f>
        <v/>
      </c>
      <c r="LM52" s="12">
        <f>LI52+LI51+LI50+MAX(0,LM51-LI51-LI50)*(1-LB52)</f>
        <v/>
      </c>
      <c r="LN52" s="12">
        <f>LJ52+LJ51+LJ50+MAX(0,LN51-LJ51-LJ50)*(1-LB52)</f>
        <v/>
      </c>
      <c r="LO52" s="12">
        <f>LO51+LK52-LK40*(AnnualChurn*VLOOKUP(KX52,ChurnSeasonTable,4,FALSE))*POWER(1-(AnnualChurn*VLOOKUP(KX52,ChurnSeasonTable,4,FALSE)),0)+LK28*(AnnualChurn*VLOOKUP(KX52,ChurnSeasonTable,4,FALSE))*POWER(1-(AnnualChurn*VLOOKUP(KX52,ChurnSeasonTable,4,FALSE)),1)+LK16*(AnnualChurn*VLOOKUP(KX52,ChurnSeasonTable,4,FALSE))*POWER(1-(AnnualChurn*VLOOKUP(KX52,ChurnSeasonTable,4,FALSE)),2)</f>
        <v/>
      </c>
      <c r="LP52" s="12">
        <f>LP51+LL52-LL40*(AnnualChurn*VLOOKUP(KX52,ChurnSeasonTable,4,FALSE))*POWER(1-(AnnualChurn*VLOOKUP(KX52,ChurnSeasonTable,4,FALSE)),0)+LL28*(AnnualChurn*VLOOKUP(KX52,ChurnSeasonTable,4,FALSE))*POWER(1-(AnnualChurn*VLOOKUP(KX52,ChurnSeasonTable,4,FALSE)),1)+LL16*(AnnualChurn*VLOOKUP(KX52,ChurnSeasonTable,4,FALSE))*POWER(1-(AnnualChurn*VLOOKUP(KX52,ChurnSeasonTable,4,FALSE)),2)</f>
        <v/>
      </c>
      <c r="LQ52" s="12">
        <f>LM52+LN52+LO52+LP52</f>
        <v/>
      </c>
      <c r="LR52" s="9">
        <f>LM52*PriceEssMonthly*LA52+LN52*PricePremMonthly*LA52+LO52*PriceEssAnnual*LA52/12+LP52*PricePremAnnual*LA52/12</f>
        <v/>
      </c>
      <c r="LS52" s="9">
        <f>LR52*12</f>
        <v/>
      </c>
      <c r="LT52" s="12">
        <f>LM52*PriceEssMonthly*LA52+LN52*PricePremMonthly*LA52</f>
        <v/>
      </c>
      <c r="LU52" s="12">
        <f>LK52*PriceEssAnnual*LA52+LL52*PricePremAnnual*LA52</f>
        <v/>
      </c>
      <c r="LV52" s="12">
        <f>LK40*POWER(1-(AnnualChurn*VLOOKUP(KX52,ChurnSeasonTable,4,FALSE)),1)*PriceEssAnnual*LA52+LK28*POWER(1-(AnnualChurn*VLOOKUP(KX52,ChurnSeasonTable,4,FALSE)),2)*PriceEssAnnual*LA52+LK16*POWER(1-(AnnualChurn*VLOOKUP(KX52,ChurnSeasonTable,4,FALSE)),3)*PriceEssAnnual*LA52+LL40*POWER(1-(AnnualChurn*VLOOKUP(KX52,ChurnSeasonTable,4,FALSE)),1)*PricePremAnnual*LA52+LL28*POWER(1-(AnnualChurn*VLOOKUP(KX52,ChurnSeasonTable,4,FALSE)),2)*PricePremAnnual*LA52+LL16*POWER(1-(AnnualChurn*VLOOKUP(KX52,ChurnSeasonTable,4,FALSE)),3)*PricePremAnnual*LA52</f>
        <v/>
      </c>
      <c r="LW52" s="9">
        <f>LT52+LU52+LV52</f>
        <v/>
      </c>
      <c r="LX52" s="12">
        <f>SUM(LW41:LW52)</f>
        <v/>
      </c>
      <c r="LY52" s="12">
        <f>OR(LY51,LX52&gt;=VATThreshold)</f>
        <v/>
      </c>
      <c r="LZ52" s="9">
        <f>IF(LY52,LW52/(1+VATRate),LW52)</f>
        <v/>
      </c>
      <c r="MA52" s="12">
        <f>LW52-LZ52</f>
        <v/>
      </c>
      <c r="MB52" s="12">
        <f>IF(LY52=0,0,IF(KX52=1,SUMPRODUCT(--(($KY$5:$KY52=$KY52-1)*($KX$5:$KX52&gt;=10)*($KX$5:$KX52&lt;=12)),$MA$5:$MA52),IF(KX52=4,SUMPRODUCT(--(($KY$5:$KY52=$KY52)*($KX$5:$KX52&gt;=1)*($KX$5:$KX52&lt;=3)),$MA$5:$MA52),IF(KX52=7,SUMPRODUCT(--(($KY$5:$KY52=$KY52)*($KX$5:$KX52&gt;=4)*($KX$5:$KX52&lt;=6)),$MA$5:$MA52),IF(KX52=10,SUMPRODUCT(--(($KY$5:$KY52=$KY52)*($KX$5:$KX52&gt;=7)*($KX$5:$KX52&lt;=9)),$MA$5:$MA52),0)))))</f>
        <v/>
      </c>
      <c r="MC52" s="12">
        <f>MC51+MA52-MB52</f>
        <v/>
      </c>
      <c r="MD52" s="12">
        <f>IF(ProviderDelay&gt;=1,LZ51*ProviderShare,LZ52*ProviderShare)</f>
        <v/>
      </c>
      <c r="ME52" s="12">
        <f>LW52*PaymentFee</f>
        <v/>
      </c>
      <c r="MF52" s="12">
        <f>LQ52*OpsAI</f>
        <v/>
      </c>
      <c r="MG52" s="12">
        <f>MonthlyFixed</f>
        <v/>
      </c>
      <c r="MH52" s="12">
        <f>LE52*ReferralReward</f>
        <v/>
      </c>
      <c r="MI52" s="12">
        <f>LC52</f>
        <v/>
      </c>
      <c r="MJ52" s="9">
        <f>LZ52-MD52-ME52-MF52-MG52-MH52-MI52</f>
        <v/>
      </c>
      <c r="MK52" s="9">
        <f>MK51+LW52-(MD52+ME52+MF52+MG52+MH52+MI52+MB52)</f>
        <v/>
      </c>
      <c r="ML52" s="12">
        <f>IF(LQ52&gt;0,LR52/LQ52,0)</f>
        <v/>
      </c>
      <c r="MM52" s="11">
        <f>IF(LQ51&gt;0,MAX(0,(LQ51+LF52-LQ52)/LQ51),0)</f>
        <v/>
      </c>
      <c r="MO52" s="12" t="n">
        <v>48</v>
      </c>
      <c r="MP52" s="12">
        <f>MOD(MO52-1+LaunchMonth-1,12)+1</f>
        <v/>
      </c>
      <c r="MQ52" s="12">
        <f>INT((MO52-1+LaunchMonth-1)/12)+1</f>
        <v/>
      </c>
      <c r="MR52" s="12">
        <f>VLOOKUP(MP52,SeasonTable,2,FALSE)</f>
        <v/>
      </c>
      <c r="MS52" s="12">
        <f>(1+InflationRate)^INT((MO52-1)/12)</f>
        <v/>
      </c>
      <c r="MT52" s="11">
        <f>'Sens - Churn'!$A$18*VLOOKUP(MP52,ChurnSeasonTable,4,FALSE)</f>
        <v/>
      </c>
      <c r="MU52" s="12">
        <f>MIN(MAX(MktMin19plus,NO51*MktPct19plus),MAX(0,OC51-CashBuffer))</f>
        <v/>
      </c>
      <c r="MV52" s="12">
        <f>IF(MU52&gt;0,MAX(1,ROUND(MU52/CAC*MR52,0)),0)</f>
        <v/>
      </c>
      <c r="MW52" s="12">
        <f>IF(MV52&gt;0,ROUND(MV52*ReferralMix/(1-ReferralMix),0),0)</f>
        <v/>
      </c>
      <c r="MX52" s="12">
        <f>MV52+MW52</f>
        <v/>
      </c>
      <c r="MY52" s="12">
        <f>ROUND(MX52*(1-AnnualMix),0)</f>
        <v/>
      </c>
      <c r="MZ52" s="12">
        <f>MX52-MY52</f>
        <v/>
      </c>
      <c r="NA52" s="12">
        <f>ROUND(MY52*EssentialMix,0)</f>
        <v/>
      </c>
      <c r="NB52" s="12">
        <f>MY52-NA52</f>
        <v/>
      </c>
      <c r="NC52" s="12">
        <f>ROUND(MZ52*EssentialMix,0)</f>
        <v/>
      </c>
      <c r="ND52" s="12">
        <f>MZ52-NC52</f>
        <v/>
      </c>
      <c r="NE52" s="12">
        <f>NA52+NA51+NA50+MAX(0,NE51-NA51-NA50)*(1-MT52)</f>
        <v/>
      </c>
      <c r="NF52" s="12">
        <f>NB52+NB51+NB50+MAX(0,NF51-NB51-NB50)*(1-MT52)</f>
        <v/>
      </c>
      <c r="NG52" s="12">
        <f>NG51+NC52-NC40*(AnnualChurn*VLOOKUP(MP52,ChurnSeasonTable,4,FALSE))*POWER(1-(AnnualChurn*VLOOKUP(MP52,ChurnSeasonTable,4,FALSE)),0)+NC28*(AnnualChurn*VLOOKUP(MP52,ChurnSeasonTable,4,FALSE))*POWER(1-(AnnualChurn*VLOOKUP(MP52,ChurnSeasonTable,4,FALSE)),1)+NC16*(AnnualChurn*VLOOKUP(MP52,ChurnSeasonTable,4,FALSE))*POWER(1-(AnnualChurn*VLOOKUP(MP52,ChurnSeasonTable,4,FALSE)),2)</f>
        <v/>
      </c>
      <c r="NH52" s="12">
        <f>NH51+ND52-ND40*(AnnualChurn*VLOOKUP(MP52,ChurnSeasonTable,4,FALSE))*POWER(1-(AnnualChurn*VLOOKUP(MP52,ChurnSeasonTable,4,FALSE)),0)+ND28*(AnnualChurn*VLOOKUP(MP52,ChurnSeasonTable,4,FALSE))*POWER(1-(AnnualChurn*VLOOKUP(MP52,ChurnSeasonTable,4,FALSE)),1)+ND16*(AnnualChurn*VLOOKUP(MP52,ChurnSeasonTable,4,FALSE))*POWER(1-(AnnualChurn*VLOOKUP(MP52,ChurnSeasonTable,4,FALSE)),2)</f>
        <v/>
      </c>
      <c r="NI52" s="12">
        <f>NE52+NF52+NG52+NH52</f>
        <v/>
      </c>
      <c r="NJ52" s="9">
        <f>NE52*PriceEssMonthly*MS52+NF52*PricePremMonthly*MS52+NG52*PriceEssAnnual*MS52/12+NH52*PricePremAnnual*MS52/12</f>
        <v/>
      </c>
      <c r="NK52" s="9">
        <f>NJ52*12</f>
        <v/>
      </c>
      <c r="NL52" s="12">
        <f>NE52*PriceEssMonthly*MS52+NF52*PricePremMonthly*MS52</f>
        <v/>
      </c>
      <c r="NM52" s="12">
        <f>NC52*PriceEssAnnual*MS52+ND52*PricePremAnnual*MS52</f>
        <v/>
      </c>
      <c r="NN52" s="12">
        <f>NC40*POWER(1-(AnnualChurn*VLOOKUP(MP52,ChurnSeasonTable,4,FALSE)),1)*PriceEssAnnual*MS52+NC28*POWER(1-(AnnualChurn*VLOOKUP(MP52,ChurnSeasonTable,4,FALSE)),2)*PriceEssAnnual*MS52+NC16*POWER(1-(AnnualChurn*VLOOKUP(MP52,ChurnSeasonTable,4,FALSE)),3)*PriceEssAnnual*MS52+ND40*POWER(1-(AnnualChurn*VLOOKUP(MP52,ChurnSeasonTable,4,FALSE)),1)*PricePremAnnual*MS52+ND28*POWER(1-(AnnualChurn*VLOOKUP(MP52,ChurnSeasonTable,4,FALSE)),2)*PricePremAnnual*MS52+ND16*POWER(1-(AnnualChurn*VLOOKUP(MP52,ChurnSeasonTable,4,FALSE)),3)*PricePremAnnual*MS52</f>
        <v/>
      </c>
      <c r="NO52" s="9">
        <f>NL52+NM52+NN52</f>
        <v/>
      </c>
      <c r="NP52" s="12">
        <f>SUM(NO41:NO52)</f>
        <v/>
      </c>
      <c r="NQ52" s="12">
        <f>OR(NQ51,NP52&gt;=VATThreshold)</f>
        <v/>
      </c>
      <c r="NR52" s="9">
        <f>IF(NQ52,NO52/(1+VATRate),NO52)</f>
        <v/>
      </c>
      <c r="NS52" s="12">
        <f>NO52-NR52</f>
        <v/>
      </c>
      <c r="NT52" s="12">
        <f>IF(NQ52=0,0,IF(MP52=1,SUMPRODUCT(--(($MQ$5:$MQ52=$MQ52-1)*($MP$5:$MP52&gt;=10)*($MP$5:$MP52&lt;=12)),$NS$5:$NS52),IF(MP52=4,SUMPRODUCT(--(($MQ$5:$MQ52=$MQ52)*($MP$5:$MP52&gt;=1)*($MP$5:$MP52&lt;=3)),$NS$5:$NS52),IF(MP52=7,SUMPRODUCT(--(($MQ$5:$MQ52=$MQ52)*($MP$5:$MP52&gt;=4)*($MP$5:$MP52&lt;=6)),$NS$5:$NS52),IF(MP52=10,SUMPRODUCT(--(($MQ$5:$MQ52=$MQ52)*($MP$5:$MP52&gt;=7)*($MP$5:$MP52&lt;=9)),$NS$5:$NS52),0)))))</f>
        <v/>
      </c>
      <c r="NU52" s="12">
        <f>NU51+NS52-NT52</f>
        <v/>
      </c>
      <c r="NV52" s="12">
        <f>IF(ProviderDelay&gt;=1,NR51*ProviderShare,NR52*ProviderShare)</f>
        <v/>
      </c>
      <c r="NW52" s="12">
        <f>NO52*PaymentFee</f>
        <v/>
      </c>
      <c r="NX52" s="12">
        <f>NI52*OpsAI</f>
        <v/>
      </c>
      <c r="NY52" s="12">
        <f>MonthlyFixed</f>
        <v/>
      </c>
      <c r="NZ52" s="12">
        <f>MW52*ReferralReward</f>
        <v/>
      </c>
      <c r="OA52" s="12">
        <f>MU52</f>
        <v/>
      </c>
      <c r="OB52" s="9">
        <f>NR52-NV52-NW52-NX52-NY52-NZ52-OA52</f>
        <v/>
      </c>
      <c r="OC52" s="9">
        <f>OC51+NO52-(NV52+NW52+NX52+NY52+NZ52+OA52+NT52)</f>
        <v/>
      </c>
      <c r="OD52" s="12">
        <f>IF(NI52&gt;0,NJ52/NI52,0)</f>
        <v/>
      </c>
      <c r="OE52" s="11">
        <f>IF(NI51&gt;0,MAX(0,(NI51+MX52-NI52)/NI51),0)</f>
        <v/>
      </c>
      <c r="OG52" s="12" t="n">
        <v>48</v>
      </c>
      <c r="OH52" s="12">
        <f>MOD(OG52-1+LaunchMonth-1,12)+1</f>
        <v/>
      </c>
      <c r="OI52" s="12">
        <f>INT((OG52-1+LaunchMonth-1)/12)+1</f>
        <v/>
      </c>
      <c r="OJ52" s="12">
        <f>VLOOKUP(OH52,SeasonTable,2,FALSE)</f>
        <v/>
      </c>
      <c r="OK52" s="12">
        <f>(1+InflationRate)^INT((OG52-1)/12)</f>
        <v/>
      </c>
      <c r="OL52" s="11">
        <f>'Sens - Churn'!$A$19*VLOOKUP(OH52,ChurnSeasonTable,4,FALSE)</f>
        <v/>
      </c>
      <c r="OM52" s="12">
        <f>MIN(MAX(MktMin19plus,PG51*MktPct19plus),MAX(0,PU51-CashBuffer))</f>
        <v/>
      </c>
      <c r="ON52" s="12">
        <f>IF(OM52&gt;0,MAX(1,ROUND(OM52/CAC*OJ52,0)),0)</f>
        <v/>
      </c>
      <c r="OO52" s="12">
        <f>IF(ON52&gt;0,ROUND(ON52*ReferralMix/(1-ReferralMix),0),0)</f>
        <v/>
      </c>
      <c r="OP52" s="12">
        <f>ON52+OO52</f>
        <v/>
      </c>
      <c r="OQ52" s="12">
        <f>ROUND(OP52*(1-AnnualMix),0)</f>
        <v/>
      </c>
      <c r="OR52" s="12">
        <f>OP52-OQ52</f>
        <v/>
      </c>
      <c r="OS52" s="12">
        <f>ROUND(OQ52*EssentialMix,0)</f>
        <v/>
      </c>
      <c r="OT52" s="12">
        <f>OQ52-OS52</f>
        <v/>
      </c>
      <c r="OU52" s="12">
        <f>ROUND(OR52*EssentialMix,0)</f>
        <v/>
      </c>
      <c r="OV52" s="12">
        <f>OR52-OU52</f>
        <v/>
      </c>
      <c r="OW52" s="12">
        <f>OS52+OS51+OS50+MAX(0,OW51-OS51-OS50)*(1-OL52)</f>
        <v/>
      </c>
      <c r="OX52" s="12">
        <f>OT52+OT51+OT50+MAX(0,OX51-OT51-OT50)*(1-OL52)</f>
        <v/>
      </c>
      <c r="OY52" s="12">
        <f>OY51+OU52-OU40*(AnnualChurn*VLOOKUP(OH52,ChurnSeasonTable,4,FALSE))*POWER(1-(AnnualChurn*VLOOKUP(OH52,ChurnSeasonTable,4,FALSE)),0)+OU28*(AnnualChurn*VLOOKUP(OH52,ChurnSeasonTable,4,FALSE))*POWER(1-(AnnualChurn*VLOOKUP(OH52,ChurnSeasonTable,4,FALSE)),1)+OU16*(AnnualChurn*VLOOKUP(OH52,ChurnSeasonTable,4,FALSE))*POWER(1-(AnnualChurn*VLOOKUP(OH52,ChurnSeasonTable,4,FALSE)),2)</f>
        <v/>
      </c>
      <c r="OZ52" s="12">
        <f>OZ51+OV52-OV40*(AnnualChurn*VLOOKUP(OH52,ChurnSeasonTable,4,FALSE))*POWER(1-(AnnualChurn*VLOOKUP(OH52,ChurnSeasonTable,4,FALSE)),0)+OV28*(AnnualChurn*VLOOKUP(OH52,ChurnSeasonTable,4,FALSE))*POWER(1-(AnnualChurn*VLOOKUP(OH52,ChurnSeasonTable,4,FALSE)),1)+OV16*(AnnualChurn*VLOOKUP(OH52,ChurnSeasonTable,4,FALSE))*POWER(1-(AnnualChurn*VLOOKUP(OH52,ChurnSeasonTable,4,FALSE)),2)</f>
        <v/>
      </c>
      <c r="PA52" s="12">
        <f>OW52+OX52+OY52+OZ52</f>
        <v/>
      </c>
      <c r="PB52" s="9">
        <f>OW52*PriceEssMonthly*OK52+OX52*PricePremMonthly*OK52+OY52*PriceEssAnnual*OK52/12+OZ52*PricePremAnnual*OK52/12</f>
        <v/>
      </c>
      <c r="PC52" s="9">
        <f>PB52*12</f>
        <v/>
      </c>
      <c r="PD52" s="12">
        <f>OW52*PriceEssMonthly*OK52+OX52*PricePremMonthly*OK52</f>
        <v/>
      </c>
      <c r="PE52" s="12">
        <f>OU52*PriceEssAnnual*OK52+OV52*PricePremAnnual*OK52</f>
        <v/>
      </c>
      <c r="PF52" s="12">
        <f>OU40*POWER(1-(AnnualChurn*VLOOKUP(OH52,ChurnSeasonTable,4,FALSE)),1)*PriceEssAnnual*OK52+OU28*POWER(1-(AnnualChurn*VLOOKUP(OH52,ChurnSeasonTable,4,FALSE)),2)*PriceEssAnnual*OK52+OU16*POWER(1-(AnnualChurn*VLOOKUP(OH52,ChurnSeasonTable,4,FALSE)),3)*PriceEssAnnual*OK52+OV40*POWER(1-(AnnualChurn*VLOOKUP(OH52,ChurnSeasonTable,4,FALSE)),1)*PricePremAnnual*OK52+OV28*POWER(1-(AnnualChurn*VLOOKUP(OH52,ChurnSeasonTable,4,FALSE)),2)*PricePremAnnual*OK52+OV16*POWER(1-(AnnualChurn*VLOOKUP(OH52,ChurnSeasonTable,4,FALSE)),3)*PricePremAnnual*OK52</f>
        <v/>
      </c>
      <c r="PG52" s="9">
        <f>PD52+PE52+PF52</f>
        <v/>
      </c>
      <c r="PH52" s="12">
        <f>SUM(PG41:PG52)</f>
        <v/>
      </c>
      <c r="PI52" s="12">
        <f>OR(PI51,PH52&gt;=VATThreshold)</f>
        <v/>
      </c>
      <c r="PJ52" s="9">
        <f>IF(PI52,PG52/(1+VATRate),PG52)</f>
        <v/>
      </c>
      <c r="PK52" s="12">
        <f>PG52-PJ52</f>
        <v/>
      </c>
      <c r="PL52" s="12">
        <f>IF(PI52=0,0,IF(OH52=1,SUMPRODUCT(--(($OI$5:$OI52=$OI52-1)*($OH$5:$OH52&gt;=10)*($OH$5:$OH52&lt;=12)),$PK$5:$PK52),IF(OH52=4,SUMPRODUCT(--(($OI$5:$OI52=$OI52)*($OH$5:$OH52&gt;=1)*($OH$5:$OH52&lt;=3)),$PK$5:$PK52),IF(OH52=7,SUMPRODUCT(--(($OI$5:$OI52=$OI52)*($OH$5:$OH52&gt;=4)*($OH$5:$OH52&lt;=6)),$PK$5:$PK52),IF(OH52=10,SUMPRODUCT(--(($OI$5:$OI52=$OI52)*($OH$5:$OH52&gt;=7)*($OH$5:$OH52&lt;=9)),$PK$5:$PK52),0)))))</f>
        <v/>
      </c>
      <c r="PM52" s="12">
        <f>PM51+PK52-PL52</f>
        <v/>
      </c>
      <c r="PN52" s="12">
        <f>IF(ProviderDelay&gt;=1,PJ51*ProviderShare,PJ52*ProviderShare)</f>
        <v/>
      </c>
      <c r="PO52" s="12">
        <f>PG52*PaymentFee</f>
        <v/>
      </c>
      <c r="PP52" s="12">
        <f>PA52*OpsAI</f>
        <v/>
      </c>
      <c r="PQ52" s="12">
        <f>MonthlyFixed</f>
        <v/>
      </c>
      <c r="PR52" s="12">
        <f>OO52*ReferralReward</f>
        <v/>
      </c>
      <c r="PS52" s="12">
        <f>OM52</f>
        <v/>
      </c>
      <c r="PT52" s="9">
        <f>PJ52-PN52-PO52-PP52-PQ52-PR52-PS52</f>
        <v/>
      </c>
      <c r="PU52" s="9">
        <f>PU51+PG52-(PN52+PO52+PP52+PQ52+PR52+PS52+PL52)</f>
        <v/>
      </c>
      <c r="PV52" s="12">
        <f>IF(PA52&gt;0,PB52/PA52,0)</f>
        <v/>
      </c>
      <c r="PW52" s="11">
        <f>IF(PA51&gt;0,MAX(0,(PA51+OP52-PA52)/PA51),0)</f>
        <v/>
      </c>
      <c r="PY52" s="12" t="n">
        <v>48</v>
      </c>
      <c r="PZ52" s="12">
        <f>MOD(PY52-1+LaunchMonth-1,12)+1</f>
        <v/>
      </c>
      <c r="QA52" s="12">
        <f>INT((PY52-1+LaunchMonth-1)/12)+1</f>
        <v/>
      </c>
      <c r="QB52" s="12">
        <f>VLOOKUP(PZ52,SeasonTable,2,FALSE)</f>
        <v/>
      </c>
      <c r="QC52" s="12">
        <f>(1+InflationRate)^INT((PY52-1)/12)</f>
        <v/>
      </c>
      <c r="QD52" s="11">
        <f>'Sens - Churn'!$A$20*VLOOKUP(PZ52,ChurnSeasonTable,4,FALSE)</f>
        <v/>
      </c>
      <c r="QE52" s="12">
        <f>MIN(MAX(MktMin19plus,QY51*MktPct19plus),MAX(0,RM51-CashBuffer))</f>
        <v/>
      </c>
      <c r="QF52" s="12">
        <f>IF(QE52&gt;0,MAX(1,ROUND(QE52/CAC*QB52,0)),0)</f>
        <v/>
      </c>
      <c r="QG52" s="12">
        <f>IF(QF52&gt;0,ROUND(QF52*ReferralMix/(1-ReferralMix),0),0)</f>
        <v/>
      </c>
      <c r="QH52" s="12">
        <f>QF52+QG52</f>
        <v/>
      </c>
      <c r="QI52" s="12">
        <f>ROUND(QH52*(1-AnnualMix),0)</f>
        <v/>
      </c>
      <c r="QJ52" s="12">
        <f>QH52-QI52</f>
        <v/>
      </c>
      <c r="QK52" s="12">
        <f>ROUND(QI52*EssentialMix,0)</f>
        <v/>
      </c>
      <c r="QL52" s="12">
        <f>QI52-QK52</f>
        <v/>
      </c>
      <c r="QM52" s="12">
        <f>ROUND(QJ52*EssentialMix,0)</f>
        <v/>
      </c>
      <c r="QN52" s="12">
        <f>QJ52-QM52</f>
        <v/>
      </c>
      <c r="QO52" s="12">
        <f>QK52+QK51+QK50+MAX(0,QO51-QK51-QK50)*(1-QD52)</f>
        <v/>
      </c>
      <c r="QP52" s="12">
        <f>QL52+QL51+QL50+MAX(0,QP51-QL51-QL50)*(1-QD52)</f>
        <v/>
      </c>
      <c r="QQ52" s="12">
        <f>QQ51+QM52-QM40*(AnnualChurn*VLOOKUP(PZ52,ChurnSeasonTable,4,FALSE))*POWER(1-(AnnualChurn*VLOOKUP(PZ52,ChurnSeasonTable,4,FALSE)),0)+QM28*(AnnualChurn*VLOOKUP(PZ52,ChurnSeasonTable,4,FALSE))*POWER(1-(AnnualChurn*VLOOKUP(PZ52,ChurnSeasonTable,4,FALSE)),1)+QM16*(AnnualChurn*VLOOKUP(PZ52,ChurnSeasonTable,4,FALSE))*POWER(1-(AnnualChurn*VLOOKUP(PZ52,ChurnSeasonTable,4,FALSE)),2)</f>
        <v/>
      </c>
      <c r="QR52" s="12">
        <f>QR51+QN52-QN40*(AnnualChurn*VLOOKUP(PZ52,ChurnSeasonTable,4,FALSE))*POWER(1-(AnnualChurn*VLOOKUP(PZ52,ChurnSeasonTable,4,FALSE)),0)+QN28*(AnnualChurn*VLOOKUP(PZ52,ChurnSeasonTable,4,FALSE))*POWER(1-(AnnualChurn*VLOOKUP(PZ52,ChurnSeasonTable,4,FALSE)),1)+QN16*(AnnualChurn*VLOOKUP(PZ52,ChurnSeasonTable,4,FALSE))*POWER(1-(AnnualChurn*VLOOKUP(PZ52,ChurnSeasonTable,4,FALSE)),2)</f>
        <v/>
      </c>
      <c r="QS52" s="12">
        <f>QO52+QP52+QQ52+QR52</f>
        <v/>
      </c>
      <c r="QT52" s="9">
        <f>QO52*PriceEssMonthly*QC52+QP52*PricePremMonthly*QC52+QQ52*PriceEssAnnual*QC52/12+QR52*PricePremAnnual*QC52/12</f>
        <v/>
      </c>
      <c r="QU52" s="9">
        <f>QT52*12</f>
        <v/>
      </c>
      <c r="QV52" s="12">
        <f>QO52*PriceEssMonthly*QC52+QP52*PricePremMonthly*QC52</f>
        <v/>
      </c>
      <c r="QW52" s="12">
        <f>QM52*PriceEssAnnual*QC52+QN52*PricePremAnnual*QC52</f>
        <v/>
      </c>
      <c r="QX52" s="12">
        <f>QM40*POWER(1-(AnnualChurn*VLOOKUP(PZ52,ChurnSeasonTable,4,FALSE)),1)*PriceEssAnnual*QC52+QM28*POWER(1-(AnnualChurn*VLOOKUP(PZ52,ChurnSeasonTable,4,FALSE)),2)*PriceEssAnnual*QC52+QM16*POWER(1-(AnnualChurn*VLOOKUP(PZ52,ChurnSeasonTable,4,FALSE)),3)*PriceEssAnnual*QC52+QN40*POWER(1-(AnnualChurn*VLOOKUP(PZ52,ChurnSeasonTable,4,FALSE)),1)*PricePremAnnual*QC52+QN28*POWER(1-(AnnualChurn*VLOOKUP(PZ52,ChurnSeasonTable,4,FALSE)),2)*PricePremAnnual*QC52+QN16*POWER(1-(AnnualChurn*VLOOKUP(PZ52,ChurnSeasonTable,4,FALSE)),3)*PricePremAnnual*QC52</f>
        <v/>
      </c>
      <c r="QY52" s="9">
        <f>QV52+QW52+QX52</f>
        <v/>
      </c>
      <c r="QZ52" s="12">
        <f>SUM(QY41:QY52)</f>
        <v/>
      </c>
      <c r="RA52" s="12">
        <f>OR(RA51,QZ52&gt;=VATThreshold)</f>
        <v/>
      </c>
      <c r="RB52" s="9">
        <f>IF(RA52,QY52/(1+VATRate),QY52)</f>
        <v/>
      </c>
      <c r="RC52" s="12">
        <f>QY52-RB52</f>
        <v/>
      </c>
      <c r="RD52" s="12">
        <f>IF(RA52=0,0,IF(PZ52=1,SUMPRODUCT(--(($QA$5:$QA52=$QA52-1)*($PZ$5:$PZ52&gt;=10)*($PZ$5:$PZ52&lt;=12)),$RC$5:$RC52),IF(PZ52=4,SUMPRODUCT(--(($QA$5:$QA52=$QA52)*($PZ$5:$PZ52&gt;=1)*($PZ$5:$PZ52&lt;=3)),$RC$5:$RC52),IF(PZ52=7,SUMPRODUCT(--(($QA$5:$QA52=$QA52)*($PZ$5:$PZ52&gt;=4)*($PZ$5:$PZ52&lt;=6)),$RC$5:$RC52),IF(PZ52=10,SUMPRODUCT(--(($QA$5:$QA52=$QA52)*($PZ$5:$PZ52&gt;=7)*($PZ$5:$PZ52&lt;=9)),$RC$5:$RC52),0)))))</f>
        <v/>
      </c>
      <c r="RE52" s="12">
        <f>RE51+RC52-RD52</f>
        <v/>
      </c>
      <c r="RF52" s="12">
        <f>IF(ProviderDelay&gt;=1,RB51*ProviderShare,RB52*ProviderShare)</f>
        <v/>
      </c>
      <c r="RG52" s="12">
        <f>QY52*PaymentFee</f>
        <v/>
      </c>
      <c r="RH52" s="12">
        <f>QS52*OpsAI</f>
        <v/>
      </c>
      <c r="RI52" s="12">
        <f>MonthlyFixed</f>
        <v/>
      </c>
      <c r="RJ52" s="12">
        <f>QG52*ReferralReward</f>
        <v/>
      </c>
      <c r="RK52" s="12">
        <f>QE52</f>
        <v/>
      </c>
      <c r="RL52" s="9">
        <f>RB52-RF52-RG52-RH52-RI52-RJ52-RK52</f>
        <v/>
      </c>
      <c r="RM52" s="9">
        <f>RM51+QY52-(RF52+RG52+RH52+RI52+RJ52+RK52+RD52)</f>
        <v/>
      </c>
      <c r="RN52" s="12">
        <f>IF(QS52&gt;0,QT52/QS52,0)</f>
        <v/>
      </c>
      <c r="RO52" s="11">
        <f>IF(QS51&gt;0,MAX(0,(QS51+QH52-QS52)/QS51),0)</f>
        <v/>
      </c>
      <c r="RQ52" s="12" t="n">
        <v>48</v>
      </c>
      <c r="RR52" s="12">
        <f>MOD(RQ52-1+LaunchMonth-1,12)+1</f>
        <v/>
      </c>
      <c r="RS52" s="12">
        <f>INT((RQ52-1+LaunchMonth-1)/12)+1</f>
        <v/>
      </c>
      <c r="RT52" s="12">
        <f>VLOOKUP(RR52,SeasonTable,2,FALSE)</f>
        <v/>
      </c>
      <c r="RU52" s="12">
        <f>(1+InflationRate)^INT((RQ52-1)/12)</f>
        <v/>
      </c>
      <c r="RV52" s="11">
        <f>'Sens - Churn'!$A$21*VLOOKUP(RR52,ChurnSeasonTable,4,FALSE)</f>
        <v/>
      </c>
      <c r="RW52" s="12">
        <f>MIN(MAX(MktMin19plus,SQ51*MktPct19plus),MAX(0,TE51-CashBuffer))</f>
        <v/>
      </c>
      <c r="RX52" s="12">
        <f>IF(RW52&gt;0,MAX(1,ROUND(RW52/CAC*RT52,0)),0)</f>
        <v/>
      </c>
      <c r="RY52" s="12">
        <f>IF(RX52&gt;0,ROUND(RX52*ReferralMix/(1-ReferralMix),0),0)</f>
        <v/>
      </c>
      <c r="RZ52" s="12">
        <f>RX52+RY52</f>
        <v/>
      </c>
      <c r="SA52" s="12">
        <f>ROUND(RZ52*(1-AnnualMix),0)</f>
        <v/>
      </c>
      <c r="SB52" s="12">
        <f>RZ52-SA52</f>
        <v/>
      </c>
      <c r="SC52" s="12">
        <f>ROUND(SA52*EssentialMix,0)</f>
        <v/>
      </c>
      <c r="SD52" s="12">
        <f>SA52-SC52</f>
        <v/>
      </c>
      <c r="SE52" s="12">
        <f>ROUND(SB52*EssentialMix,0)</f>
        <v/>
      </c>
      <c r="SF52" s="12">
        <f>SB52-SE52</f>
        <v/>
      </c>
      <c r="SG52" s="12">
        <f>SC52+SC51+SC50+MAX(0,SG51-SC51-SC50)*(1-RV52)</f>
        <v/>
      </c>
      <c r="SH52" s="12">
        <f>SD52+SD51+SD50+MAX(0,SH51-SD51-SD50)*(1-RV52)</f>
        <v/>
      </c>
      <c r="SI52" s="12">
        <f>SI51+SE52-SE40*(AnnualChurn*VLOOKUP(RR52,ChurnSeasonTable,4,FALSE))*POWER(1-(AnnualChurn*VLOOKUP(RR52,ChurnSeasonTable,4,FALSE)),0)+SE28*(AnnualChurn*VLOOKUP(RR52,ChurnSeasonTable,4,FALSE))*POWER(1-(AnnualChurn*VLOOKUP(RR52,ChurnSeasonTable,4,FALSE)),1)+SE16*(AnnualChurn*VLOOKUP(RR52,ChurnSeasonTable,4,FALSE))*POWER(1-(AnnualChurn*VLOOKUP(RR52,ChurnSeasonTable,4,FALSE)),2)</f>
        <v/>
      </c>
      <c r="SJ52" s="12">
        <f>SJ51+SF52-SF40*(AnnualChurn*VLOOKUP(RR52,ChurnSeasonTable,4,FALSE))*POWER(1-(AnnualChurn*VLOOKUP(RR52,ChurnSeasonTable,4,FALSE)),0)+SF28*(AnnualChurn*VLOOKUP(RR52,ChurnSeasonTable,4,FALSE))*POWER(1-(AnnualChurn*VLOOKUP(RR52,ChurnSeasonTable,4,FALSE)),1)+SF16*(AnnualChurn*VLOOKUP(RR52,ChurnSeasonTable,4,FALSE))*POWER(1-(AnnualChurn*VLOOKUP(RR52,ChurnSeasonTable,4,FALSE)),2)</f>
        <v/>
      </c>
      <c r="SK52" s="12">
        <f>SG52+SH52+SI52+SJ52</f>
        <v/>
      </c>
      <c r="SL52" s="9">
        <f>SG52*PriceEssMonthly*RU52+SH52*PricePremMonthly*RU52+SI52*PriceEssAnnual*RU52/12+SJ52*PricePremAnnual*RU52/12</f>
        <v/>
      </c>
      <c r="SM52" s="9">
        <f>SL52*12</f>
        <v/>
      </c>
      <c r="SN52" s="12">
        <f>SG52*PriceEssMonthly*RU52+SH52*PricePremMonthly*RU52</f>
        <v/>
      </c>
      <c r="SO52" s="12">
        <f>SE52*PriceEssAnnual*RU52+SF52*PricePremAnnual*RU52</f>
        <v/>
      </c>
      <c r="SP52" s="12">
        <f>SE40*POWER(1-(AnnualChurn*VLOOKUP(RR52,ChurnSeasonTable,4,FALSE)),1)*PriceEssAnnual*RU52+SE28*POWER(1-(AnnualChurn*VLOOKUP(RR52,ChurnSeasonTable,4,FALSE)),2)*PriceEssAnnual*RU52+SE16*POWER(1-(AnnualChurn*VLOOKUP(RR52,ChurnSeasonTable,4,FALSE)),3)*PriceEssAnnual*RU52+SF40*POWER(1-(AnnualChurn*VLOOKUP(RR52,ChurnSeasonTable,4,FALSE)),1)*PricePremAnnual*RU52+SF28*POWER(1-(AnnualChurn*VLOOKUP(RR52,ChurnSeasonTable,4,FALSE)),2)*PricePremAnnual*RU52+SF16*POWER(1-(AnnualChurn*VLOOKUP(RR52,ChurnSeasonTable,4,FALSE)),3)*PricePremAnnual*RU52</f>
        <v/>
      </c>
      <c r="SQ52" s="9">
        <f>SN52+SO52+SP52</f>
        <v/>
      </c>
      <c r="SR52" s="12">
        <f>SUM(SQ41:SQ52)</f>
        <v/>
      </c>
      <c r="SS52" s="12">
        <f>OR(SS51,SR52&gt;=VATThreshold)</f>
        <v/>
      </c>
      <c r="ST52" s="9">
        <f>IF(SS52,SQ52/(1+VATRate),SQ52)</f>
        <v/>
      </c>
      <c r="SU52" s="12">
        <f>SQ52-ST52</f>
        <v/>
      </c>
      <c r="SV52" s="12">
        <f>IF(SS52=0,0,IF(RR52=1,SUMPRODUCT(--(($RS$5:$RS52=$RS52-1)*($RR$5:$RR52&gt;=10)*($RR$5:$RR52&lt;=12)),$SU$5:$SU52),IF(RR52=4,SUMPRODUCT(--(($RS$5:$RS52=$RS52)*($RR$5:$RR52&gt;=1)*($RR$5:$RR52&lt;=3)),$SU$5:$SU52),IF(RR52=7,SUMPRODUCT(--(($RS$5:$RS52=$RS52)*($RR$5:$RR52&gt;=4)*($RR$5:$RR52&lt;=6)),$SU$5:$SU52),IF(RR52=10,SUMPRODUCT(--(($RS$5:$RS52=$RS52)*($RR$5:$RR52&gt;=7)*($RR$5:$RR52&lt;=9)),$SU$5:$SU52),0)))))</f>
        <v/>
      </c>
      <c r="SW52" s="12">
        <f>SW51+SU52-SV52</f>
        <v/>
      </c>
      <c r="SX52" s="12">
        <f>IF(ProviderDelay&gt;=1,ST51*ProviderShare,ST52*ProviderShare)</f>
        <v/>
      </c>
      <c r="SY52" s="12">
        <f>SQ52*PaymentFee</f>
        <v/>
      </c>
      <c r="SZ52" s="12">
        <f>SK52*OpsAI</f>
        <v/>
      </c>
      <c r="TA52" s="12">
        <f>MonthlyFixed</f>
        <v/>
      </c>
      <c r="TB52" s="12">
        <f>RY52*ReferralReward</f>
        <v/>
      </c>
      <c r="TC52" s="12">
        <f>RW52</f>
        <v/>
      </c>
      <c r="TD52" s="9">
        <f>ST52-SX52-SY52-SZ52-TA52-TB52-TC52</f>
        <v/>
      </c>
      <c r="TE52" s="9">
        <f>TE51+SQ52-(SX52+SY52+SZ52+TA52+TB52+TC52+SV52)</f>
        <v/>
      </c>
      <c r="TF52" s="12">
        <f>IF(SK52&gt;0,SL52/SK52,0)</f>
        <v/>
      </c>
      <c r="TG52" s="11">
        <f>IF(SK51&gt;0,MAX(0,(SK51+RZ52-SK52)/SK51),0)</f>
        <v/>
      </c>
      <c r="TI52" s="12" t="n">
        <v>48</v>
      </c>
      <c r="TJ52" s="12">
        <f>MOD(TI52-1+LaunchMonth-1,12)+1</f>
        <v/>
      </c>
      <c r="TK52" s="12">
        <f>INT((TI52-1+LaunchMonth-1)/12)+1</f>
        <v/>
      </c>
      <c r="TL52" s="12">
        <f>VLOOKUP(TJ52,SeasonTable,2,FALSE)</f>
        <v/>
      </c>
      <c r="TM52" s="12">
        <f>(1+InflationRate)^INT((TI52-1)/12)</f>
        <v/>
      </c>
      <c r="TN52" s="11">
        <f>MonthlyChurn*VLOOKUP(TJ52,ChurnSeasonTable,4,FALSE)</f>
        <v/>
      </c>
      <c r="TO52" s="12">
        <f>MIN(MAX(MktMin19plus,UI51*MktPct19plus),MAX(0,UW51-CashBuffer))</f>
        <v/>
      </c>
      <c r="TP52" s="12">
        <f>IF(TO52&gt;0,MAX(1,ROUND(TO52/CAC*TL52,0)),0)</f>
        <v/>
      </c>
      <c r="TQ52" s="12">
        <f>IF(TP52&gt;0,ROUND(TP52*ReferralMix/(1-ReferralMix),0),0)</f>
        <v/>
      </c>
      <c r="TR52" s="12">
        <f>TP52+TQ52</f>
        <v/>
      </c>
      <c r="TS52" s="12">
        <f>ROUND(TR52*(1-'Sens - Annual Mix'!$A$9),0)</f>
        <v/>
      </c>
      <c r="TT52" s="12">
        <f>TR52-TS52</f>
        <v/>
      </c>
      <c r="TU52" s="12">
        <f>ROUND(TS52*EssentialMix,0)</f>
        <v/>
      </c>
      <c r="TV52" s="12">
        <f>TS52-TU52</f>
        <v/>
      </c>
      <c r="TW52" s="12">
        <f>ROUND(TT52*EssentialMix,0)</f>
        <v/>
      </c>
      <c r="TX52" s="12">
        <f>TT52-TW52</f>
        <v/>
      </c>
      <c r="TY52" s="12">
        <f>TU52+TU51+TU50+MAX(0,TY51-TU51-TU50)*(1-TN52)</f>
        <v/>
      </c>
      <c r="TZ52" s="12">
        <f>TV52+TV51+TV50+MAX(0,TZ51-TV51-TV50)*(1-TN52)</f>
        <v/>
      </c>
      <c r="UA52" s="12">
        <f>UA51+TW52-TW40*(AnnualChurn*VLOOKUP(TJ52,ChurnSeasonTable,4,FALSE))*POWER(1-(AnnualChurn*VLOOKUP(TJ52,ChurnSeasonTable,4,FALSE)),0)+TW28*(AnnualChurn*VLOOKUP(TJ52,ChurnSeasonTable,4,FALSE))*POWER(1-(AnnualChurn*VLOOKUP(TJ52,ChurnSeasonTable,4,FALSE)),1)+TW16*(AnnualChurn*VLOOKUP(TJ52,ChurnSeasonTable,4,FALSE))*POWER(1-(AnnualChurn*VLOOKUP(TJ52,ChurnSeasonTable,4,FALSE)),2)</f>
        <v/>
      </c>
      <c r="UB52" s="12">
        <f>UB51+TX52-TX40*(AnnualChurn*VLOOKUP(TJ52,ChurnSeasonTable,4,FALSE))*POWER(1-(AnnualChurn*VLOOKUP(TJ52,ChurnSeasonTable,4,FALSE)),0)+TX28*(AnnualChurn*VLOOKUP(TJ52,ChurnSeasonTable,4,FALSE))*POWER(1-(AnnualChurn*VLOOKUP(TJ52,ChurnSeasonTable,4,FALSE)),1)+TX16*(AnnualChurn*VLOOKUP(TJ52,ChurnSeasonTable,4,FALSE))*POWER(1-(AnnualChurn*VLOOKUP(TJ52,ChurnSeasonTable,4,FALSE)),2)</f>
        <v/>
      </c>
      <c r="UC52" s="12">
        <f>TY52+TZ52+UA52+UB52</f>
        <v/>
      </c>
      <c r="UD52" s="9">
        <f>TY52*PriceEssMonthly*TM52+TZ52*PricePremMonthly*TM52+UA52*PriceEssAnnual*TM52/12+UB52*PricePremAnnual*TM52/12</f>
        <v/>
      </c>
      <c r="UE52" s="9">
        <f>UD52*12</f>
        <v/>
      </c>
      <c r="UF52" s="12">
        <f>TY52*PriceEssMonthly*TM52+TZ52*PricePremMonthly*TM52</f>
        <v/>
      </c>
      <c r="UG52" s="12">
        <f>TW52*PriceEssAnnual*TM52+TX52*PricePremAnnual*TM52</f>
        <v/>
      </c>
      <c r="UH52" s="12">
        <f>TW40*POWER(1-(AnnualChurn*VLOOKUP(TJ52,ChurnSeasonTable,4,FALSE)),1)*PriceEssAnnual*TM52+TW28*POWER(1-(AnnualChurn*VLOOKUP(TJ52,ChurnSeasonTable,4,FALSE)),2)*PriceEssAnnual*TM52+TW16*POWER(1-(AnnualChurn*VLOOKUP(TJ52,ChurnSeasonTable,4,FALSE)),3)*PriceEssAnnual*TM52+TX40*POWER(1-(AnnualChurn*VLOOKUP(TJ52,ChurnSeasonTable,4,FALSE)),1)*PricePremAnnual*TM52+TX28*POWER(1-(AnnualChurn*VLOOKUP(TJ52,ChurnSeasonTable,4,FALSE)),2)*PricePremAnnual*TM52+TX16*POWER(1-(AnnualChurn*VLOOKUP(TJ52,ChurnSeasonTable,4,FALSE)),3)*PricePremAnnual*TM52</f>
        <v/>
      </c>
      <c r="UI52" s="9">
        <f>UF52+UG52+UH52</f>
        <v/>
      </c>
      <c r="UJ52" s="12">
        <f>SUM(UI41:UI52)</f>
        <v/>
      </c>
      <c r="UK52" s="12">
        <f>OR(UK51,UJ52&gt;=VATThreshold)</f>
        <v/>
      </c>
      <c r="UL52" s="9">
        <f>IF(UK52,UI52/(1+VATRate),UI52)</f>
        <v/>
      </c>
      <c r="UM52" s="12">
        <f>UI52-UL52</f>
        <v/>
      </c>
      <c r="UN52" s="12">
        <f>IF(UK52=0,0,IF(TJ52=1,SUMPRODUCT(--(($TK$5:$TK52=$TK52-1)*($TJ$5:$TJ52&gt;=10)*($TJ$5:$TJ52&lt;=12)),$UM$5:$UM52),IF(TJ52=4,SUMPRODUCT(--(($TK$5:$TK52=$TK52)*($TJ$5:$TJ52&gt;=1)*($TJ$5:$TJ52&lt;=3)),$UM$5:$UM52),IF(TJ52=7,SUMPRODUCT(--(($TK$5:$TK52=$TK52)*($TJ$5:$TJ52&gt;=4)*($TJ$5:$TJ52&lt;=6)),$UM$5:$UM52),IF(TJ52=10,SUMPRODUCT(--(($TK$5:$TK52=$TK52)*($TJ$5:$TJ52&gt;=7)*($TJ$5:$TJ52&lt;=9)),$UM$5:$UM52),0)))))</f>
        <v/>
      </c>
      <c r="UO52" s="12">
        <f>UO51+UM52-UN52</f>
        <v/>
      </c>
      <c r="UP52" s="12">
        <f>IF(ProviderDelay&gt;=1,UL51*ProviderShare,UL52*ProviderShare)</f>
        <v/>
      </c>
      <c r="UQ52" s="12">
        <f>UI52*PaymentFee</f>
        <v/>
      </c>
      <c r="UR52" s="12">
        <f>UC52*OpsAI</f>
        <v/>
      </c>
      <c r="US52" s="12">
        <f>MonthlyFixed</f>
        <v/>
      </c>
      <c r="UT52" s="12">
        <f>TQ52*ReferralReward</f>
        <v/>
      </c>
      <c r="UU52" s="12">
        <f>TO52</f>
        <v/>
      </c>
      <c r="UV52" s="9">
        <f>UL52-UP52-UQ52-UR52-US52-UT52-UU52</f>
        <v/>
      </c>
      <c r="UW52" s="9">
        <f>UW51+UI52-(UP52+UQ52+UR52+US52+UT52+UU52+UN52)</f>
        <v/>
      </c>
      <c r="UX52" s="12">
        <f>IF(UC52&gt;0,UD52/UC52,0)</f>
        <v/>
      </c>
      <c r="UY52" s="11">
        <f>IF(UC51&gt;0,MAX(0,(UC51+TR52-UC52)/UC51),0)</f>
        <v/>
      </c>
      <c r="VA52" s="12" t="n">
        <v>48</v>
      </c>
      <c r="VB52" s="12">
        <f>MOD(VA52-1+LaunchMonth-1,12)+1</f>
        <v/>
      </c>
      <c r="VC52" s="12">
        <f>INT((VA52-1+LaunchMonth-1)/12)+1</f>
        <v/>
      </c>
      <c r="VD52" s="12">
        <f>VLOOKUP(VB52,SeasonTable,2,FALSE)</f>
        <v/>
      </c>
      <c r="VE52" s="12">
        <f>(1+InflationRate)^INT((VA52-1)/12)</f>
        <v/>
      </c>
      <c r="VF52" s="11">
        <f>MonthlyChurn*VLOOKUP(VB52,ChurnSeasonTable,4,FALSE)</f>
        <v/>
      </c>
      <c r="VG52" s="12">
        <f>MIN(MAX(MktMin19plus,WA51*MktPct19plus),MAX(0,WO51-CashBuffer))</f>
        <v/>
      </c>
      <c r="VH52" s="12">
        <f>IF(VG52&gt;0,MAX(1,ROUND(VG52/CAC*VD52,0)),0)</f>
        <v/>
      </c>
      <c r="VI52" s="12">
        <f>IF(VH52&gt;0,ROUND(VH52*ReferralMix/(1-ReferralMix),0),0)</f>
        <v/>
      </c>
      <c r="VJ52" s="12">
        <f>VH52+VI52</f>
        <v/>
      </c>
      <c r="VK52" s="12">
        <f>ROUND(VJ52*(1-'Sens - Annual Mix'!$A$10),0)</f>
        <v/>
      </c>
      <c r="VL52" s="12">
        <f>VJ52-VK52</f>
        <v/>
      </c>
      <c r="VM52" s="12">
        <f>ROUND(VK52*EssentialMix,0)</f>
        <v/>
      </c>
      <c r="VN52" s="12">
        <f>VK52-VM52</f>
        <v/>
      </c>
      <c r="VO52" s="12">
        <f>ROUND(VL52*EssentialMix,0)</f>
        <v/>
      </c>
      <c r="VP52" s="12">
        <f>VL52-VO52</f>
        <v/>
      </c>
      <c r="VQ52" s="12">
        <f>VM52+VM51+VM50+MAX(0,VQ51-VM51-VM50)*(1-VF52)</f>
        <v/>
      </c>
      <c r="VR52" s="12">
        <f>VN52+VN51+VN50+MAX(0,VR51-VN51-VN50)*(1-VF52)</f>
        <v/>
      </c>
      <c r="VS52" s="12">
        <f>VS51+VO52-VO40*(AnnualChurn*VLOOKUP(VB52,ChurnSeasonTable,4,FALSE))*POWER(1-(AnnualChurn*VLOOKUP(VB52,ChurnSeasonTable,4,FALSE)),0)+VO28*(AnnualChurn*VLOOKUP(VB52,ChurnSeasonTable,4,FALSE))*POWER(1-(AnnualChurn*VLOOKUP(VB52,ChurnSeasonTable,4,FALSE)),1)+VO16*(AnnualChurn*VLOOKUP(VB52,ChurnSeasonTable,4,FALSE))*POWER(1-(AnnualChurn*VLOOKUP(VB52,ChurnSeasonTable,4,FALSE)),2)</f>
        <v/>
      </c>
      <c r="VT52" s="12">
        <f>VT51+VP52-VP40*(AnnualChurn*VLOOKUP(VB52,ChurnSeasonTable,4,FALSE))*POWER(1-(AnnualChurn*VLOOKUP(VB52,ChurnSeasonTable,4,FALSE)),0)+VP28*(AnnualChurn*VLOOKUP(VB52,ChurnSeasonTable,4,FALSE))*POWER(1-(AnnualChurn*VLOOKUP(VB52,ChurnSeasonTable,4,FALSE)),1)+VP16*(AnnualChurn*VLOOKUP(VB52,ChurnSeasonTable,4,FALSE))*POWER(1-(AnnualChurn*VLOOKUP(VB52,ChurnSeasonTable,4,FALSE)),2)</f>
        <v/>
      </c>
      <c r="VU52" s="12">
        <f>VQ52+VR52+VS52+VT52</f>
        <v/>
      </c>
      <c r="VV52" s="9">
        <f>VQ52*PriceEssMonthly*VE52+VR52*PricePremMonthly*VE52+VS52*PriceEssAnnual*VE52/12+VT52*PricePremAnnual*VE52/12</f>
        <v/>
      </c>
      <c r="VW52" s="9">
        <f>VV52*12</f>
        <v/>
      </c>
      <c r="VX52" s="12">
        <f>VQ52*PriceEssMonthly*VE52+VR52*PricePremMonthly*VE52</f>
        <v/>
      </c>
      <c r="VY52" s="12">
        <f>VO52*PriceEssAnnual*VE52+VP52*PricePremAnnual*VE52</f>
        <v/>
      </c>
      <c r="VZ52" s="12">
        <f>VO40*POWER(1-(AnnualChurn*VLOOKUP(VB52,ChurnSeasonTable,4,FALSE)),1)*PriceEssAnnual*VE52+VO28*POWER(1-(AnnualChurn*VLOOKUP(VB52,ChurnSeasonTable,4,FALSE)),2)*PriceEssAnnual*VE52+VO16*POWER(1-(AnnualChurn*VLOOKUP(VB52,ChurnSeasonTable,4,FALSE)),3)*PriceEssAnnual*VE52+VP40*POWER(1-(AnnualChurn*VLOOKUP(VB52,ChurnSeasonTable,4,FALSE)),1)*PricePremAnnual*VE52+VP28*POWER(1-(AnnualChurn*VLOOKUP(VB52,ChurnSeasonTable,4,FALSE)),2)*PricePremAnnual*VE52+VP16*POWER(1-(AnnualChurn*VLOOKUP(VB52,ChurnSeasonTable,4,FALSE)),3)*PricePremAnnual*VE52</f>
        <v/>
      </c>
      <c r="WA52" s="9">
        <f>VX52+VY52+VZ52</f>
        <v/>
      </c>
      <c r="WB52" s="12">
        <f>SUM(WA41:WA52)</f>
        <v/>
      </c>
      <c r="WC52" s="12">
        <f>OR(WC51,WB52&gt;=VATThreshold)</f>
        <v/>
      </c>
      <c r="WD52" s="9">
        <f>IF(WC52,WA52/(1+VATRate),WA52)</f>
        <v/>
      </c>
      <c r="WE52" s="12">
        <f>WA52-WD52</f>
        <v/>
      </c>
      <c r="WF52" s="12">
        <f>IF(WC52=0,0,IF(VB52=1,SUMPRODUCT(--(($VC$5:$VC52=$VC52-1)*($VB$5:$VB52&gt;=10)*($VB$5:$VB52&lt;=12)),$WE$5:$WE52),IF(VB52=4,SUMPRODUCT(--(($VC$5:$VC52=$VC52)*($VB$5:$VB52&gt;=1)*($VB$5:$VB52&lt;=3)),$WE$5:$WE52),IF(VB52=7,SUMPRODUCT(--(($VC$5:$VC52=$VC52)*($VB$5:$VB52&gt;=4)*($VB$5:$VB52&lt;=6)),$WE$5:$WE52),IF(VB52=10,SUMPRODUCT(--(($VC$5:$VC52=$VC52)*($VB$5:$VB52&gt;=7)*($VB$5:$VB52&lt;=9)),$WE$5:$WE52),0)))))</f>
        <v/>
      </c>
      <c r="WG52" s="12">
        <f>WG51+WE52-WF52</f>
        <v/>
      </c>
      <c r="WH52" s="12">
        <f>IF(ProviderDelay&gt;=1,WD51*ProviderShare,WD52*ProviderShare)</f>
        <v/>
      </c>
      <c r="WI52" s="12">
        <f>WA52*PaymentFee</f>
        <v/>
      </c>
      <c r="WJ52" s="12">
        <f>VU52*OpsAI</f>
        <v/>
      </c>
      <c r="WK52" s="12">
        <f>MonthlyFixed</f>
        <v/>
      </c>
      <c r="WL52" s="12">
        <f>VI52*ReferralReward</f>
        <v/>
      </c>
      <c r="WM52" s="12">
        <f>VG52</f>
        <v/>
      </c>
      <c r="WN52" s="9">
        <f>WD52-WH52-WI52-WJ52-WK52-WL52-WM52</f>
        <v/>
      </c>
      <c r="WO52" s="9">
        <f>WO51+WA52-(WH52+WI52+WJ52+WK52+WL52+WM52+WF52)</f>
        <v/>
      </c>
      <c r="WP52" s="12">
        <f>IF(VU52&gt;0,VV52/VU52,0)</f>
        <v/>
      </c>
      <c r="WQ52" s="11">
        <f>IF(VU51&gt;0,MAX(0,(VU51+VJ52-VU52)/VU51),0)</f>
        <v/>
      </c>
      <c r="WS52" s="12" t="n">
        <v>48</v>
      </c>
      <c r="WT52" s="12">
        <f>MOD(WS52-1+LaunchMonth-1,12)+1</f>
        <v/>
      </c>
      <c r="WU52" s="12">
        <f>INT((WS52-1+LaunchMonth-1)/12)+1</f>
        <v/>
      </c>
      <c r="WV52" s="12">
        <f>VLOOKUP(WT52,SeasonTable,2,FALSE)</f>
        <v/>
      </c>
      <c r="WW52" s="12">
        <f>(1+InflationRate)^INT((WS52-1)/12)</f>
        <v/>
      </c>
      <c r="WX52" s="11">
        <f>MonthlyChurn*VLOOKUP(WT52,ChurnSeasonTable,4,FALSE)</f>
        <v/>
      </c>
      <c r="WY52" s="12">
        <f>MIN(MAX(MktMin19plus,XS51*MktPct19plus),MAX(0,YG51-CashBuffer))</f>
        <v/>
      </c>
      <c r="WZ52" s="12">
        <f>IF(WY52&gt;0,MAX(1,ROUND(WY52/CAC*WV52,0)),0)</f>
        <v/>
      </c>
      <c r="XA52" s="12">
        <f>IF(WZ52&gt;0,ROUND(WZ52*ReferralMix/(1-ReferralMix),0),0)</f>
        <v/>
      </c>
      <c r="XB52" s="12">
        <f>WZ52+XA52</f>
        <v/>
      </c>
      <c r="XC52" s="12">
        <f>ROUND(XB52*(1-'Sens - Annual Mix'!$A$11),0)</f>
        <v/>
      </c>
      <c r="XD52" s="12">
        <f>XB52-XC52</f>
        <v/>
      </c>
      <c r="XE52" s="12">
        <f>ROUND(XC52*EssentialMix,0)</f>
        <v/>
      </c>
      <c r="XF52" s="12">
        <f>XC52-XE52</f>
        <v/>
      </c>
      <c r="XG52" s="12">
        <f>ROUND(XD52*EssentialMix,0)</f>
        <v/>
      </c>
      <c r="XH52" s="12">
        <f>XD52-XG52</f>
        <v/>
      </c>
      <c r="XI52" s="12">
        <f>XE52+XE51+XE50+MAX(0,XI51-XE51-XE50)*(1-WX52)</f>
        <v/>
      </c>
      <c r="XJ52" s="12">
        <f>XF52+XF51+XF50+MAX(0,XJ51-XF51-XF50)*(1-WX52)</f>
        <v/>
      </c>
      <c r="XK52" s="12">
        <f>XK51+XG52-XG40*(AnnualChurn*VLOOKUP(WT52,ChurnSeasonTable,4,FALSE))*POWER(1-(AnnualChurn*VLOOKUP(WT52,ChurnSeasonTable,4,FALSE)),0)+XG28*(AnnualChurn*VLOOKUP(WT52,ChurnSeasonTable,4,FALSE))*POWER(1-(AnnualChurn*VLOOKUP(WT52,ChurnSeasonTable,4,FALSE)),1)+XG16*(AnnualChurn*VLOOKUP(WT52,ChurnSeasonTable,4,FALSE))*POWER(1-(AnnualChurn*VLOOKUP(WT52,ChurnSeasonTable,4,FALSE)),2)</f>
        <v/>
      </c>
      <c r="XL52" s="12">
        <f>XL51+XH52-XH40*(AnnualChurn*VLOOKUP(WT52,ChurnSeasonTable,4,FALSE))*POWER(1-(AnnualChurn*VLOOKUP(WT52,ChurnSeasonTable,4,FALSE)),0)+XH28*(AnnualChurn*VLOOKUP(WT52,ChurnSeasonTable,4,FALSE))*POWER(1-(AnnualChurn*VLOOKUP(WT52,ChurnSeasonTable,4,FALSE)),1)+XH16*(AnnualChurn*VLOOKUP(WT52,ChurnSeasonTable,4,FALSE))*POWER(1-(AnnualChurn*VLOOKUP(WT52,ChurnSeasonTable,4,FALSE)),2)</f>
        <v/>
      </c>
      <c r="XM52" s="12">
        <f>XI52+XJ52+XK52+XL52</f>
        <v/>
      </c>
      <c r="XN52" s="9">
        <f>XI52*PriceEssMonthly*WW52+XJ52*PricePremMonthly*WW52+XK52*PriceEssAnnual*WW52/12+XL52*PricePremAnnual*WW52/12</f>
        <v/>
      </c>
      <c r="XO52" s="9">
        <f>XN52*12</f>
        <v/>
      </c>
      <c r="XP52" s="12">
        <f>XI52*PriceEssMonthly*WW52+XJ52*PricePremMonthly*WW52</f>
        <v/>
      </c>
      <c r="XQ52" s="12">
        <f>XG52*PriceEssAnnual*WW52+XH52*PricePremAnnual*WW52</f>
        <v/>
      </c>
      <c r="XR52" s="12">
        <f>XG40*POWER(1-(AnnualChurn*VLOOKUP(WT52,ChurnSeasonTable,4,FALSE)),1)*PriceEssAnnual*WW52+XG28*POWER(1-(AnnualChurn*VLOOKUP(WT52,ChurnSeasonTable,4,FALSE)),2)*PriceEssAnnual*WW52+XG16*POWER(1-(AnnualChurn*VLOOKUP(WT52,ChurnSeasonTable,4,FALSE)),3)*PriceEssAnnual*WW52+XH40*POWER(1-(AnnualChurn*VLOOKUP(WT52,ChurnSeasonTable,4,FALSE)),1)*PricePremAnnual*WW52+XH28*POWER(1-(AnnualChurn*VLOOKUP(WT52,ChurnSeasonTable,4,FALSE)),2)*PricePremAnnual*WW52+XH16*POWER(1-(AnnualChurn*VLOOKUP(WT52,ChurnSeasonTable,4,FALSE)),3)*PricePremAnnual*WW52</f>
        <v/>
      </c>
      <c r="XS52" s="9">
        <f>XP52+XQ52+XR52</f>
        <v/>
      </c>
      <c r="XT52" s="12">
        <f>SUM(XS41:XS52)</f>
        <v/>
      </c>
      <c r="XU52" s="12">
        <f>OR(XU51,XT52&gt;=VATThreshold)</f>
        <v/>
      </c>
      <c r="XV52" s="9">
        <f>IF(XU52,XS52/(1+VATRate),XS52)</f>
        <v/>
      </c>
      <c r="XW52" s="12">
        <f>XS52-XV52</f>
        <v/>
      </c>
      <c r="XX52" s="12">
        <f>IF(XU52=0,0,IF(WT52=1,SUMPRODUCT(--(($WU$5:$WU52=$WU52-1)*($WT$5:$WT52&gt;=10)*($WT$5:$WT52&lt;=12)),$XW$5:$XW52),IF(WT52=4,SUMPRODUCT(--(($WU$5:$WU52=$WU52)*($WT$5:$WT52&gt;=1)*($WT$5:$WT52&lt;=3)),$XW$5:$XW52),IF(WT52=7,SUMPRODUCT(--(($WU$5:$WU52=$WU52)*($WT$5:$WT52&gt;=4)*($WT$5:$WT52&lt;=6)),$XW$5:$XW52),IF(WT52=10,SUMPRODUCT(--(($WU$5:$WU52=$WU52)*($WT$5:$WT52&gt;=7)*($WT$5:$WT52&lt;=9)),$XW$5:$XW52),0)))))</f>
        <v/>
      </c>
      <c r="XY52" s="12">
        <f>XY51+XW52-XX52</f>
        <v/>
      </c>
      <c r="XZ52" s="12">
        <f>IF(ProviderDelay&gt;=1,XV51*ProviderShare,XV52*ProviderShare)</f>
        <v/>
      </c>
      <c r="YA52" s="12">
        <f>XS52*PaymentFee</f>
        <v/>
      </c>
      <c r="YB52" s="12">
        <f>XM52*OpsAI</f>
        <v/>
      </c>
      <c r="YC52" s="12">
        <f>MonthlyFixed</f>
        <v/>
      </c>
      <c r="YD52" s="12">
        <f>XA52*ReferralReward</f>
        <v/>
      </c>
      <c r="YE52" s="12">
        <f>WY52</f>
        <v/>
      </c>
      <c r="YF52" s="9">
        <f>XV52-XZ52-YA52-YB52-YC52-YD52-YE52</f>
        <v/>
      </c>
      <c r="YG52" s="9">
        <f>YG51+XS52-(XZ52+YA52+YB52+YC52+YD52+YE52+XX52)</f>
        <v/>
      </c>
      <c r="YH52" s="12">
        <f>IF(XM52&gt;0,XN52/XM52,0)</f>
        <v/>
      </c>
      <c r="YI52" s="11">
        <f>IF(XM51&gt;0,MAX(0,(XM51+XB52-XM52)/XM51),0)</f>
        <v/>
      </c>
      <c r="YK52" s="12" t="n">
        <v>48</v>
      </c>
      <c r="YL52" s="12">
        <f>MOD(YK52-1+LaunchMonth-1,12)+1</f>
        <v/>
      </c>
      <c r="YM52" s="12">
        <f>INT((YK52-1+LaunchMonth-1)/12)+1</f>
        <v/>
      </c>
      <c r="YN52" s="12">
        <f>VLOOKUP(YL52,SeasonTable,2,FALSE)</f>
        <v/>
      </c>
      <c r="YO52" s="12">
        <f>(1+InflationRate)^INT((YK52-1)/12)</f>
        <v/>
      </c>
      <c r="YP52" s="11">
        <f>MonthlyChurn*VLOOKUP(YL52,ChurnSeasonTable,4,FALSE)</f>
        <v/>
      </c>
      <c r="YQ52" s="12">
        <f>MIN(MAX(MktMin19plus,ZK51*MktPct19plus),MAX(0,ZY51-CashBuffer))</f>
        <v/>
      </c>
      <c r="YR52" s="12">
        <f>IF(YQ52&gt;0,MAX(1,ROUND(YQ52/CAC*YN52,0)),0)</f>
        <v/>
      </c>
      <c r="YS52" s="12">
        <f>IF(YR52&gt;0,ROUND(YR52*ReferralMix/(1-ReferralMix),0),0)</f>
        <v/>
      </c>
      <c r="YT52" s="12">
        <f>YR52+YS52</f>
        <v/>
      </c>
      <c r="YU52" s="12">
        <f>ROUND(YT52*(1-'Sens - Annual Mix'!$A$12),0)</f>
        <v/>
      </c>
      <c r="YV52" s="12">
        <f>YT52-YU52</f>
        <v/>
      </c>
      <c r="YW52" s="12">
        <f>ROUND(YU52*EssentialMix,0)</f>
        <v/>
      </c>
      <c r="YX52" s="12">
        <f>YU52-YW52</f>
        <v/>
      </c>
      <c r="YY52" s="12">
        <f>ROUND(YV52*EssentialMix,0)</f>
        <v/>
      </c>
      <c r="YZ52" s="12">
        <f>YV52-YY52</f>
        <v/>
      </c>
      <c r="ZA52" s="12">
        <f>YW52+YW51+YW50+MAX(0,ZA51-YW51-YW50)*(1-YP52)</f>
        <v/>
      </c>
      <c r="ZB52" s="12">
        <f>YX52+YX51+YX50+MAX(0,ZB51-YX51-YX50)*(1-YP52)</f>
        <v/>
      </c>
      <c r="ZC52" s="12">
        <f>ZC51+YY52-YY40*(AnnualChurn*VLOOKUP(YL52,ChurnSeasonTable,4,FALSE))*POWER(1-(AnnualChurn*VLOOKUP(YL52,ChurnSeasonTable,4,FALSE)),0)+YY28*(AnnualChurn*VLOOKUP(YL52,ChurnSeasonTable,4,FALSE))*POWER(1-(AnnualChurn*VLOOKUP(YL52,ChurnSeasonTable,4,FALSE)),1)+YY16*(AnnualChurn*VLOOKUP(YL52,ChurnSeasonTable,4,FALSE))*POWER(1-(AnnualChurn*VLOOKUP(YL52,ChurnSeasonTable,4,FALSE)),2)</f>
        <v/>
      </c>
      <c r="ZD52" s="12">
        <f>ZD51+YZ52-YZ40*(AnnualChurn*VLOOKUP(YL52,ChurnSeasonTable,4,FALSE))*POWER(1-(AnnualChurn*VLOOKUP(YL52,ChurnSeasonTable,4,FALSE)),0)+YZ28*(AnnualChurn*VLOOKUP(YL52,ChurnSeasonTable,4,FALSE))*POWER(1-(AnnualChurn*VLOOKUP(YL52,ChurnSeasonTable,4,FALSE)),1)+YZ16*(AnnualChurn*VLOOKUP(YL52,ChurnSeasonTable,4,FALSE))*POWER(1-(AnnualChurn*VLOOKUP(YL52,ChurnSeasonTable,4,FALSE)),2)</f>
        <v/>
      </c>
      <c r="ZE52" s="12">
        <f>ZA52+ZB52+ZC52+ZD52</f>
        <v/>
      </c>
      <c r="ZF52" s="9">
        <f>ZA52*PriceEssMonthly*YO52+ZB52*PricePremMonthly*YO52+ZC52*PriceEssAnnual*YO52/12+ZD52*PricePremAnnual*YO52/12</f>
        <v/>
      </c>
      <c r="ZG52" s="9">
        <f>ZF52*12</f>
        <v/>
      </c>
      <c r="ZH52" s="12">
        <f>ZA52*PriceEssMonthly*YO52+ZB52*PricePremMonthly*YO52</f>
        <v/>
      </c>
      <c r="ZI52" s="12">
        <f>YY52*PriceEssAnnual*YO52+YZ52*PricePremAnnual*YO52</f>
        <v/>
      </c>
      <c r="ZJ52" s="12">
        <f>YY40*POWER(1-(AnnualChurn*VLOOKUP(YL52,ChurnSeasonTable,4,FALSE)),1)*PriceEssAnnual*YO52+YY28*POWER(1-(AnnualChurn*VLOOKUP(YL52,ChurnSeasonTable,4,FALSE)),2)*PriceEssAnnual*YO52+YY16*POWER(1-(AnnualChurn*VLOOKUP(YL52,ChurnSeasonTable,4,FALSE)),3)*PriceEssAnnual*YO52+YZ40*POWER(1-(AnnualChurn*VLOOKUP(YL52,ChurnSeasonTable,4,FALSE)),1)*PricePremAnnual*YO52+YZ28*POWER(1-(AnnualChurn*VLOOKUP(YL52,ChurnSeasonTable,4,FALSE)),2)*PricePremAnnual*YO52+YZ16*POWER(1-(AnnualChurn*VLOOKUP(YL52,ChurnSeasonTable,4,FALSE)),3)*PricePremAnnual*YO52</f>
        <v/>
      </c>
      <c r="ZK52" s="9">
        <f>ZH52+ZI52+ZJ52</f>
        <v/>
      </c>
      <c r="ZL52" s="12">
        <f>SUM(ZK41:ZK52)</f>
        <v/>
      </c>
      <c r="ZM52" s="12">
        <f>OR(ZM51,ZL52&gt;=VATThreshold)</f>
        <v/>
      </c>
      <c r="ZN52" s="9">
        <f>IF(ZM52,ZK52/(1+VATRate),ZK52)</f>
        <v/>
      </c>
      <c r="ZO52" s="12">
        <f>ZK52-ZN52</f>
        <v/>
      </c>
      <c r="ZP52" s="12">
        <f>IF(ZM52=0,0,IF(YL52=1,SUMPRODUCT(--(($YM$5:$YM52=$YM52-1)*($YL$5:$YL52&gt;=10)*($YL$5:$YL52&lt;=12)),$ZO$5:$ZO52),IF(YL52=4,SUMPRODUCT(--(($YM$5:$YM52=$YM52)*($YL$5:$YL52&gt;=1)*($YL$5:$YL52&lt;=3)),$ZO$5:$ZO52),IF(YL52=7,SUMPRODUCT(--(($YM$5:$YM52=$YM52)*($YL$5:$YL52&gt;=4)*($YL$5:$YL52&lt;=6)),$ZO$5:$ZO52),IF(YL52=10,SUMPRODUCT(--(($YM$5:$YM52=$YM52)*($YL$5:$YL52&gt;=7)*($YL$5:$YL52&lt;=9)),$ZO$5:$ZO52),0)))))</f>
        <v/>
      </c>
      <c r="ZQ52" s="12">
        <f>ZQ51+ZO52-ZP52</f>
        <v/>
      </c>
      <c r="ZR52" s="12">
        <f>IF(ProviderDelay&gt;=1,ZN51*ProviderShare,ZN52*ProviderShare)</f>
        <v/>
      </c>
      <c r="ZS52" s="12">
        <f>ZK52*PaymentFee</f>
        <v/>
      </c>
      <c r="ZT52" s="12">
        <f>ZE52*OpsAI</f>
        <v/>
      </c>
      <c r="ZU52" s="12">
        <f>MonthlyFixed</f>
        <v/>
      </c>
      <c r="ZV52" s="12">
        <f>YS52*ReferralReward</f>
        <v/>
      </c>
      <c r="ZW52" s="12">
        <f>YQ52</f>
        <v/>
      </c>
      <c r="ZX52" s="9">
        <f>ZN52-ZR52-ZS52-ZT52-ZU52-ZV52-ZW52</f>
        <v/>
      </c>
      <c r="ZY52" s="9">
        <f>ZY51+ZK52-(ZR52+ZS52+ZT52+ZU52+ZV52+ZW52+ZP52)</f>
        <v/>
      </c>
      <c r="ZZ52" s="12">
        <f>IF(ZE52&gt;0,ZF52/ZE52,0)</f>
        <v/>
      </c>
      <c r="AAA52" s="11">
        <f>IF(ZE51&gt;0,MAX(0,(ZE51+YT52-ZE52)/ZE51),0)</f>
        <v/>
      </c>
      <c r="AAC52" s="12" t="n">
        <v>48</v>
      </c>
      <c r="AAD52" s="12">
        <f>MOD(AAC52-1+LaunchMonth-1,12)+1</f>
        <v/>
      </c>
      <c r="AAE52" s="12">
        <f>INT((AAC52-1+LaunchMonth-1)/12)+1</f>
        <v/>
      </c>
      <c r="AAF52" s="12">
        <f>VLOOKUP(AAD52,SeasonTable,2,FALSE)</f>
        <v/>
      </c>
      <c r="AAG52" s="12">
        <f>(1+InflationRate)^INT((AAC52-1)/12)</f>
        <v/>
      </c>
      <c r="AAH52" s="11">
        <f>MonthlyChurn*VLOOKUP(AAD52,ChurnSeasonTable,4,FALSE)</f>
        <v/>
      </c>
      <c r="AAI52" s="12">
        <f>MIN(MAX(MktMin19plus,ABC51*MktPct19plus),MAX(0,ABQ51-CashBuffer))</f>
        <v/>
      </c>
      <c r="AAJ52" s="12">
        <f>IF(AAI52&gt;0,MAX(1,ROUND(AAI52/CAC*AAF52,0)),0)</f>
        <v/>
      </c>
      <c r="AAK52" s="12">
        <f>IF(AAJ52&gt;0,ROUND(AAJ52*ReferralMix/(1-ReferralMix),0),0)</f>
        <v/>
      </c>
      <c r="AAL52" s="12">
        <f>AAJ52+AAK52</f>
        <v/>
      </c>
      <c r="AAM52" s="12">
        <f>ROUND(AAL52*(1-'Sens - Annual Mix'!$A$13),0)</f>
        <v/>
      </c>
      <c r="AAN52" s="12">
        <f>AAL52-AAM52</f>
        <v/>
      </c>
      <c r="AAO52" s="12">
        <f>ROUND(AAM52*EssentialMix,0)</f>
        <v/>
      </c>
      <c r="AAP52" s="12">
        <f>AAM52-AAO52</f>
        <v/>
      </c>
      <c r="AAQ52" s="12">
        <f>ROUND(AAN52*EssentialMix,0)</f>
        <v/>
      </c>
      <c r="AAR52" s="12">
        <f>AAN52-AAQ52</f>
        <v/>
      </c>
      <c r="AAS52" s="12">
        <f>AAO52+AAO51+AAO50+MAX(0,AAS51-AAO51-AAO50)*(1-AAH52)</f>
        <v/>
      </c>
      <c r="AAT52" s="12">
        <f>AAP52+AAP51+AAP50+MAX(0,AAT51-AAP51-AAP50)*(1-AAH52)</f>
        <v/>
      </c>
      <c r="AAU52" s="12">
        <f>AAU51+AAQ52-AAQ40*(AnnualChurn*VLOOKUP(AAD52,ChurnSeasonTable,4,FALSE))*POWER(1-(AnnualChurn*VLOOKUP(AAD52,ChurnSeasonTable,4,FALSE)),0)+AAQ28*(AnnualChurn*VLOOKUP(AAD52,ChurnSeasonTable,4,FALSE))*POWER(1-(AnnualChurn*VLOOKUP(AAD52,ChurnSeasonTable,4,FALSE)),1)+AAQ16*(AnnualChurn*VLOOKUP(AAD52,ChurnSeasonTable,4,FALSE))*POWER(1-(AnnualChurn*VLOOKUP(AAD52,ChurnSeasonTable,4,FALSE)),2)</f>
        <v/>
      </c>
      <c r="AAV52" s="12">
        <f>AAV51+AAR52-AAR40*(AnnualChurn*VLOOKUP(AAD52,ChurnSeasonTable,4,FALSE))*POWER(1-(AnnualChurn*VLOOKUP(AAD52,ChurnSeasonTable,4,FALSE)),0)+AAR28*(AnnualChurn*VLOOKUP(AAD52,ChurnSeasonTable,4,FALSE))*POWER(1-(AnnualChurn*VLOOKUP(AAD52,ChurnSeasonTable,4,FALSE)),1)+AAR16*(AnnualChurn*VLOOKUP(AAD52,ChurnSeasonTable,4,FALSE))*POWER(1-(AnnualChurn*VLOOKUP(AAD52,ChurnSeasonTable,4,FALSE)),2)</f>
        <v/>
      </c>
      <c r="AAW52" s="12">
        <f>AAS52+AAT52+AAU52+AAV52</f>
        <v/>
      </c>
      <c r="AAX52" s="9">
        <f>AAS52*PriceEssMonthly*AAG52+AAT52*PricePremMonthly*AAG52+AAU52*PriceEssAnnual*AAG52/12+AAV52*PricePremAnnual*AAG52/12</f>
        <v/>
      </c>
      <c r="AAY52" s="9">
        <f>AAX52*12</f>
        <v/>
      </c>
      <c r="AAZ52" s="12">
        <f>AAS52*PriceEssMonthly*AAG52+AAT52*PricePremMonthly*AAG52</f>
        <v/>
      </c>
      <c r="ABA52" s="12">
        <f>AAQ52*PriceEssAnnual*AAG52+AAR52*PricePremAnnual*AAG52</f>
        <v/>
      </c>
      <c r="ABB52" s="12">
        <f>AAQ40*POWER(1-(AnnualChurn*VLOOKUP(AAD52,ChurnSeasonTable,4,FALSE)),1)*PriceEssAnnual*AAG52+AAQ28*POWER(1-(AnnualChurn*VLOOKUP(AAD52,ChurnSeasonTable,4,FALSE)),2)*PriceEssAnnual*AAG52+AAQ16*POWER(1-(AnnualChurn*VLOOKUP(AAD52,ChurnSeasonTable,4,FALSE)),3)*PriceEssAnnual*AAG52+AAR40*POWER(1-(AnnualChurn*VLOOKUP(AAD52,ChurnSeasonTable,4,FALSE)),1)*PricePremAnnual*AAG52+AAR28*POWER(1-(AnnualChurn*VLOOKUP(AAD52,ChurnSeasonTable,4,FALSE)),2)*PricePremAnnual*AAG52+AAR16*POWER(1-(AnnualChurn*VLOOKUP(AAD52,ChurnSeasonTable,4,FALSE)),3)*PricePremAnnual*AAG52</f>
        <v/>
      </c>
      <c r="ABC52" s="9">
        <f>AAZ52+ABA52+ABB52</f>
        <v/>
      </c>
      <c r="ABD52" s="12">
        <f>SUM(ABC41:ABC52)</f>
        <v/>
      </c>
      <c r="ABE52" s="12">
        <f>OR(ABE51,ABD52&gt;=VATThreshold)</f>
        <v/>
      </c>
      <c r="ABF52" s="9">
        <f>IF(ABE52,ABC52/(1+VATRate),ABC52)</f>
        <v/>
      </c>
      <c r="ABG52" s="12">
        <f>ABC52-ABF52</f>
        <v/>
      </c>
      <c r="ABH52" s="12">
        <f>IF(ABE52=0,0,IF(AAD52=1,SUMPRODUCT(--(($AAE$5:$AAE52=$AAE52-1)*($AAD$5:$AAD52&gt;=10)*($AAD$5:$AAD52&lt;=12)),$ABG$5:$ABG52),IF(AAD52=4,SUMPRODUCT(--(($AAE$5:$AAE52=$AAE52)*($AAD$5:$AAD52&gt;=1)*($AAD$5:$AAD52&lt;=3)),$ABG$5:$ABG52),IF(AAD52=7,SUMPRODUCT(--(($AAE$5:$AAE52=$AAE52)*($AAD$5:$AAD52&gt;=4)*($AAD$5:$AAD52&lt;=6)),$ABG$5:$ABG52),IF(AAD52=10,SUMPRODUCT(--(($AAE$5:$AAE52=$AAE52)*($AAD$5:$AAD52&gt;=7)*($AAD$5:$AAD52&lt;=9)),$ABG$5:$ABG52),0)))))</f>
        <v/>
      </c>
      <c r="ABI52" s="12">
        <f>ABI51+ABG52-ABH52</f>
        <v/>
      </c>
      <c r="ABJ52" s="12">
        <f>IF(ProviderDelay&gt;=1,ABF51*ProviderShare,ABF52*ProviderShare)</f>
        <v/>
      </c>
      <c r="ABK52" s="12">
        <f>ABC52*PaymentFee</f>
        <v/>
      </c>
      <c r="ABL52" s="12">
        <f>AAW52*OpsAI</f>
        <v/>
      </c>
      <c r="ABM52" s="12">
        <f>MonthlyFixed</f>
        <v/>
      </c>
      <c r="ABN52" s="12">
        <f>AAK52*ReferralReward</f>
        <v/>
      </c>
      <c r="ABO52" s="12">
        <f>AAI52</f>
        <v/>
      </c>
      <c r="ABP52" s="9">
        <f>ABF52-ABJ52-ABK52-ABL52-ABM52-ABN52-ABO52</f>
        <v/>
      </c>
      <c r="ABQ52" s="9">
        <f>ABQ51+ABC52-(ABJ52+ABK52+ABL52+ABM52+ABN52+ABO52+ABH52)</f>
        <v/>
      </c>
      <c r="ABR52" s="12">
        <f>IF(AAW52&gt;0,AAX52/AAW52,0)</f>
        <v/>
      </c>
      <c r="ABS52" s="11">
        <f>IF(AAW51&gt;0,MAX(0,(AAW51+AAL52-AAW52)/AAW51),0)</f>
        <v/>
      </c>
      <c r="ABU52" s="12" t="n">
        <v>48</v>
      </c>
      <c r="ABV52" s="12">
        <f>MOD(ABU52-1+LaunchMonth-1,12)+1</f>
        <v/>
      </c>
      <c r="ABW52" s="12">
        <f>INT((ABU52-1+LaunchMonth-1)/12)+1</f>
        <v/>
      </c>
      <c r="ABX52" s="12">
        <f>VLOOKUP(ABV52,SeasonTable,2,FALSE)</f>
        <v/>
      </c>
      <c r="ABY52" s="12">
        <f>(1+InflationRate)^INT((ABU52-1)/12)</f>
        <v/>
      </c>
      <c r="ABZ52" s="11">
        <f>MonthlyChurn*VLOOKUP(ABV52,ChurnSeasonTable,4,FALSE)</f>
        <v/>
      </c>
      <c r="ACA52" s="12">
        <f>MIN(MAX(MktMin19plus,ACU51*MktPct19plus),MAX(0,ADI51-CashBuffer))</f>
        <v/>
      </c>
      <c r="ACB52" s="12">
        <f>IF(ACA52&gt;0,MAX(1,ROUND(ACA52/CAC*ABX52,0)),0)</f>
        <v/>
      </c>
      <c r="ACC52" s="12">
        <f>IF(ACB52&gt;0,ROUND(ACB52*ReferralMix/(1-ReferralMix),0),0)</f>
        <v/>
      </c>
      <c r="ACD52" s="12">
        <f>ACB52+ACC52</f>
        <v/>
      </c>
      <c r="ACE52" s="12">
        <f>ROUND(ACD52*(1-'Sens - Annual Mix'!$A$14),0)</f>
        <v/>
      </c>
      <c r="ACF52" s="12">
        <f>ACD52-ACE52</f>
        <v/>
      </c>
      <c r="ACG52" s="12">
        <f>ROUND(ACE52*EssentialMix,0)</f>
        <v/>
      </c>
      <c r="ACH52" s="12">
        <f>ACE52-ACG52</f>
        <v/>
      </c>
      <c r="ACI52" s="12">
        <f>ROUND(ACF52*EssentialMix,0)</f>
        <v/>
      </c>
      <c r="ACJ52" s="12">
        <f>ACF52-ACI52</f>
        <v/>
      </c>
      <c r="ACK52" s="12">
        <f>ACG52+ACG51+ACG50+MAX(0,ACK51-ACG51-ACG50)*(1-ABZ52)</f>
        <v/>
      </c>
      <c r="ACL52" s="12">
        <f>ACH52+ACH51+ACH50+MAX(0,ACL51-ACH51-ACH50)*(1-ABZ52)</f>
        <v/>
      </c>
      <c r="ACM52" s="12">
        <f>ACM51+ACI52-ACI40*(AnnualChurn*VLOOKUP(ABV52,ChurnSeasonTable,4,FALSE))*POWER(1-(AnnualChurn*VLOOKUP(ABV52,ChurnSeasonTable,4,FALSE)),0)+ACI28*(AnnualChurn*VLOOKUP(ABV52,ChurnSeasonTable,4,FALSE))*POWER(1-(AnnualChurn*VLOOKUP(ABV52,ChurnSeasonTable,4,FALSE)),1)+ACI16*(AnnualChurn*VLOOKUP(ABV52,ChurnSeasonTable,4,FALSE))*POWER(1-(AnnualChurn*VLOOKUP(ABV52,ChurnSeasonTable,4,FALSE)),2)</f>
        <v/>
      </c>
      <c r="ACN52" s="12">
        <f>ACN51+ACJ52-ACJ40*(AnnualChurn*VLOOKUP(ABV52,ChurnSeasonTable,4,FALSE))*POWER(1-(AnnualChurn*VLOOKUP(ABV52,ChurnSeasonTable,4,FALSE)),0)+ACJ28*(AnnualChurn*VLOOKUP(ABV52,ChurnSeasonTable,4,FALSE))*POWER(1-(AnnualChurn*VLOOKUP(ABV52,ChurnSeasonTable,4,FALSE)),1)+ACJ16*(AnnualChurn*VLOOKUP(ABV52,ChurnSeasonTable,4,FALSE))*POWER(1-(AnnualChurn*VLOOKUP(ABV52,ChurnSeasonTable,4,FALSE)),2)</f>
        <v/>
      </c>
      <c r="ACO52" s="12">
        <f>ACK52+ACL52+ACM52+ACN52</f>
        <v/>
      </c>
      <c r="ACP52" s="9">
        <f>ACK52*PriceEssMonthly*ABY52+ACL52*PricePremMonthly*ABY52+ACM52*PriceEssAnnual*ABY52/12+ACN52*PricePremAnnual*ABY52/12</f>
        <v/>
      </c>
      <c r="ACQ52" s="9">
        <f>ACP52*12</f>
        <v/>
      </c>
      <c r="ACR52" s="12">
        <f>ACK52*PriceEssMonthly*ABY52+ACL52*PricePremMonthly*ABY52</f>
        <v/>
      </c>
      <c r="ACS52" s="12">
        <f>ACI52*PriceEssAnnual*ABY52+ACJ52*PricePremAnnual*ABY52</f>
        <v/>
      </c>
      <c r="ACT52" s="12">
        <f>ACI40*POWER(1-(AnnualChurn*VLOOKUP(ABV52,ChurnSeasonTable,4,FALSE)),1)*PriceEssAnnual*ABY52+ACI28*POWER(1-(AnnualChurn*VLOOKUP(ABV52,ChurnSeasonTable,4,FALSE)),2)*PriceEssAnnual*ABY52+ACI16*POWER(1-(AnnualChurn*VLOOKUP(ABV52,ChurnSeasonTable,4,FALSE)),3)*PriceEssAnnual*ABY52+ACJ40*POWER(1-(AnnualChurn*VLOOKUP(ABV52,ChurnSeasonTable,4,FALSE)),1)*PricePremAnnual*ABY52+ACJ28*POWER(1-(AnnualChurn*VLOOKUP(ABV52,ChurnSeasonTable,4,FALSE)),2)*PricePremAnnual*ABY52+ACJ16*POWER(1-(AnnualChurn*VLOOKUP(ABV52,ChurnSeasonTable,4,FALSE)),3)*PricePremAnnual*ABY52</f>
        <v/>
      </c>
      <c r="ACU52" s="9">
        <f>ACR52+ACS52+ACT52</f>
        <v/>
      </c>
      <c r="ACV52" s="12">
        <f>SUM(ACU41:ACU52)</f>
        <v/>
      </c>
      <c r="ACW52" s="12">
        <f>OR(ACW51,ACV52&gt;=VATThreshold)</f>
        <v/>
      </c>
      <c r="ACX52" s="9">
        <f>IF(ACW52,ACU52/(1+VATRate),ACU52)</f>
        <v/>
      </c>
      <c r="ACY52" s="12">
        <f>ACU52-ACX52</f>
        <v/>
      </c>
      <c r="ACZ52" s="12">
        <f>IF(ACW52=0,0,IF(ABV52=1,SUMPRODUCT(--(($ABW$5:$ABW52=$ABW52-1)*($ABV$5:$ABV52&gt;=10)*($ABV$5:$ABV52&lt;=12)),$ACY$5:$ACY52),IF(ABV52=4,SUMPRODUCT(--(($ABW$5:$ABW52=$ABW52)*($ABV$5:$ABV52&gt;=1)*($ABV$5:$ABV52&lt;=3)),$ACY$5:$ACY52),IF(ABV52=7,SUMPRODUCT(--(($ABW$5:$ABW52=$ABW52)*($ABV$5:$ABV52&gt;=4)*($ABV$5:$ABV52&lt;=6)),$ACY$5:$ACY52),IF(ABV52=10,SUMPRODUCT(--(($ABW$5:$ABW52=$ABW52)*($ABV$5:$ABV52&gt;=7)*($ABV$5:$ABV52&lt;=9)),$ACY$5:$ACY52),0)))))</f>
        <v/>
      </c>
      <c r="ADA52" s="12">
        <f>ADA51+ACY52-ACZ52</f>
        <v/>
      </c>
      <c r="ADB52" s="12">
        <f>IF(ProviderDelay&gt;=1,ACX51*ProviderShare,ACX52*ProviderShare)</f>
        <v/>
      </c>
      <c r="ADC52" s="12">
        <f>ACU52*PaymentFee</f>
        <v/>
      </c>
      <c r="ADD52" s="12">
        <f>ACO52*OpsAI</f>
        <v/>
      </c>
      <c r="ADE52" s="12">
        <f>MonthlyFixed</f>
        <v/>
      </c>
      <c r="ADF52" s="12">
        <f>ACC52*ReferralReward</f>
        <v/>
      </c>
      <c r="ADG52" s="12">
        <f>ACA52</f>
        <v/>
      </c>
      <c r="ADH52" s="9">
        <f>ACX52-ADB52-ADC52-ADD52-ADE52-ADF52-ADG52</f>
        <v/>
      </c>
      <c r="ADI52" s="9">
        <f>ADI51+ACU52-(ADB52+ADC52+ADD52+ADE52+ADF52+ADG52+ACZ52)</f>
        <v/>
      </c>
      <c r="ADJ52" s="12">
        <f>IF(ACO52&gt;0,ACP52/ACO52,0)</f>
        <v/>
      </c>
      <c r="ADK52" s="11">
        <f>IF(ACO51&gt;0,MAX(0,(ACO51+ACD52-ACO52)/ACO51),0)</f>
        <v/>
      </c>
      <c r="ADM52" s="12" t="n">
        <v>48</v>
      </c>
      <c r="ADN52" s="12">
        <f>MOD(ADM52-1+LaunchMonth-1,12)+1</f>
        <v/>
      </c>
      <c r="ADO52" s="12">
        <f>INT((ADM52-1+LaunchMonth-1)/12)+1</f>
        <v/>
      </c>
      <c r="ADP52" s="12">
        <f>VLOOKUP(ADN52,SeasonTable,2,FALSE)</f>
        <v/>
      </c>
      <c r="ADQ52" s="12">
        <f>(1+InflationRate)^INT((ADM52-1)/12)</f>
        <v/>
      </c>
      <c r="ADR52" s="11">
        <f>MonthlyChurn*VLOOKUP(ADN52,ChurnSeasonTable,4,FALSE)</f>
        <v/>
      </c>
      <c r="ADS52" s="12">
        <f>MIN(MAX(MktMin19plus,AEM51*MktPct19plus),MAX(0,AFA51-CashBuffer))</f>
        <v/>
      </c>
      <c r="ADT52" s="12">
        <f>IF(ADS52&gt;0,MAX(1,ROUND(ADS52/CAC*ADP52,0)),0)</f>
        <v/>
      </c>
      <c r="ADU52" s="12">
        <f>IF(ADT52&gt;0,ROUND(ADT52*ReferralMix/(1-ReferralMix),0),0)</f>
        <v/>
      </c>
      <c r="ADV52" s="12">
        <f>ADT52+ADU52</f>
        <v/>
      </c>
      <c r="ADW52" s="12">
        <f>ROUND(ADV52*(1-'Sens - Annual Mix'!$A$15),0)</f>
        <v/>
      </c>
      <c r="ADX52" s="12">
        <f>ADV52-ADW52</f>
        <v/>
      </c>
      <c r="ADY52" s="12">
        <f>ROUND(ADW52*EssentialMix,0)</f>
        <v/>
      </c>
      <c r="ADZ52" s="12">
        <f>ADW52-ADY52</f>
        <v/>
      </c>
      <c r="AEA52" s="12">
        <f>ROUND(ADX52*EssentialMix,0)</f>
        <v/>
      </c>
      <c r="AEB52" s="12">
        <f>ADX52-AEA52</f>
        <v/>
      </c>
      <c r="AEC52" s="12">
        <f>ADY52+ADY51+ADY50+MAX(0,AEC51-ADY51-ADY50)*(1-ADR52)</f>
        <v/>
      </c>
      <c r="AED52" s="12">
        <f>ADZ52+ADZ51+ADZ50+MAX(0,AED51-ADZ51-ADZ50)*(1-ADR52)</f>
        <v/>
      </c>
      <c r="AEE52" s="12">
        <f>AEE51+AEA52-AEA40*(AnnualChurn*VLOOKUP(ADN52,ChurnSeasonTable,4,FALSE))*POWER(1-(AnnualChurn*VLOOKUP(ADN52,ChurnSeasonTable,4,FALSE)),0)+AEA28*(AnnualChurn*VLOOKUP(ADN52,ChurnSeasonTable,4,FALSE))*POWER(1-(AnnualChurn*VLOOKUP(ADN52,ChurnSeasonTable,4,FALSE)),1)+AEA16*(AnnualChurn*VLOOKUP(ADN52,ChurnSeasonTable,4,FALSE))*POWER(1-(AnnualChurn*VLOOKUP(ADN52,ChurnSeasonTable,4,FALSE)),2)</f>
        <v/>
      </c>
      <c r="AEF52" s="12">
        <f>AEF51+AEB52-AEB40*(AnnualChurn*VLOOKUP(ADN52,ChurnSeasonTable,4,FALSE))*POWER(1-(AnnualChurn*VLOOKUP(ADN52,ChurnSeasonTable,4,FALSE)),0)+AEB28*(AnnualChurn*VLOOKUP(ADN52,ChurnSeasonTable,4,FALSE))*POWER(1-(AnnualChurn*VLOOKUP(ADN52,ChurnSeasonTable,4,FALSE)),1)+AEB16*(AnnualChurn*VLOOKUP(ADN52,ChurnSeasonTable,4,FALSE))*POWER(1-(AnnualChurn*VLOOKUP(ADN52,ChurnSeasonTable,4,FALSE)),2)</f>
        <v/>
      </c>
      <c r="AEG52" s="12">
        <f>AEC52+AED52+AEE52+AEF52</f>
        <v/>
      </c>
      <c r="AEH52" s="9">
        <f>AEC52*PriceEssMonthly*ADQ52+AED52*PricePremMonthly*ADQ52+AEE52*PriceEssAnnual*ADQ52/12+AEF52*PricePremAnnual*ADQ52/12</f>
        <v/>
      </c>
      <c r="AEI52" s="9">
        <f>AEH52*12</f>
        <v/>
      </c>
      <c r="AEJ52" s="12">
        <f>AEC52*PriceEssMonthly*ADQ52+AED52*PricePremMonthly*ADQ52</f>
        <v/>
      </c>
      <c r="AEK52" s="12">
        <f>AEA52*PriceEssAnnual*ADQ52+AEB52*PricePremAnnual*ADQ52</f>
        <v/>
      </c>
      <c r="AEL52" s="12">
        <f>AEA40*POWER(1-(AnnualChurn*VLOOKUP(ADN52,ChurnSeasonTable,4,FALSE)),1)*PriceEssAnnual*ADQ52+AEA28*POWER(1-(AnnualChurn*VLOOKUP(ADN52,ChurnSeasonTable,4,FALSE)),2)*PriceEssAnnual*ADQ52+AEA16*POWER(1-(AnnualChurn*VLOOKUP(ADN52,ChurnSeasonTable,4,FALSE)),3)*PriceEssAnnual*ADQ52+AEB40*POWER(1-(AnnualChurn*VLOOKUP(ADN52,ChurnSeasonTable,4,FALSE)),1)*PricePremAnnual*ADQ52+AEB28*POWER(1-(AnnualChurn*VLOOKUP(ADN52,ChurnSeasonTable,4,FALSE)),2)*PricePremAnnual*ADQ52+AEB16*POWER(1-(AnnualChurn*VLOOKUP(ADN52,ChurnSeasonTable,4,FALSE)),3)*PricePremAnnual*ADQ52</f>
        <v/>
      </c>
      <c r="AEM52" s="9">
        <f>AEJ52+AEK52+AEL52</f>
        <v/>
      </c>
      <c r="AEN52" s="12">
        <f>SUM(AEM41:AEM52)</f>
        <v/>
      </c>
      <c r="AEO52" s="12">
        <f>OR(AEO51,AEN52&gt;=VATThreshold)</f>
        <v/>
      </c>
      <c r="AEP52" s="9">
        <f>IF(AEO52,AEM52/(1+VATRate),AEM52)</f>
        <v/>
      </c>
      <c r="AEQ52" s="12">
        <f>AEM52-AEP52</f>
        <v/>
      </c>
      <c r="AER52" s="12">
        <f>IF(AEO52=0,0,IF(ADN52=1,SUMPRODUCT(--(($ADO$5:$ADO52=$ADO52-1)*($ADN$5:$ADN52&gt;=10)*($ADN$5:$ADN52&lt;=12)),$AEQ$5:$AEQ52),IF(ADN52=4,SUMPRODUCT(--(($ADO$5:$ADO52=$ADO52)*($ADN$5:$ADN52&gt;=1)*($ADN$5:$ADN52&lt;=3)),$AEQ$5:$AEQ52),IF(ADN52=7,SUMPRODUCT(--(($ADO$5:$ADO52=$ADO52)*($ADN$5:$ADN52&gt;=4)*($ADN$5:$ADN52&lt;=6)),$AEQ$5:$AEQ52),IF(ADN52=10,SUMPRODUCT(--(($ADO$5:$ADO52=$ADO52)*($ADN$5:$ADN52&gt;=7)*($ADN$5:$ADN52&lt;=9)),$AEQ$5:$AEQ52),0)))))</f>
        <v/>
      </c>
      <c r="AES52" s="12">
        <f>AES51+AEQ52-AER52</f>
        <v/>
      </c>
      <c r="AET52" s="12">
        <f>IF(ProviderDelay&gt;=1,AEP51*ProviderShare,AEP52*ProviderShare)</f>
        <v/>
      </c>
      <c r="AEU52" s="12">
        <f>AEM52*PaymentFee</f>
        <v/>
      </c>
      <c r="AEV52" s="12">
        <f>AEG52*OpsAI</f>
        <v/>
      </c>
      <c r="AEW52" s="12">
        <f>MonthlyFixed</f>
        <v/>
      </c>
      <c r="AEX52" s="12">
        <f>ADU52*ReferralReward</f>
        <v/>
      </c>
      <c r="AEY52" s="12">
        <f>ADS52</f>
        <v/>
      </c>
      <c r="AEZ52" s="9">
        <f>AEP52-AET52-AEU52-AEV52-AEW52-AEX52-AEY52</f>
        <v/>
      </c>
      <c r="AFA52" s="9">
        <f>AFA51+AEM52-(AET52+AEU52+AEV52+AEW52+AEX52+AEY52+AER52)</f>
        <v/>
      </c>
      <c r="AFB52" s="12">
        <f>IF(AEG52&gt;0,AEH52/AEG52,0)</f>
        <v/>
      </c>
      <c r="AFC52" s="11">
        <f>IF(AEG51&gt;0,MAX(0,(AEG51+ADV52-AEG52)/AEG51),0)</f>
        <v/>
      </c>
      <c r="AFE52" s="12" t="n">
        <v>48</v>
      </c>
      <c r="AFF52" s="12">
        <f>MOD(AFE52-1+LaunchMonth-1,12)+1</f>
        <v/>
      </c>
      <c r="AFG52" s="12">
        <f>INT((AFE52-1+LaunchMonth-1)/12)+1</f>
        <v/>
      </c>
      <c r="AFH52" s="12">
        <f>VLOOKUP(AFF52,SeasonTable,2,FALSE)</f>
        <v/>
      </c>
      <c r="AFI52" s="12">
        <f>(1+InflationRate)^INT((AFE52-1)/12)</f>
        <v/>
      </c>
      <c r="AFJ52" s="11">
        <f>MonthlyChurn*VLOOKUP(AFF52,ChurnSeasonTable,4,FALSE)</f>
        <v/>
      </c>
      <c r="AFK52" s="12">
        <f>MIN(MAX(MktMin19plus,AGE51*MktPct19plus),MAX(0,AGS51-CashBuffer))</f>
        <v/>
      </c>
      <c r="AFL52" s="12">
        <f>IF(AFK52&gt;0,MAX(1,ROUND(AFK52/'Sens - CAC &amp; Marketing'!$A$9*AFH52,0)),0)</f>
        <v/>
      </c>
      <c r="AFM52" s="12">
        <f>IF(AFL52&gt;0,ROUND(AFL52*ReferralMix/(1-ReferralMix),0),0)</f>
        <v/>
      </c>
      <c r="AFN52" s="12">
        <f>AFL52+AFM52</f>
        <v/>
      </c>
      <c r="AFO52" s="12">
        <f>ROUND(AFN52*(1-AnnualMix),0)</f>
        <v/>
      </c>
      <c r="AFP52" s="12">
        <f>AFN52-AFO52</f>
        <v/>
      </c>
      <c r="AFQ52" s="12">
        <f>ROUND(AFO52*EssentialMix,0)</f>
        <v/>
      </c>
      <c r="AFR52" s="12">
        <f>AFO52-AFQ52</f>
        <v/>
      </c>
      <c r="AFS52" s="12">
        <f>ROUND(AFP52*EssentialMix,0)</f>
        <v/>
      </c>
      <c r="AFT52" s="12">
        <f>AFP52-AFS52</f>
        <v/>
      </c>
      <c r="AFU52" s="12">
        <f>AFQ52+AFQ51+AFQ50+MAX(0,AFU51-AFQ51-AFQ50)*(1-AFJ52)</f>
        <v/>
      </c>
      <c r="AFV52" s="12">
        <f>AFR52+AFR51+AFR50+MAX(0,AFV51-AFR51-AFR50)*(1-AFJ52)</f>
        <v/>
      </c>
      <c r="AFW52" s="12">
        <f>AFW51+AFS52-AFS40*(AnnualChurn*VLOOKUP(AFF52,ChurnSeasonTable,4,FALSE))*POWER(1-(AnnualChurn*VLOOKUP(AFF52,ChurnSeasonTable,4,FALSE)),0)+AFS28*(AnnualChurn*VLOOKUP(AFF52,ChurnSeasonTable,4,FALSE))*POWER(1-(AnnualChurn*VLOOKUP(AFF52,ChurnSeasonTable,4,FALSE)),1)+AFS16*(AnnualChurn*VLOOKUP(AFF52,ChurnSeasonTable,4,FALSE))*POWER(1-(AnnualChurn*VLOOKUP(AFF52,ChurnSeasonTable,4,FALSE)),2)</f>
        <v/>
      </c>
      <c r="AFX52" s="12">
        <f>AFX51+AFT52-AFT40*(AnnualChurn*VLOOKUP(AFF52,ChurnSeasonTable,4,FALSE))*POWER(1-(AnnualChurn*VLOOKUP(AFF52,ChurnSeasonTable,4,FALSE)),0)+AFT28*(AnnualChurn*VLOOKUP(AFF52,ChurnSeasonTable,4,FALSE))*POWER(1-(AnnualChurn*VLOOKUP(AFF52,ChurnSeasonTable,4,FALSE)),1)+AFT16*(AnnualChurn*VLOOKUP(AFF52,ChurnSeasonTable,4,FALSE))*POWER(1-(AnnualChurn*VLOOKUP(AFF52,ChurnSeasonTable,4,FALSE)),2)</f>
        <v/>
      </c>
      <c r="AFY52" s="12">
        <f>AFU52+AFV52+AFW52+AFX52</f>
        <v/>
      </c>
      <c r="AFZ52" s="9">
        <f>AFU52*PriceEssMonthly*AFI52+AFV52*PricePremMonthly*AFI52+AFW52*PriceEssAnnual*AFI52/12+AFX52*PricePremAnnual*AFI52/12</f>
        <v/>
      </c>
      <c r="AGA52" s="9">
        <f>AFZ52*12</f>
        <v/>
      </c>
      <c r="AGB52" s="12">
        <f>AFU52*PriceEssMonthly*AFI52+AFV52*PricePremMonthly*AFI52</f>
        <v/>
      </c>
      <c r="AGC52" s="12">
        <f>AFS52*PriceEssAnnual*AFI52+AFT52*PricePremAnnual*AFI52</f>
        <v/>
      </c>
      <c r="AGD52" s="12">
        <f>AFS40*POWER(1-(AnnualChurn*VLOOKUP(AFF52,ChurnSeasonTable,4,FALSE)),1)*PriceEssAnnual*AFI52+AFS28*POWER(1-(AnnualChurn*VLOOKUP(AFF52,ChurnSeasonTable,4,FALSE)),2)*PriceEssAnnual*AFI52+AFS16*POWER(1-(AnnualChurn*VLOOKUP(AFF52,ChurnSeasonTable,4,FALSE)),3)*PriceEssAnnual*AFI52+AFT40*POWER(1-(AnnualChurn*VLOOKUP(AFF52,ChurnSeasonTable,4,FALSE)),1)*PricePremAnnual*AFI52+AFT28*POWER(1-(AnnualChurn*VLOOKUP(AFF52,ChurnSeasonTable,4,FALSE)),2)*PricePremAnnual*AFI52+AFT16*POWER(1-(AnnualChurn*VLOOKUP(AFF52,ChurnSeasonTable,4,FALSE)),3)*PricePremAnnual*AFI52</f>
        <v/>
      </c>
      <c r="AGE52" s="9">
        <f>AGB52+AGC52+AGD52</f>
        <v/>
      </c>
      <c r="AGF52" s="12">
        <f>SUM(AGE41:AGE52)</f>
        <v/>
      </c>
      <c r="AGG52" s="12">
        <f>OR(AGG51,AGF52&gt;=VATThreshold)</f>
        <v/>
      </c>
      <c r="AGH52" s="9">
        <f>IF(AGG52,AGE52/(1+VATRate),AGE52)</f>
        <v/>
      </c>
      <c r="AGI52" s="12">
        <f>AGE52-AGH52</f>
        <v/>
      </c>
      <c r="AGJ52" s="12">
        <f>IF(AGG52=0,0,IF(AFF52=1,SUMPRODUCT(--(($AFG$5:$AFG52=$AFG52-1)*($AFF$5:$AFF52&gt;=10)*($AFF$5:$AFF52&lt;=12)),$AGI$5:$AGI52),IF(AFF52=4,SUMPRODUCT(--(($AFG$5:$AFG52=$AFG52)*($AFF$5:$AFF52&gt;=1)*($AFF$5:$AFF52&lt;=3)),$AGI$5:$AGI52),IF(AFF52=7,SUMPRODUCT(--(($AFG$5:$AFG52=$AFG52)*($AFF$5:$AFF52&gt;=4)*($AFF$5:$AFF52&lt;=6)),$AGI$5:$AGI52),IF(AFF52=10,SUMPRODUCT(--(($AFG$5:$AFG52=$AFG52)*($AFF$5:$AFF52&gt;=7)*($AFF$5:$AFF52&lt;=9)),$AGI$5:$AGI52),0)))))</f>
        <v/>
      </c>
      <c r="AGK52" s="12">
        <f>AGK51+AGI52-AGJ52</f>
        <v/>
      </c>
      <c r="AGL52" s="12">
        <f>IF(ProviderDelay&gt;=1,AGH51*ProviderShare,AGH52*ProviderShare)</f>
        <v/>
      </c>
      <c r="AGM52" s="12">
        <f>AGE52*PaymentFee</f>
        <v/>
      </c>
      <c r="AGN52" s="12">
        <f>AFY52*OpsAI</f>
        <v/>
      </c>
      <c r="AGO52" s="12">
        <f>MonthlyFixed</f>
        <v/>
      </c>
      <c r="AGP52" s="12">
        <f>AFM52*ReferralReward</f>
        <v/>
      </c>
      <c r="AGQ52" s="12">
        <f>AFK52</f>
        <v/>
      </c>
      <c r="AGR52" s="9">
        <f>AGH52-AGL52-AGM52-AGN52-AGO52-AGP52-AGQ52</f>
        <v/>
      </c>
      <c r="AGS52" s="9">
        <f>AGS51+AGE52-(AGL52+AGM52+AGN52+AGO52+AGP52+AGQ52+AGJ52)</f>
        <v/>
      </c>
      <c r="AGT52" s="12">
        <f>IF(AFY52&gt;0,AFZ52/AFY52,0)</f>
        <v/>
      </c>
      <c r="AGU52" s="11">
        <f>IF(AFY51&gt;0,MAX(0,(AFY51+AFN52-AFY52)/AFY51),0)</f>
        <v/>
      </c>
      <c r="AGW52" s="12" t="n">
        <v>48</v>
      </c>
      <c r="AGX52" s="12">
        <f>MOD(AGW52-1+LaunchMonth-1,12)+1</f>
        <v/>
      </c>
      <c r="AGY52" s="12">
        <f>INT((AGW52-1+LaunchMonth-1)/12)+1</f>
        <v/>
      </c>
      <c r="AGZ52" s="12">
        <f>VLOOKUP(AGX52,SeasonTable,2,FALSE)</f>
        <v/>
      </c>
      <c r="AHA52" s="12">
        <f>(1+InflationRate)^INT((AGW52-1)/12)</f>
        <v/>
      </c>
      <c r="AHB52" s="11">
        <f>MonthlyChurn*VLOOKUP(AGX52,ChurnSeasonTable,4,FALSE)</f>
        <v/>
      </c>
      <c r="AHC52" s="12">
        <f>MIN(MAX(MktMin19plus,AHW51*MktPct19plus),MAX(0,AIK51-CashBuffer))</f>
        <v/>
      </c>
      <c r="AHD52" s="12">
        <f>IF(AHC52&gt;0,MAX(1,ROUND(AHC52/'Sens - CAC &amp; Marketing'!$A$10*AGZ52,0)),0)</f>
        <v/>
      </c>
      <c r="AHE52" s="12">
        <f>IF(AHD52&gt;0,ROUND(AHD52*ReferralMix/(1-ReferralMix),0),0)</f>
        <v/>
      </c>
      <c r="AHF52" s="12">
        <f>AHD52+AHE52</f>
        <v/>
      </c>
      <c r="AHG52" s="12">
        <f>ROUND(AHF52*(1-AnnualMix),0)</f>
        <v/>
      </c>
      <c r="AHH52" s="12">
        <f>AHF52-AHG52</f>
        <v/>
      </c>
      <c r="AHI52" s="12">
        <f>ROUND(AHG52*EssentialMix,0)</f>
        <v/>
      </c>
      <c r="AHJ52" s="12">
        <f>AHG52-AHI52</f>
        <v/>
      </c>
      <c r="AHK52" s="12">
        <f>ROUND(AHH52*EssentialMix,0)</f>
        <v/>
      </c>
      <c r="AHL52" s="12">
        <f>AHH52-AHK52</f>
        <v/>
      </c>
      <c r="AHM52" s="12">
        <f>AHI52+AHI51+AHI50+MAX(0,AHM51-AHI51-AHI50)*(1-AHB52)</f>
        <v/>
      </c>
      <c r="AHN52" s="12">
        <f>AHJ52+AHJ51+AHJ50+MAX(0,AHN51-AHJ51-AHJ50)*(1-AHB52)</f>
        <v/>
      </c>
      <c r="AHO52" s="12">
        <f>AHO51+AHK52-AHK40*(AnnualChurn*VLOOKUP(AGX52,ChurnSeasonTable,4,FALSE))*POWER(1-(AnnualChurn*VLOOKUP(AGX52,ChurnSeasonTable,4,FALSE)),0)+AHK28*(AnnualChurn*VLOOKUP(AGX52,ChurnSeasonTable,4,FALSE))*POWER(1-(AnnualChurn*VLOOKUP(AGX52,ChurnSeasonTable,4,FALSE)),1)+AHK16*(AnnualChurn*VLOOKUP(AGX52,ChurnSeasonTable,4,FALSE))*POWER(1-(AnnualChurn*VLOOKUP(AGX52,ChurnSeasonTable,4,FALSE)),2)</f>
        <v/>
      </c>
      <c r="AHP52" s="12">
        <f>AHP51+AHL52-AHL40*(AnnualChurn*VLOOKUP(AGX52,ChurnSeasonTable,4,FALSE))*POWER(1-(AnnualChurn*VLOOKUP(AGX52,ChurnSeasonTable,4,FALSE)),0)+AHL28*(AnnualChurn*VLOOKUP(AGX52,ChurnSeasonTable,4,FALSE))*POWER(1-(AnnualChurn*VLOOKUP(AGX52,ChurnSeasonTable,4,FALSE)),1)+AHL16*(AnnualChurn*VLOOKUP(AGX52,ChurnSeasonTable,4,FALSE))*POWER(1-(AnnualChurn*VLOOKUP(AGX52,ChurnSeasonTable,4,FALSE)),2)</f>
        <v/>
      </c>
      <c r="AHQ52" s="12">
        <f>AHM52+AHN52+AHO52+AHP52</f>
        <v/>
      </c>
      <c r="AHR52" s="9">
        <f>AHM52*PriceEssMonthly*AHA52+AHN52*PricePremMonthly*AHA52+AHO52*PriceEssAnnual*AHA52/12+AHP52*PricePremAnnual*AHA52/12</f>
        <v/>
      </c>
      <c r="AHS52" s="9">
        <f>AHR52*12</f>
        <v/>
      </c>
      <c r="AHT52" s="12">
        <f>AHM52*PriceEssMonthly*AHA52+AHN52*PricePremMonthly*AHA52</f>
        <v/>
      </c>
      <c r="AHU52" s="12">
        <f>AHK52*PriceEssAnnual*AHA52+AHL52*PricePremAnnual*AHA52</f>
        <v/>
      </c>
      <c r="AHV52" s="12">
        <f>AHK40*POWER(1-(AnnualChurn*VLOOKUP(AGX52,ChurnSeasonTable,4,FALSE)),1)*PriceEssAnnual*AHA52+AHK28*POWER(1-(AnnualChurn*VLOOKUP(AGX52,ChurnSeasonTable,4,FALSE)),2)*PriceEssAnnual*AHA52+AHK16*POWER(1-(AnnualChurn*VLOOKUP(AGX52,ChurnSeasonTable,4,FALSE)),3)*PriceEssAnnual*AHA52+AHL40*POWER(1-(AnnualChurn*VLOOKUP(AGX52,ChurnSeasonTable,4,FALSE)),1)*PricePremAnnual*AHA52+AHL28*POWER(1-(AnnualChurn*VLOOKUP(AGX52,ChurnSeasonTable,4,FALSE)),2)*PricePremAnnual*AHA52+AHL16*POWER(1-(AnnualChurn*VLOOKUP(AGX52,ChurnSeasonTable,4,FALSE)),3)*PricePremAnnual*AHA52</f>
        <v/>
      </c>
      <c r="AHW52" s="9">
        <f>AHT52+AHU52+AHV52</f>
        <v/>
      </c>
      <c r="AHX52" s="12">
        <f>SUM(AHW41:AHW52)</f>
        <v/>
      </c>
      <c r="AHY52" s="12">
        <f>OR(AHY51,AHX52&gt;=VATThreshold)</f>
        <v/>
      </c>
      <c r="AHZ52" s="9">
        <f>IF(AHY52,AHW52/(1+VATRate),AHW52)</f>
        <v/>
      </c>
      <c r="AIA52" s="12">
        <f>AHW52-AHZ52</f>
        <v/>
      </c>
      <c r="AIB52" s="12">
        <f>IF(AHY52=0,0,IF(AGX52=1,SUMPRODUCT(--(($AGY$5:$AGY52=$AGY52-1)*($AGX$5:$AGX52&gt;=10)*($AGX$5:$AGX52&lt;=12)),$AIA$5:$AIA52),IF(AGX52=4,SUMPRODUCT(--(($AGY$5:$AGY52=$AGY52)*($AGX$5:$AGX52&gt;=1)*($AGX$5:$AGX52&lt;=3)),$AIA$5:$AIA52),IF(AGX52=7,SUMPRODUCT(--(($AGY$5:$AGY52=$AGY52)*($AGX$5:$AGX52&gt;=4)*($AGX$5:$AGX52&lt;=6)),$AIA$5:$AIA52),IF(AGX52=10,SUMPRODUCT(--(($AGY$5:$AGY52=$AGY52)*($AGX$5:$AGX52&gt;=7)*($AGX$5:$AGX52&lt;=9)),$AIA$5:$AIA52),0)))))</f>
        <v/>
      </c>
      <c r="AIC52" s="12">
        <f>AIC51+AIA52-AIB52</f>
        <v/>
      </c>
      <c r="AID52" s="12">
        <f>IF(ProviderDelay&gt;=1,AHZ51*ProviderShare,AHZ52*ProviderShare)</f>
        <v/>
      </c>
      <c r="AIE52" s="12">
        <f>AHW52*PaymentFee</f>
        <v/>
      </c>
      <c r="AIF52" s="12">
        <f>AHQ52*OpsAI</f>
        <v/>
      </c>
      <c r="AIG52" s="12">
        <f>MonthlyFixed</f>
        <v/>
      </c>
      <c r="AIH52" s="12">
        <f>AHE52*ReferralReward</f>
        <v/>
      </c>
      <c r="AII52" s="12">
        <f>AHC52</f>
        <v/>
      </c>
      <c r="AIJ52" s="9">
        <f>AHZ52-AID52-AIE52-AIF52-AIG52-AIH52-AII52</f>
        <v/>
      </c>
      <c r="AIK52" s="9">
        <f>AIK51+AHW52-(AID52+AIE52+AIF52+AIG52+AIH52+AII52+AIB52)</f>
        <v/>
      </c>
      <c r="AIL52" s="12">
        <f>IF(AHQ52&gt;0,AHR52/AHQ52,0)</f>
        <v/>
      </c>
      <c r="AIM52" s="11">
        <f>IF(AHQ51&gt;0,MAX(0,(AHQ51+AHF52-AHQ52)/AHQ51),0)</f>
        <v/>
      </c>
      <c r="AIO52" s="12" t="n">
        <v>48</v>
      </c>
      <c r="AIP52" s="12">
        <f>MOD(AIO52-1+LaunchMonth-1,12)+1</f>
        <v/>
      </c>
      <c r="AIQ52" s="12">
        <f>INT((AIO52-1+LaunchMonth-1)/12)+1</f>
        <v/>
      </c>
      <c r="AIR52" s="12">
        <f>VLOOKUP(AIP52,SeasonTable,2,FALSE)</f>
        <v/>
      </c>
      <c r="AIS52" s="12">
        <f>(1+InflationRate)^INT((AIO52-1)/12)</f>
        <v/>
      </c>
      <c r="AIT52" s="11">
        <f>MonthlyChurn*VLOOKUP(AIP52,ChurnSeasonTable,4,FALSE)</f>
        <v/>
      </c>
      <c r="AIU52" s="12">
        <f>MIN(MAX(MktMin19plus,AJO51*MktPct19plus),MAX(0,AKC51-CashBuffer))</f>
        <v/>
      </c>
      <c r="AIV52" s="12">
        <f>IF(AIU52&gt;0,MAX(1,ROUND(AIU52/'Sens - CAC &amp; Marketing'!$A$11*AIR52,0)),0)</f>
        <v/>
      </c>
      <c r="AIW52" s="12">
        <f>IF(AIV52&gt;0,ROUND(AIV52*ReferralMix/(1-ReferralMix),0),0)</f>
        <v/>
      </c>
      <c r="AIX52" s="12">
        <f>AIV52+AIW52</f>
        <v/>
      </c>
      <c r="AIY52" s="12">
        <f>ROUND(AIX52*(1-AnnualMix),0)</f>
        <v/>
      </c>
      <c r="AIZ52" s="12">
        <f>AIX52-AIY52</f>
        <v/>
      </c>
      <c r="AJA52" s="12">
        <f>ROUND(AIY52*EssentialMix,0)</f>
        <v/>
      </c>
      <c r="AJB52" s="12">
        <f>AIY52-AJA52</f>
        <v/>
      </c>
      <c r="AJC52" s="12">
        <f>ROUND(AIZ52*EssentialMix,0)</f>
        <v/>
      </c>
      <c r="AJD52" s="12">
        <f>AIZ52-AJC52</f>
        <v/>
      </c>
      <c r="AJE52" s="12">
        <f>AJA52+AJA51+AJA50+MAX(0,AJE51-AJA51-AJA50)*(1-AIT52)</f>
        <v/>
      </c>
      <c r="AJF52" s="12">
        <f>AJB52+AJB51+AJB50+MAX(0,AJF51-AJB51-AJB50)*(1-AIT52)</f>
        <v/>
      </c>
      <c r="AJG52" s="12">
        <f>AJG51+AJC52-AJC40*(AnnualChurn*VLOOKUP(AIP52,ChurnSeasonTable,4,FALSE))*POWER(1-(AnnualChurn*VLOOKUP(AIP52,ChurnSeasonTable,4,FALSE)),0)+AJC28*(AnnualChurn*VLOOKUP(AIP52,ChurnSeasonTable,4,FALSE))*POWER(1-(AnnualChurn*VLOOKUP(AIP52,ChurnSeasonTable,4,FALSE)),1)+AJC16*(AnnualChurn*VLOOKUP(AIP52,ChurnSeasonTable,4,FALSE))*POWER(1-(AnnualChurn*VLOOKUP(AIP52,ChurnSeasonTable,4,FALSE)),2)</f>
        <v/>
      </c>
      <c r="AJH52" s="12">
        <f>AJH51+AJD52-AJD40*(AnnualChurn*VLOOKUP(AIP52,ChurnSeasonTable,4,FALSE))*POWER(1-(AnnualChurn*VLOOKUP(AIP52,ChurnSeasonTable,4,FALSE)),0)+AJD28*(AnnualChurn*VLOOKUP(AIP52,ChurnSeasonTable,4,FALSE))*POWER(1-(AnnualChurn*VLOOKUP(AIP52,ChurnSeasonTable,4,FALSE)),1)+AJD16*(AnnualChurn*VLOOKUP(AIP52,ChurnSeasonTable,4,FALSE))*POWER(1-(AnnualChurn*VLOOKUP(AIP52,ChurnSeasonTable,4,FALSE)),2)</f>
        <v/>
      </c>
      <c r="AJI52" s="12">
        <f>AJE52+AJF52+AJG52+AJH52</f>
        <v/>
      </c>
      <c r="AJJ52" s="9">
        <f>AJE52*PriceEssMonthly*AIS52+AJF52*PricePremMonthly*AIS52+AJG52*PriceEssAnnual*AIS52/12+AJH52*PricePremAnnual*AIS52/12</f>
        <v/>
      </c>
      <c r="AJK52" s="9">
        <f>AJJ52*12</f>
        <v/>
      </c>
      <c r="AJL52" s="12">
        <f>AJE52*PriceEssMonthly*AIS52+AJF52*PricePremMonthly*AIS52</f>
        <v/>
      </c>
      <c r="AJM52" s="12">
        <f>AJC52*PriceEssAnnual*AIS52+AJD52*PricePremAnnual*AIS52</f>
        <v/>
      </c>
      <c r="AJN52" s="12">
        <f>AJC40*POWER(1-(AnnualChurn*VLOOKUP(AIP52,ChurnSeasonTable,4,FALSE)),1)*PriceEssAnnual*AIS52+AJC28*POWER(1-(AnnualChurn*VLOOKUP(AIP52,ChurnSeasonTable,4,FALSE)),2)*PriceEssAnnual*AIS52+AJC16*POWER(1-(AnnualChurn*VLOOKUP(AIP52,ChurnSeasonTable,4,FALSE)),3)*PriceEssAnnual*AIS52+AJD40*POWER(1-(AnnualChurn*VLOOKUP(AIP52,ChurnSeasonTable,4,FALSE)),1)*PricePremAnnual*AIS52+AJD28*POWER(1-(AnnualChurn*VLOOKUP(AIP52,ChurnSeasonTable,4,FALSE)),2)*PricePremAnnual*AIS52+AJD16*POWER(1-(AnnualChurn*VLOOKUP(AIP52,ChurnSeasonTable,4,FALSE)),3)*PricePremAnnual*AIS52</f>
        <v/>
      </c>
      <c r="AJO52" s="9">
        <f>AJL52+AJM52+AJN52</f>
        <v/>
      </c>
      <c r="AJP52" s="12">
        <f>SUM(AJO41:AJO52)</f>
        <v/>
      </c>
      <c r="AJQ52" s="12">
        <f>OR(AJQ51,AJP52&gt;=VATThreshold)</f>
        <v/>
      </c>
      <c r="AJR52" s="9">
        <f>IF(AJQ52,AJO52/(1+VATRate),AJO52)</f>
        <v/>
      </c>
      <c r="AJS52" s="12">
        <f>AJO52-AJR52</f>
        <v/>
      </c>
      <c r="AJT52" s="12">
        <f>IF(AJQ52=0,0,IF(AIP52=1,SUMPRODUCT(--(($AIQ$5:$AIQ52=$AIQ52-1)*($AIP$5:$AIP52&gt;=10)*($AIP$5:$AIP52&lt;=12)),$AJS$5:$AJS52),IF(AIP52=4,SUMPRODUCT(--(($AIQ$5:$AIQ52=$AIQ52)*($AIP$5:$AIP52&gt;=1)*($AIP$5:$AIP52&lt;=3)),$AJS$5:$AJS52),IF(AIP52=7,SUMPRODUCT(--(($AIQ$5:$AIQ52=$AIQ52)*($AIP$5:$AIP52&gt;=4)*($AIP$5:$AIP52&lt;=6)),$AJS$5:$AJS52),IF(AIP52=10,SUMPRODUCT(--(($AIQ$5:$AIQ52=$AIQ52)*($AIP$5:$AIP52&gt;=7)*($AIP$5:$AIP52&lt;=9)),$AJS$5:$AJS52),0)))))</f>
        <v/>
      </c>
      <c r="AJU52" s="12">
        <f>AJU51+AJS52-AJT52</f>
        <v/>
      </c>
      <c r="AJV52" s="12">
        <f>IF(ProviderDelay&gt;=1,AJR51*ProviderShare,AJR52*ProviderShare)</f>
        <v/>
      </c>
      <c r="AJW52" s="12">
        <f>AJO52*PaymentFee</f>
        <v/>
      </c>
      <c r="AJX52" s="12">
        <f>AJI52*OpsAI</f>
        <v/>
      </c>
      <c r="AJY52" s="12">
        <f>MonthlyFixed</f>
        <v/>
      </c>
      <c r="AJZ52" s="12">
        <f>AIW52*ReferralReward</f>
        <v/>
      </c>
      <c r="AKA52" s="12">
        <f>AIU52</f>
        <v/>
      </c>
      <c r="AKB52" s="9">
        <f>AJR52-AJV52-AJW52-AJX52-AJY52-AJZ52-AKA52</f>
        <v/>
      </c>
      <c r="AKC52" s="9">
        <f>AKC51+AJO52-(AJV52+AJW52+AJX52+AJY52+AJZ52+AKA52+AJT52)</f>
        <v/>
      </c>
      <c r="AKD52" s="12">
        <f>IF(AJI52&gt;0,AJJ52/AJI52,0)</f>
        <v/>
      </c>
      <c r="AKE52" s="11">
        <f>IF(AJI51&gt;0,MAX(0,(AJI51+AIX52-AJI52)/AJI51),0)</f>
        <v/>
      </c>
      <c r="AKG52" s="12" t="n">
        <v>48</v>
      </c>
      <c r="AKH52" s="12">
        <f>MOD(AKG52-1+LaunchMonth-1,12)+1</f>
        <v/>
      </c>
      <c r="AKI52" s="12">
        <f>INT((AKG52-1+LaunchMonth-1)/12)+1</f>
        <v/>
      </c>
      <c r="AKJ52" s="12">
        <f>VLOOKUP(AKH52,SeasonTable,2,FALSE)</f>
        <v/>
      </c>
      <c r="AKK52" s="12">
        <f>(1+InflationRate)^INT((AKG52-1)/12)</f>
        <v/>
      </c>
      <c r="AKL52" s="11">
        <f>MonthlyChurn*VLOOKUP(AKH52,ChurnSeasonTable,4,FALSE)</f>
        <v/>
      </c>
      <c r="AKM52" s="12">
        <f>MIN(MAX(MktMin19plus,ALG51*MktPct19plus),MAX(0,ALU51-CashBuffer))</f>
        <v/>
      </c>
      <c r="AKN52" s="12">
        <f>IF(AKM52&gt;0,MAX(1,ROUND(AKM52/'Sens - CAC &amp; Marketing'!$A$12*AKJ52,0)),0)</f>
        <v/>
      </c>
      <c r="AKO52" s="12">
        <f>IF(AKN52&gt;0,ROUND(AKN52*ReferralMix/(1-ReferralMix),0),0)</f>
        <v/>
      </c>
      <c r="AKP52" s="12">
        <f>AKN52+AKO52</f>
        <v/>
      </c>
      <c r="AKQ52" s="12">
        <f>ROUND(AKP52*(1-AnnualMix),0)</f>
        <v/>
      </c>
      <c r="AKR52" s="12">
        <f>AKP52-AKQ52</f>
        <v/>
      </c>
      <c r="AKS52" s="12">
        <f>ROUND(AKQ52*EssentialMix,0)</f>
        <v/>
      </c>
      <c r="AKT52" s="12">
        <f>AKQ52-AKS52</f>
        <v/>
      </c>
      <c r="AKU52" s="12">
        <f>ROUND(AKR52*EssentialMix,0)</f>
        <v/>
      </c>
      <c r="AKV52" s="12">
        <f>AKR52-AKU52</f>
        <v/>
      </c>
      <c r="AKW52" s="12">
        <f>AKS52+AKS51+AKS50+MAX(0,AKW51-AKS51-AKS50)*(1-AKL52)</f>
        <v/>
      </c>
      <c r="AKX52" s="12">
        <f>AKT52+AKT51+AKT50+MAX(0,AKX51-AKT51-AKT50)*(1-AKL52)</f>
        <v/>
      </c>
      <c r="AKY52" s="12">
        <f>AKY51+AKU52-AKU40*(AnnualChurn*VLOOKUP(AKH52,ChurnSeasonTable,4,FALSE))*POWER(1-(AnnualChurn*VLOOKUP(AKH52,ChurnSeasonTable,4,FALSE)),0)+AKU28*(AnnualChurn*VLOOKUP(AKH52,ChurnSeasonTable,4,FALSE))*POWER(1-(AnnualChurn*VLOOKUP(AKH52,ChurnSeasonTable,4,FALSE)),1)+AKU16*(AnnualChurn*VLOOKUP(AKH52,ChurnSeasonTable,4,FALSE))*POWER(1-(AnnualChurn*VLOOKUP(AKH52,ChurnSeasonTable,4,FALSE)),2)</f>
        <v/>
      </c>
      <c r="AKZ52" s="12">
        <f>AKZ51+AKV52-AKV40*(AnnualChurn*VLOOKUP(AKH52,ChurnSeasonTable,4,FALSE))*POWER(1-(AnnualChurn*VLOOKUP(AKH52,ChurnSeasonTable,4,FALSE)),0)+AKV28*(AnnualChurn*VLOOKUP(AKH52,ChurnSeasonTable,4,FALSE))*POWER(1-(AnnualChurn*VLOOKUP(AKH52,ChurnSeasonTable,4,FALSE)),1)+AKV16*(AnnualChurn*VLOOKUP(AKH52,ChurnSeasonTable,4,FALSE))*POWER(1-(AnnualChurn*VLOOKUP(AKH52,ChurnSeasonTable,4,FALSE)),2)</f>
        <v/>
      </c>
      <c r="ALA52" s="12">
        <f>AKW52+AKX52+AKY52+AKZ52</f>
        <v/>
      </c>
      <c r="ALB52" s="9">
        <f>AKW52*PriceEssMonthly*AKK52+AKX52*PricePremMonthly*AKK52+AKY52*PriceEssAnnual*AKK52/12+AKZ52*PricePremAnnual*AKK52/12</f>
        <v/>
      </c>
      <c r="ALC52" s="9">
        <f>ALB52*12</f>
        <v/>
      </c>
      <c r="ALD52" s="12">
        <f>AKW52*PriceEssMonthly*AKK52+AKX52*PricePremMonthly*AKK52</f>
        <v/>
      </c>
      <c r="ALE52" s="12">
        <f>AKU52*PriceEssAnnual*AKK52+AKV52*PricePremAnnual*AKK52</f>
        <v/>
      </c>
      <c r="ALF52" s="12">
        <f>AKU40*POWER(1-(AnnualChurn*VLOOKUP(AKH52,ChurnSeasonTable,4,FALSE)),1)*PriceEssAnnual*AKK52+AKU28*POWER(1-(AnnualChurn*VLOOKUP(AKH52,ChurnSeasonTable,4,FALSE)),2)*PriceEssAnnual*AKK52+AKU16*POWER(1-(AnnualChurn*VLOOKUP(AKH52,ChurnSeasonTable,4,FALSE)),3)*PriceEssAnnual*AKK52+AKV40*POWER(1-(AnnualChurn*VLOOKUP(AKH52,ChurnSeasonTable,4,FALSE)),1)*PricePremAnnual*AKK52+AKV28*POWER(1-(AnnualChurn*VLOOKUP(AKH52,ChurnSeasonTable,4,FALSE)),2)*PricePremAnnual*AKK52+AKV16*POWER(1-(AnnualChurn*VLOOKUP(AKH52,ChurnSeasonTable,4,FALSE)),3)*PricePremAnnual*AKK52</f>
        <v/>
      </c>
      <c r="ALG52" s="9">
        <f>ALD52+ALE52+ALF52</f>
        <v/>
      </c>
      <c r="ALH52" s="12">
        <f>SUM(ALG41:ALG52)</f>
        <v/>
      </c>
      <c r="ALI52" s="12">
        <f>OR(ALI51,ALH52&gt;=VATThreshold)</f>
        <v/>
      </c>
      <c r="ALJ52" s="9">
        <f>IF(ALI52,ALG52/(1+VATRate),ALG52)</f>
        <v/>
      </c>
      <c r="ALK52" s="12">
        <f>ALG52-ALJ52</f>
        <v/>
      </c>
      <c r="ALL52" s="12">
        <f>IF(ALI52=0,0,IF(AKH52=1,SUMPRODUCT(--(($AKI$5:$AKI52=$AKI52-1)*($AKH$5:$AKH52&gt;=10)*($AKH$5:$AKH52&lt;=12)),$ALK$5:$ALK52),IF(AKH52=4,SUMPRODUCT(--(($AKI$5:$AKI52=$AKI52)*($AKH$5:$AKH52&gt;=1)*($AKH$5:$AKH52&lt;=3)),$ALK$5:$ALK52),IF(AKH52=7,SUMPRODUCT(--(($AKI$5:$AKI52=$AKI52)*($AKH$5:$AKH52&gt;=4)*($AKH$5:$AKH52&lt;=6)),$ALK$5:$ALK52),IF(AKH52=10,SUMPRODUCT(--(($AKI$5:$AKI52=$AKI52)*($AKH$5:$AKH52&gt;=7)*($AKH$5:$AKH52&lt;=9)),$ALK$5:$ALK52),0)))))</f>
        <v/>
      </c>
      <c r="ALM52" s="12">
        <f>ALM51+ALK52-ALL52</f>
        <v/>
      </c>
      <c r="ALN52" s="12">
        <f>IF(ProviderDelay&gt;=1,ALJ51*ProviderShare,ALJ52*ProviderShare)</f>
        <v/>
      </c>
      <c r="ALO52" s="12">
        <f>ALG52*PaymentFee</f>
        <v/>
      </c>
      <c r="ALP52" s="12">
        <f>ALA52*OpsAI</f>
        <v/>
      </c>
      <c r="ALQ52" s="12">
        <f>MonthlyFixed</f>
        <v/>
      </c>
      <c r="ALR52" s="12">
        <f>AKO52*ReferralReward</f>
        <v/>
      </c>
      <c r="ALS52" s="12">
        <f>AKM52</f>
        <v/>
      </c>
      <c r="ALT52" s="9">
        <f>ALJ52-ALN52-ALO52-ALP52-ALQ52-ALR52-ALS52</f>
        <v/>
      </c>
      <c r="ALU52" s="9">
        <f>ALU51+ALG52-(ALN52+ALO52+ALP52+ALQ52+ALR52+ALS52+ALL52)</f>
        <v/>
      </c>
      <c r="ALV52" s="12">
        <f>IF(ALA52&gt;0,ALB52/ALA52,0)</f>
        <v/>
      </c>
      <c r="ALW52" s="11">
        <f>IF(ALA51&gt;0,MAX(0,(ALA51+AKP52-ALA52)/ALA51),0)</f>
        <v/>
      </c>
      <c r="ALY52" s="12" t="n">
        <v>48</v>
      </c>
      <c r="ALZ52" s="12">
        <f>MOD(ALY52-1+LaunchMonth-1,12)+1</f>
        <v/>
      </c>
      <c r="AMA52" s="12">
        <f>INT((ALY52-1+LaunchMonth-1)/12)+1</f>
        <v/>
      </c>
      <c r="AMB52" s="12">
        <f>VLOOKUP(ALZ52,SeasonTable,2,FALSE)</f>
        <v/>
      </c>
      <c r="AMC52" s="12">
        <f>(1+InflationRate)^INT((ALY52-1)/12)</f>
        <v/>
      </c>
      <c r="AMD52" s="11">
        <f>MonthlyChurn*VLOOKUP(ALZ52,ChurnSeasonTable,4,FALSE)</f>
        <v/>
      </c>
      <c r="AME52" s="12">
        <f>MIN(MAX(MktMin19plus,AMY51*MktPct19plus),MAX(0,ANM51-CashBuffer))</f>
        <v/>
      </c>
      <c r="AMF52" s="12">
        <f>IF(AME52&gt;0,MAX(1,ROUND(AME52/'Sens - CAC &amp; Marketing'!$A$13*AMB52,0)),0)</f>
        <v/>
      </c>
      <c r="AMG52" s="12">
        <f>IF(AMF52&gt;0,ROUND(AMF52*ReferralMix/(1-ReferralMix),0),0)</f>
        <v/>
      </c>
      <c r="AMH52" s="12">
        <f>AMF52+AMG52</f>
        <v/>
      </c>
      <c r="AMI52" s="12">
        <f>ROUND(AMH52*(1-AnnualMix),0)</f>
        <v/>
      </c>
      <c r="AMJ52" s="12">
        <f>AMH52-AMI52</f>
        <v/>
      </c>
      <c r="AMK52" s="12">
        <f>ROUND(AMI52*EssentialMix,0)</f>
        <v/>
      </c>
      <c r="AML52" s="12">
        <f>AMI52-AMK52</f>
        <v/>
      </c>
      <c r="AMM52" s="12">
        <f>ROUND(AMJ52*EssentialMix,0)</f>
        <v/>
      </c>
      <c r="AMN52" s="12">
        <f>AMJ52-AMM52</f>
        <v/>
      </c>
      <c r="AMO52" s="12">
        <f>AMK52+AMK51+AMK50+MAX(0,AMO51-AMK51-AMK50)*(1-AMD52)</f>
        <v/>
      </c>
      <c r="AMP52" s="12">
        <f>AML52+AML51+AML50+MAX(0,AMP51-AML51-AML50)*(1-AMD52)</f>
        <v/>
      </c>
      <c r="AMQ52" s="12">
        <f>AMQ51+AMM52-AMM40*(AnnualChurn*VLOOKUP(ALZ52,ChurnSeasonTable,4,FALSE))*POWER(1-(AnnualChurn*VLOOKUP(ALZ52,ChurnSeasonTable,4,FALSE)),0)+AMM28*(AnnualChurn*VLOOKUP(ALZ52,ChurnSeasonTable,4,FALSE))*POWER(1-(AnnualChurn*VLOOKUP(ALZ52,ChurnSeasonTable,4,FALSE)),1)+AMM16*(AnnualChurn*VLOOKUP(ALZ52,ChurnSeasonTable,4,FALSE))*POWER(1-(AnnualChurn*VLOOKUP(ALZ52,ChurnSeasonTable,4,FALSE)),2)</f>
        <v/>
      </c>
      <c r="AMR52" s="12">
        <f>AMR51+AMN52-AMN40*(AnnualChurn*VLOOKUP(ALZ52,ChurnSeasonTable,4,FALSE))*POWER(1-(AnnualChurn*VLOOKUP(ALZ52,ChurnSeasonTable,4,FALSE)),0)+AMN28*(AnnualChurn*VLOOKUP(ALZ52,ChurnSeasonTable,4,FALSE))*POWER(1-(AnnualChurn*VLOOKUP(ALZ52,ChurnSeasonTable,4,FALSE)),1)+AMN16*(AnnualChurn*VLOOKUP(ALZ52,ChurnSeasonTable,4,FALSE))*POWER(1-(AnnualChurn*VLOOKUP(ALZ52,ChurnSeasonTable,4,FALSE)),2)</f>
        <v/>
      </c>
      <c r="AMS52" s="12">
        <f>AMO52+AMP52+AMQ52+AMR52</f>
        <v/>
      </c>
      <c r="AMT52" s="9">
        <f>AMO52*PriceEssMonthly*AMC52+AMP52*PricePremMonthly*AMC52+AMQ52*PriceEssAnnual*AMC52/12+AMR52*PricePremAnnual*AMC52/12</f>
        <v/>
      </c>
      <c r="AMU52" s="9">
        <f>AMT52*12</f>
        <v/>
      </c>
      <c r="AMV52" s="12">
        <f>AMO52*PriceEssMonthly*AMC52+AMP52*PricePremMonthly*AMC52</f>
        <v/>
      </c>
      <c r="AMW52" s="12">
        <f>AMM52*PriceEssAnnual*AMC52+AMN52*PricePremAnnual*AMC52</f>
        <v/>
      </c>
      <c r="AMX52" s="12">
        <f>AMM40*POWER(1-(AnnualChurn*VLOOKUP(ALZ52,ChurnSeasonTable,4,FALSE)),1)*PriceEssAnnual*AMC52+AMM28*POWER(1-(AnnualChurn*VLOOKUP(ALZ52,ChurnSeasonTable,4,FALSE)),2)*PriceEssAnnual*AMC52+AMM16*POWER(1-(AnnualChurn*VLOOKUP(ALZ52,ChurnSeasonTable,4,FALSE)),3)*PriceEssAnnual*AMC52+AMN40*POWER(1-(AnnualChurn*VLOOKUP(ALZ52,ChurnSeasonTable,4,FALSE)),1)*PricePremAnnual*AMC52+AMN28*POWER(1-(AnnualChurn*VLOOKUP(ALZ52,ChurnSeasonTable,4,FALSE)),2)*PricePremAnnual*AMC52+AMN16*POWER(1-(AnnualChurn*VLOOKUP(ALZ52,ChurnSeasonTable,4,FALSE)),3)*PricePremAnnual*AMC52</f>
        <v/>
      </c>
      <c r="AMY52" s="9">
        <f>AMV52+AMW52+AMX52</f>
        <v/>
      </c>
      <c r="AMZ52" s="12">
        <f>SUM(AMY41:AMY52)</f>
        <v/>
      </c>
      <c r="ANA52" s="12">
        <f>OR(ANA51,AMZ52&gt;=VATThreshold)</f>
        <v/>
      </c>
      <c r="ANB52" s="9">
        <f>IF(ANA52,AMY52/(1+VATRate),AMY52)</f>
        <v/>
      </c>
      <c r="ANC52" s="12">
        <f>AMY52-ANB52</f>
        <v/>
      </c>
      <c r="AND52" s="12">
        <f>IF(ANA52=0,0,IF(ALZ52=1,SUMPRODUCT(--(($AMA$5:$AMA52=$AMA52-1)*($ALZ$5:$ALZ52&gt;=10)*($ALZ$5:$ALZ52&lt;=12)),$ANC$5:$ANC52),IF(ALZ52=4,SUMPRODUCT(--(($AMA$5:$AMA52=$AMA52)*($ALZ$5:$ALZ52&gt;=1)*($ALZ$5:$ALZ52&lt;=3)),$ANC$5:$ANC52),IF(ALZ52=7,SUMPRODUCT(--(($AMA$5:$AMA52=$AMA52)*($ALZ$5:$ALZ52&gt;=4)*($ALZ$5:$ALZ52&lt;=6)),$ANC$5:$ANC52),IF(ALZ52=10,SUMPRODUCT(--(($AMA$5:$AMA52=$AMA52)*($ALZ$5:$ALZ52&gt;=7)*($ALZ$5:$ALZ52&lt;=9)),$ANC$5:$ANC52),0)))))</f>
        <v/>
      </c>
      <c r="ANE52" s="12">
        <f>ANE51+ANC52-AND52</f>
        <v/>
      </c>
      <c r="ANF52" s="12">
        <f>IF(ProviderDelay&gt;=1,ANB51*ProviderShare,ANB52*ProviderShare)</f>
        <v/>
      </c>
      <c r="ANG52" s="12">
        <f>AMY52*PaymentFee</f>
        <v/>
      </c>
      <c r="ANH52" s="12">
        <f>AMS52*OpsAI</f>
        <v/>
      </c>
      <c r="ANI52" s="12">
        <f>MonthlyFixed</f>
        <v/>
      </c>
      <c r="ANJ52" s="12">
        <f>AMG52*ReferralReward</f>
        <v/>
      </c>
      <c r="ANK52" s="12">
        <f>AME52</f>
        <v/>
      </c>
      <c r="ANL52" s="9">
        <f>ANB52-ANF52-ANG52-ANH52-ANI52-ANJ52-ANK52</f>
        <v/>
      </c>
      <c r="ANM52" s="9">
        <f>ANM51+AMY52-(ANF52+ANG52+ANH52+ANI52+ANJ52+ANK52+AND52)</f>
        <v/>
      </c>
      <c r="ANN52" s="12">
        <f>IF(AMS52&gt;0,AMT52/AMS52,0)</f>
        <v/>
      </c>
      <c r="ANO52" s="11">
        <f>IF(AMS51&gt;0,MAX(0,(AMS51+AMH52-AMS52)/AMS51),0)</f>
        <v/>
      </c>
      <c r="ANQ52" s="12" t="n">
        <v>48</v>
      </c>
      <c r="ANR52" s="12">
        <f>MOD(ANQ52-1+LaunchMonth-1,12)+1</f>
        <v/>
      </c>
      <c r="ANS52" s="12">
        <f>INT((ANQ52-1+LaunchMonth-1)/12)+1</f>
        <v/>
      </c>
      <c r="ANT52" s="12">
        <f>VLOOKUP(ANR52,SeasonTable,2,FALSE)</f>
        <v/>
      </c>
      <c r="ANU52" s="12">
        <f>(1+InflationRate)^INT((ANQ52-1)/12)</f>
        <v/>
      </c>
      <c r="ANV52" s="11">
        <f>MonthlyChurn*VLOOKUP(ANR52,ChurnSeasonTable,4,FALSE)</f>
        <v/>
      </c>
      <c r="ANW52" s="12">
        <f>MIN(MAX(MktMin19plus,AOQ51*MktPct19plus),MAX(0,APE51-CashBuffer))</f>
        <v/>
      </c>
      <c r="ANX52" s="12">
        <f>IF(ANW52&gt;0,MAX(1,ROUND(ANW52/'Sens - CAC &amp; Marketing'!$A$14*ANT52,0)),0)</f>
        <v/>
      </c>
      <c r="ANY52" s="12">
        <f>IF(ANX52&gt;0,ROUND(ANX52*ReferralMix/(1-ReferralMix),0),0)</f>
        <v/>
      </c>
      <c r="ANZ52" s="12">
        <f>ANX52+ANY52</f>
        <v/>
      </c>
      <c r="AOA52" s="12">
        <f>ROUND(ANZ52*(1-AnnualMix),0)</f>
        <v/>
      </c>
      <c r="AOB52" s="12">
        <f>ANZ52-AOA52</f>
        <v/>
      </c>
      <c r="AOC52" s="12">
        <f>ROUND(AOA52*EssentialMix,0)</f>
        <v/>
      </c>
      <c r="AOD52" s="12">
        <f>AOA52-AOC52</f>
        <v/>
      </c>
      <c r="AOE52" s="12">
        <f>ROUND(AOB52*EssentialMix,0)</f>
        <v/>
      </c>
      <c r="AOF52" s="12">
        <f>AOB52-AOE52</f>
        <v/>
      </c>
      <c r="AOG52" s="12">
        <f>AOC52+AOC51+AOC50+MAX(0,AOG51-AOC51-AOC50)*(1-ANV52)</f>
        <v/>
      </c>
      <c r="AOH52" s="12">
        <f>AOD52+AOD51+AOD50+MAX(0,AOH51-AOD51-AOD50)*(1-ANV52)</f>
        <v/>
      </c>
      <c r="AOI52" s="12">
        <f>AOI51+AOE52-AOE40*(AnnualChurn*VLOOKUP(ANR52,ChurnSeasonTable,4,FALSE))*POWER(1-(AnnualChurn*VLOOKUP(ANR52,ChurnSeasonTable,4,FALSE)),0)+AOE28*(AnnualChurn*VLOOKUP(ANR52,ChurnSeasonTable,4,FALSE))*POWER(1-(AnnualChurn*VLOOKUP(ANR52,ChurnSeasonTable,4,FALSE)),1)+AOE16*(AnnualChurn*VLOOKUP(ANR52,ChurnSeasonTable,4,FALSE))*POWER(1-(AnnualChurn*VLOOKUP(ANR52,ChurnSeasonTable,4,FALSE)),2)</f>
        <v/>
      </c>
      <c r="AOJ52" s="12">
        <f>AOJ51+AOF52-AOF40*(AnnualChurn*VLOOKUP(ANR52,ChurnSeasonTable,4,FALSE))*POWER(1-(AnnualChurn*VLOOKUP(ANR52,ChurnSeasonTable,4,FALSE)),0)+AOF28*(AnnualChurn*VLOOKUP(ANR52,ChurnSeasonTable,4,FALSE))*POWER(1-(AnnualChurn*VLOOKUP(ANR52,ChurnSeasonTable,4,FALSE)),1)+AOF16*(AnnualChurn*VLOOKUP(ANR52,ChurnSeasonTable,4,FALSE))*POWER(1-(AnnualChurn*VLOOKUP(ANR52,ChurnSeasonTable,4,FALSE)),2)</f>
        <v/>
      </c>
      <c r="AOK52" s="12">
        <f>AOG52+AOH52+AOI52+AOJ52</f>
        <v/>
      </c>
      <c r="AOL52" s="9">
        <f>AOG52*PriceEssMonthly*ANU52+AOH52*PricePremMonthly*ANU52+AOI52*PriceEssAnnual*ANU52/12+AOJ52*PricePremAnnual*ANU52/12</f>
        <v/>
      </c>
      <c r="AOM52" s="9">
        <f>AOL52*12</f>
        <v/>
      </c>
      <c r="AON52" s="12">
        <f>AOG52*PriceEssMonthly*ANU52+AOH52*PricePremMonthly*ANU52</f>
        <v/>
      </c>
      <c r="AOO52" s="12">
        <f>AOE52*PriceEssAnnual*ANU52+AOF52*PricePremAnnual*ANU52</f>
        <v/>
      </c>
      <c r="AOP52" s="12">
        <f>AOE40*POWER(1-(AnnualChurn*VLOOKUP(ANR52,ChurnSeasonTable,4,FALSE)),1)*PriceEssAnnual*ANU52+AOE28*POWER(1-(AnnualChurn*VLOOKUP(ANR52,ChurnSeasonTable,4,FALSE)),2)*PriceEssAnnual*ANU52+AOE16*POWER(1-(AnnualChurn*VLOOKUP(ANR52,ChurnSeasonTable,4,FALSE)),3)*PriceEssAnnual*ANU52+AOF40*POWER(1-(AnnualChurn*VLOOKUP(ANR52,ChurnSeasonTable,4,FALSE)),1)*PricePremAnnual*ANU52+AOF28*POWER(1-(AnnualChurn*VLOOKUP(ANR52,ChurnSeasonTable,4,FALSE)),2)*PricePremAnnual*ANU52+AOF16*POWER(1-(AnnualChurn*VLOOKUP(ANR52,ChurnSeasonTable,4,FALSE)),3)*PricePremAnnual*ANU52</f>
        <v/>
      </c>
      <c r="AOQ52" s="9">
        <f>AON52+AOO52+AOP52</f>
        <v/>
      </c>
      <c r="AOR52" s="12">
        <f>SUM(AOQ41:AOQ52)</f>
        <v/>
      </c>
      <c r="AOS52" s="12">
        <f>OR(AOS51,AOR52&gt;=VATThreshold)</f>
        <v/>
      </c>
      <c r="AOT52" s="9">
        <f>IF(AOS52,AOQ52/(1+VATRate),AOQ52)</f>
        <v/>
      </c>
      <c r="AOU52" s="12">
        <f>AOQ52-AOT52</f>
        <v/>
      </c>
      <c r="AOV52" s="12">
        <f>IF(AOS52=0,0,IF(ANR52=1,SUMPRODUCT(--(($ANS$5:$ANS52=$ANS52-1)*($ANR$5:$ANR52&gt;=10)*($ANR$5:$ANR52&lt;=12)),$AOU$5:$AOU52),IF(ANR52=4,SUMPRODUCT(--(($ANS$5:$ANS52=$ANS52)*($ANR$5:$ANR52&gt;=1)*($ANR$5:$ANR52&lt;=3)),$AOU$5:$AOU52),IF(ANR52=7,SUMPRODUCT(--(($ANS$5:$ANS52=$ANS52)*($ANR$5:$ANR52&gt;=4)*($ANR$5:$ANR52&lt;=6)),$AOU$5:$AOU52),IF(ANR52=10,SUMPRODUCT(--(($ANS$5:$ANS52=$ANS52)*($ANR$5:$ANR52&gt;=7)*($ANR$5:$ANR52&lt;=9)),$AOU$5:$AOU52),0)))))</f>
        <v/>
      </c>
      <c r="AOW52" s="12">
        <f>AOW51+AOU52-AOV52</f>
        <v/>
      </c>
      <c r="AOX52" s="12">
        <f>IF(ProviderDelay&gt;=1,AOT51*ProviderShare,AOT52*ProviderShare)</f>
        <v/>
      </c>
      <c r="AOY52" s="12">
        <f>AOQ52*PaymentFee</f>
        <v/>
      </c>
      <c r="AOZ52" s="12">
        <f>AOK52*OpsAI</f>
        <v/>
      </c>
      <c r="APA52" s="12">
        <f>MonthlyFixed</f>
        <v/>
      </c>
      <c r="APB52" s="12">
        <f>ANY52*ReferralReward</f>
        <v/>
      </c>
      <c r="APC52" s="12">
        <f>ANW52</f>
        <v/>
      </c>
      <c r="APD52" s="9">
        <f>AOT52-AOX52-AOY52-AOZ52-APA52-APB52-APC52</f>
        <v/>
      </c>
      <c r="APE52" s="9">
        <f>APE51+AOQ52-(AOX52+AOY52+AOZ52+APA52+APB52+APC52+AOV52)</f>
        <v/>
      </c>
      <c r="APF52" s="12">
        <f>IF(AOK52&gt;0,AOL52/AOK52,0)</f>
        <v/>
      </c>
      <c r="APG52" s="11">
        <f>IF(AOK51&gt;0,MAX(0,(AOK51+ANZ52-AOK52)/AOK51),0)</f>
        <v/>
      </c>
      <c r="API52" s="12" t="n">
        <v>48</v>
      </c>
      <c r="APJ52" s="12">
        <f>MOD(API52-1+LaunchMonth-1,12)+1</f>
        <v/>
      </c>
      <c r="APK52" s="12">
        <f>INT((API52-1+LaunchMonth-1)/12)+1</f>
        <v/>
      </c>
      <c r="APL52" s="12">
        <f>VLOOKUP(APJ52,SeasonTable,2,FALSE)</f>
        <v/>
      </c>
      <c r="APM52" s="12">
        <f>(1+InflationRate)^INT((API52-1)/12)</f>
        <v/>
      </c>
      <c r="APN52" s="11">
        <f>MonthlyChurn*VLOOKUP(APJ52,ChurnSeasonTable,4,FALSE)</f>
        <v/>
      </c>
      <c r="APO52" s="12">
        <f>MIN(MAX(MktMin19plus,AQI51*MktPct19plus),MAX(0,AQW51-CashBuffer))</f>
        <v/>
      </c>
      <c r="APP52" s="12">
        <f>IF(APO52&gt;0,MAX(1,ROUND(APO52/'Sens - CAC &amp; Marketing'!$A$15*APL52,0)),0)</f>
        <v/>
      </c>
      <c r="APQ52" s="12">
        <f>IF(APP52&gt;0,ROUND(APP52*ReferralMix/(1-ReferralMix),0),0)</f>
        <v/>
      </c>
      <c r="APR52" s="12">
        <f>APP52+APQ52</f>
        <v/>
      </c>
      <c r="APS52" s="12">
        <f>ROUND(APR52*(1-AnnualMix),0)</f>
        <v/>
      </c>
      <c r="APT52" s="12">
        <f>APR52-APS52</f>
        <v/>
      </c>
      <c r="APU52" s="12">
        <f>ROUND(APS52*EssentialMix,0)</f>
        <v/>
      </c>
      <c r="APV52" s="12">
        <f>APS52-APU52</f>
        <v/>
      </c>
      <c r="APW52" s="12">
        <f>ROUND(APT52*EssentialMix,0)</f>
        <v/>
      </c>
      <c r="APX52" s="12">
        <f>APT52-APW52</f>
        <v/>
      </c>
      <c r="APY52" s="12">
        <f>APU52+APU51+APU50+MAX(0,APY51-APU51-APU50)*(1-APN52)</f>
        <v/>
      </c>
      <c r="APZ52" s="12">
        <f>APV52+APV51+APV50+MAX(0,APZ51-APV51-APV50)*(1-APN52)</f>
        <v/>
      </c>
      <c r="AQA52" s="12">
        <f>AQA51+APW52-APW40*(AnnualChurn*VLOOKUP(APJ52,ChurnSeasonTable,4,FALSE))*POWER(1-(AnnualChurn*VLOOKUP(APJ52,ChurnSeasonTable,4,FALSE)),0)+APW28*(AnnualChurn*VLOOKUP(APJ52,ChurnSeasonTable,4,FALSE))*POWER(1-(AnnualChurn*VLOOKUP(APJ52,ChurnSeasonTable,4,FALSE)),1)+APW16*(AnnualChurn*VLOOKUP(APJ52,ChurnSeasonTable,4,FALSE))*POWER(1-(AnnualChurn*VLOOKUP(APJ52,ChurnSeasonTable,4,FALSE)),2)</f>
        <v/>
      </c>
      <c r="AQB52" s="12">
        <f>AQB51+APX52-APX40*(AnnualChurn*VLOOKUP(APJ52,ChurnSeasonTable,4,FALSE))*POWER(1-(AnnualChurn*VLOOKUP(APJ52,ChurnSeasonTable,4,FALSE)),0)+APX28*(AnnualChurn*VLOOKUP(APJ52,ChurnSeasonTable,4,FALSE))*POWER(1-(AnnualChurn*VLOOKUP(APJ52,ChurnSeasonTable,4,FALSE)),1)+APX16*(AnnualChurn*VLOOKUP(APJ52,ChurnSeasonTable,4,FALSE))*POWER(1-(AnnualChurn*VLOOKUP(APJ52,ChurnSeasonTable,4,FALSE)),2)</f>
        <v/>
      </c>
      <c r="AQC52" s="12">
        <f>APY52+APZ52+AQA52+AQB52</f>
        <v/>
      </c>
      <c r="AQD52" s="9">
        <f>APY52*PriceEssMonthly*APM52+APZ52*PricePremMonthly*APM52+AQA52*PriceEssAnnual*APM52/12+AQB52*PricePremAnnual*APM52/12</f>
        <v/>
      </c>
      <c r="AQE52" s="9">
        <f>AQD52*12</f>
        <v/>
      </c>
      <c r="AQF52" s="12">
        <f>APY52*PriceEssMonthly*APM52+APZ52*PricePremMonthly*APM52</f>
        <v/>
      </c>
      <c r="AQG52" s="12">
        <f>APW52*PriceEssAnnual*APM52+APX52*PricePremAnnual*APM52</f>
        <v/>
      </c>
      <c r="AQH52" s="12">
        <f>APW40*POWER(1-(AnnualChurn*VLOOKUP(APJ52,ChurnSeasonTable,4,FALSE)),1)*PriceEssAnnual*APM52+APW28*POWER(1-(AnnualChurn*VLOOKUP(APJ52,ChurnSeasonTable,4,FALSE)),2)*PriceEssAnnual*APM52+APW16*POWER(1-(AnnualChurn*VLOOKUP(APJ52,ChurnSeasonTable,4,FALSE)),3)*PriceEssAnnual*APM52+APX40*POWER(1-(AnnualChurn*VLOOKUP(APJ52,ChurnSeasonTable,4,FALSE)),1)*PricePremAnnual*APM52+APX28*POWER(1-(AnnualChurn*VLOOKUP(APJ52,ChurnSeasonTable,4,FALSE)),2)*PricePremAnnual*APM52+APX16*POWER(1-(AnnualChurn*VLOOKUP(APJ52,ChurnSeasonTable,4,FALSE)),3)*PricePremAnnual*APM52</f>
        <v/>
      </c>
      <c r="AQI52" s="9">
        <f>AQF52+AQG52+AQH52</f>
        <v/>
      </c>
      <c r="AQJ52" s="12">
        <f>SUM(AQI41:AQI52)</f>
        <v/>
      </c>
      <c r="AQK52" s="12">
        <f>OR(AQK51,AQJ52&gt;=VATThreshold)</f>
        <v/>
      </c>
      <c r="AQL52" s="9">
        <f>IF(AQK52,AQI52/(1+VATRate),AQI52)</f>
        <v/>
      </c>
      <c r="AQM52" s="12">
        <f>AQI52-AQL52</f>
        <v/>
      </c>
      <c r="AQN52" s="12">
        <f>IF(AQK52=0,0,IF(APJ52=1,SUMPRODUCT(--(($APK$5:$APK52=$APK52-1)*($APJ$5:$APJ52&gt;=10)*($APJ$5:$APJ52&lt;=12)),$AQM$5:$AQM52),IF(APJ52=4,SUMPRODUCT(--(($APK$5:$APK52=$APK52)*($APJ$5:$APJ52&gt;=1)*($APJ$5:$APJ52&lt;=3)),$AQM$5:$AQM52),IF(APJ52=7,SUMPRODUCT(--(($APK$5:$APK52=$APK52)*($APJ$5:$APJ52&gt;=4)*($APJ$5:$APJ52&lt;=6)),$AQM$5:$AQM52),IF(APJ52=10,SUMPRODUCT(--(($APK$5:$APK52=$APK52)*($APJ$5:$APJ52&gt;=7)*($APJ$5:$APJ52&lt;=9)),$AQM$5:$AQM52),0)))))</f>
        <v/>
      </c>
      <c r="AQO52" s="12">
        <f>AQO51+AQM52-AQN52</f>
        <v/>
      </c>
      <c r="AQP52" s="12">
        <f>IF(ProviderDelay&gt;=1,AQL51*ProviderShare,AQL52*ProviderShare)</f>
        <v/>
      </c>
      <c r="AQQ52" s="12">
        <f>AQI52*PaymentFee</f>
        <v/>
      </c>
      <c r="AQR52" s="12">
        <f>AQC52*OpsAI</f>
        <v/>
      </c>
      <c r="AQS52" s="12">
        <f>MonthlyFixed</f>
        <v/>
      </c>
      <c r="AQT52" s="12">
        <f>APQ52*ReferralReward</f>
        <v/>
      </c>
      <c r="AQU52" s="12">
        <f>APO52</f>
        <v/>
      </c>
      <c r="AQV52" s="9">
        <f>AQL52-AQP52-AQQ52-AQR52-AQS52-AQT52-AQU52</f>
        <v/>
      </c>
      <c r="AQW52" s="9">
        <f>AQW51+AQI52-(AQP52+AQQ52+AQR52+AQS52+AQT52+AQU52+AQN52)</f>
        <v/>
      </c>
      <c r="AQX52" s="12">
        <f>IF(AQC52&gt;0,AQD52/AQC52,0)</f>
        <v/>
      </c>
      <c r="AQY52" s="11">
        <f>IF(AQC51&gt;0,MAX(0,(AQC51+APR52-AQC52)/AQC51),0)</f>
        <v/>
      </c>
      <c r="ARA52" s="12" t="n">
        <v>48</v>
      </c>
      <c r="ARB52" s="12">
        <f>MOD(ARA52-1+LaunchMonth-1,12)+1</f>
        <v/>
      </c>
      <c r="ARC52" s="12">
        <f>INT((ARA52-1+LaunchMonth-1)/12)+1</f>
        <v/>
      </c>
      <c r="ARD52" s="12">
        <f>VLOOKUP(ARB52,WinterPivotSeasonTable,5,FALSE)</f>
        <v/>
      </c>
      <c r="ARE52" s="12">
        <f>(1+InflationRate)^INT((ARA52-1)/12)</f>
        <v/>
      </c>
      <c r="ARF52" s="11">
        <f>MonthlyChurn*VLOOKUP(ARB52,WinterPivotChurnTable,6,FALSE)</f>
        <v/>
      </c>
      <c r="ARG52" s="12">
        <f>MIN(MAX(MktMin19plus,ASA51*MktPct19plus),MAX(0,ASO51-CashBuffer))</f>
        <v/>
      </c>
      <c r="ARH52" s="12">
        <f>IF(ARG52&gt;0,MAX(1,ROUND(ARG52/CAC*ARD52,0)),0)</f>
        <v/>
      </c>
      <c r="ARI52" s="12">
        <f>IF(ARH52&gt;0,ROUND(ARH52*ReferralMix/(1-ReferralMix),0),0)</f>
        <v/>
      </c>
      <c r="ARJ52" s="12">
        <f>ARH52+ARI52</f>
        <v/>
      </c>
      <c r="ARK52" s="12">
        <f>ROUND(ARJ52*(1-AnnualMix),0)</f>
        <v/>
      </c>
      <c r="ARL52" s="12">
        <f>ARJ52-ARK52</f>
        <v/>
      </c>
      <c r="ARM52" s="12">
        <f>ROUND(ARK52*'Sens - Winter Pivot'!$B$6,0)</f>
        <v/>
      </c>
      <c r="ARN52" s="12">
        <f>ARK52-ARM52</f>
        <v/>
      </c>
      <c r="ARO52" s="12">
        <f>ROUND(ARL52*'Sens - Winter Pivot'!$B$6,0)</f>
        <v/>
      </c>
      <c r="ARP52" s="12">
        <f>ARL52-ARO52</f>
        <v/>
      </c>
      <c r="ARQ52" s="12">
        <f>ARM52+ARM51+ARM50+MAX(0,ARQ51-ARM51-ARM50)*(1-ARF52)</f>
        <v/>
      </c>
      <c r="ARR52" s="12">
        <f>ARN52+ARN51+ARN50+MAX(0,ARR51-ARN51-ARN50)*(1-ARF52)</f>
        <v/>
      </c>
      <c r="ARS52" s="12">
        <f>ARS51+ARO52-ARO40*(AnnualChurn*VLOOKUP(ARB52,WinterPivotChurnTable,6,FALSE))*POWER(1-(AnnualChurn*VLOOKUP(ARB52,WinterPivotChurnTable,6,FALSE)),0)+ARO28*(AnnualChurn*VLOOKUP(ARB52,WinterPivotChurnTable,6,FALSE))*POWER(1-(AnnualChurn*VLOOKUP(ARB52,WinterPivotChurnTable,6,FALSE)),1)+ARO16*(AnnualChurn*VLOOKUP(ARB52,WinterPivotChurnTable,6,FALSE))*POWER(1-(AnnualChurn*VLOOKUP(ARB52,WinterPivotChurnTable,6,FALSE)),2)</f>
        <v/>
      </c>
      <c r="ART52" s="12">
        <f>ART51+ARP52-ARP40*(AnnualChurn*VLOOKUP(ARB52,WinterPivotChurnTable,6,FALSE))*POWER(1-(AnnualChurn*VLOOKUP(ARB52,WinterPivotChurnTable,6,FALSE)),0)+ARP28*(AnnualChurn*VLOOKUP(ARB52,WinterPivotChurnTable,6,FALSE))*POWER(1-(AnnualChurn*VLOOKUP(ARB52,WinterPivotChurnTable,6,FALSE)),1)+ARP16*(AnnualChurn*VLOOKUP(ARB52,WinterPivotChurnTable,6,FALSE))*POWER(1-(AnnualChurn*VLOOKUP(ARB52,WinterPivotChurnTable,6,FALSE)),2)</f>
        <v/>
      </c>
      <c r="ARU52" s="12">
        <f>ARQ52+ARR52+ARS52+ART52</f>
        <v/>
      </c>
      <c r="ARV52" s="9">
        <f>ARQ52*PriceEssMonthly*ARE52+ARR52*(PricePremMonthly+'Sens - Winter Pivot'!$B$7)*ARE52+ARS52*PriceEssAnnual*ARE52/12+ART52*(PricePremAnnual+'Sens - Winter Pivot'!$B$7*12)*ARE52/12</f>
        <v/>
      </c>
      <c r="ARW52" s="9">
        <f>ARV52*12</f>
        <v/>
      </c>
      <c r="ARX52" s="12">
        <f>ARQ52*PriceEssMonthly*ARE52+ARR52*(PricePremMonthly+'Sens - Winter Pivot'!$B$7)*ARE52</f>
        <v/>
      </c>
      <c r="ARY52" s="12">
        <f>ARO52*PriceEssAnnual*ARE52+ARP52*(PricePremAnnual+'Sens - Winter Pivot'!$B$7*12)*ARE52</f>
        <v/>
      </c>
      <c r="ARZ52" s="12">
        <f>ARO40*POWER(1-(AnnualChurn*VLOOKUP(ARB52,WinterPivotChurnTable,6,FALSE)),1)*PriceEssAnnual*ARE52+ARO28*POWER(1-(AnnualChurn*VLOOKUP(ARB52,WinterPivotChurnTable,6,FALSE)),2)*PriceEssAnnual*ARE52+ARO16*POWER(1-(AnnualChurn*VLOOKUP(ARB52,WinterPivotChurnTable,6,FALSE)),3)*PriceEssAnnual*ARE52+ARP40*POWER(1-(AnnualChurn*VLOOKUP(ARB52,WinterPivotChurnTable,6,FALSE)),1)*PricePremAnnual*ARE52+ARP28*POWER(1-(AnnualChurn*VLOOKUP(ARB52,WinterPivotChurnTable,6,FALSE)),2)*PricePremAnnual*ARE52+ARP16*POWER(1-(AnnualChurn*VLOOKUP(ARB52,WinterPivotChurnTable,6,FALSE)),3)*PricePremAnnual*ARE52</f>
        <v/>
      </c>
      <c r="ASA52" s="9">
        <f>ARX52+ARY52+ARZ52</f>
        <v/>
      </c>
      <c r="ASB52" s="12">
        <f>SUM(ASA41:ASA52)</f>
        <v/>
      </c>
      <c r="ASC52" s="12">
        <f>OR(ASC51,ASB52&gt;=VATThreshold)</f>
        <v/>
      </c>
      <c r="ASD52" s="9">
        <f>IF(ASC52,ASA52/(1+VATRate),ASA52)</f>
        <v/>
      </c>
      <c r="ASE52" s="12">
        <f>ASA52-ASD52</f>
        <v/>
      </c>
      <c r="ASF52" s="12">
        <f>IF(ASC52=0,0,IF(ARB52=1,SUMPRODUCT(--(($ARC$5:$ARC52=$ARC52-1)*($ARB$5:$ARB52&gt;=10)*($ARB$5:$ARB52&lt;=12)),$ASE$5:$ASE52),IF(ARB52=4,SUMPRODUCT(--(($ARC$5:$ARC52=$ARC52)*($ARB$5:$ARB52&gt;=1)*($ARB$5:$ARB52&lt;=3)),$ASE$5:$ASE52),IF(ARB52=7,SUMPRODUCT(--(($ARC$5:$ARC52=$ARC52)*($ARB$5:$ARB52&gt;=4)*($ARB$5:$ARB52&lt;=6)),$ASE$5:$ASE52),IF(ARB52=10,SUMPRODUCT(--(($ARC$5:$ARC52=$ARC52)*($ARB$5:$ARB52&gt;=7)*($ARB$5:$ARB52&lt;=9)),$ASE$5:$ASE52),0)))))</f>
        <v/>
      </c>
      <c r="ASG52" s="12">
        <f>ASG51+ASE52-ASF52</f>
        <v/>
      </c>
      <c r="ASH52" s="12">
        <f>IF(ProviderDelay&gt;=1,ASD51*ProviderShare,ASD52*ProviderShare)</f>
        <v/>
      </c>
      <c r="ASI52" s="12">
        <f>ASA52*PaymentFee</f>
        <v/>
      </c>
      <c r="ASJ52" s="12">
        <f>ARU52*OpsAI</f>
        <v/>
      </c>
      <c r="ASK52" s="12">
        <f>MonthlyFixed</f>
        <v/>
      </c>
      <c r="ASL52" s="12">
        <f>ARI52*ReferralReward</f>
        <v/>
      </c>
      <c r="ASM52" s="12">
        <f>ARG52</f>
        <v/>
      </c>
      <c r="ASN52" s="9">
        <f>ASD52-ASH52-ASI52-ASJ52-ASK52-ASL52-ASM52</f>
        <v/>
      </c>
      <c r="ASO52" s="9">
        <f>ASO51+ASA52-(ASH52+ASI52+ASJ52+ASK52+ASL52+ASM52+ASF52)</f>
        <v/>
      </c>
      <c r="ASP52" s="12">
        <f>IF(ARU52&gt;0,ARV52/ARU52,0)</f>
        <v/>
      </c>
      <c r="ASQ52" s="11">
        <f>IF(ARU51&gt;0,MAX(0,(ARU51+ARJ52-ARU52)/ARU51),0)</f>
        <v/>
      </c>
    </row>
    <row r="53">
      <c r="A53" s="12" t="n">
        <v>49</v>
      </c>
      <c r="B53" s="12">
        <f>MOD(A53-1+LaunchMonth-1,12)+1</f>
        <v/>
      </c>
      <c r="C53" s="12">
        <f>INT((A53-1+LaunchMonth-1)/12)+1</f>
        <v/>
      </c>
      <c r="D53" s="12">
        <f>VLOOKUP(B53,SeasonTable,2,FALSE)</f>
        <v/>
      </c>
      <c r="E53" s="12">
        <f>(1+InflationRate)^INT((A53-1)/12)</f>
        <v/>
      </c>
      <c r="F53" s="11">
        <f>'Sens - Scenarios'!$B$5*VLOOKUP(B53,ChurnSeasonTable,4,FALSE)</f>
        <v/>
      </c>
      <c r="G53" s="12">
        <f>MIN(MAX(MktMin19plus,AA52*MktPct19plus),MAX(0,AO52-CashBuffer))</f>
        <v/>
      </c>
      <c r="H53" s="12">
        <f>IF(G53&gt;0,MAX(1,ROUND(G53/'Sens - Scenarios'!$B$8*D53,0)),0)</f>
        <v/>
      </c>
      <c r="I53" s="12">
        <f>IF(H53&gt;0,ROUND(H53*ReferralMix/(1-ReferralMix),0),0)</f>
        <v/>
      </c>
      <c r="J53" s="12">
        <f>H53+I53</f>
        <v/>
      </c>
      <c r="K53" s="12">
        <f>ROUND(J53*(1-'Sens - Scenarios'!$B$7),0)</f>
        <v/>
      </c>
      <c r="L53" s="12">
        <f>J53-K53</f>
        <v/>
      </c>
      <c r="M53" s="12">
        <f>ROUND(K53*EssentialMix,0)</f>
        <v/>
      </c>
      <c r="N53" s="12">
        <f>K53-M53</f>
        <v/>
      </c>
      <c r="O53" s="12">
        <f>ROUND(L53*EssentialMix,0)</f>
        <v/>
      </c>
      <c r="P53" s="12">
        <f>L53-O53</f>
        <v/>
      </c>
      <c r="Q53" s="12">
        <f>M53+M52+M51+MAX(0,Q52-M52-M51)*(1-F53)</f>
        <v/>
      </c>
      <c r="R53" s="12">
        <f>N53+N52+N51+MAX(0,R52-N52-N51)*(1-F53)</f>
        <v/>
      </c>
      <c r="S53" s="12">
        <f>S52+O53-O41*('Sens - Scenarios'!$B$6*VLOOKUP(B53,ChurnSeasonTable,4,FALSE))*POWER(1-('Sens - Scenarios'!$B$6*VLOOKUP(B53,ChurnSeasonTable,4,FALSE)),0)+O29*('Sens - Scenarios'!$B$6*VLOOKUP(B53,ChurnSeasonTable,4,FALSE))*POWER(1-('Sens - Scenarios'!$B$6*VLOOKUP(B53,ChurnSeasonTable,4,FALSE)),1)+O17*('Sens - Scenarios'!$B$6*VLOOKUP(B53,ChurnSeasonTable,4,FALSE))*POWER(1-('Sens - Scenarios'!$B$6*VLOOKUP(B53,ChurnSeasonTable,4,FALSE)),2)+O5*('Sens - Scenarios'!$B$6*VLOOKUP(B53,ChurnSeasonTable,4,FALSE))*POWER(1-('Sens - Scenarios'!$B$6*VLOOKUP(B53,ChurnSeasonTable,4,FALSE)),3)</f>
        <v/>
      </c>
      <c r="T53" s="12">
        <f>T52+P53-P41*('Sens - Scenarios'!$B$6*VLOOKUP(B53,ChurnSeasonTable,4,FALSE))*POWER(1-('Sens - Scenarios'!$B$6*VLOOKUP(B53,ChurnSeasonTable,4,FALSE)),0)+P29*('Sens - Scenarios'!$B$6*VLOOKUP(B53,ChurnSeasonTable,4,FALSE))*POWER(1-('Sens - Scenarios'!$B$6*VLOOKUP(B53,ChurnSeasonTable,4,FALSE)),1)+P17*('Sens - Scenarios'!$B$6*VLOOKUP(B53,ChurnSeasonTable,4,FALSE))*POWER(1-('Sens - Scenarios'!$B$6*VLOOKUP(B53,ChurnSeasonTable,4,FALSE)),2)+P5*('Sens - Scenarios'!$B$6*VLOOKUP(B53,ChurnSeasonTable,4,FALSE))*POWER(1-('Sens - Scenarios'!$B$6*VLOOKUP(B53,ChurnSeasonTable,4,FALSE)),3)</f>
        <v/>
      </c>
      <c r="U53" s="12">
        <f>Q53+R53+S53+T53</f>
        <v/>
      </c>
      <c r="V53" s="9">
        <f>Q53*PriceEssMonthly*E53+R53*PricePremMonthly*E53+S53*PriceEssAnnual*E53/12+T53*PricePremAnnual*E53/12</f>
        <v/>
      </c>
      <c r="W53" s="9">
        <f>V53*12</f>
        <v/>
      </c>
      <c r="X53" s="12">
        <f>Q53*PriceEssMonthly*E53+R53*PricePremMonthly*E53</f>
        <v/>
      </c>
      <c r="Y53" s="12">
        <f>O53*PriceEssAnnual*E53+P53*PricePremAnnual*E53</f>
        <v/>
      </c>
      <c r="Z53" s="12">
        <f>O41*POWER(1-('Sens - Scenarios'!$B$6*VLOOKUP(B53,ChurnSeasonTable,4,FALSE)),1)*PriceEssAnnual*E53+O29*POWER(1-('Sens - Scenarios'!$B$6*VLOOKUP(B53,ChurnSeasonTable,4,FALSE)),2)*PriceEssAnnual*E53+O17*POWER(1-('Sens - Scenarios'!$B$6*VLOOKUP(B53,ChurnSeasonTable,4,FALSE)),3)*PriceEssAnnual*E53+O5*POWER(1-('Sens - Scenarios'!$B$6*VLOOKUP(B53,ChurnSeasonTable,4,FALSE)),4)*PriceEssAnnual*E53+P41*POWER(1-('Sens - Scenarios'!$B$6*VLOOKUP(B53,ChurnSeasonTable,4,FALSE)),1)*PricePremAnnual*E53+P29*POWER(1-('Sens - Scenarios'!$B$6*VLOOKUP(B53,ChurnSeasonTable,4,FALSE)),2)*PricePremAnnual*E53+P17*POWER(1-('Sens - Scenarios'!$B$6*VLOOKUP(B53,ChurnSeasonTable,4,FALSE)),3)*PricePremAnnual*E53+P5*POWER(1-('Sens - Scenarios'!$B$6*VLOOKUP(B53,ChurnSeasonTable,4,FALSE)),4)*PricePremAnnual*E53</f>
        <v/>
      </c>
      <c r="AA53" s="9">
        <f>X53+Y53+Z53</f>
        <v/>
      </c>
      <c r="AB53" s="12">
        <f>SUM(AA42:AA53)</f>
        <v/>
      </c>
      <c r="AC53" s="12">
        <f>OR(AC52,AB53&gt;=VATThreshold)</f>
        <v/>
      </c>
      <c r="AD53" s="9">
        <f>IF(AC53,AA53/(1+VATRate),AA53)</f>
        <v/>
      </c>
      <c r="AE53" s="12">
        <f>AA53-AD53</f>
        <v/>
      </c>
      <c r="AF53" s="12">
        <f>IF(AC53=0,0,IF(B53=1,SUMPRODUCT(--(($C$5:$C53=$C53-1)*($B$5:$B53&gt;=10)*($B$5:$B53&lt;=12)),$AE$5:$AE53),IF(B53=4,SUMPRODUCT(--(($C$5:$C53=$C53)*($B$5:$B53&gt;=1)*($B$5:$B53&lt;=3)),$AE$5:$AE53),IF(B53=7,SUMPRODUCT(--(($C$5:$C53=$C53)*($B$5:$B53&gt;=4)*($B$5:$B53&lt;=6)),$AE$5:$AE53),IF(B53=10,SUMPRODUCT(--(($C$5:$C53=$C53)*($B$5:$B53&gt;=7)*($B$5:$B53&lt;=9)),$AE$5:$AE53),0)))))</f>
        <v/>
      </c>
      <c r="AG53" s="12">
        <f>AG52+AE53-AF53</f>
        <v/>
      </c>
      <c r="AH53" s="12">
        <f>IF(ProviderDelay&gt;=1,AD52*ProviderShare,AD53*ProviderShare)</f>
        <v/>
      </c>
      <c r="AI53" s="12">
        <f>AA53*PaymentFee</f>
        <v/>
      </c>
      <c r="AJ53" s="12">
        <f>U53*OpsAI</f>
        <v/>
      </c>
      <c r="AK53" s="12">
        <f>MonthlyFixed</f>
        <v/>
      </c>
      <c r="AL53" s="12">
        <f>I53*ReferralReward</f>
        <v/>
      </c>
      <c r="AM53" s="12">
        <f>G53</f>
        <v/>
      </c>
      <c r="AN53" s="9">
        <f>AD53-AH53-AI53-AJ53-AK53-AL53-AM53</f>
        <v/>
      </c>
      <c r="AO53" s="9">
        <f>AO52+AA53-(AH53+AI53+AJ53+AK53+AL53+AM53+AF53)</f>
        <v/>
      </c>
      <c r="AP53" s="12">
        <f>IF(U53&gt;0,V53/U53,0)</f>
        <v/>
      </c>
      <c r="AQ53" s="11">
        <f>IF(U52&gt;0,MAX(0,(U52+J53-U53)/U52),0)</f>
        <v/>
      </c>
      <c r="AS53" s="12" t="n">
        <v>49</v>
      </c>
      <c r="AT53" s="12">
        <f>MOD(AS53-1+LaunchMonth-1,12)+1</f>
        <v/>
      </c>
      <c r="AU53" s="12">
        <f>INT((AS53-1+LaunchMonth-1)/12)+1</f>
        <v/>
      </c>
      <c r="AV53" s="12">
        <f>VLOOKUP(AT53,SeasonTable,2,FALSE)</f>
        <v/>
      </c>
      <c r="AW53" s="12">
        <f>(1+InflationRate)^INT((AS53-1)/12)</f>
        <v/>
      </c>
      <c r="AX53" s="11">
        <f>MonthlyChurn*VLOOKUP(AT53,ChurnSeasonTable,4,FALSE)</f>
        <v/>
      </c>
      <c r="AY53" s="12">
        <f>MIN(MAX(MktMin19plus,BS52*MktPct19plus),MAX(0,CG52-CashBuffer))</f>
        <v/>
      </c>
      <c r="AZ53" s="12">
        <f>IF(AY53&gt;0,MAX(1,ROUND(AY53/CAC*AV53,0)),0)</f>
        <v/>
      </c>
      <c r="BA53" s="12">
        <f>IF(AZ53&gt;0,ROUND(AZ53*ReferralMix/(1-ReferralMix),0),0)</f>
        <v/>
      </c>
      <c r="BB53" s="12">
        <f>AZ53+BA53</f>
        <v/>
      </c>
      <c r="BC53" s="12">
        <f>ROUND(BB53*(1-AnnualMix),0)</f>
        <v/>
      </c>
      <c r="BD53" s="12">
        <f>BB53-BC53</f>
        <v/>
      </c>
      <c r="BE53" s="12">
        <f>ROUND(BC53*EssentialMix,0)</f>
        <v/>
      </c>
      <c r="BF53" s="12">
        <f>BC53-BE53</f>
        <v/>
      </c>
      <c r="BG53" s="12">
        <f>ROUND(BD53*EssentialMix,0)</f>
        <v/>
      </c>
      <c r="BH53" s="12">
        <f>BD53-BG53</f>
        <v/>
      </c>
      <c r="BI53" s="12">
        <f>BE53+BE52+BE51+MAX(0,BI52-BE52-BE51)*(1-AX53)</f>
        <v/>
      </c>
      <c r="BJ53" s="12">
        <f>BF53+BF52+BF51+MAX(0,BJ52-BF52-BF51)*(1-AX53)</f>
        <v/>
      </c>
      <c r="BK53" s="12">
        <f>BK52+BG53-BG41*(AnnualChurn*VLOOKUP(AT53,ChurnSeasonTable,4,FALSE))*POWER(1-(AnnualChurn*VLOOKUP(AT53,ChurnSeasonTable,4,FALSE)),0)+BG29*(AnnualChurn*VLOOKUP(AT53,ChurnSeasonTable,4,FALSE))*POWER(1-(AnnualChurn*VLOOKUP(AT53,ChurnSeasonTable,4,FALSE)),1)+BG17*(AnnualChurn*VLOOKUP(AT53,ChurnSeasonTable,4,FALSE))*POWER(1-(AnnualChurn*VLOOKUP(AT53,ChurnSeasonTable,4,FALSE)),2)+BG5*(AnnualChurn*VLOOKUP(AT53,ChurnSeasonTable,4,FALSE))*POWER(1-(AnnualChurn*VLOOKUP(AT53,ChurnSeasonTable,4,FALSE)),3)</f>
        <v/>
      </c>
      <c r="BL53" s="12">
        <f>BL52+BH53-BH41*(AnnualChurn*VLOOKUP(AT53,ChurnSeasonTable,4,FALSE))*POWER(1-(AnnualChurn*VLOOKUP(AT53,ChurnSeasonTable,4,FALSE)),0)+BH29*(AnnualChurn*VLOOKUP(AT53,ChurnSeasonTable,4,FALSE))*POWER(1-(AnnualChurn*VLOOKUP(AT53,ChurnSeasonTable,4,FALSE)),1)+BH17*(AnnualChurn*VLOOKUP(AT53,ChurnSeasonTable,4,FALSE))*POWER(1-(AnnualChurn*VLOOKUP(AT53,ChurnSeasonTable,4,FALSE)),2)+BH5*(AnnualChurn*VLOOKUP(AT53,ChurnSeasonTable,4,FALSE))*POWER(1-(AnnualChurn*VLOOKUP(AT53,ChurnSeasonTable,4,FALSE)),3)</f>
        <v/>
      </c>
      <c r="BM53" s="12">
        <f>BI53+BJ53+BK53+BL53</f>
        <v/>
      </c>
      <c r="BN53" s="9">
        <f>BI53*PriceEssMonthly*AW53+BJ53*PricePremMonthly*AW53+BK53*PriceEssAnnual*AW53/12+BL53*PricePremAnnual*AW53/12</f>
        <v/>
      </c>
      <c r="BO53" s="9">
        <f>BN53*12</f>
        <v/>
      </c>
      <c r="BP53" s="12">
        <f>BI53*PriceEssMonthly*AW53+BJ53*PricePremMonthly*AW53</f>
        <v/>
      </c>
      <c r="BQ53" s="12">
        <f>BG53*PriceEssAnnual*AW53+BH53*PricePremAnnual*AW53</f>
        <v/>
      </c>
      <c r="BR53" s="12">
        <f>BG41*POWER(1-(AnnualChurn*VLOOKUP(AT53,ChurnSeasonTable,4,FALSE)),1)*PriceEssAnnual*AW53+BG29*POWER(1-(AnnualChurn*VLOOKUP(AT53,ChurnSeasonTable,4,FALSE)),2)*PriceEssAnnual*AW53+BG17*POWER(1-(AnnualChurn*VLOOKUP(AT53,ChurnSeasonTable,4,FALSE)),3)*PriceEssAnnual*AW53+BG5*POWER(1-(AnnualChurn*VLOOKUP(AT53,ChurnSeasonTable,4,FALSE)),4)*PriceEssAnnual*AW53+BH41*POWER(1-(AnnualChurn*VLOOKUP(AT53,ChurnSeasonTable,4,FALSE)),1)*PricePremAnnual*AW53+BH29*POWER(1-(AnnualChurn*VLOOKUP(AT53,ChurnSeasonTable,4,FALSE)),2)*PricePremAnnual*AW53+BH17*POWER(1-(AnnualChurn*VLOOKUP(AT53,ChurnSeasonTable,4,FALSE)),3)*PricePremAnnual*AW53+BH5*POWER(1-(AnnualChurn*VLOOKUP(AT53,ChurnSeasonTable,4,FALSE)),4)*PricePremAnnual*AW53</f>
        <v/>
      </c>
      <c r="BS53" s="9">
        <f>BP53+BQ53+BR53</f>
        <v/>
      </c>
      <c r="BT53" s="12">
        <f>SUM(BS42:BS53)</f>
        <v/>
      </c>
      <c r="BU53" s="12">
        <f>OR(BU52,BT53&gt;=VATThreshold)</f>
        <v/>
      </c>
      <c r="BV53" s="9">
        <f>IF(BU53,BS53/(1+VATRate),BS53)</f>
        <v/>
      </c>
      <c r="BW53" s="12">
        <f>BS53-BV53</f>
        <v/>
      </c>
      <c r="BX53" s="12">
        <f>IF(BU53=0,0,IF(AT53=1,SUMPRODUCT(--(($AU$5:$AU53=$AU53-1)*($AT$5:$AT53&gt;=10)*($AT$5:$AT53&lt;=12)),$BW$5:$BW53),IF(AT53=4,SUMPRODUCT(--(($AU$5:$AU53=$AU53)*($AT$5:$AT53&gt;=1)*($AT$5:$AT53&lt;=3)),$BW$5:$BW53),IF(AT53=7,SUMPRODUCT(--(($AU$5:$AU53=$AU53)*($AT$5:$AT53&gt;=4)*($AT$5:$AT53&lt;=6)),$BW$5:$BW53),IF(AT53=10,SUMPRODUCT(--(($AU$5:$AU53=$AU53)*($AT$5:$AT53&gt;=7)*($AT$5:$AT53&lt;=9)),$BW$5:$BW53),0)))))</f>
        <v/>
      </c>
      <c r="BY53" s="12">
        <f>BY52+BW53-BX53</f>
        <v/>
      </c>
      <c r="BZ53" s="12">
        <f>IF(ProviderDelay&gt;=1,BV52*ProviderShare,BV53*ProviderShare)</f>
        <v/>
      </c>
      <c r="CA53" s="12">
        <f>BS53*PaymentFee</f>
        <v/>
      </c>
      <c r="CB53" s="12">
        <f>BM53*OpsAI</f>
        <v/>
      </c>
      <c r="CC53" s="12">
        <f>MonthlyFixed</f>
        <v/>
      </c>
      <c r="CD53" s="12">
        <f>BA53*ReferralReward</f>
        <v/>
      </c>
      <c r="CE53" s="12">
        <f>AY53</f>
        <v/>
      </c>
      <c r="CF53" s="9">
        <f>BV53-BZ53-CA53-CB53-CC53-CD53-CE53</f>
        <v/>
      </c>
      <c r="CG53" s="9">
        <f>CG52+BS53-(BZ53+CA53+CB53+CC53+CD53+CE53+BX53)</f>
        <v/>
      </c>
      <c r="CH53" s="12">
        <f>IF(BM53&gt;0,BN53/BM53,0)</f>
        <v/>
      </c>
      <c r="CI53" s="11">
        <f>IF(BM52&gt;0,MAX(0,(BM52+BB53-BM53)/BM52),0)</f>
        <v/>
      </c>
      <c r="CK53" s="12" t="n">
        <v>49</v>
      </c>
      <c r="CL53" s="12">
        <f>MOD(CK53-1+LaunchMonth-1,12)+1</f>
        <v/>
      </c>
      <c r="CM53" s="12">
        <f>INT((CK53-1+LaunchMonth-1)/12)+1</f>
        <v/>
      </c>
      <c r="CN53" s="12">
        <f>VLOOKUP(CL53,SeasonTable,2,FALSE)</f>
        <v/>
      </c>
      <c r="CO53" s="12">
        <f>(1+InflationRate)^INT((CK53-1)/12)</f>
        <v/>
      </c>
      <c r="CP53" s="11">
        <f>'Sens - Scenarios'!$D$5*VLOOKUP(CL53,ChurnSeasonTable,4,FALSE)</f>
        <v/>
      </c>
      <c r="CQ53" s="12">
        <f>MIN(MAX(MktMin19plus,DK52*MktPct19plus),MAX(0,DY52-CashBuffer))</f>
        <v/>
      </c>
      <c r="CR53" s="12">
        <f>IF(CQ53&gt;0,MAX(1,ROUND(CQ53/'Sens - Scenarios'!$D$8*CN53,0)),0)</f>
        <v/>
      </c>
      <c r="CS53" s="12">
        <f>IF(CR53&gt;0,ROUND(CR53*ReferralMix/(1-ReferralMix),0),0)</f>
        <v/>
      </c>
      <c r="CT53" s="12">
        <f>CR53+CS53</f>
        <v/>
      </c>
      <c r="CU53" s="12">
        <f>ROUND(CT53*(1-'Sens - Scenarios'!$D$7),0)</f>
        <v/>
      </c>
      <c r="CV53" s="12">
        <f>CT53-CU53</f>
        <v/>
      </c>
      <c r="CW53" s="12">
        <f>ROUND(CU53*EssentialMix,0)</f>
        <v/>
      </c>
      <c r="CX53" s="12">
        <f>CU53-CW53</f>
        <v/>
      </c>
      <c r="CY53" s="12">
        <f>ROUND(CV53*EssentialMix,0)</f>
        <v/>
      </c>
      <c r="CZ53" s="12">
        <f>CV53-CY53</f>
        <v/>
      </c>
      <c r="DA53" s="12">
        <f>CW53+CW52+CW51+MAX(0,DA52-CW52-CW51)*(1-CP53)</f>
        <v/>
      </c>
      <c r="DB53" s="12">
        <f>CX53+CX52+CX51+MAX(0,DB52-CX52-CX51)*(1-CP53)</f>
        <v/>
      </c>
      <c r="DC53" s="12">
        <f>DC52+CY53-CY41*('Sens - Scenarios'!$D$6*VLOOKUP(CL53,ChurnSeasonTable,4,FALSE))*POWER(1-('Sens - Scenarios'!$D$6*VLOOKUP(CL53,ChurnSeasonTable,4,FALSE)),0)+CY29*('Sens - Scenarios'!$D$6*VLOOKUP(CL53,ChurnSeasonTable,4,FALSE))*POWER(1-('Sens - Scenarios'!$D$6*VLOOKUP(CL53,ChurnSeasonTable,4,FALSE)),1)+CY17*('Sens - Scenarios'!$D$6*VLOOKUP(CL53,ChurnSeasonTable,4,FALSE))*POWER(1-('Sens - Scenarios'!$D$6*VLOOKUP(CL53,ChurnSeasonTable,4,FALSE)),2)+CY5*('Sens - Scenarios'!$D$6*VLOOKUP(CL53,ChurnSeasonTable,4,FALSE))*POWER(1-('Sens - Scenarios'!$D$6*VLOOKUP(CL53,ChurnSeasonTable,4,FALSE)),3)</f>
        <v/>
      </c>
      <c r="DD53" s="12">
        <f>DD52+CZ53-CZ41*('Sens - Scenarios'!$D$6*VLOOKUP(CL53,ChurnSeasonTable,4,FALSE))*POWER(1-('Sens - Scenarios'!$D$6*VLOOKUP(CL53,ChurnSeasonTable,4,FALSE)),0)+CZ29*('Sens - Scenarios'!$D$6*VLOOKUP(CL53,ChurnSeasonTable,4,FALSE))*POWER(1-('Sens - Scenarios'!$D$6*VLOOKUP(CL53,ChurnSeasonTable,4,FALSE)),1)+CZ17*('Sens - Scenarios'!$D$6*VLOOKUP(CL53,ChurnSeasonTable,4,FALSE))*POWER(1-('Sens - Scenarios'!$D$6*VLOOKUP(CL53,ChurnSeasonTable,4,FALSE)),2)+CZ5*('Sens - Scenarios'!$D$6*VLOOKUP(CL53,ChurnSeasonTable,4,FALSE))*POWER(1-('Sens - Scenarios'!$D$6*VLOOKUP(CL53,ChurnSeasonTable,4,FALSE)),3)</f>
        <v/>
      </c>
      <c r="DE53" s="12">
        <f>DA53+DB53+DC53+DD53</f>
        <v/>
      </c>
      <c r="DF53" s="9">
        <f>DA53*PriceEssMonthly*CO53+DB53*PricePremMonthly*CO53+DC53*PriceEssAnnual*CO53/12+DD53*PricePremAnnual*CO53/12</f>
        <v/>
      </c>
      <c r="DG53" s="9">
        <f>DF53*12</f>
        <v/>
      </c>
      <c r="DH53" s="12">
        <f>DA53*PriceEssMonthly*CO53+DB53*PricePremMonthly*CO53</f>
        <v/>
      </c>
      <c r="DI53" s="12">
        <f>CY53*PriceEssAnnual*CO53+CZ53*PricePremAnnual*CO53</f>
        <v/>
      </c>
      <c r="DJ53" s="12">
        <f>CY41*POWER(1-('Sens - Scenarios'!$D$6*VLOOKUP(CL53,ChurnSeasonTable,4,FALSE)),1)*PriceEssAnnual*CO53+CY29*POWER(1-('Sens - Scenarios'!$D$6*VLOOKUP(CL53,ChurnSeasonTable,4,FALSE)),2)*PriceEssAnnual*CO53+CY17*POWER(1-('Sens - Scenarios'!$D$6*VLOOKUP(CL53,ChurnSeasonTable,4,FALSE)),3)*PriceEssAnnual*CO53+CY5*POWER(1-('Sens - Scenarios'!$D$6*VLOOKUP(CL53,ChurnSeasonTable,4,FALSE)),4)*PriceEssAnnual*CO53+CZ41*POWER(1-('Sens - Scenarios'!$D$6*VLOOKUP(CL53,ChurnSeasonTable,4,FALSE)),1)*PricePremAnnual*CO53+CZ29*POWER(1-('Sens - Scenarios'!$D$6*VLOOKUP(CL53,ChurnSeasonTable,4,FALSE)),2)*PricePremAnnual*CO53+CZ17*POWER(1-('Sens - Scenarios'!$D$6*VLOOKUP(CL53,ChurnSeasonTable,4,FALSE)),3)*PricePremAnnual*CO53+CZ5*POWER(1-('Sens - Scenarios'!$D$6*VLOOKUP(CL53,ChurnSeasonTable,4,FALSE)),4)*PricePremAnnual*CO53</f>
        <v/>
      </c>
      <c r="DK53" s="9">
        <f>DH53+DI53+DJ53</f>
        <v/>
      </c>
      <c r="DL53" s="12">
        <f>SUM(DK42:DK53)</f>
        <v/>
      </c>
      <c r="DM53" s="12">
        <f>OR(DM52,DL53&gt;=VATThreshold)</f>
        <v/>
      </c>
      <c r="DN53" s="9">
        <f>IF(DM53,DK53/(1+VATRate),DK53)</f>
        <v/>
      </c>
      <c r="DO53" s="12">
        <f>DK53-DN53</f>
        <v/>
      </c>
      <c r="DP53" s="12">
        <f>IF(DM53=0,0,IF(CL53=1,SUMPRODUCT(--(($CM$5:$CM53=$CM53-1)*($CL$5:$CL53&gt;=10)*($CL$5:$CL53&lt;=12)),$DO$5:$DO53),IF(CL53=4,SUMPRODUCT(--(($CM$5:$CM53=$CM53)*($CL$5:$CL53&gt;=1)*($CL$5:$CL53&lt;=3)),$DO$5:$DO53),IF(CL53=7,SUMPRODUCT(--(($CM$5:$CM53=$CM53)*($CL$5:$CL53&gt;=4)*($CL$5:$CL53&lt;=6)),$DO$5:$DO53),IF(CL53=10,SUMPRODUCT(--(($CM$5:$CM53=$CM53)*($CL$5:$CL53&gt;=7)*($CL$5:$CL53&lt;=9)),$DO$5:$DO53),0)))))</f>
        <v/>
      </c>
      <c r="DQ53" s="12">
        <f>DQ52+DO53-DP53</f>
        <v/>
      </c>
      <c r="DR53" s="12">
        <f>IF(ProviderDelay&gt;=1,DN52*ProviderShare,DN53*ProviderShare)</f>
        <v/>
      </c>
      <c r="DS53" s="12">
        <f>DK53*PaymentFee</f>
        <v/>
      </c>
      <c r="DT53" s="12">
        <f>DE53*OpsAI</f>
        <v/>
      </c>
      <c r="DU53" s="12">
        <f>MonthlyFixed</f>
        <v/>
      </c>
      <c r="DV53" s="12">
        <f>CS53*ReferralReward</f>
        <v/>
      </c>
      <c r="DW53" s="12">
        <f>CQ53</f>
        <v/>
      </c>
      <c r="DX53" s="9">
        <f>DN53-DR53-DS53-DT53-DU53-DV53-DW53</f>
        <v/>
      </c>
      <c r="DY53" s="9">
        <f>DY52+DK53-(DR53+DS53+DT53+DU53+DV53+DW53+DP53)</f>
        <v/>
      </c>
      <c r="DZ53" s="12">
        <f>IF(DE53&gt;0,DF53/DE53,0)</f>
        <v/>
      </c>
      <c r="EA53" s="11">
        <f>IF(DE52&gt;0,MAX(0,(DE52+CT53-DE53)/DE52),0)</f>
        <v/>
      </c>
      <c r="EC53" s="12" t="n">
        <v>49</v>
      </c>
      <c r="ED53" s="12">
        <f>MOD(EC53-1+LaunchMonth-1,12)+1</f>
        <v/>
      </c>
      <c r="EE53" s="12">
        <f>INT((EC53-1+LaunchMonth-1)/12)+1</f>
        <v/>
      </c>
      <c r="EF53" s="12">
        <f>VLOOKUP(ED53,SeasonTable,2,FALSE)</f>
        <v/>
      </c>
      <c r="EG53" s="12">
        <f>(1+InflationRate)^INT((EC53-1)/12)</f>
        <v/>
      </c>
      <c r="EH53" s="11">
        <f>'Sens - Churn'!$A$13*VLOOKUP(ED53,ChurnSeasonTable,4,FALSE)</f>
        <v/>
      </c>
      <c r="EI53" s="12">
        <f>MIN(MAX(MktMin19plus,FC52*MktPct19plus),MAX(0,FQ52-CashBuffer))</f>
        <v/>
      </c>
      <c r="EJ53" s="12">
        <f>IF(EI53&gt;0,MAX(1,ROUND(EI53/CAC*EF53,0)),0)</f>
        <v/>
      </c>
      <c r="EK53" s="12">
        <f>IF(EJ53&gt;0,ROUND(EJ53*ReferralMix/(1-ReferralMix),0),0)</f>
        <v/>
      </c>
      <c r="EL53" s="12">
        <f>EJ53+EK53</f>
        <v/>
      </c>
      <c r="EM53" s="12">
        <f>ROUND(EL53*(1-AnnualMix),0)</f>
        <v/>
      </c>
      <c r="EN53" s="12">
        <f>EL53-EM53</f>
        <v/>
      </c>
      <c r="EO53" s="12">
        <f>ROUND(EM53*EssentialMix,0)</f>
        <v/>
      </c>
      <c r="EP53" s="12">
        <f>EM53-EO53</f>
        <v/>
      </c>
      <c r="EQ53" s="12">
        <f>ROUND(EN53*EssentialMix,0)</f>
        <v/>
      </c>
      <c r="ER53" s="12">
        <f>EN53-EQ53</f>
        <v/>
      </c>
      <c r="ES53" s="12">
        <f>EO53+EO52+EO51+MAX(0,ES52-EO52-EO51)*(1-EH53)</f>
        <v/>
      </c>
      <c r="ET53" s="12">
        <f>EP53+EP52+EP51+MAX(0,ET52-EP52-EP51)*(1-EH53)</f>
        <v/>
      </c>
      <c r="EU53" s="12">
        <f>EU52+EQ53-EQ41*(AnnualChurn*VLOOKUP(ED53,ChurnSeasonTable,4,FALSE))*POWER(1-(AnnualChurn*VLOOKUP(ED53,ChurnSeasonTable,4,FALSE)),0)+EQ29*(AnnualChurn*VLOOKUP(ED53,ChurnSeasonTable,4,FALSE))*POWER(1-(AnnualChurn*VLOOKUP(ED53,ChurnSeasonTable,4,FALSE)),1)+EQ17*(AnnualChurn*VLOOKUP(ED53,ChurnSeasonTable,4,FALSE))*POWER(1-(AnnualChurn*VLOOKUP(ED53,ChurnSeasonTable,4,FALSE)),2)+EQ5*(AnnualChurn*VLOOKUP(ED53,ChurnSeasonTable,4,FALSE))*POWER(1-(AnnualChurn*VLOOKUP(ED53,ChurnSeasonTable,4,FALSE)),3)</f>
        <v/>
      </c>
      <c r="EV53" s="12">
        <f>EV52+ER53-ER41*(AnnualChurn*VLOOKUP(ED53,ChurnSeasonTable,4,FALSE))*POWER(1-(AnnualChurn*VLOOKUP(ED53,ChurnSeasonTable,4,FALSE)),0)+ER29*(AnnualChurn*VLOOKUP(ED53,ChurnSeasonTable,4,FALSE))*POWER(1-(AnnualChurn*VLOOKUP(ED53,ChurnSeasonTable,4,FALSE)),1)+ER17*(AnnualChurn*VLOOKUP(ED53,ChurnSeasonTable,4,FALSE))*POWER(1-(AnnualChurn*VLOOKUP(ED53,ChurnSeasonTable,4,FALSE)),2)+ER5*(AnnualChurn*VLOOKUP(ED53,ChurnSeasonTable,4,FALSE))*POWER(1-(AnnualChurn*VLOOKUP(ED53,ChurnSeasonTable,4,FALSE)),3)</f>
        <v/>
      </c>
      <c r="EW53" s="12">
        <f>ES53+ET53+EU53+EV53</f>
        <v/>
      </c>
      <c r="EX53" s="9">
        <f>ES53*PriceEssMonthly*EG53+ET53*PricePremMonthly*EG53+EU53*PriceEssAnnual*EG53/12+EV53*PricePremAnnual*EG53/12</f>
        <v/>
      </c>
      <c r="EY53" s="9">
        <f>EX53*12</f>
        <v/>
      </c>
      <c r="EZ53" s="12">
        <f>ES53*PriceEssMonthly*EG53+ET53*PricePremMonthly*EG53</f>
        <v/>
      </c>
      <c r="FA53" s="12">
        <f>EQ53*PriceEssAnnual*EG53+ER53*PricePremAnnual*EG53</f>
        <v/>
      </c>
      <c r="FB53" s="12">
        <f>EQ41*POWER(1-(AnnualChurn*VLOOKUP(ED53,ChurnSeasonTable,4,FALSE)),1)*PriceEssAnnual*EG53+EQ29*POWER(1-(AnnualChurn*VLOOKUP(ED53,ChurnSeasonTable,4,FALSE)),2)*PriceEssAnnual*EG53+EQ17*POWER(1-(AnnualChurn*VLOOKUP(ED53,ChurnSeasonTable,4,FALSE)),3)*PriceEssAnnual*EG53+EQ5*POWER(1-(AnnualChurn*VLOOKUP(ED53,ChurnSeasonTable,4,FALSE)),4)*PriceEssAnnual*EG53+ER41*POWER(1-(AnnualChurn*VLOOKUP(ED53,ChurnSeasonTable,4,FALSE)),1)*PricePremAnnual*EG53+ER29*POWER(1-(AnnualChurn*VLOOKUP(ED53,ChurnSeasonTable,4,FALSE)),2)*PricePremAnnual*EG53+ER17*POWER(1-(AnnualChurn*VLOOKUP(ED53,ChurnSeasonTable,4,FALSE)),3)*PricePremAnnual*EG53+ER5*POWER(1-(AnnualChurn*VLOOKUP(ED53,ChurnSeasonTable,4,FALSE)),4)*PricePremAnnual*EG53</f>
        <v/>
      </c>
      <c r="FC53" s="9">
        <f>EZ53+FA53+FB53</f>
        <v/>
      </c>
      <c r="FD53" s="12">
        <f>SUM(FC42:FC53)</f>
        <v/>
      </c>
      <c r="FE53" s="12">
        <f>OR(FE52,FD53&gt;=VATThreshold)</f>
        <v/>
      </c>
      <c r="FF53" s="9">
        <f>IF(FE53,FC53/(1+VATRate),FC53)</f>
        <v/>
      </c>
      <c r="FG53" s="12">
        <f>FC53-FF53</f>
        <v/>
      </c>
      <c r="FH53" s="12">
        <f>IF(FE53=0,0,IF(ED53=1,SUMPRODUCT(--(($EE$5:$EE53=$EE53-1)*($ED$5:$ED53&gt;=10)*($ED$5:$ED53&lt;=12)),$FG$5:$FG53),IF(ED53=4,SUMPRODUCT(--(($EE$5:$EE53=$EE53)*($ED$5:$ED53&gt;=1)*($ED$5:$ED53&lt;=3)),$FG$5:$FG53),IF(ED53=7,SUMPRODUCT(--(($EE$5:$EE53=$EE53)*($ED$5:$ED53&gt;=4)*($ED$5:$ED53&lt;=6)),$FG$5:$FG53),IF(ED53=10,SUMPRODUCT(--(($EE$5:$EE53=$EE53)*($ED$5:$ED53&gt;=7)*($ED$5:$ED53&lt;=9)),$FG$5:$FG53),0)))))</f>
        <v/>
      </c>
      <c r="FI53" s="12">
        <f>FI52+FG53-FH53</f>
        <v/>
      </c>
      <c r="FJ53" s="12">
        <f>IF(ProviderDelay&gt;=1,FF52*ProviderShare,FF53*ProviderShare)</f>
        <v/>
      </c>
      <c r="FK53" s="12">
        <f>FC53*PaymentFee</f>
        <v/>
      </c>
      <c r="FL53" s="12">
        <f>EW53*OpsAI</f>
        <v/>
      </c>
      <c r="FM53" s="12">
        <f>MonthlyFixed</f>
        <v/>
      </c>
      <c r="FN53" s="12">
        <f>EK53*ReferralReward</f>
        <v/>
      </c>
      <c r="FO53" s="12">
        <f>EI53</f>
        <v/>
      </c>
      <c r="FP53" s="9">
        <f>FF53-FJ53-FK53-FL53-FM53-FN53-FO53</f>
        <v/>
      </c>
      <c r="FQ53" s="9">
        <f>FQ52+FC53-(FJ53+FK53+FL53+FM53+FN53+FO53+FH53)</f>
        <v/>
      </c>
      <c r="FR53" s="12">
        <f>IF(EW53&gt;0,EX53/EW53,0)</f>
        <v/>
      </c>
      <c r="FS53" s="11">
        <f>IF(EW52&gt;0,MAX(0,(EW52+EL53-EW53)/EW52),0)</f>
        <v/>
      </c>
      <c r="FU53" s="12" t="n">
        <v>49</v>
      </c>
      <c r="FV53" s="12">
        <f>MOD(FU53-1+LaunchMonth-1,12)+1</f>
        <v/>
      </c>
      <c r="FW53" s="12">
        <f>INT((FU53-1+LaunchMonth-1)/12)+1</f>
        <v/>
      </c>
      <c r="FX53" s="12">
        <f>VLOOKUP(FV53,SeasonTable,2,FALSE)</f>
        <v/>
      </c>
      <c r="FY53" s="12">
        <f>(1+InflationRate)^INT((FU53-1)/12)</f>
        <v/>
      </c>
      <c r="FZ53" s="11">
        <f>'Sens - Churn'!$A$14*VLOOKUP(FV53,ChurnSeasonTable,4,FALSE)</f>
        <v/>
      </c>
      <c r="GA53" s="12">
        <f>MIN(MAX(MktMin19plus,GU52*MktPct19plus),MAX(0,HI52-CashBuffer))</f>
        <v/>
      </c>
      <c r="GB53" s="12">
        <f>IF(GA53&gt;0,MAX(1,ROUND(GA53/CAC*FX53,0)),0)</f>
        <v/>
      </c>
      <c r="GC53" s="12">
        <f>IF(GB53&gt;0,ROUND(GB53*ReferralMix/(1-ReferralMix),0),0)</f>
        <v/>
      </c>
      <c r="GD53" s="12">
        <f>GB53+GC53</f>
        <v/>
      </c>
      <c r="GE53" s="12">
        <f>ROUND(GD53*(1-AnnualMix),0)</f>
        <v/>
      </c>
      <c r="GF53" s="12">
        <f>GD53-GE53</f>
        <v/>
      </c>
      <c r="GG53" s="12">
        <f>ROUND(GE53*EssentialMix,0)</f>
        <v/>
      </c>
      <c r="GH53" s="12">
        <f>GE53-GG53</f>
        <v/>
      </c>
      <c r="GI53" s="12">
        <f>ROUND(GF53*EssentialMix,0)</f>
        <v/>
      </c>
      <c r="GJ53" s="12">
        <f>GF53-GI53</f>
        <v/>
      </c>
      <c r="GK53" s="12">
        <f>GG53+GG52+GG51+MAX(0,GK52-GG52-GG51)*(1-FZ53)</f>
        <v/>
      </c>
      <c r="GL53" s="12">
        <f>GH53+GH52+GH51+MAX(0,GL52-GH52-GH51)*(1-FZ53)</f>
        <v/>
      </c>
      <c r="GM53" s="12">
        <f>GM52+GI53-GI41*(AnnualChurn*VLOOKUP(FV53,ChurnSeasonTable,4,FALSE))*POWER(1-(AnnualChurn*VLOOKUP(FV53,ChurnSeasonTable,4,FALSE)),0)+GI29*(AnnualChurn*VLOOKUP(FV53,ChurnSeasonTable,4,FALSE))*POWER(1-(AnnualChurn*VLOOKUP(FV53,ChurnSeasonTable,4,FALSE)),1)+GI17*(AnnualChurn*VLOOKUP(FV53,ChurnSeasonTable,4,FALSE))*POWER(1-(AnnualChurn*VLOOKUP(FV53,ChurnSeasonTable,4,FALSE)),2)+GI5*(AnnualChurn*VLOOKUP(FV53,ChurnSeasonTable,4,FALSE))*POWER(1-(AnnualChurn*VLOOKUP(FV53,ChurnSeasonTable,4,FALSE)),3)</f>
        <v/>
      </c>
      <c r="GN53" s="12">
        <f>GN52+GJ53-GJ41*(AnnualChurn*VLOOKUP(FV53,ChurnSeasonTable,4,FALSE))*POWER(1-(AnnualChurn*VLOOKUP(FV53,ChurnSeasonTable,4,FALSE)),0)+GJ29*(AnnualChurn*VLOOKUP(FV53,ChurnSeasonTable,4,FALSE))*POWER(1-(AnnualChurn*VLOOKUP(FV53,ChurnSeasonTable,4,FALSE)),1)+GJ17*(AnnualChurn*VLOOKUP(FV53,ChurnSeasonTable,4,FALSE))*POWER(1-(AnnualChurn*VLOOKUP(FV53,ChurnSeasonTable,4,FALSE)),2)+GJ5*(AnnualChurn*VLOOKUP(FV53,ChurnSeasonTable,4,FALSE))*POWER(1-(AnnualChurn*VLOOKUP(FV53,ChurnSeasonTable,4,FALSE)),3)</f>
        <v/>
      </c>
      <c r="GO53" s="12">
        <f>GK53+GL53+GM53+GN53</f>
        <v/>
      </c>
      <c r="GP53" s="9">
        <f>GK53*PriceEssMonthly*FY53+GL53*PricePremMonthly*FY53+GM53*PriceEssAnnual*FY53/12+GN53*PricePremAnnual*FY53/12</f>
        <v/>
      </c>
      <c r="GQ53" s="9">
        <f>GP53*12</f>
        <v/>
      </c>
      <c r="GR53" s="12">
        <f>GK53*PriceEssMonthly*FY53+GL53*PricePremMonthly*FY53</f>
        <v/>
      </c>
      <c r="GS53" s="12">
        <f>GI53*PriceEssAnnual*FY53+GJ53*PricePremAnnual*FY53</f>
        <v/>
      </c>
      <c r="GT53" s="12">
        <f>GI41*POWER(1-(AnnualChurn*VLOOKUP(FV53,ChurnSeasonTable,4,FALSE)),1)*PriceEssAnnual*FY53+GI29*POWER(1-(AnnualChurn*VLOOKUP(FV53,ChurnSeasonTable,4,FALSE)),2)*PriceEssAnnual*FY53+GI17*POWER(1-(AnnualChurn*VLOOKUP(FV53,ChurnSeasonTable,4,FALSE)),3)*PriceEssAnnual*FY53+GI5*POWER(1-(AnnualChurn*VLOOKUP(FV53,ChurnSeasonTable,4,FALSE)),4)*PriceEssAnnual*FY53+GJ41*POWER(1-(AnnualChurn*VLOOKUP(FV53,ChurnSeasonTable,4,FALSE)),1)*PricePremAnnual*FY53+GJ29*POWER(1-(AnnualChurn*VLOOKUP(FV53,ChurnSeasonTable,4,FALSE)),2)*PricePremAnnual*FY53+GJ17*POWER(1-(AnnualChurn*VLOOKUP(FV53,ChurnSeasonTable,4,FALSE)),3)*PricePremAnnual*FY53+GJ5*POWER(1-(AnnualChurn*VLOOKUP(FV53,ChurnSeasonTable,4,FALSE)),4)*PricePremAnnual*FY53</f>
        <v/>
      </c>
      <c r="GU53" s="9">
        <f>GR53+GS53+GT53</f>
        <v/>
      </c>
      <c r="GV53" s="12">
        <f>SUM(GU42:GU53)</f>
        <v/>
      </c>
      <c r="GW53" s="12">
        <f>OR(GW52,GV53&gt;=VATThreshold)</f>
        <v/>
      </c>
      <c r="GX53" s="9">
        <f>IF(GW53,GU53/(1+VATRate),GU53)</f>
        <v/>
      </c>
      <c r="GY53" s="12">
        <f>GU53-GX53</f>
        <v/>
      </c>
      <c r="GZ53" s="12">
        <f>IF(GW53=0,0,IF(FV53=1,SUMPRODUCT(--(($FW$5:$FW53=$FW53-1)*($FV$5:$FV53&gt;=10)*($FV$5:$FV53&lt;=12)),$GY$5:$GY53),IF(FV53=4,SUMPRODUCT(--(($FW$5:$FW53=$FW53)*($FV$5:$FV53&gt;=1)*($FV$5:$FV53&lt;=3)),$GY$5:$GY53),IF(FV53=7,SUMPRODUCT(--(($FW$5:$FW53=$FW53)*($FV$5:$FV53&gt;=4)*($FV$5:$FV53&lt;=6)),$GY$5:$GY53),IF(FV53=10,SUMPRODUCT(--(($FW$5:$FW53=$FW53)*($FV$5:$FV53&gt;=7)*($FV$5:$FV53&lt;=9)),$GY$5:$GY53),0)))))</f>
        <v/>
      </c>
      <c r="HA53" s="12">
        <f>HA52+GY53-GZ53</f>
        <v/>
      </c>
      <c r="HB53" s="12">
        <f>IF(ProviderDelay&gt;=1,GX52*ProviderShare,GX53*ProviderShare)</f>
        <v/>
      </c>
      <c r="HC53" s="12">
        <f>GU53*PaymentFee</f>
        <v/>
      </c>
      <c r="HD53" s="12">
        <f>GO53*OpsAI</f>
        <v/>
      </c>
      <c r="HE53" s="12">
        <f>MonthlyFixed</f>
        <v/>
      </c>
      <c r="HF53" s="12">
        <f>GC53*ReferralReward</f>
        <v/>
      </c>
      <c r="HG53" s="12">
        <f>GA53</f>
        <v/>
      </c>
      <c r="HH53" s="9">
        <f>GX53-HB53-HC53-HD53-HE53-HF53-HG53</f>
        <v/>
      </c>
      <c r="HI53" s="9">
        <f>HI52+GU53-(HB53+HC53+HD53+HE53+HF53+HG53+GZ53)</f>
        <v/>
      </c>
      <c r="HJ53" s="12">
        <f>IF(GO53&gt;0,GP53/GO53,0)</f>
        <v/>
      </c>
      <c r="HK53" s="11">
        <f>IF(GO52&gt;0,MAX(0,(GO52+GD53-GO53)/GO52),0)</f>
        <v/>
      </c>
      <c r="HM53" s="12" t="n">
        <v>49</v>
      </c>
      <c r="HN53" s="12">
        <f>MOD(HM53-1+LaunchMonth-1,12)+1</f>
        <v/>
      </c>
      <c r="HO53" s="12">
        <f>INT((HM53-1+LaunchMonth-1)/12)+1</f>
        <v/>
      </c>
      <c r="HP53" s="12">
        <f>VLOOKUP(HN53,SeasonTable,2,FALSE)</f>
        <v/>
      </c>
      <c r="HQ53" s="12">
        <f>(1+InflationRate)^INT((HM53-1)/12)</f>
        <v/>
      </c>
      <c r="HR53" s="11">
        <f>'Sens - Churn'!$A$15*VLOOKUP(HN53,ChurnSeasonTable,4,FALSE)</f>
        <v/>
      </c>
      <c r="HS53" s="12">
        <f>MIN(MAX(MktMin19plus,IM52*MktPct19plus),MAX(0,JA52-CashBuffer))</f>
        <v/>
      </c>
      <c r="HT53" s="12">
        <f>IF(HS53&gt;0,MAX(1,ROUND(HS53/CAC*HP53,0)),0)</f>
        <v/>
      </c>
      <c r="HU53" s="12">
        <f>IF(HT53&gt;0,ROUND(HT53*ReferralMix/(1-ReferralMix),0),0)</f>
        <v/>
      </c>
      <c r="HV53" s="12">
        <f>HT53+HU53</f>
        <v/>
      </c>
      <c r="HW53" s="12">
        <f>ROUND(HV53*(1-AnnualMix),0)</f>
        <v/>
      </c>
      <c r="HX53" s="12">
        <f>HV53-HW53</f>
        <v/>
      </c>
      <c r="HY53" s="12">
        <f>ROUND(HW53*EssentialMix,0)</f>
        <v/>
      </c>
      <c r="HZ53" s="12">
        <f>HW53-HY53</f>
        <v/>
      </c>
      <c r="IA53" s="12">
        <f>ROUND(HX53*EssentialMix,0)</f>
        <v/>
      </c>
      <c r="IB53" s="12">
        <f>HX53-IA53</f>
        <v/>
      </c>
      <c r="IC53" s="12">
        <f>HY53+HY52+HY51+MAX(0,IC52-HY52-HY51)*(1-HR53)</f>
        <v/>
      </c>
      <c r="ID53" s="12">
        <f>HZ53+HZ52+HZ51+MAX(0,ID52-HZ52-HZ51)*(1-HR53)</f>
        <v/>
      </c>
      <c r="IE53" s="12">
        <f>IE52+IA53-IA41*(AnnualChurn*VLOOKUP(HN53,ChurnSeasonTable,4,FALSE))*POWER(1-(AnnualChurn*VLOOKUP(HN53,ChurnSeasonTable,4,FALSE)),0)+IA29*(AnnualChurn*VLOOKUP(HN53,ChurnSeasonTable,4,FALSE))*POWER(1-(AnnualChurn*VLOOKUP(HN53,ChurnSeasonTable,4,FALSE)),1)+IA17*(AnnualChurn*VLOOKUP(HN53,ChurnSeasonTable,4,FALSE))*POWER(1-(AnnualChurn*VLOOKUP(HN53,ChurnSeasonTable,4,FALSE)),2)+IA5*(AnnualChurn*VLOOKUP(HN53,ChurnSeasonTable,4,FALSE))*POWER(1-(AnnualChurn*VLOOKUP(HN53,ChurnSeasonTable,4,FALSE)),3)</f>
        <v/>
      </c>
      <c r="IF53" s="12">
        <f>IF52+IB53-IB41*(AnnualChurn*VLOOKUP(HN53,ChurnSeasonTable,4,FALSE))*POWER(1-(AnnualChurn*VLOOKUP(HN53,ChurnSeasonTable,4,FALSE)),0)+IB29*(AnnualChurn*VLOOKUP(HN53,ChurnSeasonTable,4,FALSE))*POWER(1-(AnnualChurn*VLOOKUP(HN53,ChurnSeasonTable,4,FALSE)),1)+IB17*(AnnualChurn*VLOOKUP(HN53,ChurnSeasonTable,4,FALSE))*POWER(1-(AnnualChurn*VLOOKUP(HN53,ChurnSeasonTable,4,FALSE)),2)+IB5*(AnnualChurn*VLOOKUP(HN53,ChurnSeasonTable,4,FALSE))*POWER(1-(AnnualChurn*VLOOKUP(HN53,ChurnSeasonTable,4,FALSE)),3)</f>
        <v/>
      </c>
      <c r="IG53" s="12">
        <f>IC53+ID53+IE53+IF53</f>
        <v/>
      </c>
      <c r="IH53" s="9">
        <f>IC53*PriceEssMonthly*HQ53+ID53*PricePremMonthly*HQ53+IE53*PriceEssAnnual*HQ53/12+IF53*PricePremAnnual*HQ53/12</f>
        <v/>
      </c>
      <c r="II53" s="9">
        <f>IH53*12</f>
        <v/>
      </c>
      <c r="IJ53" s="12">
        <f>IC53*PriceEssMonthly*HQ53+ID53*PricePremMonthly*HQ53</f>
        <v/>
      </c>
      <c r="IK53" s="12">
        <f>IA53*PriceEssAnnual*HQ53+IB53*PricePremAnnual*HQ53</f>
        <v/>
      </c>
      <c r="IL53" s="12">
        <f>IA41*POWER(1-(AnnualChurn*VLOOKUP(HN53,ChurnSeasonTable,4,FALSE)),1)*PriceEssAnnual*HQ53+IA29*POWER(1-(AnnualChurn*VLOOKUP(HN53,ChurnSeasonTable,4,FALSE)),2)*PriceEssAnnual*HQ53+IA17*POWER(1-(AnnualChurn*VLOOKUP(HN53,ChurnSeasonTable,4,FALSE)),3)*PriceEssAnnual*HQ53+IA5*POWER(1-(AnnualChurn*VLOOKUP(HN53,ChurnSeasonTable,4,FALSE)),4)*PriceEssAnnual*HQ53+IB41*POWER(1-(AnnualChurn*VLOOKUP(HN53,ChurnSeasonTable,4,FALSE)),1)*PricePremAnnual*HQ53+IB29*POWER(1-(AnnualChurn*VLOOKUP(HN53,ChurnSeasonTable,4,FALSE)),2)*PricePremAnnual*HQ53+IB17*POWER(1-(AnnualChurn*VLOOKUP(HN53,ChurnSeasonTable,4,FALSE)),3)*PricePremAnnual*HQ53+IB5*POWER(1-(AnnualChurn*VLOOKUP(HN53,ChurnSeasonTable,4,FALSE)),4)*PricePremAnnual*HQ53</f>
        <v/>
      </c>
      <c r="IM53" s="9">
        <f>IJ53+IK53+IL53</f>
        <v/>
      </c>
      <c r="IN53" s="12">
        <f>SUM(IM42:IM53)</f>
        <v/>
      </c>
      <c r="IO53" s="12">
        <f>OR(IO52,IN53&gt;=VATThreshold)</f>
        <v/>
      </c>
      <c r="IP53" s="9">
        <f>IF(IO53,IM53/(1+VATRate),IM53)</f>
        <v/>
      </c>
      <c r="IQ53" s="12">
        <f>IM53-IP53</f>
        <v/>
      </c>
      <c r="IR53" s="12">
        <f>IF(IO53=0,0,IF(HN53=1,SUMPRODUCT(--(($HO$5:$HO53=$HO53-1)*($HN$5:$HN53&gt;=10)*($HN$5:$HN53&lt;=12)),$IQ$5:$IQ53),IF(HN53=4,SUMPRODUCT(--(($HO$5:$HO53=$HO53)*($HN$5:$HN53&gt;=1)*($HN$5:$HN53&lt;=3)),$IQ$5:$IQ53),IF(HN53=7,SUMPRODUCT(--(($HO$5:$HO53=$HO53)*($HN$5:$HN53&gt;=4)*($HN$5:$HN53&lt;=6)),$IQ$5:$IQ53),IF(HN53=10,SUMPRODUCT(--(($HO$5:$HO53=$HO53)*($HN$5:$HN53&gt;=7)*($HN$5:$HN53&lt;=9)),$IQ$5:$IQ53),0)))))</f>
        <v/>
      </c>
      <c r="IS53" s="12">
        <f>IS52+IQ53-IR53</f>
        <v/>
      </c>
      <c r="IT53" s="12">
        <f>IF(ProviderDelay&gt;=1,IP52*ProviderShare,IP53*ProviderShare)</f>
        <v/>
      </c>
      <c r="IU53" s="12">
        <f>IM53*PaymentFee</f>
        <v/>
      </c>
      <c r="IV53" s="12">
        <f>IG53*OpsAI</f>
        <v/>
      </c>
      <c r="IW53" s="12">
        <f>MonthlyFixed</f>
        <v/>
      </c>
      <c r="IX53" s="12">
        <f>HU53*ReferralReward</f>
        <v/>
      </c>
      <c r="IY53" s="12">
        <f>HS53</f>
        <v/>
      </c>
      <c r="IZ53" s="9">
        <f>IP53-IT53-IU53-IV53-IW53-IX53-IY53</f>
        <v/>
      </c>
      <c r="JA53" s="9">
        <f>JA52+IM53-(IT53+IU53+IV53+IW53+IX53+IY53+IR53)</f>
        <v/>
      </c>
      <c r="JB53" s="12">
        <f>IF(IG53&gt;0,IH53/IG53,0)</f>
        <v/>
      </c>
      <c r="JC53" s="11">
        <f>IF(IG52&gt;0,MAX(0,(IG52+HV53-IG53)/IG52),0)</f>
        <v/>
      </c>
      <c r="JE53" s="12" t="n">
        <v>49</v>
      </c>
      <c r="JF53" s="12">
        <f>MOD(JE53-1+LaunchMonth-1,12)+1</f>
        <v/>
      </c>
      <c r="JG53" s="12">
        <f>INT((JE53-1+LaunchMonth-1)/12)+1</f>
        <v/>
      </c>
      <c r="JH53" s="12">
        <f>VLOOKUP(JF53,SeasonTable,2,FALSE)</f>
        <v/>
      </c>
      <c r="JI53" s="12">
        <f>(1+InflationRate)^INT((JE53-1)/12)</f>
        <v/>
      </c>
      <c r="JJ53" s="11">
        <f>'Sens - Churn'!$A$16*VLOOKUP(JF53,ChurnSeasonTable,4,FALSE)</f>
        <v/>
      </c>
      <c r="JK53" s="12">
        <f>MIN(MAX(MktMin19plus,KE52*MktPct19plus),MAX(0,KS52-CashBuffer))</f>
        <v/>
      </c>
      <c r="JL53" s="12">
        <f>IF(JK53&gt;0,MAX(1,ROUND(JK53/CAC*JH53,0)),0)</f>
        <v/>
      </c>
      <c r="JM53" s="12">
        <f>IF(JL53&gt;0,ROUND(JL53*ReferralMix/(1-ReferralMix),0),0)</f>
        <v/>
      </c>
      <c r="JN53" s="12">
        <f>JL53+JM53</f>
        <v/>
      </c>
      <c r="JO53" s="12">
        <f>ROUND(JN53*(1-AnnualMix),0)</f>
        <v/>
      </c>
      <c r="JP53" s="12">
        <f>JN53-JO53</f>
        <v/>
      </c>
      <c r="JQ53" s="12">
        <f>ROUND(JO53*EssentialMix,0)</f>
        <v/>
      </c>
      <c r="JR53" s="12">
        <f>JO53-JQ53</f>
        <v/>
      </c>
      <c r="JS53" s="12">
        <f>ROUND(JP53*EssentialMix,0)</f>
        <v/>
      </c>
      <c r="JT53" s="12">
        <f>JP53-JS53</f>
        <v/>
      </c>
      <c r="JU53" s="12">
        <f>JQ53+JQ52+JQ51+MAX(0,JU52-JQ52-JQ51)*(1-JJ53)</f>
        <v/>
      </c>
      <c r="JV53" s="12">
        <f>JR53+JR52+JR51+MAX(0,JV52-JR52-JR51)*(1-JJ53)</f>
        <v/>
      </c>
      <c r="JW53" s="12">
        <f>JW52+JS53-JS41*(AnnualChurn*VLOOKUP(JF53,ChurnSeasonTable,4,FALSE))*POWER(1-(AnnualChurn*VLOOKUP(JF53,ChurnSeasonTable,4,FALSE)),0)+JS29*(AnnualChurn*VLOOKUP(JF53,ChurnSeasonTable,4,FALSE))*POWER(1-(AnnualChurn*VLOOKUP(JF53,ChurnSeasonTable,4,FALSE)),1)+JS17*(AnnualChurn*VLOOKUP(JF53,ChurnSeasonTable,4,FALSE))*POWER(1-(AnnualChurn*VLOOKUP(JF53,ChurnSeasonTable,4,FALSE)),2)+JS5*(AnnualChurn*VLOOKUP(JF53,ChurnSeasonTable,4,FALSE))*POWER(1-(AnnualChurn*VLOOKUP(JF53,ChurnSeasonTable,4,FALSE)),3)</f>
        <v/>
      </c>
      <c r="JX53" s="12">
        <f>JX52+JT53-JT41*(AnnualChurn*VLOOKUP(JF53,ChurnSeasonTable,4,FALSE))*POWER(1-(AnnualChurn*VLOOKUP(JF53,ChurnSeasonTable,4,FALSE)),0)+JT29*(AnnualChurn*VLOOKUP(JF53,ChurnSeasonTable,4,FALSE))*POWER(1-(AnnualChurn*VLOOKUP(JF53,ChurnSeasonTable,4,FALSE)),1)+JT17*(AnnualChurn*VLOOKUP(JF53,ChurnSeasonTable,4,FALSE))*POWER(1-(AnnualChurn*VLOOKUP(JF53,ChurnSeasonTable,4,FALSE)),2)+JT5*(AnnualChurn*VLOOKUP(JF53,ChurnSeasonTable,4,FALSE))*POWER(1-(AnnualChurn*VLOOKUP(JF53,ChurnSeasonTable,4,FALSE)),3)</f>
        <v/>
      </c>
      <c r="JY53" s="12">
        <f>JU53+JV53+JW53+JX53</f>
        <v/>
      </c>
      <c r="JZ53" s="9">
        <f>JU53*PriceEssMonthly*JI53+JV53*PricePremMonthly*JI53+JW53*PriceEssAnnual*JI53/12+JX53*PricePremAnnual*JI53/12</f>
        <v/>
      </c>
      <c r="KA53" s="9">
        <f>JZ53*12</f>
        <v/>
      </c>
      <c r="KB53" s="12">
        <f>JU53*PriceEssMonthly*JI53+JV53*PricePremMonthly*JI53</f>
        <v/>
      </c>
      <c r="KC53" s="12">
        <f>JS53*PriceEssAnnual*JI53+JT53*PricePremAnnual*JI53</f>
        <v/>
      </c>
      <c r="KD53" s="12">
        <f>JS41*POWER(1-(AnnualChurn*VLOOKUP(JF53,ChurnSeasonTable,4,FALSE)),1)*PriceEssAnnual*JI53+JS29*POWER(1-(AnnualChurn*VLOOKUP(JF53,ChurnSeasonTable,4,FALSE)),2)*PriceEssAnnual*JI53+JS17*POWER(1-(AnnualChurn*VLOOKUP(JF53,ChurnSeasonTable,4,FALSE)),3)*PriceEssAnnual*JI53+JS5*POWER(1-(AnnualChurn*VLOOKUP(JF53,ChurnSeasonTable,4,FALSE)),4)*PriceEssAnnual*JI53+JT41*POWER(1-(AnnualChurn*VLOOKUP(JF53,ChurnSeasonTable,4,FALSE)),1)*PricePremAnnual*JI53+JT29*POWER(1-(AnnualChurn*VLOOKUP(JF53,ChurnSeasonTable,4,FALSE)),2)*PricePremAnnual*JI53+JT17*POWER(1-(AnnualChurn*VLOOKUP(JF53,ChurnSeasonTable,4,FALSE)),3)*PricePremAnnual*JI53+JT5*POWER(1-(AnnualChurn*VLOOKUP(JF53,ChurnSeasonTable,4,FALSE)),4)*PricePremAnnual*JI53</f>
        <v/>
      </c>
      <c r="KE53" s="9">
        <f>KB53+KC53+KD53</f>
        <v/>
      </c>
      <c r="KF53" s="12">
        <f>SUM(KE42:KE53)</f>
        <v/>
      </c>
      <c r="KG53" s="12">
        <f>OR(KG52,KF53&gt;=VATThreshold)</f>
        <v/>
      </c>
      <c r="KH53" s="9">
        <f>IF(KG53,KE53/(1+VATRate),KE53)</f>
        <v/>
      </c>
      <c r="KI53" s="12">
        <f>KE53-KH53</f>
        <v/>
      </c>
      <c r="KJ53" s="12">
        <f>IF(KG53=0,0,IF(JF53=1,SUMPRODUCT(--(($JG$5:$JG53=$JG53-1)*($JF$5:$JF53&gt;=10)*($JF$5:$JF53&lt;=12)),$KI$5:$KI53),IF(JF53=4,SUMPRODUCT(--(($JG$5:$JG53=$JG53)*($JF$5:$JF53&gt;=1)*($JF$5:$JF53&lt;=3)),$KI$5:$KI53),IF(JF53=7,SUMPRODUCT(--(($JG$5:$JG53=$JG53)*($JF$5:$JF53&gt;=4)*($JF$5:$JF53&lt;=6)),$KI$5:$KI53),IF(JF53=10,SUMPRODUCT(--(($JG$5:$JG53=$JG53)*($JF$5:$JF53&gt;=7)*($JF$5:$JF53&lt;=9)),$KI$5:$KI53),0)))))</f>
        <v/>
      </c>
      <c r="KK53" s="12">
        <f>KK52+KI53-KJ53</f>
        <v/>
      </c>
      <c r="KL53" s="12">
        <f>IF(ProviderDelay&gt;=1,KH52*ProviderShare,KH53*ProviderShare)</f>
        <v/>
      </c>
      <c r="KM53" s="12">
        <f>KE53*PaymentFee</f>
        <v/>
      </c>
      <c r="KN53" s="12">
        <f>JY53*OpsAI</f>
        <v/>
      </c>
      <c r="KO53" s="12">
        <f>MonthlyFixed</f>
        <v/>
      </c>
      <c r="KP53" s="12">
        <f>JM53*ReferralReward</f>
        <v/>
      </c>
      <c r="KQ53" s="12">
        <f>JK53</f>
        <v/>
      </c>
      <c r="KR53" s="9">
        <f>KH53-KL53-KM53-KN53-KO53-KP53-KQ53</f>
        <v/>
      </c>
      <c r="KS53" s="9">
        <f>KS52+KE53-(KL53+KM53+KN53+KO53+KP53+KQ53+KJ53)</f>
        <v/>
      </c>
      <c r="KT53" s="12">
        <f>IF(JY53&gt;0,JZ53/JY53,0)</f>
        <v/>
      </c>
      <c r="KU53" s="11">
        <f>IF(JY52&gt;0,MAX(0,(JY52+JN53-JY53)/JY52),0)</f>
        <v/>
      </c>
      <c r="KW53" s="12" t="n">
        <v>49</v>
      </c>
      <c r="KX53" s="12">
        <f>MOD(KW53-1+LaunchMonth-1,12)+1</f>
        <v/>
      </c>
      <c r="KY53" s="12">
        <f>INT((KW53-1+LaunchMonth-1)/12)+1</f>
        <v/>
      </c>
      <c r="KZ53" s="12">
        <f>VLOOKUP(KX53,SeasonTable,2,FALSE)</f>
        <v/>
      </c>
      <c r="LA53" s="12">
        <f>(1+InflationRate)^INT((KW53-1)/12)</f>
        <v/>
      </c>
      <c r="LB53" s="11">
        <f>'Sens - Churn'!$A$17*VLOOKUP(KX53,ChurnSeasonTable,4,FALSE)</f>
        <v/>
      </c>
      <c r="LC53" s="12">
        <f>MIN(MAX(MktMin19plus,LW52*MktPct19plus),MAX(0,MK52-CashBuffer))</f>
        <v/>
      </c>
      <c r="LD53" s="12">
        <f>IF(LC53&gt;0,MAX(1,ROUND(LC53/CAC*KZ53,0)),0)</f>
        <v/>
      </c>
      <c r="LE53" s="12">
        <f>IF(LD53&gt;0,ROUND(LD53*ReferralMix/(1-ReferralMix),0),0)</f>
        <v/>
      </c>
      <c r="LF53" s="12">
        <f>LD53+LE53</f>
        <v/>
      </c>
      <c r="LG53" s="12">
        <f>ROUND(LF53*(1-AnnualMix),0)</f>
        <v/>
      </c>
      <c r="LH53" s="12">
        <f>LF53-LG53</f>
        <v/>
      </c>
      <c r="LI53" s="12">
        <f>ROUND(LG53*EssentialMix,0)</f>
        <v/>
      </c>
      <c r="LJ53" s="12">
        <f>LG53-LI53</f>
        <v/>
      </c>
      <c r="LK53" s="12">
        <f>ROUND(LH53*EssentialMix,0)</f>
        <v/>
      </c>
      <c r="LL53" s="12">
        <f>LH53-LK53</f>
        <v/>
      </c>
      <c r="LM53" s="12">
        <f>LI53+LI52+LI51+MAX(0,LM52-LI52-LI51)*(1-LB53)</f>
        <v/>
      </c>
      <c r="LN53" s="12">
        <f>LJ53+LJ52+LJ51+MAX(0,LN52-LJ52-LJ51)*(1-LB53)</f>
        <v/>
      </c>
      <c r="LO53" s="12">
        <f>LO52+LK53-LK41*(AnnualChurn*VLOOKUP(KX53,ChurnSeasonTable,4,FALSE))*POWER(1-(AnnualChurn*VLOOKUP(KX53,ChurnSeasonTable,4,FALSE)),0)+LK29*(AnnualChurn*VLOOKUP(KX53,ChurnSeasonTable,4,FALSE))*POWER(1-(AnnualChurn*VLOOKUP(KX53,ChurnSeasonTable,4,FALSE)),1)+LK17*(AnnualChurn*VLOOKUP(KX53,ChurnSeasonTable,4,FALSE))*POWER(1-(AnnualChurn*VLOOKUP(KX53,ChurnSeasonTable,4,FALSE)),2)+LK5*(AnnualChurn*VLOOKUP(KX53,ChurnSeasonTable,4,FALSE))*POWER(1-(AnnualChurn*VLOOKUP(KX53,ChurnSeasonTable,4,FALSE)),3)</f>
        <v/>
      </c>
      <c r="LP53" s="12">
        <f>LP52+LL53-LL41*(AnnualChurn*VLOOKUP(KX53,ChurnSeasonTable,4,FALSE))*POWER(1-(AnnualChurn*VLOOKUP(KX53,ChurnSeasonTable,4,FALSE)),0)+LL29*(AnnualChurn*VLOOKUP(KX53,ChurnSeasonTable,4,FALSE))*POWER(1-(AnnualChurn*VLOOKUP(KX53,ChurnSeasonTable,4,FALSE)),1)+LL17*(AnnualChurn*VLOOKUP(KX53,ChurnSeasonTable,4,FALSE))*POWER(1-(AnnualChurn*VLOOKUP(KX53,ChurnSeasonTable,4,FALSE)),2)+LL5*(AnnualChurn*VLOOKUP(KX53,ChurnSeasonTable,4,FALSE))*POWER(1-(AnnualChurn*VLOOKUP(KX53,ChurnSeasonTable,4,FALSE)),3)</f>
        <v/>
      </c>
      <c r="LQ53" s="12">
        <f>LM53+LN53+LO53+LP53</f>
        <v/>
      </c>
      <c r="LR53" s="9">
        <f>LM53*PriceEssMonthly*LA53+LN53*PricePremMonthly*LA53+LO53*PriceEssAnnual*LA53/12+LP53*PricePremAnnual*LA53/12</f>
        <v/>
      </c>
      <c r="LS53" s="9">
        <f>LR53*12</f>
        <v/>
      </c>
      <c r="LT53" s="12">
        <f>LM53*PriceEssMonthly*LA53+LN53*PricePremMonthly*LA53</f>
        <v/>
      </c>
      <c r="LU53" s="12">
        <f>LK53*PriceEssAnnual*LA53+LL53*PricePremAnnual*LA53</f>
        <v/>
      </c>
      <c r="LV53" s="12">
        <f>LK41*POWER(1-(AnnualChurn*VLOOKUP(KX53,ChurnSeasonTable,4,FALSE)),1)*PriceEssAnnual*LA53+LK29*POWER(1-(AnnualChurn*VLOOKUP(KX53,ChurnSeasonTable,4,FALSE)),2)*PriceEssAnnual*LA53+LK17*POWER(1-(AnnualChurn*VLOOKUP(KX53,ChurnSeasonTable,4,FALSE)),3)*PriceEssAnnual*LA53+LK5*POWER(1-(AnnualChurn*VLOOKUP(KX53,ChurnSeasonTable,4,FALSE)),4)*PriceEssAnnual*LA53+LL41*POWER(1-(AnnualChurn*VLOOKUP(KX53,ChurnSeasonTable,4,FALSE)),1)*PricePremAnnual*LA53+LL29*POWER(1-(AnnualChurn*VLOOKUP(KX53,ChurnSeasonTable,4,FALSE)),2)*PricePremAnnual*LA53+LL17*POWER(1-(AnnualChurn*VLOOKUP(KX53,ChurnSeasonTable,4,FALSE)),3)*PricePremAnnual*LA53+LL5*POWER(1-(AnnualChurn*VLOOKUP(KX53,ChurnSeasonTable,4,FALSE)),4)*PricePremAnnual*LA53</f>
        <v/>
      </c>
      <c r="LW53" s="9">
        <f>LT53+LU53+LV53</f>
        <v/>
      </c>
      <c r="LX53" s="12">
        <f>SUM(LW42:LW53)</f>
        <v/>
      </c>
      <c r="LY53" s="12">
        <f>OR(LY52,LX53&gt;=VATThreshold)</f>
        <v/>
      </c>
      <c r="LZ53" s="9">
        <f>IF(LY53,LW53/(1+VATRate),LW53)</f>
        <v/>
      </c>
      <c r="MA53" s="12">
        <f>LW53-LZ53</f>
        <v/>
      </c>
      <c r="MB53" s="12">
        <f>IF(LY53=0,0,IF(KX53=1,SUMPRODUCT(--(($KY$5:$KY53=$KY53-1)*($KX$5:$KX53&gt;=10)*($KX$5:$KX53&lt;=12)),$MA$5:$MA53),IF(KX53=4,SUMPRODUCT(--(($KY$5:$KY53=$KY53)*($KX$5:$KX53&gt;=1)*($KX$5:$KX53&lt;=3)),$MA$5:$MA53),IF(KX53=7,SUMPRODUCT(--(($KY$5:$KY53=$KY53)*($KX$5:$KX53&gt;=4)*($KX$5:$KX53&lt;=6)),$MA$5:$MA53),IF(KX53=10,SUMPRODUCT(--(($KY$5:$KY53=$KY53)*($KX$5:$KX53&gt;=7)*($KX$5:$KX53&lt;=9)),$MA$5:$MA53),0)))))</f>
        <v/>
      </c>
      <c r="MC53" s="12">
        <f>MC52+MA53-MB53</f>
        <v/>
      </c>
      <c r="MD53" s="12">
        <f>IF(ProviderDelay&gt;=1,LZ52*ProviderShare,LZ53*ProviderShare)</f>
        <v/>
      </c>
      <c r="ME53" s="12">
        <f>LW53*PaymentFee</f>
        <v/>
      </c>
      <c r="MF53" s="12">
        <f>LQ53*OpsAI</f>
        <v/>
      </c>
      <c r="MG53" s="12">
        <f>MonthlyFixed</f>
        <v/>
      </c>
      <c r="MH53" s="12">
        <f>LE53*ReferralReward</f>
        <v/>
      </c>
      <c r="MI53" s="12">
        <f>LC53</f>
        <v/>
      </c>
      <c r="MJ53" s="9">
        <f>LZ53-MD53-ME53-MF53-MG53-MH53-MI53</f>
        <v/>
      </c>
      <c r="MK53" s="9">
        <f>MK52+LW53-(MD53+ME53+MF53+MG53+MH53+MI53+MB53)</f>
        <v/>
      </c>
      <c r="ML53" s="12">
        <f>IF(LQ53&gt;0,LR53/LQ53,0)</f>
        <v/>
      </c>
      <c r="MM53" s="11">
        <f>IF(LQ52&gt;0,MAX(0,(LQ52+LF53-LQ53)/LQ52),0)</f>
        <v/>
      </c>
      <c r="MO53" s="12" t="n">
        <v>49</v>
      </c>
      <c r="MP53" s="12">
        <f>MOD(MO53-1+LaunchMonth-1,12)+1</f>
        <v/>
      </c>
      <c r="MQ53" s="12">
        <f>INT((MO53-1+LaunchMonth-1)/12)+1</f>
        <v/>
      </c>
      <c r="MR53" s="12">
        <f>VLOOKUP(MP53,SeasonTable,2,FALSE)</f>
        <v/>
      </c>
      <c r="MS53" s="12">
        <f>(1+InflationRate)^INT((MO53-1)/12)</f>
        <v/>
      </c>
      <c r="MT53" s="11">
        <f>'Sens - Churn'!$A$18*VLOOKUP(MP53,ChurnSeasonTable,4,FALSE)</f>
        <v/>
      </c>
      <c r="MU53" s="12">
        <f>MIN(MAX(MktMin19plus,NO52*MktPct19plus),MAX(0,OC52-CashBuffer))</f>
        <v/>
      </c>
      <c r="MV53" s="12">
        <f>IF(MU53&gt;0,MAX(1,ROUND(MU53/CAC*MR53,0)),0)</f>
        <v/>
      </c>
      <c r="MW53" s="12">
        <f>IF(MV53&gt;0,ROUND(MV53*ReferralMix/(1-ReferralMix),0),0)</f>
        <v/>
      </c>
      <c r="MX53" s="12">
        <f>MV53+MW53</f>
        <v/>
      </c>
      <c r="MY53" s="12">
        <f>ROUND(MX53*(1-AnnualMix),0)</f>
        <v/>
      </c>
      <c r="MZ53" s="12">
        <f>MX53-MY53</f>
        <v/>
      </c>
      <c r="NA53" s="12">
        <f>ROUND(MY53*EssentialMix,0)</f>
        <v/>
      </c>
      <c r="NB53" s="12">
        <f>MY53-NA53</f>
        <v/>
      </c>
      <c r="NC53" s="12">
        <f>ROUND(MZ53*EssentialMix,0)</f>
        <v/>
      </c>
      <c r="ND53" s="12">
        <f>MZ53-NC53</f>
        <v/>
      </c>
      <c r="NE53" s="12">
        <f>NA53+NA52+NA51+MAX(0,NE52-NA52-NA51)*(1-MT53)</f>
        <v/>
      </c>
      <c r="NF53" s="12">
        <f>NB53+NB52+NB51+MAX(0,NF52-NB52-NB51)*(1-MT53)</f>
        <v/>
      </c>
      <c r="NG53" s="12">
        <f>NG52+NC53-NC41*(AnnualChurn*VLOOKUP(MP53,ChurnSeasonTable,4,FALSE))*POWER(1-(AnnualChurn*VLOOKUP(MP53,ChurnSeasonTable,4,FALSE)),0)+NC29*(AnnualChurn*VLOOKUP(MP53,ChurnSeasonTable,4,FALSE))*POWER(1-(AnnualChurn*VLOOKUP(MP53,ChurnSeasonTable,4,FALSE)),1)+NC17*(AnnualChurn*VLOOKUP(MP53,ChurnSeasonTable,4,FALSE))*POWER(1-(AnnualChurn*VLOOKUP(MP53,ChurnSeasonTable,4,FALSE)),2)+NC5*(AnnualChurn*VLOOKUP(MP53,ChurnSeasonTable,4,FALSE))*POWER(1-(AnnualChurn*VLOOKUP(MP53,ChurnSeasonTable,4,FALSE)),3)</f>
        <v/>
      </c>
      <c r="NH53" s="12">
        <f>NH52+ND53-ND41*(AnnualChurn*VLOOKUP(MP53,ChurnSeasonTable,4,FALSE))*POWER(1-(AnnualChurn*VLOOKUP(MP53,ChurnSeasonTable,4,FALSE)),0)+ND29*(AnnualChurn*VLOOKUP(MP53,ChurnSeasonTable,4,FALSE))*POWER(1-(AnnualChurn*VLOOKUP(MP53,ChurnSeasonTable,4,FALSE)),1)+ND17*(AnnualChurn*VLOOKUP(MP53,ChurnSeasonTable,4,FALSE))*POWER(1-(AnnualChurn*VLOOKUP(MP53,ChurnSeasonTable,4,FALSE)),2)+ND5*(AnnualChurn*VLOOKUP(MP53,ChurnSeasonTable,4,FALSE))*POWER(1-(AnnualChurn*VLOOKUP(MP53,ChurnSeasonTable,4,FALSE)),3)</f>
        <v/>
      </c>
      <c r="NI53" s="12">
        <f>NE53+NF53+NG53+NH53</f>
        <v/>
      </c>
      <c r="NJ53" s="9">
        <f>NE53*PriceEssMonthly*MS53+NF53*PricePremMonthly*MS53+NG53*PriceEssAnnual*MS53/12+NH53*PricePremAnnual*MS53/12</f>
        <v/>
      </c>
      <c r="NK53" s="9">
        <f>NJ53*12</f>
        <v/>
      </c>
      <c r="NL53" s="12">
        <f>NE53*PriceEssMonthly*MS53+NF53*PricePremMonthly*MS53</f>
        <v/>
      </c>
      <c r="NM53" s="12">
        <f>NC53*PriceEssAnnual*MS53+ND53*PricePremAnnual*MS53</f>
        <v/>
      </c>
      <c r="NN53" s="12">
        <f>NC41*POWER(1-(AnnualChurn*VLOOKUP(MP53,ChurnSeasonTable,4,FALSE)),1)*PriceEssAnnual*MS53+NC29*POWER(1-(AnnualChurn*VLOOKUP(MP53,ChurnSeasonTable,4,FALSE)),2)*PriceEssAnnual*MS53+NC17*POWER(1-(AnnualChurn*VLOOKUP(MP53,ChurnSeasonTable,4,FALSE)),3)*PriceEssAnnual*MS53+NC5*POWER(1-(AnnualChurn*VLOOKUP(MP53,ChurnSeasonTable,4,FALSE)),4)*PriceEssAnnual*MS53+ND41*POWER(1-(AnnualChurn*VLOOKUP(MP53,ChurnSeasonTable,4,FALSE)),1)*PricePremAnnual*MS53+ND29*POWER(1-(AnnualChurn*VLOOKUP(MP53,ChurnSeasonTable,4,FALSE)),2)*PricePremAnnual*MS53+ND17*POWER(1-(AnnualChurn*VLOOKUP(MP53,ChurnSeasonTable,4,FALSE)),3)*PricePremAnnual*MS53+ND5*POWER(1-(AnnualChurn*VLOOKUP(MP53,ChurnSeasonTable,4,FALSE)),4)*PricePremAnnual*MS53</f>
        <v/>
      </c>
      <c r="NO53" s="9">
        <f>NL53+NM53+NN53</f>
        <v/>
      </c>
      <c r="NP53" s="12">
        <f>SUM(NO42:NO53)</f>
        <v/>
      </c>
      <c r="NQ53" s="12">
        <f>OR(NQ52,NP53&gt;=VATThreshold)</f>
        <v/>
      </c>
      <c r="NR53" s="9">
        <f>IF(NQ53,NO53/(1+VATRate),NO53)</f>
        <v/>
      </c>
      <c r="NS53" s="12">
        <f>NO53-NR53</f>
        <v/>
      </c>
      <c r="NT53" s="12">
        <f>IF(NQ53=0,0,IF(MP53=1,SUMPRODUCT(--(($MQ$5:$MQ53=$MQ53-1)*($MP$5:$MP53&gt;=10)*($MP$5:$MP53&lt;=12)),$NS$5:$NS53),IF(MP53=4,SUMPRODUCT(--(($MQ$5:$MQ53=$MQ53)*($MP$5:$MP53&gt;=1)*($MP$5:$MP53&lt;=3)),$NS$5:$NS53),IF(MP53=7,SUMPRODUCT(--(($MQ$5:$MQ53=$MQ53)*($MP$5:$MP53&gt;=4)*($MP$5:$MP53&lt;=6)),$NS$5:$NS53),IF(MP53=10,SUMPRODUCT(--(($MQ$5:$MQ53=$MQ53)*($MP$5:$MP53&gt;=7)*($MP$5:$MP53&lt;=9)),$NS$5:$NS53),0)))))</f>
        <v/>
      </c>
      <c r="NU53" s="12">
        <f>NU52+NS53-NT53</f>
        <v/>
      </c>
      <c r="NV53" s="12">
        <f>IF(ProviderDelay&gt;=1,NR52*ProviderShare,NR53*ProviderShare)</f>
        <v/>
      </c>
      <c r="NW53" s="12">
        <f>NO53*PaymentFee</f>
        <v/>
      </c>
      <c r="NX53" s="12">
        <f>NI53*OpsAI</f>
        <v/>
      </c>
      <c r="NY53" s="12">
        <f>MonthlyFixed</f>
        <v/>
      </c>
      <c r="NZ53" s="12">
        <f>MW53*ReferralReward</f>
        <v/>
      </c>
      <c r="OA53" s="12">
        <f>MU53</f>
        <v/>
      </c>
      <c r="OB53" s="9">
        <f>NR53-NV53-NW53-NX53-NY53-NZ53-OA53</f>
        <v/>
      </c>
      <c r="OC53" s="9">
        <f>OC52+NO53-(NV53+NW53+NX53+NY53+NZ53+OA53+NT53)</f>
        <v/>
      </c>
      <c r="OD53" s="12">
        <f>IF(NI53&gt;0,NJ53/NI53,0)</f>
        <v/>
      </c>
      <c r="OE53" s="11">
        <f>IF(NI52&gt;0,MAX(0,(NI52+MX53-NI53)/NI52),0)</f>
        <v/>
      </c>
      <c r="OG53" s="12" t="n">
        <v>49</v>
      </c>
      <c r="OH53" s="12">
        <f>MOD(OG53-1+LaunchMonth-1,12)+1</f>
        <v/>
      </c>
      <c r="OI53" s="12">
        <f>INT((OG53-1+LaunchMonth-1)/12)+1</f>
        <v/>
      </c>
      <c r="OJ53" s="12">
        <f>VLOOKUP(OH53,SeasonTable,2,FALSE)</f>
        <v/>
      </c>
      <c r="OK53" s="12">
        <f>(1+InflationRate)^INT((OG53-1)/12)</f>
        <v/>
      </c>
      <c r="OL53" s="11">
        <f>'Sens - Churn'!$A$19*VLOOKUP(OH53,ChurnSeasonTable,4,FALSE)</f>
        <v/>
      </c>
      <c r="OM53" s="12">
        <f>MIN(MAX(MktMin19plus,PG52*MktPct19plus),MAX(0,PU52-CashBuffer))</f>
        <v/>
      </c>
      <c r="ON53" s="12">
        <f>IF(OM53&gt;0,MAX(1,ROUND(OM53/CAC*OJ53,0)),0)</f>
        <v/>
      </c>
      <c r="OO53" s="12">
        <f>IF(ON53&gt;0,ROUND(ON53*ReferralMix/(1-ReferralMix),0),0)</f>
        <v/>
      </c>
      <c r="OP53" s="12">
        <f>ON53+OO53</f>
        <v/>
      </c>
      <c r="OQ53" s="12">
        <f>ROUND(OP53*(1-AnnualMix),0)</f>
        <v/>
      </c>
      <c r="OR53" s="12">
        <f>OP53-OQ53</f>
        <v/>
      </c>
      <c r="OS53" s="12">
        <f>ROUND(OQ53*EssentialMix,0)</f>
        <v/>
      </c>
      <c r="OT53" s="12">
        <f>OQ53-OS53</f>
        <v/>
      </c>
      <c r="OU53" s="12">
        <f>ROUND(OR53*EssentialMix,0)</f>
        <v/>
      </c>
      <c r="OV53" s="12">
        <f>OR53-OU53</f>
        <v/>
      </c>
      <c r="OW53" s="12">
        <f>OS53+OS52+OS51+MAX(0,OW52-OS52-OS51)*(1-OL53)</f>
        <v/>
      </c>
      <c r="OX53" s="12">
        <f>OT53+OT52+OT51+MAX(0,OX52-OT52-OT51)*(1-OL53)</f>
        <v/>
      </c>
      <c r="OY53" s="12">
        <f>OY52+OU53-OU41*(AnnualChurn*VLOOKUP(OH53,ChurnSeasonTable,4,FALSE))*POWER(1-(AnnualChurn*VLOOKUP(OH53,ChurnSeasonTable,4,FALSE)),0)+OU29*(AnnualChurn*VLOOKUP(OH53,ChurnSeasonTable,4,FALSE))*POWER(1-(AnnualChurn*VLOOKUP(OH53,ChurnSeasonTable,4,FALSE)),1)+OU17*(AnnualChurn*VLOOKUP(OH53,ChurnSeasonTable,4,FALSE))*POWER(1-(AnnualChurn*VLOOKUP(OH53,ChurnSeasonTable,4,FALSE)),2)+OU5*(AnnualChurn*VLOOKUP(OH53,ChurnSeasonTable,4,FALSE))*POWER(1-(AnnualChurn*VLOOKUP(OH53,ChurnSeasonTable,4,FALSE)),3)</f>
        <v/>
      </c>
      <c r="OZ53" s="12">
        <f>OZ52+OV53-OV41*(AnnualChurn*VLOOKUP(OH53,ChurnSeasonTable,4,FALSE))*POWER(1-(AnnualChurn*VLOOKUP(OH53,ChurnSeasonTable,4,FALSE)),0)+OV29*(AnnualChurn*VLOOKUP(OH53,ChurnSeasonTable,4,FALSE))*POWER(1-(AnnualChurn*VLOOKUP(OH53,ChurnSeasonTable,4,FALSE)),1)+OV17*(AnnualChurn*VLOOKUP(OH53,ChurnSeasonTable,4,FALSE))*POWER(1-(AnnualChurn*VLOOKUP(OH53,ChurnSeasonTable,4,FALSE)),2)+OV5*(AnnualChurn*VLOOKUP(OH53,ChurnSeasonTable,4,FALSE))*POWER(1-(AnnualChurn*VLOOKUP(OH53,ChurnSeasonTable,4,FALSE)),3)</f>
        <v/>
      </c>
      <c r="PA53" s="12">
        <f>OW53+OX53+OY53+OZ53</f>
        <v/>
      </c>
      <c r="PB53" s="9">
        <f>OW53*PriceEssMonthly*OK53+OX53*PricePremMonthly*OK53+OY53*PriceEssAnnual*OK53/12+OZ53*PricePremAnnual*OK53/12</f>
        <v/>
      </c>
      <c r="PC53" s="9">
        <f>PB53*12</f>
        <v/>
      </c>
      <c r="PD53" s="12">
        <f>OW53*PriceEssMonthly*OK53+OX53*PricePremMonthly*OK53</f>
        <v/>
      </c>
      <c r="PE53" s="12">
        <f>OU53*PriceEssAnnual*OK53+OV53*PricePremAnnual*OK53</f>
        <v/>
      </c>
      <c r="PF53" s="12">
        <f>OU41*POWER(1-(AnnualChurn*VLOOKUP(OH53,ChurnSeasonTable,4,FALSE)),1)*PriceEssAnnual*OK53+OU29*POWER(1-(AnnualChurn*VLOOKUP(OH53,ChurnSeasonTable,4,FALSE)),2)*PriceEssAnnual*OK53+OU17*POWER(1-(AnnualChurn*VLOOKUP(OH53,ChurnSeasonTable,4,FALSE)),3)*PriceEssAnnual*OK53+OU5*POWER(1-(AnnualChurn*VLOOKUP(OH53,ChurnSeasonTable,4,FALSE)),4)*PriceEssAnnual*OK53+OV41*POWER(1-(AnnualChurn*VLOOKUP(OH53,ChurnSeasonTable,4,FALSE)),1)*PricePremAnnual*OK53+OV29*POWER(1-(AnnualChurn*VLOOKUP(OH53,ChurnSeasonTable,4,FALSE)),2)*PricePremAnnual*OK53+OV17*POWER(1-(AnnualChurn*VLOOKUP(OH53,ChurnSeasonTable,4,FALSE)),3)*PricePremAnnual*OK53+OV5*POWER(1-(AnnualChurn*VLOOKUP(OH53,ChurnSeasonTable,4,FALSE)),4)*PricePremAnnual*OK53</f>
        <v/>
      </c>
      <c r="PG53" s="9">
        <f>PD53+PE53+PF53</f>
        <v/>
      </c>
      <c r="PH53" s="12">
        <f>SUM(PG42:PG53)</f>
        <v/>
      </c>
      <c r="PI53" s="12">
        <f>OR(PI52,PH53&gt;=VATThreshold)</f>
        <v/>
      </c>
      <c r="PJ53" s="9">
        <f>IF(PI53,PG53/(1+VATRate),PG53)</f>
        <v/>
      </c>
      <c r="PK53" s="12">
        <f>PG53-PJ53</f>
        <v/>
      </c>
      <c r="PL53" s="12">
        <f>IF(PI53=0,0,IF(OH53=1,SUMPRODUCT(--(($OI$5:$OI53=$OI53-1)*($OH$5:$OH53&gt;=10)*($OH$5:$OH53&lt;=12)),$PK$5:$PK53),IF(OH53=4,SUMPRODUCT(--(($OI$5:$OI53=$OI53)*($OH$5:$OH53&gt;=1)*($OH$5:$OH53&lt;=3)),$PK$5:$PK53),IF(OH53=7,SUMPRODUCT(--(($OI$5:$OI53=$OI53)*($OH$5:$OH53&gt;=4)*($OH$5:$OH53&lt;=6)),$PK$5:$PK53),IF(OH53=10,SUMPRODUCT(--(($OI$5:$OI53=$OI53)*($OH$5:$OH53&gt;=7)*($OH$5:$OH53&lt;=9)),$PK$5:$PK53),0)))))</f>
        <v/>
      </c>
      <c r="PM53" s="12">
        <f>PM52+PK53-PL53</f>
        <v/>
      </c>
      <c r="PN53" s="12">
        <f>IF(ProviderDelay&gt;=1,PJ52*ProviderShare,PJ53*ProviderShare)</f>
        <v/>
      </c>
      <c r="PO53" s="12">
        <f>PG53*PaymentFee</f>
        <v/>
      </c>
      <c r="PP53" s="12">
        <f>PA53*OpsAI</f>
        <v/>
      </c>
      <c r="PQ53" s="12">
        <f>MonthlyFixed</f>
        <v/>
      </c>
      <c r="PR53" s="12">
        <f>OO53*ReferralReward</f>
        <v/>
      </c>
      <c r="PS53" s="12">
        <f>OM53</f>
        <v/>
      </c>
      <c r="PT53" s="9">
        <f>PJ53-PN53-PO53-PP53-PQ53-PR53-PS53</f>
        <v/>
      </c>
      <c r="PU53" s="9">
        <f>PU52+PG53-(PN53+PO53+PP53+PQ53+PR53+PS53+PL53)</f>
        <v/>
      </c>
      <c r="PV53" s="12">
        <f>IF(PA53&gt;0,PB53/PA53,0)</f>
        <v/>
      </c>
      <c r="PW53" s="11">
        <f>IF(PA52&gt;0,MAX(0,(PA52+OP53-PA53)/PA52),0)</f>
        <v/>
      </c>
      <c r="PY53" s="12" t="n">
        <v>49</v>
      </c>
      <c r="PZ53" s="12">
        <f>MOD(PY53-1+LaunchMonth-1,12)+1</f>
        <v/>
      </c>
      <c r="QA53" s="12">
        <f>INT((PY53-1+LaunchMonth-1)/12)+1</f>
        <v/>
      </c>
      <c r="QB53" s="12">
        <f>VLOOKUP(PZ53,SeasonTable,2,FALSE)</f>
        <v/>
      </c>
      <c r="QC53" s="12">
        <f>(1+InflationRate)^INT((PY53-1)/12)</f>
        <v/>
      </c>
      <c r="QD53" s="11">
        <f>'Sens - Churn'!$A$20*VLOOKUP(PZ53,ChurnSeasonTable,4,FALSE)</f>
        <v/>
      </c>
      <c r="QE53" s="12">
        <f>MIN(MAX(MktMin19plus,QY52*MktPct19plus),MAX(0,RM52-CashBuffer))</f>
        <v/>
      </c>
      <c r="QF53" s="12">
        <f>IF(QE53&gt;0,MAX(1,ROUND(QE53/CAC*QB53,0)),0)</f>
        <v/>
      </c>
      <c r="QG53" s="12">
        <f>IF(QF53&gt;0,ROUND(QF53*ReferralMix/(1-ReferralMix),0),0)</f>
        <v/>
      </c>
      <c r="QH53" s="12">
        <f>QF53+QG53</f>
        <v/>
      </c>
      <c r="QI53" s="12">
        <f>ROUND(QH53*(1-AnnualMix),0)</f>
        <v/>
      </c>
      <c r="QJ53" s="12">
        <f>QH53-QI53</f>
        <v/>
      </c>
      <c r="QK53" s="12">
        <f>ROUND(QI53*EssentialMix,0)</f>
        <v/>
      </c>
      <c r="QL53" s="12">
        <f>QI53-QK53</f>
        <v/>
      </c>
      <c r="QM53" s="12">
        <f>ROUND(QJ53*EssentialMix,0)</f>
        <v/>
      </c>
      <c r="QN53" s="12">
        <f>QJ53-QM53</f>
        <v/>
      </c>
      <c r="QO53" s="12">
        <f>QK53+QK52+QK51+MAX(0,QO52-QK52-QK51)*(1-QD53)</f>
        <v/>
      </c>
      <c r="QP53" s="12">
        <f>QL53+QL52+QL51+MAX(0,QP52-QL52-QL51)*(1-QD53)</f>
        <v/>
      </c>
      <c r="QQ53" s="12">
        <f>QQ52+QM53-QM41*(AnnualChurn*VLOOKUP(PZ53,ChurnSeasonTable,4,FALSE))*POWER(1-(AnnualChurn*VLOOKUP(PZ53,ChurnSeasonTable,4,FALSE)),0)+QM29*(AnnualChurn*VLOOKUP(PZ53,ChurnSeasonTable,4,FALSE))*POWER(1-(AnnualChurn*VLOOKUP(PZ53,ChurnSeasonTable,4,FALSE)),1)+QM17*(AnnualChurn*VLOOKUP(PZ53,ChurnSeasonTable,4,FALSE))*POWER(1-(AnnualChurn*VLOOKUP(PZ53,ChurnSeasonTable,4,FALSE)),2)+QM5*(AnnualChurn*VLOOKUP(PZ53,ChurnSeasonTable,4,FALSE))*POWER(1-(AnnualChurn*VLOOKUP(PZ53,ChurnSeasonTable,4,FALSE)),3)</f>
        <v/>
      </c>
      <c r="QR53" s="12">
        <f>QR52+QN53-QN41*(AnnualChurn*VLOOKUP(PZ53,ChurnSeasonTable,4,FALSE))*POWER(1-(AnnualChurn*VLOOKUP(PZ53,ChurnSeasonTable,4,FALSE)),0)+QN29*(AnnualChurn*VLOOKUP(PZ53,ChurnSeasonTable,4,FALSE))*POWER(1-(AnnualChurn*VLOOKUP(PZ53,ChurnSeasonTable,4,FALSE)),1)+QN17*(AnnualChurn*VLOOKUP(PZ53,ChurnSeasonTable,4,FALSE))*POWER(1-(AnnualChurn*VLOOKUP(PZ53,ChurnSeasonTable,4,FALSE)),2)+QN5*(AnnualChurn*VLOOKUP(PZ53,ChurnSeasonTable,4,FALSE))*POWER(1-(AnnualChurn*VLOOKUP(PZ53,ChurnSeasonTable,4,FALSE)),3)</f>
        <v/>
      </c>
      <c r="QS53" s="12">
        <f>QO53+QP53+QQ53+QR53</f>
        <v/>
      </c>
      <c r="QT53" s="9">
        <f>QO53*PriceEssMonthly*QC53+QP53*PricePremMonthly*QC53+QQ53*PriceEssAnnual*QC53/12+QR53*PricePremAnnual*QC53/12</f>
        <v/>
      </c>
      <c r="QU53" s="9">
        <f>QT53*12</f>
        <v/>
      </c>
      <c r="QV53" s="12">
        <f>QO53*PriceEssMonthly*QC53+QP53*PricePremMonthly*QC53</f>
        <v/>
      </c>
      <c r="QW53" s="12">
        <f>QM53*PriceEssAnnual*QC53+QN53*PricePremAnnual*QC53</f>
        <v/>
      </c>
      <c r="QX53" s="12">
        <f>QM41*POWER(1-(AnnualChurn*VLOOKUP(PZ53,ChurnSeasonTable,4,FALSE)),1)*PriceEssAnnual*QC53+QM29*POWER(1-(AnnualChurn*VLOOKUP(PZ53,ChurnSeasonTable,4,FALSE)),2)*PriceEssAnnual*QC53+QM17*POWER(1-(AnnualChurn*VLOOKUP(PZ53,ChurnSeasonTable,4,FALSE)),3)*PriceEssAnnual*QC53+QM5*POWER(1-(AnnualChurn*VLOOKUP(PZ53,ChurnSeasonTable,4,FALSE)),4)*PriceEssAnnual*QC53+QN41*POWER(1-(AnnualChurn*VLOOKUP(PZ53,ChurnSeasonTable,4,FALSE)),1)*PricePremAnnual*QC53+QN29*POWER(1-(AnnualChurn*VLOOKUP(PZ53,ChurnSeasonTable,4,FALSE)),2)*PricePremAnnual*QC53+QN17*POWER(1-(AnnualChurn*VLOOKUP(PZ53,ChurnSeasonTable,4,FALSE)),3)*PricePremAnnual*QC53+QN5*POWER(1-(AnnualChurn*VLOOKUP(PZ53,ChurnSeasonTable,4,FALSE)),4)*PricePremAnnual*QC53</f>
        <v/>
      </c>
      <c r="QY53" s="9">
        <f>QV53+QW53+QX53</f>
        <v/>
      </c>
      <c r="QZ53" s="12">
        <f>SUM(QY42:QY53)</f>
        <v/>
      </c>
      <c r="RA53" s="12">
        <f>OR(RA52,QZ53&gt;=VATThreshold)</f>
        <v/>
      </c>
      <c r="RB53" s="9">
        <f>IF(RA53,QY53/(1+VATRate),QY53)</f>
        <v/>
      </c>
      <c r="RC53" s="12">
        <f>QY53-RB53</f>
        <v/>
      </c>
      <c r="RD53" s="12">
        <f>IF(RA53=0,0,IF(PZ53=1,SUMPRODUCT(--(($QA$5:$QA53=$QA53-1)*($PZ$5:$PZ53&gt;=10)*($PZ$5:$PZ53&lt;=12)),$RC$5:$RC53),IF(PZ53=4,SUMPRODUCT(--(($QA$5:$QA53=$QA53)*($PZ$5:$PZ53&gt;=1)*($PZ$5:$PZ53&lt;=3)),$RC$5:$RC53),IF(PZ53=7,SUMPRODUCT(--(($QA$5:$QA53=$QA53)*($PZ$5:$PZ53&gt;=4)*($PZ$5:$PZ53&lt;=6)),$RC$5:$RC53),IF(PZ53=10,SUMPRODUCT(--(($QA$5:$QA53=$QA53)*($PZ$5:$PZ53&gt;=7)*($PZ$5:$PZ53&lt;=9)),$RC$5:$RC53),0)))))</f>
        <v/>
      </c>
      <c r="RE53" s="12">
        <f>RE52+RC53-RD53</f>
        <v/>
      </c>
      <c r="RF53" s="12">
        <f>IF(ProviderDelay&gt;=1,RB52*ProviderShare,RB53*ProviderShare)</f>
        <v/>
      </c>
      <c r="RG53" s="12">
        <f>QY53*PaymentFee</f>
        <v/>
      </c>
      <c r="RH53" s="12">
        <f>QS53*OpsAI</f>
        <v/>
      </c>
      <c r="RI53" s="12">
        <f>MonthlyFixed</f>
        <v/>
      </c>
      <c r="RJ53" s="12">
        <f>QG53*ReferralReward</f>
        <v/>
      </c>
      <c r="RK53" s="12">
        <f>QE53</f>
        <v/>
      </c>
      <c r="RL53" s="9">
        <f>RB53-RF53-RG53-RH53-RI53-RJ53-RK53</f>
        <v/>
      </c>
      <c r="RM53" s="9">
        <f>RM52+QY53-(RF53+RG53+RH53+RI53+RJ53+RK53+RD53)</f>
        <v/>
      </c>
      <c r="RN53" s="12">
        <f>IF(QS53&gt;0,QT53/QS53,0)</f>
        <v/>
      </c>
      <c r="RO53" s="11">
        <f>IF(QS52&gt;0,MAX(0,(QS52+QH53-QS53)/QS52),0)</f>
        <v/>
      </c>
      <c r="RQ53" s="12" t="n">
        <v>49</v>
      </c>
      <c r="RR53" s="12">
        <f>MOD(RQ53-1+LaunchMonth-1,12)+1</f>
        <v/>
      </c>
      <c r="RS53" s="12">
        <f>INT((RQ53-1+LaunchMonth-1)/12)+1</f>
        <v/>
      </c>
      <c r="RT53" s="12">
        <f>VLOOKUP(RR53,SeasonTable,2,FALSE)</f>
        <v/>
      </c>
      <c r="RU53" s="12">
        <f>(1+InflationRate)^INT((RQ53-1)/12)</f>
        <v/>
      </c>
      <c r="RV53" s="11">
        <f>'Sens - Churn'!$A$21*VLOOKUP(RR53,ChurnSeasonTable,4,FALSE)</f>
        <v/>
      </c>
      <c r="RW53" s="12">
        <f>MIN(MAX(MktMin19plus,SQ52*MktPct19plus),MAX(0,TE52-CashBuffer))</f>
        <v/>
      </c>
      <c r="RX53" s="12">
        <f>IF(RW53&gt;0,MAX(1,ROUND(RW53/CAC*RT53,0)),0)</f>
        <v/>
      </c>
      <c r="RY53" s="12">
        <f>IF(RX53&gt;0,ROUND(RX53*ReferralMix/(1-ReferralMix),0),0)</f>
        <v/>
      </c>
      <c r="RZ53" s="12">
        <f>RX53+RY53</f>
        <v/>
      </c>
      <c r="SA53" s="12">
        <f>ROUND(RZ53*(1-AnnualMix),0)</f>
        <v/>
      </c>
      <c r="SB53" s="12">
        <f>RZ53-SA53</f>
        <v/>
      </c>
      <c r="SC53" s="12">
        <f>ROUND(SA53*EssentialMix,0)</f>
        <v/>
      </c>
      <c r="SD53" s="12">
        <f>SA53-SC53</f>
        <v/>
      </c>
      <c r="SE53" s="12">
        <f>ROUND(SB53*EssentialMix,0)</f>
        <v/>
      </c>
      <c r="SF53" s="12">
        <f>SB53-SE53</f>
        <v/>
      </c>
      <c r="SG53" s="12">
        <f>SC53+SC52+SC51+MAX(0,SG52-SC52-SC51)*(1-RV53)</f>
        <v/>
      </c>
      <c r="SH53" s="12">
        <f>SD53+SD52+SD51+MAX(0,SH52-SD52-SD51)*(1-RV53)</f>
        <v/>
      </c>
      <c r="SI53" s="12">
        <f>SI52+SE53-SE41*(AnnualChurn*VLOOKUP(RR53,ChurnSeasonTable,4,FALSE))*POWER(1-(AnnualChurn*VLOOKUP(RR53,ChurnSeasonTable,4,FALSE)),0)+SE29*(AnnualChurn*VLOOKUP(RR53,ChurnSeasonTable,4,FALSE))*POWER(1-(AnnualChurn*VLOOKUP(RR53,ChurnSeasonTable,4,FALSE)),1)+SE17*(AnnualChurn*VLOOKUP(RR53,ChurnSeasonTable,4,FALSE))*POWER(1-(AnnualChurn*VLOOKUP(RR53,ChurnSeasonTable,4,FALSE)),2)+SE5*(AnnualChurn*VLOOKUP(RR53,ChurnSeasonTable,4,FALSE))*POWER(1-(AnnualChurn*VLOOKUP(RR53,ChurnSeasonTable,4,FALSE)),3)</f>
        <v/>
      </c>
      <c r="SJ53" s="12">
        <f>SJ52+SF53-SF41*(AnnualChurn*VLOOKUP(RR53,ChurnSeasonTable,4,FALSE))*POWER(1-(AnnualChurn*VLOOKUP(RR53,ChurnSeasonTable,4,FALSE)),0)+SF29*(AnnualChurn*VLOOKUP(RR53,ChurnSeasonTable,4,FALSE))*POWER(1-(AnnualChurn*VLOOKUP(RR53,ChurnSeasonTable,4,FALSE)),1)+SF17*(AnnualChurn*VLOOKUP(RR53,ChurnSeasonTable,4,FALSE))*POWER(1-(AnnualChurn*VLOOKUP(RR53,ChurnSeasonTable,4,FALSE)),2)+SF5*(AnnualChurn*VLOOKUP(RR53,ChurnSeasonTable,4,FALSE))*POWER(1-(AnnualChurn*VLOOKUP(RR53,ChurnSeasonTable,4,FALSE)),3)</f>
        <v/>
      </c>
      <c r="SK53" s="12">
        <f>SG53+SH53+SI53+SJ53</f>
        <v/>
      </c>
      <c r="SL53" s="9">
        <f>SG53*PriceEssMonthly*RU53+SH53*PricePremMonthly*RU53+SI53*PriceEssAnnual*RU53/12+SJ53*PricePremAnnual*RU53/12</f>
        <v/>
      </c>
      <c r="SM53" s="9">
        <f>SL53*12</f>
        <v/>
      </c>
      <c r="SN53" s="12">
        <f>SG53*PriceEssMonthly*RU53+SH53*PricePremMonthly*RU53</f>
        <v/>
      </c>
      <c r="SO53" s="12">
        <f>SE53*PriceEssAnnual*RU53+SF53*PricePremAnnual*RU53</f>
        <v/>
      </c>
      <c r="SP53" s="12">
        <f>SE41*POWER(1-(AnnualChurn*VLOOKUP(RR53,ChurnSeasonTable,4,FALSE)),1)*PriceEssAnnual*RU53+SE29*POWER(1-(AnnualChurn*VLOOKUP(RR53,ChurnSeasonTable,4,FALSE)),2)*PriceEssAnnual*RU53+SE17*POWER(1-(AnnualChurn*VLOOKUP(RR53,ChurnSeasonTable,4,FALSE)),3)*PriceEssAnnual*RU53+SE5*POWER(1-(AnnualChurn*VLOOKUP(RR53,ChurnSeasonTable,4,FALSE)),4)*PriceEssAnnual*RU53+SF41*POWER(1-(AnnualChurn*VLOOKUP(RR53,ChurnSeasonTable,4,FALSE)),1)*PricePremAnnual*RU53+SF29*POWER(1-(AnnualChurn*VLOOKUP(RR53,ChurnSeasonTable,4,FALSE)),2)*PricePremAnnual*RU53+SF17*POWER(1-(AnnualChurn*VLOOKUP(RR53,ChurnSeasonTable,4,FALSE)),3)*PricePremAnnual*RU53+SF5*POWER(1-(AnnualChurn*VLOOKUP(RR53,ChurnSeasonTable,4,FALSE)),4)*PricePremAnnual*RU53</f>
        <v/>
      </c>
      <c r="SQ53" s="9">
        <f>SN53+SO53+SP53</f>
        <v/>
      </c>
      <c r="SR53" s="12">
        <f>SUM(SQ42:SQ53)</f>
        <v/>
      </c>
      <c r="SS53" s="12">
        <f>OR(SS52,SR53&gt;=VATThreshold)</f>
        <v/>
      </c>
      <c r="ST53" s="9">
        <f>IF(SS53,SQ53/(1+VATRate),SQ53)</f>
        <v/>
      </c>
      <c r="SU53" s="12">
        <f>SQ53-ST53</f>
        <v/>
      </c>
      <c r="SV53" s="12">
        <f>IF(SS53=0,0,IF(RR53=1,SUMPRODUCT(--(($RS$5:$RS53=$RS53-1)*($RR$5:$RR53&gt;=10)*($RR$5:$RR53&lt;=12)),$SU$5:$SU53),IF(RR53=4,SUMPRODUCT(--(($RS$5:$RS53=$RS53)*($RR$5:$RR53&gt;=1)*($RR$5:$RR53&lt;=3)),$SU$5:$SU53),IF(RR53=7,SUMPRODUCT(--(($RS$5:$RS53=$RS53)*($RR$5:$RR53&gt;=4)*($RR$5:$RR53&lt;=6)),$SU$5:$SU53),IF(RR53=10,SUMPRODUCT(--(($RS$5:$RS53=$RS53)*($RR$5:$RR53&gt;=7)*($RR$5:$RR53&lt;=9)),$SU$5:$SU53),0)))))</f>
        <v/>
      </c>
      <c r="SW53" s="12">
        <f>SW52+SU53-SV53</f>
        <v/>
      </c>
      <c r="SX53" s="12">
        <f>IF(ProviderDelay&gt;=1,ST52*ProviderShare,ST53*ProviderShare)</f>
        <v/>
      </c>
      <c r="SY53" s="12">
        <f>SQ53*PaymentFee</f>
        <v/>
      </c>
      <c r="SZ53" s="12">
        <f>SK53*OpsAI</f>
        <v/>
      </c>
      <c r="TA53" s="12">
        <f>MonthlyFixed</f>
        <v/>
      </c>
      <c r="TB53" s="12">
        <f>RY53*ReferralReward</f>
        <v/>
      </c>
      <c r="TC53" s="12">
        <f>RW53</f>
        <v/>
      </c>
      <c r="TD53" s="9">
        <f>ST53-SX53-SY53-SZ53-TA53-TB53-TC53</f>
        <v/>
      </c>
      <c r="TE53" s="9">
        <f>TE52+SQ53-(SX53+SY53+SZ53+TA53+TB53+TC53+SV53)</f>
        <v/>
      </c>
      <c r="TF53" s="12">
        <f>IF(SK53&gt;0,SL53/SK53,0)</f>
        <v/>
      </c>
      <c r="TG53" s="11">
        <f>IF(SK52&gt;0,MAX(0,(SK52+RZ53-SK53)/SK52),0)</f>
        <v/>
      </c>
      <c r="TI53" s="12" t="n">
        <v>49</v>
      </c>
      <c r="TJ53" s="12">
        <f>MOD(TI53-1+LaunchMonth-1,12)+1</f>
        <v/>
      </c>
      <c r="TK53" s="12">
        <f>INT((TI53-1+LaunchMonth-1)/12)+1</f>
        <v/>
      </c>
      <c r="TL53" s="12">
        <f>VLOOKUP(TJ53,SeasonTable,2,FALSE)</f>
        <v/>
      </c>
      <c r="TM53" s="12">
        <f>(1+InflationRate)^INT((TI53-1)/12)</f>
        <v/>
      </c>
      <c r="TN53" s="11">
        <f>MonthlyChurn*VLOOKUP(TJ53,ChurnSeasonTable,4,FALSE)</f>
        <v/>
      </c>
      <c r="TO53" s="12">
        <f>MIN(MAX(MktMin19plus,UI52*MktPct19plus),MAX(0,UW52-CashBuffer))</f>
        <v/>
      </c>
      <c r="TP53" s="12">
        <f>IF(TO53&gt;0,MAX(1,ROUND(TO53/CAC*TL53,0)),0)</f>
        <v/>
      </c>
      <c r="TQ53" s="12">
        <f>IF(TP53&gt;0,ROUND(TP53*ReferralMix/(1-ReferralMix),0),0)</f>
        <v/>
      </c>
      <c r="TR53" s="12">
        <f>TP53+TQ53</f>
        <v/>
      </c>
      <c r="TS53" s="12">
        <f>ROUND(TR53*(1-'Sens - Annual Mix'!$A$9),0)</f>
        <v/>
      </c>
      <c r="TT53" s="12">
        <f>TR53-TS53</f>
        <v/>
      </c>
      <c r="TU53" s="12">
        <f>ROUND(TS53*EssentialMix,0)</f>
        <v/>
      </c>
      <c r="TV53" s="12">
        <f>TS53-TU53</f>
        <v/>
      </c>
      <c r="TW53" s="12">
        <f>ROUND(TT53*EssentialMix,0)</f>
        <v/>
      </c>
      <c r="TX53" s="12">
        <f>TT53-TW53</f>
        <v/>
      </c>
      <c r="TY53" s="12">
        <f>TU53+TU52+TU51+MAX(0,TY52-TU52-TU51)*(1-TN53)</f>
        <v/>
      </c>
      <c r="TZ53" s="12">
        <f>TV53+TV52+TV51+MAX(0,TZ52-TV52-TV51)*(1-TN53)</f>
        <v/>
      </c>
      <c r="UA53" s="12">
        <f>UA52+TW53-TW41*(AnnualChurn*VLOOKUP(TJ53,ChurnSeasonTable,4,FALSE))*POWER(1-(AnnualChurn*VLOOKUP(TJ53,ChurnSeasonTable,4,FALSE)),0)+TW29*(AnnualChurn*VLOOKUP(TJ53,ChurnSeasonTable,4,FALSE))*POWER(1-(AnnualChurn*VLOOKUP(TJ53,ChurnSeasonTable,4,FALSE)),1)+TW17*(AnnualChurn*VLOOKUP(TJ53,ChurnSeasonTable,4,FALSE))*POWER(1-(AnnualChurn*VLOOKUP(TJ53,ChurnSeasonTable,4,FALSE)),2)+TW5*(AnnualChurn*VLOOKUP(TJ53,ChurnSeasonTable,4,FALSE))*POWER(1-(AnnualChurn*VLOOKUP(TJ53,ChurnSeasonTable,4,FALSE)),3)</f>
        <v/>
      </c>
      <c r="UB53" s="12">
        <f>UB52+TX53-TX41*(AnnualChurn*VLOOKUP(TJ53,ChurnSeasonTable,4,FALSE))*POWER(1-(AnnualChurn*VLOOKUP(TJ53,ChurnSeasonTable,4,FALSE)),0)+TX29*(AnnualChurn*VLOOKUP(TJ53,ChurnSeasonTable,4,FALSE))*POWER(1-(AnnualChurn*VLOOKUP(TJ53,ChurnSeasonTable,4,FALSE)),1)+TX17*(AnnualChurn*VLOOKUP(TJ53,ChurnSeasonTable,4,FALSE))*POWER(1-(AnnualChurn*VLOOKUP(TJ53,ChurnSeasonTable,4,FALSE)),2)+TX5*(AnnualChurn*VLOOKUP(TJ53,ChurnSeasonTable,4,FALSE))*POWER(1-(AnnualChurn*VLOOKUP(TJ53,ChurnSeasonTable,4,FALSE)),3)</f>
        <v/>
      </c>
      <c r="UC53" s="12">
        <f>TY53+TZ53+UA53+UB53</f>
        <v/>
      </c>
      <c r="UD53" s="9">
        <f>TY53*PriceEssMonthly*TM53+TZ53*PricePremMonthly*TM53+UA53*PriceEssAnnual*TM53/12+UB53*PricePremAnnual*TM53/12</f>
        <v/>
      </c>
      <c r="UE53" s="9">
        <f>UD53*12</f>
        <v/>
      </c>
      <c r="UF53" s="12">
        <f>TY53*PriceEssMonthly*TM53+TZ53*PricePremMonthly*TM53</f>
        <v/>
      </c>
      <c r="UG53" s="12">
        <f>TW53*PriceEssAnnual*TM53+TX53*PricePremAnnual*TM53</f>
        <v/>
      </c>
      <c r="UH53" s="12">
        <f>TW41*POWER(1-(AnnualChurn*VLOOKUP(TJ53,ChurnSeasonTable,4,FALSE)),1)*PriceEssAnnual*TM53+TW29*POWER(1-(AnnualChurn*VLOOKUP(TJ53,ChurnSeasonTable,4,FALSE)),2)*PriceEssAnnual*TM53+TW17*POWER(1-(AnnualChurn*VLOOKUP(TJ53,ChurnSeasonTable,4,FALSE)),3)*PriceEssAnnual*TM53+TW5*POWER(1-(AnnualChurn*VLOOKUP(TJ53,ChurnSeasonTable,4,FALSE)),4)*PriceEssAnnual*TM53+TX41*POWER(1-(AnnualChurn*VLOOKUP(TJ53,ChurnSeasonTable,4,FALSE)),1)*PricePremAnnual*TM53+TX29*POWER(1-(AnnualChurn*VLOOKUP(TJ53,ChurnSeasonTable,4,FALSE)),2)*PricePremAnnual*TM53+TX17*POWER(1-(AnnualChurn*VLOOKUP(TJ53,ChurnSeasonTable,4,FALSE)),3)*PricePremAnnual*TM53+TX5*POWER(1-(AnnualChurn*VLOOKUP(TJ53,ChurnSeasonTable,4,FALSE)),4)*PricePremAnnual*TM53</f>
        <v/>
      </c>
      <c r="UI53" s="9">
        <f>UF53+UG53+UH53</f>
        <v/>
      </c>
      <c r="UJ53" s="12">
        <f>SUM(UI42:UI53)</f>
        <v/>
      </c>
      <c r="UK53" s="12">
        <f>OR(UK52,UJ53&gt;=VATThreshold)</f>
        <v/>
      </c>
      <c r="UL53" s="9">
        <f>IF(UK53,UI53/(1+VATRate),UI53)</f>
        <v/>
      </c>
      <c r="UM53" s="12">
        <f>UI53-UL53</f>
        <v/>
      </c>
      <c r="UN53" s="12">
        <f>IF(UK53=0,0,IF(TJ53=1,SUMPRODUCT(--(($TK$5:$TK53=$TK53-1)*($TJ$5:$TJ53&gt;=10)*($TJ$5:$TJ53&lt;=12)),$UM$5:$UM53),IF(TJ53=4,SUMPRODUCT(--(($TK$5:$TK53=$TK53)*($TJ$5:$TJ53&gt;=1)*($TJ$5:$TJ53&lt;=3)),$UM$5:$UM53),IF(TJ53=7,SUMPRODUCT(--(($TK$5:$TK53=$TK53)*($TJ$5:$TJ53&gt;=4)*($TJ$5:$TJ53&lt;=6)),$UM$5:$UM53),IF(TJ53=10,SUMPRODUCT(--(($TK$5:$TK53=$TK53)*($TJ$5:$TJ53&gt;=7)*($TJ$5:$TJ53&lt;=9)),$UM$5:$UM53),0)))))</f>
        <v/>
      </c>
      <c r="UO53" s="12">
        <f>UO52+UM53-UN53</f>
        <v/>
      </c>
      <c r="UP53" s="12">
        <f>IF(ProviderDelay&gt;=1,UL52*ProviderShare,UL53*ProviderShare)</f>
        <v/>
      </c>
      <c r="UQ53" s="12">
        <f>UI53*PaymentFee</f>
        <v/>
      </c>
      <c r="UR53" s="12">
        <f>UC53*OpsAI</f>
        <v/>
      </c>
      <c r="US53" s="12">
        <f>MonthlyFixed</f>
        <v/>
      </c>
      <c r="UT53" s="12">
        <f>TQ53*ReferralReward</f>
        <v/>
      </c>
      <c r="UU53" s="12">
        <f>TO53</f>
        <v/>
      </c>
      <c r="UV53" s="9">
        <f>UL53-UP53-UQ53-UR53-US53-UT53-UU53</f>
        <v/>
      </c>
      <c r="UW53" s="9">
        <f>UW52+UI53-(UP53+UQ53+UR53+US53+UT53+UU53+UN53)</f>
        <v/>
      </c>
      <c r="UX53" s="12">
        <f>IF(UC53&gt;0,UD53/UC53,0)</f>
        <v/>
      </c>
      <c r="UY53" s="11">
        <f>IF(UC52&gt;0,MAX(0,(UC52+TR53-UC53)/UC52),0)</f>
        <v/>
      </c>
      <c r="VA53" s="12" t="n">
        <v>49</v>
      </c>
      <c r="VB53" s="12">
        <f>MOD(VA53-1+LaunchMonth-1,12)+1</f>
        <v/>
      </c>
      <c r="VC53" s="12">
        <f>INT((VA53-1+LaunchMonth-1)/12)+1</f>
        <v/>
      </c>
      <c r="VD53" s="12">
        <f>VLOOKUP(VB53,SeasonTable,2,FALSE)</f>
        <v/>
      </c>
      <c r="VE53" s="12">
        <f>(1+InflationRate)^INT((VA53-1)/12)</f>
        <v/>
      </c>
      <c r="VF53" s="11">
        <f>MonthlyChurn*VLOOKUP(VB53,ChurnSeasonTable,4,FALSE)</f>
        <v/>
      </c>
      <c r="VG53" s="12">
        <f>MIN(MAX(MktMin19plus,WA52*MktPct19plus),MAX(0,WO52-CashBuffer))</f>
        <v/>
      </c>
      <c r="VH53" s="12">
        <f>IF(VG53&gt;0,MAX(1,ROUND(VG53/CAC*VD53,0)),0)</f>
        <v/>
      </c>
      <c r="VI53" s="12">
        <f>IF(VH53&gt;0,ROUND(VH53*ReferralMix/(1-ReferralMix),0),0)</f>
        <v/>
      </c>
      <c r="VJ53" s="12">
        <f>VH53+VI53</f>
        <v/>
      </c>
      <c r="VK53" s="12">
        <f>ROUND(VJ53*(1-'Sens - Annual Mix'!$A$10),0)</f>
        <v/>
      </c>
      <c r="VL53" s="12">
        <f>VJ53-VK53</f>
        <v/>
      </c>
      <c r="VM53" s="12">
        <f>ROUND(VK53*EssentialMix,0)</f>
        <v/>
      </c>
      <c r="VN53" s="12">
        <f>VK53-VM53</f>
        <v/>
      </c>
      <c r="VO53" s="12">
        <f>ROUND(VL53*EssentialMix,0)</f>
        <v/>
      </c>
      <c r="VP53" s="12">
        <f>VL53-VO53</f>
        <v/>
      </c>
      <c r="VQ53" s="12">
        <f>VM53+VM52+VM51+MAX(0,VQ52-VM52-VM51)*(1-VF53)</f>
        <v/>
      </c>
      <c r="VR53" s="12">
        <f>VN53+VN52+VN51+MAX(0,VR52-VN52-VN51)*(1-VF53)</f>
        <v/>
      </c>
      <c r="VS53" s="12">
        <f>VS52+VO53-VO41*(AnnualChurn*VLOOKUP(VB53,ChurnSeasonTable,4,FALSE))*POWER(1-(AnnualChurn*VLOOKUP(VB53,ChurnSeasonTable,4,FALSE)),0)+VO29*(AnnualChurn*VLOOKUP(VB53,ChurnSeasonTable,4,FALSE))*POWER(1-(AnnualChurn*VLOOKUP(VB53,ChurnSeasonTable,4,FALSE)),1)+VO17*(AnnualChurn*VLOOKUP(VB53,ChurnSeasonTable,4,FALSE))*POWER(1-(AnnualChurn*VLOOKUP(VB53,ChurnSeasonTable,4,FALSE)),2)+VO5*(AnnualChurn*VLOOKUP(VB53,ChurnSeasonTable,4,FALSE))*POWER(1-(AnnualChurn*VLOOKUP(VB53,ChurnSeasonTable,4,FALSE)),3)</f>
        <v/>
      </c>
      <c r="VT53" s="12">
        <f>VT52+VP53-VP41*(AnnualChurn*VLOOKUP(VB53,ChurnSeasonTable,4,FALSE))*POWER(1-(AnnualChurn*VLOOKUP(VB53,ChurnSeasonTable,4,FALSE)),0)+VP29*(AnnualChurn*VLOOKUP(VB53,ChurnSeasonTable,4,FALSE))*POWER(1-(AnnualChurn*VLOOKUP(VB53,ChurnSeasonTable,4,FALSE)),1)+VP17*(AnnualChurn*VLOOKUP(VB53,ChurnSeasonTable,4,FALSE))*POWER(1-(AnnualChurn*VLOOKUP(VB53,ChurnSeasonTable,4,FALSE)),2)+VP5*(AnnualChurn*VLOOKUP(VB53,ChurnSeasonTable,4,FALSE))*POWER(1-(AnnualChurn*VLOOKUP(VB53,ChurnSeasonTable,4,FALSE)),3)</f>
        <v/>
      </c>
      <c r="VU53" s="12">
        <f>VQ53+VR53+VS53+VT53</f>
        <v/>
      </c>
      <c r="VV53" s="9">
        <f>VQ53*PriceEssMonthly*VE53+VR53*PricePremMonthly*VE53+VS53*PriceEssAnnual*VE53/12+VT53*PricePremAnnual*VE53/12</f>
        <v/>
      </c>
      <c r="VW53" s="9">
        <f>VV53*12</f>
        <v/>
      </c>
      <c r="VX53" s="12">
        <f>VQ53*PriceEssMonthly*VE53+VR53*PricePremMonthly*VE53</f>
        <v/>
      </c>
      <c r="VY53" s="12">
        <f>VO53*PriceEssAnnual*VE53+VP53*PricePremAnnual*VE53</f>
        <v/>
      </c>
      <c r="VZ53" s="12">
        <f>VO41*POWER(1-(AnnualChurn*VLOOKUP(VB53,ChurnSeasonTable,4,FALSE)),1)*PriceEssAnnual*VE53+VO29*POWER(1-(AnnualChurn*VLOOKUP(VB53,ChurnSeasonTable,4,FALSE)),2)*PriceEssAnnual*VE53+VO17*POWER(1-(AnnualChurn*VLOOKUP(VB53,ChurnSeasonTable,4,FALSE)),3)*PriceEssAnnual*VE53+VO5*POWER(1-(AnnualChurn*VLOOKUP(VB53,ChurnSeasonTable,4,FALSE)),4)*PriceEssAnnual*VE53+VP41*POWER(1-(AnnualChurn*VLOOKUP(VB53,ChurnSeasonTable,4,FALSE)),1)*PricePremAnnual*VE53+VP29*POWER(1-(AnnualChurn*VLOOKUP(VB53,ChurnSeasonTable,4,FALSE)),2)*PricePremAnnual*VE53+VP17*POWER(1-(AnnualChurn*VLOOKUP(VB53,ChurnSeasonTable,4,FALSE)),3)*PricePremAnnual*VE53+VP5*POWER(1-(AnnualChurn*VLOOKUP(VB53,ChurnSeasonTable,4,FALSE)),4)*PricePremAnnual*VE53</f>
        <v/>
      </c>
      <c r="WA53" s="9">
        <f>VX53+VY53+VZ53</f>
        <v/>
      </c>
      <c r="WB53" s="12">
        <f>SUM(WA42:WA53)</f>
        <v/>
      </c>
      <c r="WC53" s="12">
        <f>OR(WC52,WB53&gt;=VATThreshold)</f>
        <v/>
      </c>
      <c r="WD53" s="9">
        <f>IF(WC53,WA53/(1+VATRate),WA53)</f>
        <v/>
      </c>
      <c r="WE53" s="12">
        <f>WA53-WD53</f>
        <v/>
      </c>
      <c r="WF53" s="12">
        <f>IF(WC53=0,0,IF(VB53=1,SUMPRODUCT(--(($VC$5:$VC53=$VC53-1)*($VB$5:$VB53&gt;=10)*($VB$5:$VB53&lt;=12)),$WE$5:$WE53),IF(VB53=4,SUMPRODUCT(--(($VC$5:$VC53=$VC53)*($VB$5:$VB53&gt;=1)*($VB$5:$VB53&lt;=3)),$WE$5:$WE53),IF(VB53=7,SUMPRODUCT(--(($VC$5:$VC53=$VC53)*($VB$5:$VB53&gt;=4)*($VB$5:$VB53&lt;=6)),$WE$5:$WE53),IF(VB53=10,SUMPRODUCT(--(($VC$5:$VC53=$VC53)*($VB$5:$VB53&gt;=7)*($VB$5:$VB53&lt;=9)),$WE$5:$WE53),0)))))</f>
        <v/>
      </c>
      <c r="WG53" s="12">
        <f>WG52+WE53-WF53</f>
        <v/>
      </c>
      <c r="WH53" s="12">
        <f>IF(ProviderDelay&gt;=1,WD52*ProviderShare,WD53*ProviderShare)</f>
        <v/>
      </c>
      <c r="WI53" s="12">
        <f>WA53*PaymentFee</f>
        <v/>
      </c>
      <c r="WJ53" s="12">
        <f>VU53*OpsAI</f>
        <v/>
      </c>
      <c r="WK53" s="12">
        <f>MonthlyFixed</f>
        <v/>
      </c>
      <c r="WL53" s="12">
        <f>VI53*ReferralReward</f>
        <v/>
      </c>
      <c r="WM53" s="12">
        <f>VG53</f>
        <v/>
      </c>
      <c r="WN53" s="9">
        <f>WD53-WH53-WI53-WJ53-WK53-WL53-WM53</f>
        <v/>
      </c>
      <c r="WO53" s="9">
        <f>WO52+WA53-(WH53+WI53+WJ53+WK53+WL53+WM53+WF53)</f>
        <v/>
      </c>
      <c r="WP53" s="12">
        <f>IF(VU53&gt;0,VV53/VU53,0)</f>
        <v/>
      </c>
      <c r="WQ53" s="11">
        <f>IF(VU52&gt;0,MAX(0,(VU52+VJ53-VU53)/VU52),0)</f>
        <v/>
      </c>
      <c r="WS53" s="12" t="n">
        <v>49</v>
      </c>
      <c r="WT53" s="12">
        <f>MOD(WS53-1+LaunchMonth-1,12)+1</f>
        <v/>
      </c>
      <c r="WU53" s="12">
        <f>INT((WS53-1+LaunchMonth-1)/12)+1</f>
        <v/>
      </c>
      <c r="WV53" s="12">
        <f>VLOOKUP(WT53,SeasonTable,2,FALSE)</f>
        <v/>
      </c>
      <c r="WW53" s="12">
        <f>(1+InflationRate)^INT((WS53-1)/12)</f>
        <v/>
      </c>
      <c r="WX53" s="11">
        <f>MonthlyChurn*VLOOKUP(WT53,ChurnSeasonTable,4,FALSE)</f>
        <v/>
      </c>
      <c r="WY53" s="12">
        <f>MIN(MAX(MktMin19plus,XS52*MktPct19plus),MAX(0,YG52-CashBuffer))</f>
        <v/>
      </c>
      <c r="WZ53" s="12">
        <f>IF(WY53&gt;0,MAX(1,ROUND(WY53/CAC*WV53,0)),0)</f>
        <v/>
      </c>
      <c r="XA53" s="12">
        <f>IF(WZ53&gt;0,ROUND(WZ53*ReferralMix/(1-ReferralMix),0),0)</f>
        <v/>
      </c>
      <c r="XB53" s="12">
        <f>WZ53+XA53</f>
        <v/>
      </c>
      <c r="XC53" s="12">
        <f>ROUND(XB53*(1-'Sens - Annual Mix'!$A$11),0)</f>
        <v/>
      </c>
      <c r="XD53" s="12">
        <f>XB53-XC53</f>
        <v/>
      </c>
      <c r="XE53" s="12">
        <f>ROUND(XC53*EssentialMix,0)</f>
        <v/>
      </c>
      <c r="XF53" s="12">
        <f>XC53-XE53</f>
        <v/>
      </c>
      <c r="XG53" s="12">
        <f>ROUND(XD53*EssentialMix,0)</f>
        <v/>
      </c>
      <c r="XH53" s="12">
        <f>XD53-XG53</f>
        <v/>
      </c>
      <c r="XI53" s="12">
        <f>XE53+XE52+XE51+MAX(0,XI52-XE52-XE51)*(1-WX53)</f>
        <v/>
      </c>
      <c r="XJ53" s="12">
        <f>XF53+XF52+XF51+MAX(0,XJ52-XF52-XF51)*(1-WX53)</f>
        <v/>
      </c>
      <c r="XK53" s="12">
        <f>XK52+XG53-XG41*(AnnualChurn*VLOOKUP(WT53,ChurnSeasonTable,4,FALSE))*POWER(1-(AnnualChurn*VLOOKUP(WT53,ChurnSeasonTable,4,FALSE)),0)+XG29*(AnnualChurn*VLOOKUP(WT53,ChurnSeasonTable,4,FALSE))*POWER(1-(AnnualChurn*VLOOKUP(WT53,ChurnSeasonTable,4,FALSE)),1)+XG17*(AnnualChurn*VLOOKUP(WT53,ChurnSeasonTable,4,FALSE))*POWER(1-(AnnualChurn*VLOOKUP(WT53,ChurnSeasonTable,4,FALSE)),2)+XG5*(AnnualChurn*VLOOKUP(WT53,ChurnSeasonTable,4,FALSE))*POWER(1-(AnnualChurn*VLOOKUP(WT53,ChurnSeasonTable,4,FALSE)),3)</f>
        <v/>
      </c>
      <c r="XL53" s="12">
        <f>XL52+XH53-XH41*(AnnualChurn*VLOOKUP(WT53,ChurnSeasonTable,4,FALSE))*POWER(1-(AnnualChurn*VLOOKUP(WT53,ChurnSeasonTable,4,FALSE)),0)+XH29*(AnnualChurn*VLOOKUP(WT53,ChurnSeasonTable,4,FALSE))*POWER(1-(AnnualChurn*VLOOKUP(WT53,ChurnSeasonTable,4,FALSE)),1)+XH17*(AnnualChurn*VLOOKUP(WT53,ChurnSeasonTable,4,FALSE))*POWER(1-(AnnualChurn*VLOOKUP(WT53,ChurnSeasonTable,4,FALSE)),2)+XH5*(AnnualChurn*VLOOKUP(WT53,ChurnSeasonTable,4,FALSE))*POWER(1-(AnnualChurn*VLOOKUP(WT53,ChurnSeasonTable,4,FALSE)),3)</f>
        <v/>
      </c>
      <c r="XM53" s="12">
        <f>XI53+XJ53+XK53+XL53</f>
        <v/>
      </c>
      <c r="XN53" s="9">
        <f>XI53*PriceEssMonthly*WW53+XJ53*PricePremMonthly*WW53+XK53*PriceEssAnnual*WW53/12+XL53*PricePremAnnual*WW53/12</f>
        <v/>
      </c>
      <c r="XO53" s="9">
        <f>XN53*12</f>
        <v/>
      </c>
      <c r="XP53" s="12">
        <f>XI53*PriceEssMonthly*WW53+XJ53*PricePremMonthly*WW53</f>
        <v/>
      </c>
      <c r="XQ53" s="12">
        <f>XG53*PriceEssAnnual*WW53+XH53*PricePremAnnual*WW53</f>
        <v/>
      </c>
      <c r="XR53" s="12">
        <f>XG41*POWER(1-(AnnualChurn*VLOOKUP(WT53,ChurnSeasonTable,4,FALSE)),1)*PriceEssAnnual*WW53+XG29*POWER(1-(AnnualChurn*VLOOKUP(WT53,ChurnSeasonTable,4,FALSE)),2)*PriceEssAnnual*WW53+XG17*POWER(1-(AnnualChurn*VLOOKUP(WT53,ChurnSeasonTable,4,FALSE)),3)*PriceEssAnnual*WW53+XG5*POWER(1-(AnnualChurn*VLOOKUP(WT53,ChurnSeasonTable,4,FALSE)),4)*PriceEssAnnual*WW53+XH41*POWER(1-(AnnualChurn*VLOOKUP(WT53,ChurnSeasonTable,4,FALSE)),1)*PricePremAnnual*WW53+XH29*POWER(1-(AnnualChurn*VLOOKUP(WT53,ChurnSeasonTable,4,FALSE)),2)*PricePremAnnual*WW53+XH17*POWER(1-(AnnualChurn*VLOOKUP(WT53,ChurnSeasonTable,4,FALSE)),3)*PricePremAnnual*WW53+XH5*POWER(1-(AnnualChurn*VLOOKUP(WT53,ChurnSeasonTable,4,FALSE)),4)*PricePremAnnual*WW53</f>
        <v/>
      </c>
      <c r="XS53" s="9">
        <f>XP53+XQ53+XR53</f>
        <v/>
      </c>
      <c r="XT53" s="12">
        <f>SUM(XS42:XS53)</f>
        <v/>
      </c>
      <c r="XU53" s="12">
        <f>OR(XU52,XT53&gt;=VATThreshold)</f>
        <v/>
      </c>
      <c r="XV53" s="9">
        <f>IF(XU53,XS53/(1+VATRate),XS53)</f>
        <v/>
      </c>
      <c r="XW53" s="12">
        <f>XS53-XV53</f>
        <v/>
      </c>
      <c r="XX53" s="12">
        <f>IF(XU53=0,0,IF(WT53=1,SUMPRODUCT(--(($WU$5:$WU53=$WU53-1)*($WT$5:$WT53&gt;=10)*($WT$5:$WT53&lt;=12)),$XW$5:$XW53),IF(WT53=4,SUMPRODUCT(--(($WU$5:$WU53=$WU53)*($WT$5:$WT53&gt;=1)*($WT$5:$WT53&lt;=3)),$XW$5:$XW53),IF(WT53=7,SUMPRODUCT(--(($WU$5:$WU53=$WU53)*($WT$5:$WT53&gt;=4)*($WT$5:$WT53&lt;=6)),$XW$5:$XW53),IF(WT53=10,SUMPRODUCT(--(($WU$5:$WU53=$WU53)*($WT$5:$WT53&gt;=7)*($WT$5:$WT53&lt;=9)),$XW$5:$XW53),0)))))</f>
        <v/>
      </c>
      <c r="XY53" s="12">
        <f>XY52+XW53-XX53</f>
        <v/>
      </c>
      <c r="XZ53" s="12">
        <f>IF(ProviderDelay&gt;=1,XV52*ProviderShare,XV53*ProviderShare)</f>
        <v/>
      </c>
      <c r="YA53" s="12">
        <f>XS53*PaymentFee</f>
        <v/>
      </c>
      <c r="YB53" s="12">
        <f>XM53*OpsAI</f>
        <v/>
      </c>
      <c r="YC53" s="12">
        <f>MonthlyFixed</f>
        <v/>
      </c>
      <c r="YD53" s="12">
        <f>XA53*ReferralReward</f>
        <v/>
      </c>
      <c r="YE53" s="12">
        <f>WY53</f>
        <v/>
      </c>
      <c r="YF53" s="9">
        <f>XV53-XZ53-YA53-YB53-YC53-YD53-YE53</f>
        <v/>
      </c>
      <c r="YG53" s="9">
        <f>YG52+XS53-(XZ53+YA53+YB53+YC53+YD53+YE53+XX53)</f>
        <v/>
      </c>
      <c r="YH53" s="12">
        <f>IF(XM53&gt;0,XN53/XM53,0)</f>
        <v/>
      </c>
      <c r="YI53" s="11">
        <f>IF(XM52&gt;0,MAX(0,(XM52+XB53-XM53)/XM52),0)</f>
        <v/>
      </c>
      <c r="YK53" s="12" t="n">
        <v>49</v>
      </c>
      <c r="YL53" s="12">
        <f>MOD(YK53-1+LaunchMonth-1,12)+1</f>
        <v/>
      </c>
      <c r="YM53" s="12">
        <f>INT((YK53-1+LaunchMonth-1)/12)+1</f>
        <v/>
      </c>
      <c r="YN53" s="12">
        <f>VLOOKUP(YL53,SeasonTable,2,FALSE)</f>
        <v/>
      </c>
      <c r="YO53" s="12">
        <f>(1+InflationRate)^INT((YK53-1)/12)</f>
        <v/>
      </c>
      <c r="YP53" s="11">
        <f>MonthlyChurn*VLOOKUP(YL53,ChurnSeasonTable,4,FALSE)</f>
        <v/>
      </c>
      <c r="YQ53" s="12">
        <f>MIN(MAX(MktMin19plus,ZK52*MktPct19plus),MAX(0,ZY52-CashBuffer))</f>
        <v/>
      </c>
      <c r="YR53" s="12">
        <f>IF(YQ53&gt;0,MAX(1,ROUND(YQ53/CAC*YN53,0)),0)</f>
        <v/>
      </c>
      <c r="YS53" s="12">
        <f>IF(YR53&gt;0,ROUND(YR53*ReferralMix/(1-ReferralMix),0),0)</f>
        <v/>
      </c>
      <c r="YT53" s="12">
        <f>YR53+YS53</f>
        <v/>
      </c>
      <c r="YU53" s="12">
        <f>ROUND(YT53*(1-'Sens - Annual Mix'!$A$12),0)</f>
        <v/>
      </c>
      <c r="YV53" s="12">
        <f>YT53-YU53</f>
        <v/>
      </c>
      <c r="YW53" s="12">
        <f>ROUND(YU53*EssentialMix,0)</f>
        <v/>
      </c>
      <c r="YX53" s="12">
        <f>YU53-YW53</f>
        <v/>
      </c>
      <c r="YY53" s="12">
        <f>ROUND(YV53*EssentialMix,0)</f>
        <v/>
      </c>
      <c r="YZ53" s="12">
        <f>YV53-YY53</f>
        <v/>
      </c>
      <c r="ZA53" s="12">
        <f>YW53+YW52+YW51+MAX(0,ZA52-YW52-YW51)*(1-YP53)</f>
        <v/>
      </c>
      <c r="ZB53" s="12">
        <f>YX53+YX52+YX51+MAX(0,ZB52-YX52-YX51)*(1-YP53)</f>
        <v/>
      </c>
      <c r="ZC53" s="12">
        <f>ZC52+YY53-YY41*(AnnualChurn*VLOOKUP(YL53,ChurnSeasonTable,4,FALSE))*POWER(1-(AnnualChurn*VLOOKUP(YL53,ChurnSeasonTable,4,FALSE)),0)+YY29*(AnnualChurn*VLOOKUP(YL53,ChurnSeasonTable,4,FALSE))*POWER(1-(AnnualChurn*VLOOKUP(YL53,ChurnSeasonTable,4,FALSE)),1)+YY17*(AnnualChurn*VLOOKUP(YL53,ChurnSeasonTable,4,FALSE))*POWER(1-(AnnualChurn*VLOOKUP(YL53,ChurnSeasonTable,4,FALSE)),2)+YY5*(AnnualChurn*VLOOKUP(YL53,ChurnSeasonTable,4,FALSE))*POWER(1-(AnnualChurn*VLOOKUP(YL53,ChurnSeasonTable,4,FALSE)),3)</f>
        <v/>
      </c>
      <c r="ZD53" s="12">
        <f>ZD52+YZ53-YZ41*(AnnualChurn*VLOOKUP(YL53,ChurnSeasonTable,4,FALSE))*POWER(1-(AnnualChurn*VLOOKUP(YL53,ChurnSeasonTable,4,FALSE)),0)+YZ29*(AnnualChurn*VLOOKUP(YL53,ChurnSeasonTable,4,FALSE))*POWER(1-(AnnualChurn*VLOOKUP(YL53,ChurnSeasonTable,4,FALSE)),1)+YZ17*(AnnualChurn*VLOOKUP(YL53,ChurnSeasonTable,4,FALSE))*POWER(1-(AnnualChurn*VLOOKUP(YL53,ChurnSeasonTable,4,FALSE)),2)+YZ5*(AnnualChurn*VLOOKUP(YL53,ChurnSeasonTable,4,FALSE))*POWER(1-(AnnualChurn*VLOOKUP(YL53,ChurnSeasonTable,4,FALSE)),3)</f>
        <v/>
      </c>
      <c r="ZE53" s="12">
        <f>ZA53+ZB53+ZC53+ZD53</f>
        <v/>
      </c>
      <c r="ZF53" s="9">
        <f>ZA53*PriceEssMonthly*YO53+ZB53*PricePremMonthly*YO53+ZC53*PriceEssAnnual*YO53/12+ZD53*PricePremAnnual*YO53/12</f>
        <v/>
      </c>
      <c r="ZG53" s="9">
        <f>ZF53*12</f>
        <v/>
      </c>
      <c r="ZH53" s="12">
        <f>ZA53*PriceEssMonthly*YO53+ZB53*PricePremMonthly*YO53</f>
        <v/>
      </c>
      <c r="ZI53" s="12">
        <f>YY53*PriceEssAnnual*YO53+YZ53*PricePremAnnual*YO53</f>
        <v/>
      </c>
      <c r="ZJ53" s="12">
        <f>YY41*POWER(1-(AnnualChurn*VLOOKUP(YL53,ChurnSeasonTable,4,FALSE)),1)*PriceEssAnnual*YO53+YY29*POWER(1-(AnnualChurn*VLOOKUP(YL53,ChurnSeasonTable,4,FALSE)),2)*PriceEssAnnual*YO53+YY17*POWER(1-(AnnualChurn*VLOOKUP(YL53,ChurnSeasonTable,4,FALSE)),3)*PriceEssAnnual*YO53+YY5*POWER(1-(AnnualChurn*VLOOKUP(YL53,ChurnSeasonTable,4,FALSE)),4)*PriceEssAnnual*YO53+YZ41*POWER(1-(AnnualChurn*VLOOKUP(YL53,ChurnSeasonTable,4,FALSE)),1)*PricePremAnnual*YO53+YZ29*POWER(1-(AnnualChurn*VLOOKUP(YL53,ChurnSeasonTable,4,FALSE)),2)*PricePremAnnual*YO53+YZ17*POWER(1-(AnnualChurn*VLOOKUP(YL53,ChurnSeasonTable,4,FALSE)),3)*PricePremAnnual*YO53+YZ5*POWER(1-(AnnualChurn*VLOOKUP(YL53,ChurnSeasonTable,4,FALSE)),4)*PricePremAnnual*YO53</f>
        <v/>
      </c>
      <c r="ZK53" s="9">
        <f>ZH53+ZI53+ZJ53</f>
        <v/>
      </c>
      <c r="ZL53" s="12">
        <f>SUM(ZK42:ZK53)</f>
        <v/>
      </c>
      <c r="ZM53" s="12">
        <f>OR(ZM52,ZL53&gt;=VATThreshold)</f>
        <v/>
      </c>
      <c r="ZN53" s="9">
        <f>IF(ZM53,ZK53/(1+VATRate),ZK53)</f>
        <v/>
      </c>
      <c r="ZO53" s="12">
        <f>ZK53-ZN53</f>
        <v/>
      </c>
      <c r="ZP53" s="12">
        <f>IF(ZM53=0,0,IF(YL53=1,SUMPRODUCT(--(($YM$5:$YM53=$YM53-1)*($YL$5:$YL53&gt;=10)*($YL$5:$YL53&lt;=12)),$ZO$5:$ZO53),IF(YL53=4,SUMPRODUCT(--(($YM$5:$YM53=$YM53)*($YL$5:$YL53&gt;=1)*($YL$5:$YL53&lt;=3)),$ZO$5:$ZO53),IF(YL53=7,SUMPRODUCT(--(($YM$5:$YM53=$YM53)*($YL$5:$YL53&gt;=4)*($YL$5:$YL53&lt;=6)),$ZO$5:$ZO53),IF(YL53=10,SUMPRODUCT(--(($YM$5:$YM53=$YM53)*($YL$5:$YL53&gt;=7)*($YL$5:$YL53&lt;=9)),$ZO$5:$ZO53),0)))))</f>
        <v/>
      </c>
      <c r="ZQ53" s="12">
        <f>ZQ52+ZO53-ZP53</f>
        <v/>
      </c>
      <c r="ZR53" s="12">
        <f>IF(ProviderDelay&gt;=1,ZN52*ProviderShare,ZN53*ProviderShare)</f>
        <v/>
      </c>
      <c r="ZS53" s="12">
        <f>ZK53*PaymentFee</f>
        <v/>
      </c>
      <c r="ZT53" s="12">
        <f>ZE53*OpsAI</f>
        <v/>
      </c>
      <c r="ZU53" s="12">
        <f>MonthlyFixed</f>
        <v/>
      </c>
      <c r="ZV53" s="12">
        <f>YS53*ReferralReward</f>
        <v/>
      </c>
      <c r="ZW53" s="12">
        <f>YQ53</f>
        <v/>
      </c>
      <c r="ZX53" s="9">
        <f>ZN53-ZR53-ZS53-ZT53-ZU53-ZV53-ZW53</f>
        <v/>
      </c>
      <c r="ZY53" s="9">
        <f>ZY52+ZK53-(ZR53+ZS53+ZT53+ZU53+ZV53+ZW53+ZP53)</f>
        <v/>
      </c>
      <c r="ZZ53" s="12">
        <f>IF(ZE53&gt;0,ZF53/ZE53,0)</f>
        <v/>
      </c>
      <c r="AAA53" s="11">
        <f>IF(ZE52&gt;0,MAX(0,(ZE52+YT53-ZE53)/ZE52),0)</f>
        <v/>
      </c>
      <c r="AAC53" s="12" t="n">
        <v>49</v>
      </c>
      <c r="AAD53" s="12">
        <f>MOD(AAC53-1+LaunchMonth-1,12)+1</f>
        <v/>
      </c>
      <c r="AAE53" s="12">
        <f>INT((AAC53-1+LaunchMonth-1)/12)+1</f>
        <v/>
      </c>
      <c r="AAF53" s="12">
        <f>VLOOKUP(AAD53,SeasonTable,2,FALSE)</f>
        <v/>
      </c>
      <c r="AAG53" s="12">
        <f>(1+InflationRate)^INT((AAC53-1)/12)</f>
        <v/>
      </c>
      <c r="AAH53" s="11">
        <f>MonthlyChurn*VLOOKUP(AAD53,ChurnSeasonTable,4,FALSE)</f>
        <v/>
      </c>
      <c r="AAI53" s="12">
        <f>MIN(MAX(MktMin19plus,ABC52*MktPct19plus),MAX(0,ABQ52-CashBuffer))</f>
        <v/>
      </c>
      <c r="AAJ53" s="12">
        <f>IF(AAI53&gt;0,MAX(1,ROUND(AAI53/CAC*AAF53,0)),0)</f>
        <v/>
      </c>
      <c r="AAK53" s="12">
        <f>IF(AAJ53&gt;0,ROUND(AAJ53*ReferralMix/(1-ReferralMix),0),0)</f>
        <v/>
      </c>
      <c r="AAL53" s="12">
        <f>AAJ53+AAK53</f>
        <v/>
      </c>
      <c r="AAM53" s="12">
        <f>ROUND(AAL53*(1-'Sens - Annual Mix'!$A$13),0)</f>
        <v/>
      </c>
      <c r="AAN53" s="12">
        <f>AAL53-AAM53</f>
        <v/>
      </c>
      <c r="AAO53" s="12">
        <f>ROUND(AAM53*EssentialMix,0)</f>
        <v/>
      </c>
      <c r="AAP53" s="12">
        <f>AAM53-AAO53</f>
        <v/>
      </c>
      <c r="AAQ53" s="12">
        <f>ROUND(AAN53*EssentialMix,0)</f>
        <v/>
      </c>
      <c r="AAR53" s="12">
        <f>AAN53-AAQ53</f>
        <v/>
      </c>
      <c r="AAS53" s="12">
        <f>AAO53+AAO52+AAO51+MAX(0,AAS52-AAO52-AAO51)*(1-AAH53)</f>
        <v/>
      </c>
      <c r="AAT53" s="12">
        <f>AAP53+AAP52+AAP51+MAX(0,AAT52-AAP52-AAP51)*(1-AAH53)</f>
        <v/>
      </c>
      <c r="AAU53" s="12">
        <f>AAU52+AAQ53-AAQ41*(AnnualChurn*VLOOKUP(AAD53,ChurnSeasonTable,4,FALSE))*POWER(1-(AnnualChurn*VLOOKUP(AAD53,ChurnSeasonTable,4,FALSE)),0)+AAQ29*(AnnualChurn*VLOOKUP(AAD53,ChurnSeasonTable,4,FALSE))*POWER(1-(AnnualChurn*VLOOKUP(AAD53,ChurnSeasonTable,4,FALSE)),1)+AAQ17*(AnnualChurn*VLOOKUP(AAD53,ChurnSeasonTable,4,FALSE))*POWER(1-(AnnualChurn*VLOOKUP(AAD53,ChurnSeasonTable,4,FALSE)),2)+AAQ5*(AnnualChurn*VLOOKUP(AAD53,ChurnSeasonTable,4,FALSE))*POWER(1-(AnnualChurn*VLOOKUP(AAD53,ChurnSeasonTable,4,FALSE)),3)</f>
        <v/>
      </c>
      <c r="AAV53" s="12">
        <f>AAV52+AAR53-AAR41*(AnnualChurn*VLOOKUP(AAD53,ChurnSeasonTable,4,FALSE))*POWER(1-(AnnualChurn*VLOOKUP(AAD53,ChurnSeasonTable,4,FALSE)),0)+AAR29*(AnnualChurn*VLOOKUP(AAD53,ChurnSeasonTable,4,FALSE))*POWER(1-(AnnualChurn*VLOOKUP(AAD53,ChurnSeasonTable,4,FALSE)),1)+AAR17*(AnnualChurn*VLOOKUP(AAD53,ChurnSeasonTable,4,FALSE))*POWER(1-(AnnualChurn*VLOOKUP(AAD53,ChurnSeasonTable,4,FALSE)),2)+AAR5*(AnnualChurn*VLOOKUP(AAD53,ChurnSeasonTable,4,FALSE))*POWER(1-(AnnualChurn*VLOOKUP(AAD53,ChurnSeasonTable,4,FALSE)),3)</f>
        <v/>
      </c>
      <c r="AAW53" s="12">
        <f>AAS53+AAT53+AAU53+AAV53</f>
        <v/>
      </c>
      <c r="AAX53" s="9">
        <f>AAS53*PriceEssMonthly*AAG53+AAT53*PricePremMonthly*AAG53+AAU53*PriceEssAnnual*AAG53/12+AAV53*PricePremAnnual*AAG53/12</f>
        <v/>
      </c>
      <c r="AAY53" s="9">
        <f>AAX53*12</f>
        <v/>
      </c>
      <c r="AAZ53" s="12">
        <f>AAS53*PriceEssMonthly*AAG53+AAT53*PricePremMonthly*AAG53</f>
        <v/>
      </c>
      <c r="ABA53" s="12">
        <f>AAQ53*PriceEssAnnual*AAG53+AAR53*PricePremAnnual*AAG53</f>
        <v/>
      </c>
      <c r="ABB53" s="12">
        <f>AAQ41*POWER(1-(AnnualChurn*VLOOKUP(AAD53,ChurnSeasonTable,4,FALSE)),1)*PriceEssAnnual*AAG53+AAQ29*POWER(1-(AnnualChurn*VLOOKUP(AAD53,ChurnSeasonTable,4,FALSE)),2)*PriceEssAnnual*AAG53+AAQ17*POWER(1-(AnnualChurn*VLOOKUP(AAD53,ChurnSeasonTable,4,FALSE)),3)*PriceEssAnnual*AAG53+AAQ5*POWER(1-(AnnualChurn*VLOOKUP(AAD53,ChurnSeasonTable,4,FALSE)),4)*PriceEssAnnual*AAG53+AAR41*POWER(1-(AnnualChurn*VLOOKUP(AAD53,ChurnSeasonTable,4,FALSE)),1)*PricePremAnnual*AAG53+AAR29*POWER(1-(AnnualChurn*VLOOKUP(AAD53,ChurnSeasonTable,4,FALSE)),2)*PricePremAnnual*AAG53+AAR17*POWER(1-(AnnualChurn*VLOOKUP(AAD53,ChurnSeasonTable,4,FALSE)),3)*PricePremAnnual*AAG53+AAR5*POWER(1-(AnnualChurn*VLOOKUP(AAD53,ChurnSeasonTable,4,FALSE)),4)*PricePremAnnual*AAG53</f>
        <v/>
      </c>
      <c r="ABC53" s="9">
        <f>AAZ53+ABA53+ABB53</f>
        <v/>
      </c>
      <c r="ABD53" s="12">
        <f>SUM(ABC42:ABC53)</f>
        <v/>
      </c>
      <c r="ABE53" s="12">
        <f>OR(ABE52,ABD53&gt;=VATThreshold)</f>
        <v/>
      </c>
      <c r="ABF53" s="9">
        <f>IF(ABE53,ABC53/(1+VATRate),ABC53)</f>
        <v/>
      </c>
      <c r="ABG53" s="12">
        <f>ABC53-ABF53</f>
        <v/>
      </c>
      <c r="ABH53" s="12">
        <f>IF(ABE53=0,0,IF(AAD53=1,SUMPRODUCT(--(($AAE$5:$AAE53=$AAE53-1)*($AAD$5:$AAD53&gt;=10)*($AAD$5:$AAD53&lt;=12)),$ABG$5:$ABG53),IF(AAD53=4,SUMPRODUCT(--(($AAE$5:$AAE53=$AAE53)*($AAD$5:$AAD53&gt;=1)*($AAD$5:$AAD53&lt;=3)),$ABG$5:$ABG53),IF(AAD53=7,SUMPRODUCT(--(($AAE$5:$AAE53=$AAE53)*($AAD$5:$AAD53&gt;=4)*($AAD$5:$AAD53&lt;=6)),$ABG$5:$ABG53),IF(AAD53=10,SUMPRODUCT(--(($AAE$5:$AAE53=$AAE53)*($AAD$5:$AAD53&gt;=7)*($AAD$5:$AAD53&lt;=9)),$ABG$5:$ABG53),0)))))</f>
        <v/>
      </c>
      <c r="ABI53" s="12">
        <f>ABI52+ABG53-ABH53</f>
        <v/>
      </c>
      <c r="ABJ53" s="12">
        <f>IF(ProviderDelay&gt;=1,ABF52*ProviderShare,ABF53*ProviderShare)</f>
        <v/>
      </c>
      <c r="ABK53" s="12">
        <f>ABC53*PaymentFee</f>
        <v/>
      </c>
      <c r="ABL53" s="12">
        <f>AAW53*OpsAI</f>
        <v/>
      </c>
      <c r="ABM53" s="12">
        <f>MonthlyFixed</f>
        <v/>
      </c>
      <c r="ABN53" s="12">
        <f>AAK53*ReferralReward</f>
        <v/>
      </c>
      <c r="ABO53" s="12">
        <f>AAI53</f>
        <v/>
      </c>
      <c r="ABP53" s="9">
        <f>ABF53-ABJ53-ABK53-ABL53-ABM53-ABN53-ABO53</f>
        <v/>
      </c>
      <c r="ABQ53" s="9">
        <f>ABQ52+ABC53-(ABJ53+ABK53+ABL53+ABM53+ABN53+ABO53+ABH53)</f>
        <v/>
      </c>
      <c r="ABR53" s="12">
        <f>IF(AAW53&gt;0,AAX53/AAW53,0)</f>
        <v/>
      </c>
      <c r="ABS53" s="11">
        <f>IF(AAW52&gt;0,MAX(0,(AAW52+AAL53-AAW53)/AAW52),0)</f>
        <v/>
      </c>
      <c r="ABU53" s="12" t="n">
        <v>49</v>
      </c>
      <c r="ABV53" s="12">
        <f>MOD(ABU53-1+LaunchMonth-1,12)+1</f>
        <v/>
      </c>
      <c r="ABW53" s="12">
        <f>INT((ABU53-1+LaunchMonth-1)/12)+1</f>
        <v/>
      </c>
      <c r="ABX53" s="12">
        <f>VLOOKUP(ABV53,SeasonTable,2,FALSE)</f>
        <v/>
      </c>
      <c r="ABY53" s="12">
        <f>(1+InflationRate)^INT((ABU53-1)/12)</f>
        <v/>
      </c>
      <c r="ABZ53" s="11">
        <f>MonthlyChurn*VLOOKUP(ABV53,ChurnSeasonTable,4,FALSE)</f>
        <v/>
      </c>
      <c r="ACA53" s="12">
        <f>MIN(MAX(MktMin19plus,ACU52*MktPct19plus),MAX(0,ADI52-CashBuffer))</f>
        <v/>
      </c>
      <c r="ACB53" s="12">
        <f>IF(ACA53&gt;0,MAX(1,ROUND(ACA53/CAC*ABX53,0)),0)</f>
        <v/>
      </c>
      <c r="ACC53" s="12">
        <f>IF(ACB53&gt;0,ROUND(ACB53*ReferralMix/(1-ReferralMix),0),0)</f>
        <v/>
      </c>
      <c r="ACD53" s="12">
        <f>ACB53+ACC53</f>
        <v/>
      </c>
      <c r="ACE53" s="12">
        <f>ROUND(ACD53*(1-'Sens - Annual Mix'!$A$14),0)</f>
        <v/>
      </c>
      <c r="ACF53" s="12">
        <f>ACD53-ACE53</f>
        <v/>
      </c>
      <c r="ACG53" s="12">
        <f>ROUND(ACE53*EssentialMix,0)</f>
        <v/>
      </c>
      <c r="ACH53" s="12">
        <f>ACE53-ACG53</f>
        <v/>
      </c>
      <c r="ACI53" s="12">
        <f>ROUND(ACF53*EssentialMix,0)</f>
        <v/>
      </c>
      <c r="ACJ53" s="12">
        <f>ACF53-ACI53</f>
        <v/>
      </c>
      <c r="ACK53" s="12">
        <f>ACG53+ACG52+ACG51+MAX(0,ACK52-ACG52-ACG51)*(1-ABZ53)</f>
        <v/>
      </c>
      <c r="ACL53" s="12">
        <f>ACH53+ACH52+ACH51+MAX(0,ACL52-ACH52-ACH51)*(1-ABZ53)</f>
        <v/>
      </c>
      <c r="ACM53" s="12">
        <f>ACM52+ACI53-ACI41*(AnnualChurn*VLOOKUP(ABV53,ChurnSeasonTable,4,FALSE))*POWER(1-(AnnualChurn*VLOOKUP(ABV53,ChurnSeasonTable,4,FALSE)),0)+ACI29*(AnnualChurn*VLOOKUP(ABV53,ChurnSeasonTable,4,FALSE))*POWER(1-(AnnualChurn*VLOOKUP(ABV53,ChurnSeasonTable,4,FALSE)),1)+ACI17*(AnnualChurn*VLOOKUP(ABV53,ChurnSeasonTable,4,FALSE))*POWER(1-(AnnualChurn*VLOOKUP(ABV53,ChurnSeasonTable,4,FALSE)),2)+ACI5*(AnnualChurn*VLOOKUP(ABV53,ChurnSeasonTable,4,FALSE))*POWER(1-(AnnualChurn*VLOOKUP(ABV53,ChurnSeasonTable,4,FALSE)),3)</f>
        <v/>
      </c>
      <c r="ACN53" s="12">
        <f>ACN52+ACJ53-ACJ41*(AnnualChurn*VLOOKUP(ABV53,ChurnSeasonTable,4,FALSE))*POWER(1-(AnnualChurn*VLOOKUP(ABV53,ChurnSeasonTable,4,FALSE)),0)+ACJ29*(AnnualChurn*VLOOKUP(ABV53,ChurnSeasonTable,4,FALSE))*POWER(1-(AnnualChurn*VLOOKUP(ABV53,ChurnSeasonTable,4,FALSE)),1)+ACJ17*(AnnualChurn*VLOOKUP(ABV53,ChurnSeasonTable,4,FALSE))*POWER(1-(AnnualChurn*VLOOKUP(ABV53,ChurnSeasonTable,4,FALSE)),2)+ACJ5*(AnnualChurn*VLOOKUP(ABV53,ChurnSeasonTable,4,FALSE))*POWER(1-(AnnualChurn*VLOOKUP(ABV53,ChurnSeasonTable,4,FALSE)),3)</f>
        <v/>
      </c>
      <c r="ACO53" s="12">
        <f>ACK53+ACL53+ACM53+ACN53</f>
        <v/>
      </c>
      <c r="ACP53" s="9">
        <f>ACK53*PriceEssMonthly*ABY53+ACL53*PricePremMonthly*ABY53+ACM53*PriceEssAnnual*ABY53/12+ACN53*PricePremAnnual*ABY53/12</f>
        <v/>
      </c>
      <c r="ACQ53" s="9">
        <f>ACP53*12</f>
        <v/>
      </c>
      <c r="ACR53" s="12">
        <f>ACK53*PriceEssMonthly*ABY53+ACL53*PricePremMonthly*ABY53</f>
        <v/>
      </c>
      <c r="ACS53" s="12">
        <f>ACI53*PriceEssAnnual*ABY53+ACJ53*PricePremAnnual*ABY53</f>
        <v/>
      </c>
      <c r="ACT53" s="12">
        <f>ACI41*POWER(1-(AnnualChurn*VLOOKUP(ABV53,ChurnSeasonTable,4,FALSE)),1)*PriceEssAnnual*ABY53+ACI29*POWER(1-(AnnualChurn*VLOOKUP(ABV53,ChurnSeasonTable,4,FALSE)),2)*PriceEssAnnual*ABY53+ACI17*POWER(1-(AnnualChurn*VLOOKUP(ABV53,ChurnSeasonTable,4,FALSE)),3)*PriceEssAnnual*ABY53+ACI5*POWER(1-(AnnualChurn*VLOOKUP(ABV53,ChurnSeasonTable,4,FALSE)),4)*PriceEssAnnual*ABY53+ACJ41*POWER(1-(AnnualChurn*VLOOKUP(ABV53,ChurnSeasonTable,4,FALSE)),1)*PricePremAnnual*ABY53+ACJ29*POWER(1-(AnnualChurn*VLOOKUP(ABV53,ChurnSeasonTable,4,FALSE)),2)*PricePremAnnual*ABY53+ACJ17*POWER(1-(AnnualChurn*VLOOKUP(ABV53,ChurnSeasonTable,4,FALSE)),3)*PricePremAnnual*ABY53+ACJ5*POWER(1-(AnnualChurn*VLOOKUP(ABV53,ChurnSeasonTable,4,FALSE)),4)*PricePremAnnual*ABY53</f>
        <v/>
      </c>
      <c r="ACU53" s="9">
        <f>ACR53+ACS53+ACT53</f>
        <v/>
      </c>
      <c r="ACV53" s="12">
        <f>SUM(ACU42:ACU53)</f>
        <v/>
      </c>
      <c r="ACW53" s="12">
        <f>OR(ACW52,ACV53&gt;=VATThreshold)</f>
        <v/>
      </c>
      <c r="ACX53" s="9">
        <f>IF(ACW53,ACU53/(1+VATRate),ACU53)</f>
  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DUCT(--(($ABW$5:$ABW53=$ABW53)*($ABV$5:$ABV53&gt;=1)*($ABV$5:$ABV53&lt;=3)),$ACY$5:$ACY53),IF(ABV53=7,SUMPRODUCT(--(($ABW$5:$ABW53=$ABW53)*($ABV$5:$ABV53&gt;=4)*($ABV$5:$ABV53&lt;=6)),$ACY$5:$ACY53),IF(ABV53=10,SUMPRODUCT(--(($ABW$5:$ABW53=$ABW53)*($ABV$5:$ABV53&gt;=7)*($ABV$5:$ABV53&lt;=9)),$ACY$5:$ACY53),0)))))</f>
        <v/>
      </c>
      <c r="ADA53" s="12">
        <f>ADA52+ACY53-ACZ53</f>
        <v/>
      </c>
      <c r="ADB53" s="12">
        <f>IF(ProviderDelay&gt;=1,ACX52*ProviderShare,ACX53*ProviderShare)</f>
        <v/>
      </c>
      <c r="ADC53" s="12">
        <f>ACU53*PaymentFee</f>
        <v/>
      </c>
      <c r="ADD53" s="12">
        <f>ACO53*OpsAI</f>
        <v/>
      </c>
      <c r="ADE53" s="12">
        <f>MonthlyFixed</f>
        <v/>
      </c>
      <c r="ADF53" s="12">
        <f>ACC53*ReferralReward</f>
        <v/>
      </c>
      <c r="ADG53" s="12">
        <f>ACA53</f>
        <v/>
      </c>
      <c r="ADH53" s="9">
        <f>ACX53-ADB53-ADC53-ADD53-ADE53-ADF53-ADG53</f>
        <v/>
      </c>
      <c r="ADI53" s="9">
        <f>ADI52+ACU53-(ADB53+ADC53+ADD53+ADE53+ADF53+ADG53+ACZ53)</f>
        <v/>
      </c>
      <c r="ADJ53" s="12">
        <f>IF(ACO53&gt;0,ACP53/ACO53,0)</f>
        <v/>
      </c>
      <c r="ADK53" s="11">
        <f>IF(ACO52&gt;0,MAX(0,(ACO52+ACD53-ACO53)/ACO52),0)</f>
        <v/>
      </c>
      <c r="ADM53" s="12" t="n">
        <v>49</v>
      </c>
      <c r="ADN53" s="12">
        <f>MOD(ADM53-1+LaunchMonth-1,12)+1</f>
        <v/>
      </c>
      <c r="ADO53" s="12">
        <f>INT((ADM53-1+LaunchMonth-1)/12)+1</f>
        <v/>
      </c>
      <c r="ADP53" s="12">
        <f>VLOOKUP(ADN53,SeasonTable,2,FALSE)</f>
        <v/>
      </c>
      <c r="ADQ53" s="12">
        <f>(1+InflationRate)^INT((ADM53-1)/12)</f>
        <v/>
      </c>
      <c r="ADR53" s="11">
        <f>MonthlyChurn*VLOOKUP(ADN53,ChurnSeasonTable,4,FALSE)</f>
        <v/>
      </c>
      <c r="ADS53" s="12">
        <f>MIN(MAX(MktMin19plus,AEM52*MktPct19plus),MAX(0,AFA52-CashBuffer))</f>
        <v/>
      </c>
      <c r="ADT53" s="12">
        <f>IF(ADS53&gt;0,MAX(1,ROUND(ADS53/CAC*ADP53,0)),0)</f>
        <v/>
      </c>
      <c r="ADU53" s="12">
        <f>IF(ADT53&gt;0,ROUND(ADT53*ReferralMix/(1-ReferralMix),0),0)</f>
        <v/>
      </c>
      <c r="ADV53" s="12">
        <f>ADT53+ADU53</f>
        <v/>
      </c>
      <c r="ADW53" s="12">
        <f>ROUND(ADV53*(1-'Sens - Annual Mix'!$A$15),0)</f>
        <v/>
      </c>
      <c r="ADX53" s="12">
        <f>ADV53-ADW53</f>
        <v/>
      </c>
      <c r="ADY53" s="12">
        <f>ROUND(ADW53*EssentialMix,0)</f>
        <v/>
      </c>
      <c r="ADZ53" s="12">
        <f>ADW53-ADY53</f>
        <v/>
      </c>
      <c r="AEA53" s="12">
        <f>ROUND(ADX53*EssentialMix,0)</f>
        <v/>
      </c>
      <c r="AEB53" s="12">
        <f>ADX53-AEA53</f>
        <v/>
      </c>
      <c r="AEC53" s="12">
        <f>ADY53+ADY52+ADY51+MAX(0,AEC52-ADY52-ADY51)*(1-ADR53)</f>
        <v/>
      </c>
      <c r="AED53" s="12">
        <f>ADZ53+ADZ52+ADZ51+MAX(0,AED52-ADZ52-ADZ51)*(1-ADR53)</f>
        <v/>
      </c>
      <c r="AEE53" s="12">
        <f>AEE52+AEA53-AEA41*(AnnualChurn*VLOOKUP(ADN53,ChurnSeasonTable,4,FALSE))*POWER(1-(AnnualChurn*VLOOKUP(ADN53,ChurnSeasonTable,4,FALSE)),0)+AEA29*(AnnualChurn*VLOOKUP(ADN53,ChurnSeasonTable,4,FALSE))*POWER(1-(AnnualChurn*VLOOKUP(ADN53,ChurnSeasonTable,4,FALSE)),1)+AEA17*(AnnualChurn*VLOOKUP(ADN53,ChurnSeasonTable,4,FALSE))*POWER(1-(AnnualChurn*VLOOKUP(ADN53,ChurnSeasonTable,4,FALSE)),2)+AEA5*(AnnualChurn*VLOOKUP(ADN53,ChurnSeasonTable,4,FALSE))*POWER(1-(AnnualChurn*VLOOKUP(ADN53,ChurnSeasonTable,4,FALSE)),3)</f>
        <v/>
      </c>
      <c r="AEF53" s="12">
        <f>AEF52+AEB53-AEB41*(AnnualChurn*VLOOKUP(ADN53,ChurnSeasonTable,4,FALSE))*POWER(1-(AnnualChurn*VLOOKUP(ADN53,ChurnSeasonTable,4,FALSE)),0)+AEB29*(AnnualChurn*VLOOKUP(ADN53,ChurnSeasonTable,4,FALSE))*POWER(1-(AnnualChurn*VLOOKUP(ADN53,ChurnSeasonTable,4,FALSE)),1)+AEB17*(AnnualChurn*VLOOKUP(ADN53,ChurnSeasonTable,4,FALSE))*POWER(1-(AnnualChurn*VLOOKUP(ADN53,ChurnSeasonTable,4,FALSE)),2)+AEB5*(AnnualChurn*VLOOKUP(ADN53,ChurnSeasonTable,4,FALSE))*POWER(1-(AnnualChurn*VLOOKUP(ADN53,ChurnSeasonTable,4,FALSE)),3)</f>
        <v/>
      </c>
      <c r="AEG53" s="12">
        <f>AEC53+AED53+AEE53+AEF53</f>
        <v/>
      </c>
      <c r="AEH53" s="9">
        <f>AEC53*PriceEssMonthly*ADQ53+AED53*PricePremMonthly*ADQ53+AEE53*PriceEssAnnual*ADQ53/12+AEF53*PricePremAnnual*ADQ53/12</f>
        <v/>
      </c>
      <c r="AEI53" s="9">
        <f>AEH53*12</f>
        <v/>
      </c>
      <c r="AEJ53" s="12">
        <f>AEC53*PriceEssMonthly*ADQ53+AED53*PricePremMonthly*ADQ53</f>
        <v/>
      </c>
      <c r="AEK53" s="12">
        <f>AEA53*PriceEssAnnual*ADQ53+AEB53*PricePremAnnual*ADQ53</f>
        <v/>
      </c>
      <c r="AEL53" s="12">
        <f>AEA41*POWER(1-(AnnualChurn*VLOOKUP(ADN53,ChurnSeasonTable,4,FALSE)),1)*PriceEssAnnual*ADQ53+AEA29*POWER(1-(AnnualChurn*VLOOKUP(ADN53,ChurnSeasonTable,4,FALSE)),2)*PriceEssAnnual*ADQ53+AEA17*POWER(1-(AnnualChurn*VLOOKUP(ADN53,ChurnSeasonTable,4,FALSE)),3)*PriceEssAnnual*ADQ53+AEA5*POWER(1-(AnnualChurn*VLOOKUP(ADN53,ChurnSeasonTable,4,FALSE)),4)*PriceEssAnnual*ADQ53+AEB41*POWER(1-(AnnualChurn*VLOOKUP(ADN53,ChurnSeasonTable,4,FALSE)),1)*PricePremAnnual*ADQ53+AEB29*POWER(1-(AnnualChurn*VLOOKUP(ADN53,ChurnSeasonTable,4,FALSE)),2)*PricePremAnnual*ADQ53+AEB17*POWER(1-(AnnualChurn*VLOOKUP(ADN53,ChurnSeasonTable,4,FALSE)),3)*PricePremAnnual*ADQ53+AEB5*POWER(1-(AnnualChurn*VLOOKUP(ADN53,ChurnSeasonTable,4,FALSE)),4)*PricePremAnnual*ADQ53</f>
        <v/>
      </c>
      <c r="AEM53" s="9">
        <f>AEJ53+AEK53+AEL53</f>
        <v/>
      </c>
      <c r="AEN53" s="12">
        <f>SUM(AEM42:AEM53)</f>
        <v/>
      </c>
      <c r="AEO53" s="12">
        <f>OR(AEO52,AEN53&gt;=VATThreshold)</f>
        <v/>
      </c>
      <c r="AEP53" s="9">
        <f>IF(AEO53,AEM53/(1+VATRate),AEM53)</f>
        <v/>
      </c>
      <c r="AEQ53" s="12">
        <f>AEM53-AEP53</f>
        <v/>
      </c>
      <c r="AER53" s="12">
        <f>IF(AEO53=0,0,IF(ADN53=1,SUMPRODUCT(--(($ADO$5:$ADO53=$ADO53-1)*($ADN$5:$ADN53&gt;=10)*($ADN$5:$ADN53&lt;=12)),$AEQ$5:$AEQ53),IF(ADN53=4,SUMPRODUCT(--(($ADO$5:$ADO53=$ADO53)*($ADN$5:$ADN53&gt;=1)*($ADN$5:$ADN53&lt;=3)),$AEQ$5:$AEQ53),IF(ADN53=7,SUMPRODUCT(--(($ADO$5:$ADO53=$ADO53)*($ADN$5:$ADN53&gt;=4)*($ADN$5:$ADN53&lt;=6)),$AEQ$5:$AEQ53),IF(ADN53=10,SUMPRODUCT(--(($ADO$5:$ADO53=$ADO53)*($ADN$5:$ADN53&gt;=7)*($ADN$5:$ADN53&lt;=9)),$AEQ$5:$AEQ53),0)))))</f>
        <v/>
      </c>
      <c r="AES53" s="12">
        <f>AES52+AEQ53-AER53</f>
        <v/>
      </c>
      <c r="AET53" s="12">
        <f>IF(ProviderDelay&gt;=1,AEP52*ProviderShare,AEP53*ProviderShare)</f>
        <v/>
      </c>
      <c r="AEU53" s="12">
        <f>AEM53*PaymentFee</f>
        <v/>
      </c>
      <c r="AEV53" s="12">
        <f>AEG53*OpsAI</f>
        <v/>
      </c>
      <c r="AEW53" s="12">
        <f>MonthlyFixed</f>
        <v/>
      </c>
      <c r="AEX53" s="12">
        <f>ADU53*ReferralReward</f>
        <v/>
      </c>
      <c r="AEY53" s="12">
        <f>ADS53</f>
        <v/>
      </c>
      <c r="AEZ53" s="9">
        <f>AEP53-AET53-AEU53-AEV53-AEW53-AEX53-AEY53</f>
        <v/>
      </c>
      <c r="AFA53" s="9">
        <f>AFA52+AEM53-(AET53+AEU53+AEV53+AEW53+AEX53+AEY53+AER53)</f>
        <v/>
      </c>
      <c r="AFB53" s="12">
        <f>IF(AEG53&gt;0,AEH53/AEG53,0)</f>
        <v/>
      </c>
      <c r="AFC53" s="11">
        <f>IF(AEG52&gt;0,MAX(0,(AEG52+ADV53-AEG53)/AEG52),0)</f>
        <v/>
      </c>
      <c r="AFE53" s="12" t="n">
        <v>49</v>
      </c>
      <c r="AFF53" s="12">
        <f>MOD(AFE53-1+LaunchMonth-1,12)+1</f>
        <v/>
      </c>
      <c r="AFG53" s="12">
        <f>INT((AFE53-1+LaunchMonth-1)/12)+1</f>
        <v/>
      </c>
      <c r="AFH53" s="12">
        <f>VLOOKUP(AFF53,SeasonTable,2,FALSE)</f>
        <v/>
      </c>
      <c r="AFI53" s="12">
        <f>(1+InflationRate)^INT((AFE53-1)/12)</f>
        <v/>
      </c>
      <c r="AFJ53" s="11">
        <f>MonthlyChurn*VLOOKUP(AFF53,ChurnSeasonTable,4,FALSE)</f>
        <v/>
      </c>
      <c r="AFK53" s="12">
        <f>MIN(MAX(MktMin19plus,AGE52*MktPct19plus),MAX(0,AGS52-CashBuffer))</f>
        <v/>
      </c>
      <c r="AFL53" s="12">
        <f>IF(AFK53&gt;0,MAX(1,ROUND(AFK53/'Sens - CAC &amp; Marketing'!$A$9*AFH53,0)),0)</f>
        <v/>
      </c>
      <c r="AFM53" s="12">
        <f>IF(AFL53&gt;0,ROUND(AFL53*ReferralMix/(1-ReferralMix),0),0)</f>
        <v/>
      </c>
      <c r="AFN53" s="12">
        <f>AFL53+AFM53</f>
        <v/>
      </c>
      <c r="AFO53" s="12">
        <f>ROUND(AFN53*(1-AnnualMix),0)</f>
        <v/>
      </c>
      <c r="AFP53" s="12">
        <f>AFN53-AFO53</f>
        <v/>
      </c>
      <c r="AFQ53" s="12">
        <f>ROUND(AFO53*EssentialMix,0)</f>
        <v/>
      </c>
      <c r="AFR53" s="12">
        <f>AFO53-AFQ53</f>
        <v/>
      </c>
      <c r="AFS53" s="12">
        <f>ROUND(AFP53*EssentialMix,0)</f>
        <v/>
      </c>
      <c r="AFT53" s="12">
        <f>AFP53-AFS53</f>
        <v/>
      </c>
      <c r="AFU53" s="12">
        <f>AFQ53+AFQ52+AFQ51+MAX(0,AFU52-AFQ52-AFQ51)*(1-AFJ53)</f>
        <v/>
      </c>
      <c r="AFV53" s="12">
        <f>AFR53+AFR52+AFR51+MAX(0,AFV52-AFR52-AFR51)*(1-AFJ53)</f>
        <v/>
      </c>
      <c r="AFW53" s="12">
        <f>AFW52+AFS53-AFS41*(AnnualChurn*VLOOKUP(AFF53,ChurnSeasonTable,4,FALSE))*POWER(1-(AnnualChurn*VLOOKUP(AFF53,ChurnSeasonTable,4,FALSE)),0)+AFS29*(AnnualChurn*VLOOKUP(AFF53,ChurnSeasonTable,4,FALSE))*POWER(1-(AnnualChurn*VLOOKUP(AFF53,ChurnSeasonTable,4,FALSE)),1)+AFS17*(AnnualChurn*VLOOKUP(AFF53,ChurnSeasonTable,4,FALSE))*POWER(1-(AnnualChurn*VLOOKUP(AFF53,ChurnSeasonTable,4,FALSE)),2)+AFS5*(AnnualChurn*VLOOKUP(AFF53,ChurnSeasonTable,4,FALSE))*POWER(1-(AnnualChurn*VLOOKUP(AFF53,ChurnSeasonTable,4,FALSE)),3)</f>
        <v/>
      </c>
      <c r="AFX53" s="12">
        <f>AFX52+AFT53-AFT41*(AnnualChurn*VLOOKUP(AFF53,ChurnSeasonTable,4,FALSE))*POWER(1-(AnnualChurn*VLOOKUP(AFF53,ChurnSeasonTable,4,FALSE)),0)+AFT29*(AnnualChurn*VLOOKUP(AFF53,ChurnSeasonTable,4,FALSE))*POWER(1-(AnnualChurn*VLOOKUP(AFF53,ChurnSeasonTable,4,FALSE)),1)+AFT17*(AnnualChurn*VLOOKUP(AFF53,ChurnSeasonTable,4,FALSE))*POWER(1-(AnnualChurn*VLOOKUP(AFF53,ChurnSeasonTable,4,FALSE)),2)+AFT5*(AnnualChurn*VLOOKUP(AFF53,ChurnSeasonTable,4,FALSE))*POWER(1-(AnnualChurn*VLOOKUP(AFF53,ChurnSeasonTable,4,FALSE)),3)</f>
        <v/>
      </c>
      <c r="AFY53" s="12">
        <f>AFU53+AFV53+AFW53+AFX53</f>
        <v/>
      </c>
      <c r="AFZ53" s="9">
        <f>AFU53*PriceEssMonthly*AFI53+AFV53*PricePremMonthly*AFI53+AFW53*PriceEssAnnual*AFI53/12+AFX53*PricePremAnnual*AFI53/12</f>
        <v/>
      </c>
      <c r="AGA53" s="9">
        <f>AFZ53*12</f>
        <v/>
      </c>
      <c r="AGB53" s="12">
        <f>AFU53*PriceEssMonthly*AFI53+AFV53*PricePremMonthly*AFI53</f>
        <v/>
      </c>
      <c r="AGC53" s="12">
        <f>AFS53*PriceEssAnnual*AFI53+AFT53*PricePremAnnual*AFI53</f>
        <v/>
      </c>
      <c r="AGD53" s="12">
        <f>AFS41*POWER(1-(AnnualChurn*VLOOKUP(AFF53,ChurnSeasonTable,4,FALSE)),1)*PriceEssAnnual*AFI53+AFS29*POWER(1-(AnnualChurn*VLOOKUP(AFF53,ChurnSeasonTable,4,FALSE)),2)*PriceEssAnnual*AFI53+AFS17*POWER(1-(AnnualChurn*VLOOKUP(AFF53,ChurnSeasonTable,4,FALSE)),3)*PriceEssAnnual*AFI53+AFS5*POWER(1-(AnnualChurn*VLOOKUP(AFF53,ChurnSeasonTable,4,FALSE)),4)*PriceEssAnnual*AFI53+AFT41*POWER(1-(AnnualChurn*VLOOKUP(AFF53,ChurnSeasonTable,4,FALSE)),1)*PricePremAnnual*AFI53+AFT29*POWER(1-(AnnualChurn*VLOOKUP(AFF53,ChurnSeasonTable,4,FALSE)),2)*PricePremAnnual*AFI53+AFT17*POWER(1-(AnnualChurn*VLOOKUP(AFF53,ChurnSeasonTable,4,FALSE)),3)*PricePremAnnual*AFI53+AFT5*POWER(1-(AnnualChurn*VLOOKUP(AFF53,ChurnSeasonTable,4,FALSE)),4)*PricePremAnnual*AFI53</f>
        <v/>
      </c>
      <c r="AGE53" s="9">
        <f>AGB53+AGC53+AGD53</f>
        <v/>
      </c>
      <c r="AGF53" s="12">
        <f>SUM(AGE42:AGE53)</f>
        <v/>
      </c>
      <c r="AGG53" s="12">
        <f>OR(AGG52,AGF53&gt;=VATThreshold)</f>
        <v/>
      </c>
      <c r="AGH53" s="9">
        <f>IF(AGG53,AGE53/(1+VATRate),AGE53)</f>
        <v/>
      </c>
      <c r="AGI53" s="12">
        <f>AGE53-AGH53</f>
        <v/>
      </c>
      <c r="AGJ53" s="12">
        <f>IF(AGG53=0,0,IF(AFF53=1,SUMPRODUCT(--(($AFG$5:$AFG53=$AFG53-1)*($AFF$5:$AFF53&gt;=10)*($AFF$5:$AFF53&lt;=12)),$AGI$5:$AGI53),IF(AFF53=4,SUMPRODUCT(--(($AFG$5:$AFG53=$AFG53)*($AFF$5:$AFF53&gt;=1)*($AFF$5:$AFF53&lt;=3)),$AGI$5:$AGI53),IF(AFF53=7,SUMPRODUCT(--(($AFG$5:$AFG53=$AFG53)*($AFF$5:$AFF53&gt;=4)*($AFF$5:$AFF53&lt;=6)),$AGI$5:$AGI53),IF(AFF53=10,SUMPRODUCT(--(($AFG$5:$AFG53=$AFG53)*($AFF$5:$AFF53&gt;=7)*($AFF$5:$AFF53&lt;=9)),$AGI$5:$AGI53),0)))))</f>
        <v/>
      </c>
      <c r="AGK53" s="12">
        <f>AGK52+AGI53-AGJ53</f>
        <v/>
      </c>
      <c r="AGL53" s="12">
        <f>IF(ProviderDelay&gt;=1,AGH52*ProviderShare,AGH53*ProviderShare)</f>
        <v/>
      </c>
      <c r="AGM53" s="12">
        <f>AGE53*PaymentFee</f>
        <v/>
      </c>
      <c r="AGN53" s="12">
        <f>AFY53*OpsAI</f>
        <v/>
      </c>
      <c r="AGO53" s="12">
        <f>MonthlyFixed</f>
        <v/>
      </c>
      <c r="AGP53" s="12">
        <f>AFM53*ReferralReward</f>
        <v/>
      </c>
      <c r="AGQ53" s="12">
        <f>AFK53</f>
        <v/>
      </c>
      <c r="AGR53" s="9">
        <f>AGH53-AGL53-AGM53-AGN53-AGO53-AGP53-AGQ53</f>
        <v/>
      </c>
      <c r="AGS53" s="9">
        <f>AGS52+AGE53-(AGL53+AGM53+AGN53+AGO53+AGP53+AGQ53+AGJ53)</f>
        <v/>
      </c>
      <c r="AGT53" s="12">
        <f>IF(AFY53&gt;0,AFZ53/AFY53,0)</f>
        <v/>
      </c>
      <c r="AGU53" s="11">
        <f>IF(AFY52&gt;0,MAX(0,(AFY52+AFN53-AFY53)/AFY52),0)</f>
        <v/>
      </c>
      <c r="AGW53" s="12" t="n">
        <v>49</v>
      </c>
      <c r="AGX53" s="12">
        <f>MOD(AGW53-1+LaunchMonth-1,12)+1</f>
        <v/>
      </c>
      <c r="AGY53" s="12">
        <f>INT((AGW53-1+LaunchMonth-1)/12)+1</f>
        <v/>
      </c>
      <c r="AGZ53" s="12">
        <f>VLOOKUP(AGX53,SeasonTable,2,FALSE)</f>
        <v/>
      </c>
      <c r="AHA53" s="12">
        <f>(1+InflationRate)^INT((AGW53-1)/12)</f>
        <v/>
      </c>
      <c r="AHB53" s="11">
        <f>MonthlyChurn*VLOOKUP(AGX53,ChurnSeasonTable,4,FALSE)</f>
        <v/>
      </c>
      <c r="AHC53" s="12">
        <f>MIN(MAX(MktMin19plus,AHW52*MktPct19plus),MAX(0,AIK52-CashBuffer))</f>
        <v/>
      </c>
      <c r="AHD53" s="12">
        <f>IF(AHC53&gt;0,MAX(1,ROUND(AHC53/'Sens - CAC &amp; Marketing'!$A$10*AGZ53,0)),0)</f>
        <v/>
      </c>
      <c r="AHE53" s="12">
        <f>IF(AHD53&gt;0,ROUND(AHD53*ReferralMix/(1-ReferralMix),0),0)</f>
        <v/>
      </c>
      <c r="AHF53" s="12">
        <f>AHD53+AHE53</f>
        <v/>
      </c>
      <c r="AHG53" s="12">
        <f>ROUND(AHF53*(1-AnnualMix),0)</f>
        <v/>
      </c>
      <c r="AHH53" s="12">
        <f>AHF53-AHG53</f>
        <v/>
      </c>
      <c r="AHI53" s="12">
        <f>ROUND(AHG53*EssentialMix,0)</f>
        <v/>
      </c>
      <c r="AHJ53" s="12">
        <f>AHG53-AHI53</f>
        <v/>
      </c>
      <c r="AHK53" s="12">
        <f>ROUND(AHH53*EssentialMix,0)</f>
        <v/>
      </c>
      <c r="AHL53" s="12">
        <f>AHH53-AHK53</f>
        <v/>
      </c>
      <c r="AHM53" s="12">
        <f>AHI53+AHI52+AHI51+MAX(0,AHM52-AHI52-AHI51)*(1-AHB53)</f>
        <v/>
      </c>
      <c r="AHN53" s="12">
        <f>AHJ53+AHJ52+AHJ51+MAX(0,AHN52-AHJ52-AHJ51)*(1-AHB53)</f>
        <v/>
      </c>
      <c r="AHO53" s="12">
        <f>AHO52+AHK53-AHK41*(AnnualChurn*VLOOKUP(AGX53,ChurnSeasonTable,4,FALSE))*POWER(1-(AnnualChurn*VLOOKUP(AGX53,ChurnSeasonTable,4,FALSE)),0)+AHK29*(AnnualChurn*VLOOKUP(AGX53,ChurnSeasonTable,4,FALSE))*POWER(1-(AnnualChurn*VLOOKUP(AGX53,ChurnSeasonTable,4,FALSE)),1)+AHK17*(AnnualChurn*VLOOKUP(AGX53,ChurnSeasonTable,4,FALSE))*POWER(1-(AnnualChurn*VLOOKUP(AGX53,ChurnSeasonTable,4,FALSE)),2)+AHK5*(AnnualChurn*VLOOKUP(AGX53,ChurnSeasonTable,4,FALSE))*POWER(1-(AnnualChurn*VLOOKUP(AGX53,ChurnSeasonTable,4,FALSE)),3)</f>
        <v/>
      </c>
      <c r="AHP53" s="12">
        <f>AHP52+AHL53-AHL41*(AnnualChurn*VLOOKUP(AGX53,ChurnSeasonTable,4,FALSE))*POWER(1-(AnnualChurn*VLOOKUP(AGX53,ChurnSeasonTable,4,FALSE)),0)+AHL29*(AnnualChurn*VLOOKUP(AGX53,ChurnSeasonTable,4,FALSE))*POWER(1-(AnnualChurn*VLOOKUP(AGX53,ChurnSeasonTable,4,FALSE)),1)+AHL17*(AnnualChurn*VLOOKUP(AGX53,ChurnSeasonTable,4,FALSE))*POWER(1-(AnnualChurn*VLOOKUP(AGX53,ChurnSeasonTable,4,FALSE)),2)+AHL5*(AnnualChurn*VLOOKUP(AGX53,ChurnSeasonTable,4,FALSE))*POWER(1-(AnnualChurn*VLOOKUP(AGX53,ChurnSeasonTable,4,FALSE)),3)</f>
        <v/>
      </c>
      <c r="AHQ53" s="12">
        <f>AHM53+AHN53+AHO53+AHP53</f>
        <v/>
      </c>
      <c r="AHR53" s="9">
        <f>AHM53*PriceEssMonthly*AHA53+AHN53*PricePremMonthly*AHA53+AHO53*PriceEssAnnual*AHA53/12+AHP53*PricePremAnnual*AHA53/12</f>
        <v/>
      </c>
      <c r="AHS53" s="9">
        <f>AHR53*12</f>
        <v/>
      </c>
      <c r="AHT53" s="12">
        <f>AHM53*PriceEssMonthly*AHA53+AHN53*PricePremMonthly*AHA53</f>
        <v/>
      </c>
      <c r="AHU53" s="12">
        <f>AHK53*PriceEssAnnual*AHA53+AHL53*PricePremAnnual*AHA53</f>
        <v/>
      </c>
      <c r="AHV53" s="12">
        <f>AHK41*POWER(1-(AnnualChurn*VLOOKUP(AGX53,ChurnSeasonTable,4,FALSE)),1)*PriceEssAnnual*AHA53+AHK29*POWER(1-(AnnualChurn*VLOOKUP(AGX53,ChurnSeasonTable,4,FALSE)),2)*PriceEssAnnual*AHA53+AHK17*POWER(1-(AnnualChurn*VLOOKUP(AGX53,ChurnSeasonTable,4,FALSE)),3)*PriceEssAnnual*AHA53+AHK5*POWER(1-(AnnualChurn*VLOOKUP(AGX53,ChurnSeasonTable,4,FALSE)),4)*PriceEssAnnual*AHA53+AHL41*POWER(1-(AnnualChurn*VLOOKUP(AGX53,ChurnSeasonTable,4,FALSE)),1)*PricePremAnnual*AHA53+AHL29*POWER(1-(AnnualChurn*VLOOKUP(AGX53,ChurnSeasonTable,4,FALSE)),2)*PricePremAnnual*AHA53+AHL17*POWER(1-(AnnualChurn*VLOOKUP(AGX53,ChurnSeasonTable,4,FALSE)),3)*PricePremAnnual*AHA53+AHL5*POWER(1-(AnnualChurn*VLOOKUP(AGX53,ChurnSeasonTable,4,FALSE)),4)*PricePremAnnual*AHA53</f>
        <v/>
      </c>
      <c r="AHW53" s="9">
        <f>AHT53+AHU53+AHV53</f>
        <v/>
      </c>
      <c r="AHX53" s="12">
        <f>SUM(AHW42:AHW53)</f>
        <v/>
      </c>
      <c r="AHY53" s="12">
        <f>OR(AHY52,AHX53&gt;=VATThreshold)</f>
        <v/>
      </c>
      <c r="AHZ53" s="9">
        <f>IF(AHY53,AHW53/(1+VATRate),AHW53)</f>
        <v/>
      </c>
      <c r="AIA53" s="12">
        <f>AHW53-AHZ53</f>
        <v/>
      </c>
      <c r="AIB53" s="12">
        <f>IF(AHY53=0,0,IF(AGX53=1,SUMPRODUCT(--(($AGY$5:$AGY53=$AGY53-1)*($AGX$5:$AGX53&gt;=10)*($AGX$5:$AGX53&lt;=12)),$AIA$5:$AIA53),IF(AGX53=4,SUMPRODUCT(--(($AGY$5:$AGY53=$AGY53)*($AGX$5:$AGX53&gt;=1)*($AGX$5:$AGX53&lt;=3)),$AIA$5:$AIA53),IF(AGX53=7,SUMPRODUCT(--(($AGY$5:$AGY53=$AGY53)*($AGX$5:$AGX53&gt;=4)*($AGX$5:$AGX53&lt;=6)),$AIA$5:$AIA53),IF(AGX53=10,SUMPRODUCT(--(($AGY$5:$AGY53=$AGY53)*($AGX$5:$AGX53&gt;=7)*($AGX$5:$AGX53&lt;=9)),$AIA$5:$AIA53),0)))))</f>
        <v/>
      </c>
      <c r="AIC53" s="12">
        <f>AIC52+AIA53-AIB53</f>
        <v/>
      </c>
      <c r="AID53" s="12">
        <f>IF(ProviderDelay&gt;=1,AHZ52*ProviderShare,AHZ53*ProviderShare)</f>
        <v/>
      </c>
      <c r="AIE53" s="12">
        <f>AHW53*PaymentFee</f>
        <v/>
      </c>
      <c r="AIF53" s="12">
        <f>AHQ53*OpsAI</f>
        <v/>
      </c>
      <c r="AIG53" s="12">
        <f>MonthlyFixed</f>
        <v/>
      </c>
      <c r="AIH53" s="12">
        <f>AHE53*ReferralReward</f>
        <v/>
      </c>
      <c r="AII53" s="12">
        <f>AHC53</f>
        <v/>
      </c>
      <c r="AIJ53" s="9">
        <f>AHZ53-AID53-AIE53-AIF53-AIG53-AIH53-AII53</f>
        <v/>
      </c>
      <c r="AIK53" s="9">
        <f>AIK52+AHW53-(AID53+AIE53+AIF53+AIG53+AIH53+AII53+AIB53)</f>
        <v/>
      </c>
      <c r="AIL53" s="12">
        <f>IF(AHQ53&gt;0,AHR53/AHQ53,0)</f>
        <v/>
      </c>
      <c r="AIM53" s="11">
        <f>IF(AHQ52&gt;0,MAX(0,(AHQ52+AHF53-AHQ53)/AHQ52),0)</f>
        <v/>
      </c>
      <c r="AIO53" s="12" t="n">
        <v>49</v>
      </c>
      <c r="AIP53" s="12">
        <f>MOD(AIO53-1+LaunchMonth-1,12)+1</f>
        <v/>
      </c>
      <c r="AIQ53" s="12">
        <f>INT((AIO53-1+LaunchMonth-1)/12)+1</f>
        <v/>
      </c>
      <c r="AIR53" s="12">
        <f>VLOOKUP(AIP53,SeasonTable,2,FALSE)</f>
        <v/>
      </c>
      <c r="AIS53" s="12">
        <f>(1+InflationRate)^INT((AIO53-1)/12)</f>
        <v/>
      </c>
      <c r="AIT53" s="11">
        <f>MonthlyChurn*VLOOKUP(AIP53,ChurnSeasonTable,4,FALSE)</f>
        <v/>
      </c>
      <c r="AIU53" s="12">
        <f>MIN(MAX(MktMin19plus,AJO52*MktPct19plus),MAX(0,AKC52-CashBuffer))</f>
        <v/>
      </c>
      <c r="AIV53" s="12">
        <f>IF(AIU53&gt;0,MAX(1,ROUND(AIU53/'Sens - CAC &amp; Marketing'!$A$11*AIR53,0)),0)</f>
        <v/>
      </c>
      <c r="AIW53" s="12">
        <f>IF(AIV53&gt;0,ROUND(AIV53*ReferralMix/(1-ReferralMix),0),0)</f>
        <v/>
      </c>
      <c r="AIX53" s="12">
        <f>AIV53+AIW53</f>
        <v/>
      </c>
      <c r="AIY53" s="12">
        <f>ROUND(AIX53*(1-AnnualMix),0)</f>
        <v/>
      </c>
      <c r="AIZ53" s="12">
        <f>AIX53-AIY53</f>
        <v/>
      </c>
      <c r="AJA53" s="12">
        <f>ROUND(AIY53*EssentialMix,0)</f>
        <v/>
      </c>
      <c r="AJB53" s="12">
        <f>AIY53-AJA53</f>
        <v/>
      </c>
      <c r="AJC53" s="12">
        <f>ROUND(AIZ53*EssentialMix,0)</f>
        <v/>
      </c>
      <c r="AJD53" s="12">
        <f>AIZ53-AJC53</f>
        <v/>
      </c>
      <c r="AJE53" s="12">
        <f>AJA53+AJA52+AJA51+MAX(0,AJE52-AJA52-AJA51)*(1-AIT53)</f>
        <v/>
      </c>
      <c r="AJF53" s="12">
        <f>AJB53+AJB52+AJB51+MAX(0,AJF52-AJB52-AJB51)*(1-AIT53)</f>
        <v/>
      </c>
      <c r="AJG53" s="12">
        <f>AJG52+AJC53-AJC41*(AnnualChurn*VLOOKUP(AIP53,ChurnSeasonTable,4,FALSE))*POWER(1-(AnnualChurn*VLOOKUP(AIP53,ChurnSeasonTable,4,FALSE)),0)+AJC29*(AnnualChurn*VLOOKUP(AIP53,ChurnSeasonTable,4,FALSE))*POWER(1-(AnnualChurn*VLOOKUP(AIP53,ChurnSeasonTable,4,FALSE)),1)+AJC17*(AnnualChurn*VLOOKUP(AIP53,ChurnSeasonTable,4,FALSE))*POWER(1-(AnnualChurn*VLOOKUP(AIP53,ChurnSeasonTable,4,FALSE)),2)+AJC5*(AnnualChurn*VLOOKUP(AIP53,ChurnSeasonTable,4,FALSE))*POWER(1-(AnnualChurn*VLOOKUP(AIP53,ChurnSeasonTable,4,FALSE)),3)</f>
        <v/>
      </c>
      <c r="AJH53" s="12">
        <f>AJH52+AJD53-AJD41*(AnnualChurn*VLOOKUP(AIP53,ChurnSeasonTable,4,FALSE))*POWER(1-(AnnualChurn*VLOOKUP(AIP53,ChurnSeasonTable,4,FALSE)),0)+AJD29*(AnnualChurn*VLOOKUP(AIP53,ChurnSeasonTable,4,FALSE))*POWER(1-(AnnualChurn*VLOOKUP(AIP53,ChurnSeasonTable,4,FALSE)),1)+AJD17*(AnnualChurn*VLOOKUP(AIP53,ChurnSeasonTable,4,FALSE))*POWER(1-(AnnualChurn*VLOOKUP(AIP53,ChurnSeasonTable,4,FALSE)),2)+AJD5*(AnnualChurn*VLOOKUP(AIP53,ChurnSeasonTable,4,FALSE))*POWER(1-(AnnualChurn*VLOOKUP(AIP53,ChurnSeasonTable,4,FALSE)),3)</f>
        <v/>
      </c>
      <c r="AJI53" s="12">
        <f>AJE53+AJF53+AJG53+AJH53</f>
        <v/>
      </c>
      <c r="AJJ53" s="9">
        <f>AJE53*PriceEssMonthly*AIS53+AJF53*PricePremMonthly*AIS53+AJG53*PriceEssAnnual*AIS53/12+AJH53*PricePremAnnual*AIS53/12</f>
        <v/>
      </c>
      <c r="AJK53" s="9">
        <f>AJJ53*12</f>
        <v/>
      </c>
      <c r="AJL53" s="12">
        <f>AJE53*PriceEssMonthly*AIS53+AJF53*PricePremMonthly*AIS53</f>
        <v/>
      </c>
      <c r="AJM53" s="12">
        <f>AJC53*PriceEssAnnual*AIS53+AJD53*PricePremAnnual*AIS53</f>
        <v/>
      </c>
      <c r="AJN53" s="12">
        <f>AJC41*POWER(1-(AnnualChurn*VLOOKUP(AIP53,ChurnSeasonTable,4,FALSE)),1)*PriceEssAnnual*AIS53+AJC29*POWER(1-(AnnualChurn*VLOOKUP(AIP53,ChurnSeasonTable,4,FALSE)),2)*PriceEssAnnual*AIS53+AJC17*POWER(1-(AnnualChurn*VLOOKUP(AIP53,ChurnSeasonTable,4,FALSE)),3)*PriceEssAnnual*AIS53+AJC5*POWER(1-(AnnualChurn*VLOOKUP(AIP53,ChurnSeasonTable,4,FALSE)),4)*PriceEssAnnual*AIS53+AJD41*POWER(1-(AnnualChurn*VLOOKUP(AIP53,ChurnSeasonTable,4,FALSE)),1)*PricePremAnnual*AIS53+AJD29*POWER(1-(AnnualChurn*VLOOKUP(AIP53,ChurnSeasonTable,4,FALSE)),2)*PricePremAnnual*AIS53+AJD17*POWER(1-(AnnualChurn*VLOOKUP(AIP53,ChurnSeasonTable,4,FALSE)),3)*PricePremAnnual*AIS53+AJD5*POWER(1-(AnnualChurn*VLOOKUP(AIP53,ChurnSeasonTable,4,FALSE)),4)*PricePremAnnual*AIS53</f>
        <v/>
      </c>
      <c r="AJO53" s="9">
        <f>AJL53+AJM53+AJN53</f>
        <v/>
      </c>
      <c r="AJP53" s="12">
        <f>SUM(AJO42:AJO53)</f>
        <v/>
      </c>
      <c r="AJQ53" s="12">
        <f>OR(AJQ52,AJP53&gt;=VATThreshold)</f>
        <v/>
      </c>
      <c r="AJR53" s="9">
        <f>IF(AJQ53,AJO53/(1+VATRate),AJO53)</f>
        <v/>
      </c>
      <c r="AJS53" s="12">
        <f>AJO53-AJR53</f>
        <v/>
      </c>
      <c r="AJT53" s="12">
        <f>IF(AJQ53=0,0,IF(AIP53=1,SUMPRODUCT(--(($AIQ$5:$AIQ53=$AIQ53-1)*($AIP$5:$AIP53&gt;=10)*($AIP$5:$AIP53&lt;=12)),$AJS$5:$AJS53),IF(AIP53=4,SUMPRODUCT(--(($AIQ$5:$AIQ53=$AIQ53)*($AIP$5:$AIP53&gt;=1)*($AIP$5:$AIP53&lt;=3)),$AJS$5:$AJS53),IF(AIP53=7,SUMPRODUCT(--(($AIQ$5:$AIQ53=$AIQ53)*($AIP$5:$AIP53&gt;=4)*($AIP$5:$AIP53&lt;=6)),$AJS$5:$AJS53),IF(AIP53=10,SUMPRODUCT(--(($AIQ$5:$AIQ53=$AIQ53)*($AIP$5:$AIP53&gt;=7)*($AIP$5:$AIP53&lt;=9)),$AJS$5:$AJS53),0)))))</f>
        <v/>
      </c>
      <c r="AJU53" s="12">
        <f>AJU52+AJS53-AJT53</f>
        <v/>
      </c>
      <c r="AJV53" s="12">
        <f>IF(ProviderDelay&gt;=1,AJR52*ProviderShare,AJR53*ProviderShare)</f>
        <v/>
      </c>
      <c r="AJW53" s="12">
        <f>AJO53*PaymentFee</f>
        <v/>
      </c>
      <c r="AJX53" s="12">
        <f>AJI53*OpsAI</f>
        <v/>
      </c>
      <c r="AJY53" s="12">
        <f>MonthlyFixed</f>
        <v/>
      </c>
      <c r="AJZ53" s="12">
        <f>AIW53*ReferralReward</f>
        <v/>
      </c>
      <c r="AKA53" s="12">
        <f>AIU53</f>
        <v/>
      </c>
      <c r="AKB53" s="9">
        <f>AJR53-AJV53-AJW53-AJX53-AJY53-AJZ53-AKA53</f>
        <v/>
      </c>
      <c r="AKC53" s="9">
        <f>AKC52+AJO53-(AJV53+AJW53+AJX53+AJY53+AJZ53+AKA53+AJT53)</f>
        <v/>
      </c>
      <c r="AKD53" s="12">
        <f>IF(AJI53&gt;0,AJJ53/AJI53,0)</f>
        <v/>
      </c>
      <c r="AKE53" s="11">
        <f>IF(AJI52&gt;0,MAX(0,(AJI52+AIX53-AJI53)/AJI52),0)</f>
        <v/>
      </c>
      <c r="AKG53" s="12" t="n">
        <v>49</v>
      </c>
      <c r="AKH53" s="12">
        <f>MOD(AKG53-1+LaunchMonth-1,12)+1</f>
        <v/>
      </c>
      <c r="AKI53" s="12">
        <f>INT((AKG53-1+LaunchMonth-1)/12)+1</f>
        <v/>
      </c>
      <c r="AKJ53" s="12">
        <f>VLOOKUP(AKH53,SeasonTable,2,FALSE)</f>
        <v/>
      </c>
      <c r="AKK53" s="12">
        <f>(1+InflationRate)^INT((AKG53-1)/12)</f>
        <v/>
      </c>
      <c r="AKL53" s="11">
        <f>MonthlyChurn*VLOOKUP(AKH53,ChurnSeasonTable,4,FALSE)</f>
        <v/>
      </c>
      <c r="AKM53" s="12">
        <f>MIN(MAX(MktMin19plus,ALG52*MktPct19plus),MAX(0,ALU52-CashBuffer))</f>
        <v/>
      </c>
      <c r="AKN53" s="12">
        <f>IF(AKM53&gt;0,MAX(1,ROUND(AKM53/'Sens - CAC &amp; Marketing'!$A$12*AKJ53,0)),0)</f>
        <v/>
      </c>
      <c r="AKO53" s="12">
        <f>IF(AKN53&gt;0,ROUND(AKN53*ReferralMix/(1-ReferralMix),0),0)</f>
        <v/>
      </c>
      <c r="AKP53" s="12">
        <f>AKN53+AKO53</f>
        <v/>
      </c>
      <c r="AKQ53" s="12">
        <f>ROUND(AKP53*(1-AnnualMix),0)</f>
        <v/>
      </c>
      <c r="AKR53" s="12">
        <f>AKP53-AKQ53</f>
        <v/>
      </c>
      <c r="AKS53" s="12">
        <f>ROUND(AKQ53*EssentialMix,0)</f>
        <v/>
      </c>
      <c r="AKT53" s="12">
        <f>AKQ53-AKS53</f>
        <v/>
      </c>
      <c r="AKU53" s="12">
        <f>ROUND(AKR53*EssentialMix,0)</f>
        <v/>
      </c>
      <c r="AKV53" s="12">
        <f>AKR53-AKU53</f>
        <v/>
      </c>
      <c r="AKW53" s="12">
        <f>AKS53+AKS52+AKS51+MAX(0,AKW52-AKS52-AKS51)*(1-AKL53)</f>
        <v/>
      </c>
      <c r="AKX53" s="12">
        <f>AKT53+AKT52+AKT51+MAX(0,AKX52-AKT52-AKT51)*(1-AKL53)</f>
        <v/>
      </c>
      <c r="AKY53" s="12">
        <f>AKY52+AKU53-AKU41*(AnnualChurn*VLOOKUP(AKH53,ChurnSeasonTable,4,FALSE))*POWER(1-(AnnualChurn*VLOOKUP(AKH53,ChurnSeasonTable,4,FALSE)),0)+AKU29*(AnnualChurn*VLOOKUP(AKH53,ChurnSeasonTable,4,FALSE))*POWER(1-(AnnualChurn*VLOOKUP(AKH53,ChurnSeasonTable,4,FALSE)),1)+AKU17*(AnnualChurn*VLOOKUP(AKH53,ChurnSeasonTable,4,FALSE))*POWER(1-(AnnualChurn*VLOOKUP(AKH53,ChurnSeasonTable,4,FALSE)),2)+AKU5*(AnnualChurn*VLOOKUP(AKH53,ChurnSeasonTable,4,FALSE))*POWER(1-(AnnualChurn*VLOOKUP(AKH53,ChurnSeasonTable,4,FALSE)),3)</f>
        <v/>
      </c>
      <c r="AKZ53" s="12">
        <f>AKZ52+AKV53-AKV41*(AnnualChurn*VLOOKUP(AKH53,ChurnSeasonTable,4,FALSE))*POWER(1-(AnnualChurn*VLOOKUP(AKH53,ChurnSeasonTable,4,FALSE)),0)+AKV29*(AnnualChurn*VLOOKUP(AKH53,ChurnSeasonTable,4,FALSE))*POWER(1-(AnnualChurn*VLOOKUP(AKH53,ChurnSeasonTable,4,FALSE)),1)+AKV17*(AnnualChurn*VLOOKUP(AKH53,ChurnSeasonTable,4,FALSE))*POWER(1-(AnnualChurn*VLOOKUP(AKH53,ChurnSeasonTable,4,FALSE)),2)+AKV5*(AnnualChurn*VLOOKUP(AKH53,ChurnSeasonTable,4,FALSE))*POWER(1-(AnnualChurn*VLOOKUP(AKH53,ChurnSeasonTable,4,FALSE)),3)</f>
        <v/>
      </c>
      <c r="ALA53" s="12">
        <f>AKW53+AKX53+AKY53+AKZ53</f>
        <v/>
      </c>
      <c r="ALB53" s="9">
        <f>AKW53*PriceEssMonthly*AKK53+AKX53*PricePremMonthly*AKK53+AKY53*PriceEssAnnual*AKK53/12+AKZ53*PricePremAnnual*AKK53/12</f>
        <v/>
      </c>
      <c r="ALC53" s="9">
        <f>ALB53*12</f>
        <v/>
      </c>
      <c r="ALD53" s="12">
        <f>AKW53*PriceEssMonthly*AKK53+AKX53*PricePremMonthly*AKK53</f>
        <v/>
      </c>
      <c r="ALE53" s="12">
        <f>AKU53*PriceEssAnnual*AKK53+AKV53*PricePremAnnual*AKK53</f>
        <v/>
      </c>
      <c r="ALF53" s="12">
        <f>AKU41*POWER(1-(AnnualChurn*VLOOKUP(AKH53,ChurnSeasonTable,4,FALSE)),1)*PriceEssAnnual*AKK53+AKU29*POWER(1-(AnnualChurn*VLOOKUP(AKH53,ChurnSeasonTable,4,FALSE)),2)*PriceEssAnnual*AKK53+AKU17*POWER(1-(AnnualChurn*VLOOKUP(AKH53,ChurnSeasonTable,4,FALSE)),3)*PriceEssAnnual*AKK53+AKU5*POWER(1-(AnnualChurn*VLOOKUP(AKH53,ChurnSeasonTable,4,FALSE)),4)*PriceEssAnnual*AKK53+AKV41*POWER(1-(AnnualChurn*VLOOKUP(AKH53,ChurnSeasonTable,4,FALSE)),1)*PricePremAnnual*AKK53+AKV29*POWER(1-(AnnualChurn*VLOOKUP(AKH53,ChurnSeasonTable,4,FALSE)),2)*PricePremAnnual*AKK53+AKV17*POWER(1-(AnnualChurn*VLOOKUP(AKH53,ChurnSeasonTable,4,FALSE)),3)*PricePremAnnual*AKK53+AKV5*POWER(1-(AnnualChurn*VLOOKUP(AKH53,ChurnSeasonTable,4,FALSE)),4)*PricePremAnnual*AKK53</f>
        <v/>
      </c>
      <c r="ALG53" s="9">
        <f>ALD53+ALE53+ALF53</f>
        <v/>
      </c>
      <c r="ALH53" s="12">
        <f>SUM(ALG42:ALG53)</f>
        <v/>
      </c>
      <c r="ALI53" s="12">
        <f>OR(ALI52,ALH53&gt;=VATThreshold)</f>
        <v/>
      </c>
      <c r="ALJ53" s="9">
        <f>IF(ALI53,ALG53/(1+VATRate),ALG53)</f>
        <v/>
      </c>
      <c r="ALK53" s="12">
        <f>ALG53-ALJ53</f>
        <v/>
      </c>
      <c r="ALL53" s="12">
        <f>IF(ALI53=0,0,IF(AKH53=1,SUMPRODUCT(--(($AKI$5:$AKI53=$AKI53-1)*($AKH$5:$AKH53&gt;=10)*($AKH$5:$AKH53&lt;=12)),$ALK$5:$ALK53),IF(AKH53=4,SUMPRODUCT(--(($AKI$5:$AKI53=$AKI53)*($AKH$5:$AKH53&gt;=1)*($AKH$5:$AKH53&lt;=3)),$ALK$5:$ALK53),IF(AKH53=7,SUMPRODUCT(--(($AKI$5:$AKI53=$AKI53)*($AKH$5:$AKH53&gt;=4)*($AKH$5:$AKH53&lt;=6)),$ALK$5:$ALK53),IF(AKH53=10,SUMPRODUCT(--(($AKI$5:$AKI53=$AKI53)*($AKH$5:$AKH53&gt;=7)*($AKH$5:$AKH53&lt;=9)),$ALK$5:$ALK53),0)))))</f>
        <v/>
      </c>
      <c r="ALM53" s="12">
        <f>ALM52+ALK53-ALL53</f>
        <v/>
      </c>
      <c r="ALN53" s="12">
        <f>IF(ProviderDelay&gt;=1,ALJ52*ProviderShare,ALJ53*ProviderShare)</f>
        <v/>
      </c>
      <c r="ALO53" s="12">
        <f>ALG53*PaymentFee</f>
        <v/>
      </c>
      <c r="ALP53" s="12">
        <f>ALA53*OpsAI</f>
        <v/>
      </c>
      <c r="ALQ53" s="12">
        <f>MonthlyFixed</f>
        <v/>
      </c>
      <c r="ALR53" s="12">
        <f>AKO53*ReferralReward</f>
        <v/>
      </c>
      <c r="ALS53" s="12">
        <f>AKM53</f>
        <v/>
      </c>
      <c r="ALT53" s="9">
        <f>ALJ53-ALN53-ALO53-ALP53-ALQ53-ALR53-ALS53</f>
        <v/>
      </c>
      <c r="ALU53" s="9">
        <f>ALU52+ALG53-(ALN53+ALO53+ALP53+ALQ53+ALR53+ALS53+ALL53)</f>
        <v/>
      </c>
      <c r="ALV53" s="12">
        <f>IF(ALA53&gt;0,ALB53/ALA53,0)</f>
        <v/>
      </c>
      <c r="ALW53" s="11">
        <f>IF(ALA52&gt;0,MAX(0,(ALA52+AKP53-ALA53)/ALA52),0)</f>
        <v/>
      </c>
      <c r="ALY53" s="12" t="n">
        <v>49</v>
      </c>
      <c r="ALZ53" s="12">
        <f>MOD(ALY53-1+LaunchMonth-1,12)+1</f>
        <v/>
      </c>
      <c r="AMA53" s="12">
        <f>INT((ALY53-1+LaunchMonth-1)/12)+1</f>
        <v/>
      </c>
      <c r="AMB53" s="12">
        <f>VLOOKUP(ALZ53,SeasonTable,2,FALSE)</f>
        <v/>
      </c>
      <c r="AMC53" s="12">
        <f>(1+InflationRate)^INT((ALY53-1)/12)</f>
        <v/>
      </c>
      <c r="AMD53" s="11">
        <f>MonthlyChurn*VLOOKUP(ALZ53,ChurnSeasonTable,4,FALSE)</f>
        <v/>
      </c>
      <c r="AME53" s="12">
        <f>MIN(MAX(MktMin19plus,AMY52*MktPct19plus),MAX(0,ANM52-CashBuffer))</f>
        <v/>
      </c>
      <c r="AMF53" s="12">
        <f>IF(AME53&gt;0,MAX(1,ROUND(AME53/'Sens - CAC &amp; Marketing'!$A$13*AMB53,0)),0)</f>
        <v/>
      </c>
      <c r="AMG53" s="12">
        <f>IF(AMF53&gt;0,ROUND(AMF53*ReferralMix/(1-ReferralMix),0),0)</f>
        <v/>
      </c>
      <c r="AMH53" s="12">
        <f>AMF53+AMG53</f>
        <v/>
      </c>
      <c r="AMI53" s="12">
        <f>ROUND(AMH53*(1-AnnualMix),0)</f>
        <v/>
      </c>
      <c r="AMJ53" s="12">
        <f>AMH53-AMI53</f>
        <v/>
      </c>
      <c r="AMK53" s="12">
        <f>ROUND(AMI53*EssentialMix,0)</f>
        <v/>
      </c>
      <c r="AML53" s="12">
        <f>AMI53-AMK53</f>
        <v/>
      </c>
      <c r="AMM53" s="12">
        <f>ROUND(AMJ53*EssentialMix,0)</f>
        <v/>
      </c>
      <c r="AMN53" s="12">
        <f>AMJ53-AMM53</f>
        <v/>
      </c>
      <c r="AMO53" s="12">
        <f>AMK53+AMK52+AMK51+MAX(0,AMO52-AMK52-AMK51)*(1-AMD53)</f>
        <v/>
      </c>
      <c r="AMP53" s="12">
        <f>AML53+AML52+AML51+MAX(0,AMP52-AML52-AML51)*(1-AMD53)</f>
        <v/>
      </c>
      <c r="AMQ53" s="12">
        <f>AMQ52+AMM53-AMM41*(AnnualChurn*VLOOKUP(ALZ53,ChurnSeasonTable,4,FALSE))*POWER(1-(AnnualChurn*VLOOKUP(ALZ53,ChurnSeasonTable,4,FALSE)),0)+AMM29*(AnnualChurn*VLOOKUP(ALZ53,ChurnSeasonTable,4,FALSE))*POWER(1-(AnnualChurn*VLOOKUP(ALZ53,ChurnSeasonTable,4,FALSE)),1)+AMM17*(AnnualChurn*VLOOKUP(ALZ53,ChurnSeasonTable,4,FALSE))*POWER(1-(AnnualChurn*VLOOKUP(ALZ53,ChurnSeasonTable,4,FALSE)),2)+AMM5*(AnnualChurn*VLOOKUP(ALZ53,ChurnSeasonTable,4,FALSE))*POWER(1-(AnnualChurn*VLOOKUP(ALZ53,ChurnSeasonTable,4,FALSE)),3)</f>
        <v/>
      </c>
      <c r="AMR53" s="12">
        <f>AMR52+AMN53-AMN41*(AnnualChurn*VLOOKUP(ALZ53,ChurnSeasonTable,4,FALSE))*POWER(1-(AnnualChurn*VLOOKUP(ALZ53,ChurnSeasonTable,4,FALSE)),0)+AMN29*(AnnualChurn*VLOOKUP(ALZ53,ChurnSeasonTable,4,FALSE))*POWER(1-(AnnualChurn*VLOOKUP(ALZ53,ChurnSeasonTable,4,FALSE)),1)+AMN17*(AnnualChurn*VLOOKUP(ALZ53,ChurnSeasonTable,4,FALSE))*POWER(1-(AnnualChurn*VLOOKUP(ALZ53,ChurnSeasonTable,4,FALSE)),2)+AMN5*(AnnualChurn*VLOOKUP(ALZ53,ChurnSeasonTable,4,FALSE))*POWER(1-(AnnualChurn*VLOOKUP(ALZ53,ChurnSeasonTable,4,FALSE)),3)</f>
        <v/>
      </c>
      <c r="AMS53" s="12">
        <f>AMO53+AMP53+AMQ53+AMR53</f>
        <v/>
      </c>
      <c r="AMT53" s="9">
        <f>AMO53*PriceEssMonthly*AMC53+AMP53*PricePremMonthly*AMC53+AMQ53*PriceEssAnnual*AMC53/12+AMR53*PricePremAnnual*AMC53/12</f>
        <v/>
      </c>
      <c r="AMU53" s="9">
        <f>AMT53*12</f>
        <v/>
      </c>
      <c r="AMV53" s="12">
        <f>AMO53*PriceEssMonthly*AMC53+AMP53*PricePremMonthly*AMC53</f>
        <v/>
      </c>
      <c r="AMW53" s="12">
        <f>AMM53*PriceEssAnnual*AMC53+AMN53*PricePremAnnual*AMC53</f>
        <v/>
      </c>
      <c r="AMX53" s="12">
        <f>AMM41*POWER(1-(AnnualChurn*VLOOKUP(ALZ53,ChurnSeasonTable,4,FALSE)),1)*PriceEssAnnual*AMC53+AMM29*POWER(1-(AnnualChurn*VLOOKUP(ALZ53,ChurnSeasonTable,4,FALSE)),2)*PriceEssAnnual*AMC53+AMM17*POWER(1-(AnnualChurn*VLOOKUP(ALZ53,ChurnSeasonTable,4,FALSE)),3)*PriceEssAnnual*AMC53+AMM5*POWER(1-(AnnualChurn*VLOOKUP(ALZ53,ChurnSeasonTable,4,FALSE)),4)*PriceEssAnnual*AMC53+AMN41*POWER(1-(AnnualChurn*VLOOKUP(ALZ53,ChurnSeasonTable,4,FALSE)),1)*PricePremAnnual*AMC53+AMN29*POWER(1-(AnnualChurn*VLOOKUP(ALZ53,ChurnSeasonTable,4,FALSE)),2)*PricePremAnnual*AMC53+AMN17*POWER(1-(AnnualChurn*VLOOKUP(ALZ53,ChurnSeasonTable,4,FALSE)),3)*PricePremAnnual*AMC53+AMN5*POWER(1-(AnnualChurn*VLOOKUP(ALZ53,ChurnSeasonTable,4,FALSE)),4)*PricePremAnnual*AMC53</f>
        <v/>
      </c>
      <c r="AMY53" s="9">
        <f>AMV53+AMW53+AMX53</f>
        <v/>
      </c>
      <c r="AMZ53" s="12">
        <f>SUM(AMY42:AMY53)</f>
        <v/>
      </c>
      <c r="ANA53" s="12">
        <f>OR(ANA52,AMZ53&gt;=VATThreshold)</f>
        <v/>
      </c>
      <c r="ANB53" s="9">
        <f>IF(ANA53,AMY53/(1+VATRate),AMY53)</f>
        <v/>
      </c>
      <c r="ANC53" s="12">
        <f>AMY53-ANB53</f>
        <v/>
      </c>
      <c r="AND53" s="12">
        <f>IF(ANA53=0,0,IF(ALZ53=1,SUMPRODUCT(--(($AMA$5:$AMA53=$AMA53-1)*($ALZ$5:$ALZ53&gt;=10)*($ALZ$5:$ALZ53&lt;=12)),$ANC$5:$ANC53),IF(ALZ53=4,SUMPRODUCT(--(($AMA$5:$AMA53=$AMA53)*($ALZ$5:$ALZ53&gt;=1)*($ALZ$5:$ALZ53&lt;=3)),$ANC$5:$ANC53),IF(ALZ53=7,SUMPRODUCT(--(($AMA$5:$AMA53=$AMA53)*($ALZ$5:$ALZ53&gt;=4)*($ALZ$5:$ALZ53&lt;=6)),$ANC$5:$ANC53),IF(ALZ53=10,SUMPRODUCT(--(($AMA$5:$AMA53=$AMA53)*($ALZ$5:$ALZ53&gt;=7)*($ALZ$5:$ALZ53&lt;=9)),$ANC$5:$ANC53),0)))))</f>
        <v/>
      </c>
      <c r="ANE53" s="12">
        <f>ANE52+ANC53-AND53</f>
        <v/>
      </c>
      <c r="ANF53" s="12">
        <f>IF(ProviderDelay&gt;=1,ANB52*ProviderShare,ANB53*ProviderShare)</f>
        <v/>
      </c>
      <c r="ANG53" s="12">
        <f>AMY53*PaymentFee</f>
        <v/>
      </c>
      <c r="ANH53" s="12">
        <f>AMS53*OpsAI</f>
        <v/>
      </c>
      <c r="ANI53" s="12">
        <f>MonthlyFixed</f>
        <v/>
      </c>
      <c r="ANJ53" s="12">
        <f>AMG53*ReferralReward</f>
        <v/>
      </c>
      <c r="ANK53" s="12">
        <f>AME53</f>
        <v/>
      </c>
      <c r="ANL53" s="9">
        <f>ANB53-ANF53-ANG53-ANH53-ANI53-ANJ53-ANK53</f>
        <v/>
      </c>
      <c r="ANM53" s="9">
        <f>ANM52+AMY53-(ANF53+ANG53+ANH53+ANI53+ANJ53+ANK53+AND53)</f>
        <v/>
      </c>
      <c r="ANN53" s="12">
        <f>IF(AMS53&gt;0,AMT53/AMS53,0)</f>
        <v/>
      </c>
      <c r="ANO53" s="11">
        <f>IF(AMS52&gt;0,MAX(0,(AMS52+AMH53-AMS53)/AMS52),0)</f>
        <v/>
      </c>
      <c r="ANQ53" s="12" t="n">
        <v>49</v>
      </c>
      <c r="ANR53" s="12">
        <f>MOD(ANQ53-1+LaunchMonth-1,12)+1</f>
        <v/>
      </c>
      <c r="ANS53" s="12">
        <f>INT((ANQ53-1+LaunchMonth-1)/12)+1</f>
        <v/>
      </c>
      <c r="ANT53" s="12">
        <f>VLOOKUP(ANR53,SeasonTable,2,FALSE)</f>
        <v/>
      </c>
      <c r="ANU53" s="12">
        <f>(1+InflationRate)^INT((ANQ53-1)/12)</f>
        <v/>
      </c>
      <c r="ANV53" s="11">
        <f>MonthlyChurn*VLOOKUP(ANR53,ChurnSeasonTable,4,FALSE)</f>
        <v/>
      </c>
      <c r="ANW53" s="12">
        <f>MIN(MAX(MktMin19plus,AOQ52*MktPct19plus),MAX(0,APE52-CashBuffer))</f>
        <v/>
      </c>
      <c r="ANX53" s="12">
        <f>IF(ANW53&gt;0,MAX(1,ROUND(ANW53/'Sens - CAC &amp; Marketing'!$A$14*ANT53,0)),0)</f>
        <v/>
      </c>
      <c r="ANY53" s="12">
        <f>IF(ANX53&gt;0,ROUND(ANX53*ReferralMix/(1-ReferralMix),0),0)</f>
        <v/>
      </c>
      <c r="ANZ53" s="12">
        <f>ANX53+ANY53</f>
        <v/>
      </c>
      <c r="AOA53" s="12">
        <f>ROUND(ANZ53*(1-AnnualMix),0)</f>
        <v/>
      </c>
      <c r="AOB53" s="12">
        <f>ANZ53-AOA53</f>
        <v/>
      </c>
      <c r="AOC53" s="12">
        <f>ROUND(AOA53*EssentialMix,0)</f>
        <v/>
      </c>
      <c r="AOD53" s="12">
        <f>AOA53-AOC53</f>
        <v/>
      </c>
      <c r="AOE53" s="12">
        <f>ROUND(AOB53*EssentialMix,0)</f>
        <v/>
      </c>
      <c r="AOF53" s="12">
        <f>AOB53-AOE53</f>
        <v/>
      </c>
      <c r="AOG53" s="12">
        <f>AOC53+AOC52+AOC51+MAX(0,AOG52-AOC52-AOC51)*(1-ANV53)</f>
        <v/>
      </c>
      <c r="AOH53" s="12">
        <f>AOD53+AOD52+AOD51+MAX(0,AOH52-AOD52-AOD51)*(1-ANV53)</f>
        <v/>
      </c>
      <c r="AOI53" s="12">
        <f>AOI52+AOE53-AOE41*(AnnualChurn*VLOOKUP(ANR53,ChurnSeasonTable,4,FALSE))*POWER(1-(AnnualChurn*VLOOKUP(ANR53,ChurnSeasonTable,4,FALSE)),0)+AOE29*(AnnualChurn*VLOOKUP(ANR53,ChurnSeasonTable,4,FALSE))*POWER(1-(AnnualChurn*VLOOKUP(ANR53,ChurnSeasonTable,4,FALSE)),1)+AOE17*(AnnualChurn*VLOOKUP(ANR53,ChurnSeasonTable,4,FALSE))*POWER(1-(AnnualChurn*VLOOKUP(ANR53,ChurnSeasonTable,4,FALSE)),2)+AOE5*(AnnualChurn*VLOOKUP(ANR53,ChurnSeasonTable,4,FALSE))*POWER(1-(AnnualChurn*VLOOKUP(ANR53,ChurnSeasonTable,4,FALSE)),3)</f>
        <v/>
      </c>
      <c r="AOJ53" s="12">
        <f>AOJ52+AOF53-AOF41*(AnnualChurn*VLOOKUP(ANR53,ChurnSeasonTable,4,FALSE))*POWER(1-(AnnualChurn*VLOOKUP(ANR53,ChurnSeasonTable,4,FALSE)),0)+AOF29*(AnnualChurn*VLOOKUP(ANR53,ChurnSeasonTable,4,FALSE))*POWER(1-(AnnualChurn*VLOOKUP(ANR53,ChurnSeasonTable,4,FALSE)),1)+AOF17*(AnnualChurn*VLOOKUP(ANR53,ChurnSeasonTable,4,FALSE))*POWER(1-(AnnualChurn*VLOOKUP(ANR53,ChurnSeasonTable,4,FALSE)),2)+AOF5*(AnnualChurn*VLOOKUP(ANR53,ChurnSeasonTable,4,FALSE))*POWER(1-(AnnualChurn*VLOOKUP(ANR53,ChurnSeasonTable,4,FALSE)),3)</f>
        <v/>
      </c>
      <c r="AOK53" s="12">
        <f>AOG53+AOH53+AOI53+AOJ53</f>
        <v/>
      </c>
      <c r="AOL53" s="9">
        <f>AOG53*PriceEssMonthly*ANU53+AOH53*PricePremMonthly*ANU53+AOI53*PriceEssAnnual*ANU53/12+AOJ53*PricePremAnnual*ANU53/12</f>
        <v/>
      </c>
      <c r="AOM53" s="9">
        <f>AOL53*12</f>
        <v/>
      </c>
      <c r="AON53" s="12">
        <f>AOG53*PriceEssMonthly*ANU53+AOH53*PricePremMonthly*ANU53</f>
        <v/>
      </c>
      <c r="AOO53" s="12">
        <f>AOE53*PriceEssAnnual*ANU53+AOF53*PricePremAnnual*ANU53</f>
        <v/>
      </c>
      <c r="AOP53" s="12">
        <f>AOE41*POWER(1-(AnnualChurn*VLOOKUP(ANR53,ChurnSeasonTable,4,FALSE)),1)*PriceEssAnnual*ANU53+AOE29*POWER(1-(AnnualChurn*VLOOKUP(ANR53,ChurnSeasonTable,4,FALSE)),2)*PriceEssAnnual*ANU53+AOE17*POWER(1-(AnnualChurn*VLOOKUP(ANR53,ChurnSeasonTable,4,FALSE)),3)*PriceEssAnnual*ANU53+AOE5*POWER(1-(AnnualChurn*VLOOKUP(ANR53,ChurnSeasonTable,4,FALSE)),4)*PriceEssAnnual*ANU53+AOF41*POWER(1-(AnnualChurn*VLOOKUP(ANR53,ChurnSeasonTable,4,FALSE)),1)*PricePremAnnual*ANU53+AOF29*POWER(1-(AnnualChurn*VLOOKUP(ANR53,ChurnSeasonTable,4,FALSE)),2)*PricePremAnnual*ANU53+AOF17*POWER(1-(AnnualChurn*VLOOKUP(ANR53,ChurnSeasonTable,4,FALSE)),3)*PricePremAnnual*ANU53+AOF5*POWER(1-(AnnualChurn*VLOOKUP(ANR53,ChurnSeasonTable,4,FALSE)),4)*PricePremAnnual*ANU53</f>
        <v/>
      </c>
      <c r="AOQ53" s="9">
        <f>AON53+AOO53+AOP53</f>
        <v/>
      </c>
      <c r="AOR53" s="12">
        <f>SUM(AOQ42:AOQ53)</f>
        <v/>
      </c>
      <c r="AOS53" s="12">
        <f>OR(AOS52,AOR53&gt;=VATThreshold)</f>
        <v/>
      </c>
      <c r="AOT53" s="9">
        <f>IF(AOS53,AOQ53/(1+VATRate),AOQ53)</f>
        <v/>
      </c>
      <c r="AOU53" s="12">
        <f>AOQ53-AOT53</f>
        <v/>
      </c>
      <c r="AOV53" s="12">
        <f>IF(AOS53=0,0,IF(ANR53=1,SUMPRODUCT(--(($ANS$5:$ANS53=$ANS53-1)*($ANR$5:$ANR53&gt;=10)*($ANR$5:$ANR53&lt;=12)),$AOU$5:$AOU53),IF(ANR53=4,SUMPRODUCT(--(($ANS$5:$ANS53=$ANS53)*($ANR$5:$ANR53&gt;=1)*($ANR$5:$ANR53&lt;=3)),$AOU$5:$AOU53),IF(ANR53=7,SUMPRODUCT(--(($ANS$5:$ANS53=$ANS53)*($ANR$5:$ANR53&gt;=4)*($ANR$5:$ANR53&lt;=6)),$AOU$5:$AOU53),IF(ANR53=10,SUMPRODUCT(--(($ANS$5:$ANS53=$ANS53)*($ANR$5:$ANR53&gt;=7)*($ANR$5:$ANR53&lt;=9)),$AOU$5:$AOU53),0)))))</f>
        <v/>
      </c>
      <c r="AOW53" s="12">
        <f>AOW52+AOU53-AOV53</f>
        <v/>
      </c>
      <c r="AOX53" s="12">
        <f>IF(ProviderDelay&gt;=1,AOT52*ProviderShare,AOT53*ProviderShare)</f>
        <v/>
      </c>
      <c r="AOY53" s="12">
        <f>AOQ53*PaymentFee</f>
        <v/>
      </c>
      <c r="AOZ53" s="12">
        <f>AOK53*OpsAI</f>
        <v/>
      </c>
      <c r="APA53" s="12">
        <f>MonthlyFixed</f>
        <v/>
      </c>
      <c r="APB53" s="12">
        <f>ANY53*ReferralReward</f>
        <v/>
      </c>
      <c r="APC53" s="12">
        <f>ANW53</f>
        <v/>
      </c>
      <c r="APD53" s="9">
        <f>AOT53-AOX53-AOY53-AOZ53-APA53-APB53-APC53</f>
        <v/>
      </c>
      <c r="APE53" s="9">
        <f>APE52+AOQ53-(AOX53+AOY53+AOZ53+APA53+APB53+APC53+AOV53)</f>
        <v/>
      </c>
      <c r="APF53" s="12">
        <f>IF(AOK53&gt;0,AOL53/AOK53,0)</f>
        <v/>
      </c>
      <c r="APG53" s="11">
        <f>IF(AOK52&gt;0,MAX(0,(AOK52+ANZ53-AOK53)/AOK52),0)</f>
        <v/>
      </c>
      <c r="API53" s="12" t="n">
        <v>49</v>
      </c>
      <c r="APJ53" s="12">
        <f>MOD(API53-1+LaunchMonth-1,12)+1</f>
        <v/>
      </c>
      <c r="APK53" s="12">
        <f>INT((API53-1+LaunchMonth-1)/12)+1</f>
        <v/>
      </c>
      <c r="APL53" s="12">
        <f>VLOOKUP(APJ53,SeasonTable,2,FALSE)</f>
        <v/>
      </c>
      <c r="APM53" s="12">
        <f>(1+InflationRate)^INT((API53-1)/12)</f>
        <v/>
      </c>
      <c r="APN53" s="11">
        <f>MonthlyChurn*VLOOKUP(APJ53,ChurnSeasonTable,4,FALSE)</f>
        <v/>
      </c>
      <c r="APO53" s="12">
        <f>MIN(MAX(MktMin19plus,AQI52*MktPct19plus),MAX(0,AQW52-CashBuffer))</f>
        <v/>
      </c>
      <c r="APP53" s="12">
        <f>IF(APO53&gt;0,MAX(1,ROUND(APO53/'Sens - CAC &amp; Marketing'!$A$15*APL53,0)),0)</f>
        <v/>
      </c>
      <c r="APQ53" s="12">
        <f>IF(APP53&gt;0,ROUND(APP53*ReferralMix/(1-ReferralMix),0),0)</f>
        <v/>
      </c>
      <c r="APR53" s="12">
        <f>APP53+APQ53</f>
        <v/>
      </c>
      <c r="APS53" s="12">
        <f>ROUND(APR53*(1-AnnualMix),0)</f>
        <v/>
      </c>
      <c r="APT53" s="12">
        <f>APR53-APS53</f>
        <v/>
      </c>
      <c r="APU53" s="12">
        <f>ROUND(APS53*EssentialMix,0)</f>
        <v/>
      </c>
      <c r="APV53" s="12">
        <f>APS53-APU53</f>
        <v/>
      </c>
      <c r="APW53" s="12">
        <f>ROUND(APT53*EssentialMix,0)</f>
        <v/>
      </c>
      <c r="APX53" s="12">
        <f>APT53-APW53</f>
        <v/>
      </c>
      <c r="APY53" s="12">
        <f>APU53+APU52+APU51+MAX(0,APY52-APU52-APU51)*(1-APN53)</f>
        <v/>
      </c>
      <c r="APZ53" s="12">
        <f>APV53+APV52+APV51+MAX(0,APZ52-APV52-APV51)*(1-APN53)</f>
        <v/>
      </c>
      <c r="AQA53" s="12">
        <f>AQA52+APW53-APW41*(AnnualChurn*VLOOKUP(APJ53,ChurnSeasonTable,4,FALSE))*POWER(1-(AnnualChurn*VLOOKUP(APJ53,ChurnSeasonTable,4,FALSE)),0)+APW29*(AnnualChurn*VLOOKUP(APJ53,ChurnSeasonTable,4,FALSE))*POWER(1-(AnnualChurn*VLOOKUP(APJ53,ChurnSeasonTable,4,FALSE)),1)+APW17*(AnnualChurn*VLOOKUP(APJ53,ChurnSeasonTable,4,FALSE))*POWER(1-(AnnualChurn*VLOOKUP(APJ53,ChurnSeasonTable,4,FALSE)),2)+APW5*(AnnualChurn*VLOOKUP(APJ53,ChurnSeasonTable,4,FALSE))*POWER(1-(AnnualChurn*VLOOKUP(APJ53,ChurnSeasonTable,4,FALSE)),3)</f>
        <v/>
      </c>
      <c r="AQB53" s="12">
        <f>AQB52+APX53-APX41*(AnnualChurn*VLOOKUP(APJ53,ChurnSeasonTable,4,FALSE))*POWER(1-(AnnualChurn*VLOOKUP(APJ53,ChurnSeasonTable,4,FALSE)),0)+APX29*(AnnualChurn*VLOOKUP(APJ53,ChurnSeasonTable,4,FALSE))*POWER(1-(AnnualChurn*VLOOKUP(APJ53,ChurnSeasonTable,4,FALSE)),1)+APX17*(AnnualChurn*VLOOKUP(APJ53,ChurnSeasonTable,4,FALSE))*POWER(1-(AnnualChurn*VLOOKUP(APJ53,ChurnSeasonTable,4,FALSE)),2)+APX5*(AnnualChurn*VLOOKUP(APJ53,ChurnSeasonTable,4,FALSE))*POWER(1-(AnnualChurn*VLOOKUP(APJ53,ChurnSeasonTable,4,FALSE)),3)</f>
        <v/>
      </c>
      <c r="AQC53" s="12">
        <f>APY53+APZ53+AQA53+AQB53</f>
        <v/>
      </c>
      <c r="AQD53" s="9">
        <f>APY53*PriceEssMonthly*APM53+APZ53*PricePremMonthly*APM53+AQA53*PriceEssAnnual*APM53/12+AQB53*PricePremAnnual*APM53/12</f>
        <v/>
      </c>
      <c r="AQE53" s="9">
        <f>AQD53*12</f>
        <v/>
      </c>
      <c r="AQF53" s="12">
        <f>APY53*PriceEssMonthly*APM53+APZ53*PricePremMonthly*APM53</f>
        <v/>
      </c>
      <c r="AQG53" s="12">
        <f>APW53*PriceEssAnnual*APM53+APX53*PricePremAnnual*APM53</f>
        <v/>
      </c>
      <c r="AQH53" s="12">
        <f>APW41*POWER(1-(AnnualChurn*VLOOKUP(APJ53,ChurnSeasonTable,4,FALSE)),1)*PriceEssAnnual*APM53+APW29*POWER(1-(AnnualChurn*VLOOKUP(APJ53,ChurnSeasonTable,4,FALSE)),2)*PriceEssAnnual*APM53+APW17*POWER(1-(AnnualChurn*VLOOKUP(APJ53,ChurnSeasonTable,4,FALSE)),3)*PriceEssAnnual*APM53+APW5*POWER(1-(AnnualChurn*VLOOKUP(APJ53,ChurnSeasonTable,4,FALSE)),4)*PriceEssAnnual*APM53+APX41*POWER(1-(AnnualChurn*VLOOKUP(APJ53,ChurnSeasonTable,4,FALSE)),1)*PricePremAnnual*APM53+APX29*POWER(1-(AnnualChurn*VLOOKUP(APJ53,ChurnSeasonTable,4,FALSE)),2)*PricePremAnnual*APM53+APX17*POWER(1-(AnnualChurn*VLOOKUP(APJ53,ChurnSeasonTable,4,FALSE)),3)*PricePremAnnual*APM53+APX5*POWER(1-(AnnualChurn*VLOOKUP(APJ53,ChurnSeasonTable,4,FALSE)),4)*PricePremAnnual*APM53</f>
        <v/>
      </c>
      <c r="AQI53" s="9">
        <f>AQF53+AQG53+AQH53</f>
        <v/>
      </c>
      <c r="AQJ53" s="12">
        <f>SUM(AQI42:AQI53)</f>
        <v/>
      </c>
      <c r="AQK53" s="12">
        <f>OR(AQK52,AQJ53&gt;=VATThreshold)</f>
        <v/>
      </c>
      <c r="AQL53" s="9">
        <f>IF(AQK53,AQI53/(1+VATRate),AQI53)</f>
        <v/>
      </c>
      <c r="AQM53" s="12">
        <f>AQI53-AQL53</f>
        <v/>
      </c>
      <c r="AQN53" s="12">
        <f>IF(AQK53=0,0,IF(APJ53=1,SUMPRODUCT(--(($APK$5:$APK53=$APK53-1)*($APJ$5:$APJ53&gt;=10)*($APJ$5:$APJ53&lt;=12)),$AQM$5:$AQM53),IF(APJ53=4,SUMPRODUCT(--(($APK$5:$APK53=$APK53)*($APJ$5:$APJ53&gt;=1)*($APJ$5:$APJ53&lt;=3)),$AQM$5:$AQM53),IF(APJ53=7,SUMPRODUCT(--(($APK$5:$APK53=$APK53)*($APJ$5:$APJ53&gt;=4)*($APJ$5:$APJ53&lt;=6)),$AQM$5:$AQM53),IF(APJ53=10,SUMPRODUCT(--(($APK$5:$APK53=$APK53)*($APJ$5:$APJ53&gt;=7)*($APJ$5:$APJ53&lt;=9)),$AQM$5:$AQM53),0)))))</f>
        <v/>
      </c>
      <c r="AQO53" s="12">
        <f>AQO52+AQM53-AQN53</f>
        <v/>
      </c>
      <c r="AQP53" s="12">
        <f>IF(ProviderDelay&gt;=1,AQL52*ProviderShare,AQL53*ProviderShare)</f>
        <v/>
      </c>
      <c r="AQQ53" s="12">
        <f>AQI53*PaymentFee</f>
        <v/>
      </c>
      <c r="AQR53" s="12">
        <f>AQC53*OpsAI</f>
        <v/>
      </c>
      <c r="AQS53" s="12">
        <f>MonthlyFixed</f>
        <v/>
      </c>
      <c r="AQT53" s="12">
        <f>APQ53*ReferralReward</f>
        <v/>
      </c>
      <c r="AQU53" s="12">
        <f>APO53</f>
        <v/>
      </c>
      <c r="AQV53" s="9">
        <f>AQL53-AQP53-AQQ53-AQR53-AQS53-AQT53-AQU53</f>
        <v/>
      </c>
      <c r="AQW53" s="9">
        <f>AQW52+AQI53-(AQP53+AQQ53+AQR53+AQS53+AQT53+AQU53+AQN53)</f>
        <v/>
      </c>
      <c r="AQX53" s="12">
        <f>IF(AQC53&gt;0,AQD53/AQC53,0)</f>
        <v/>
      </c>
      <c r="AQY53" s="11">
        <f>IF(AQC52&gt;0,MAX(0,(AQC52+APR53-AQC53)/AQC52),0)</f>
        <v/>
      </c>
      <c r="ARA53" s="12" t="n">
        <v>49</v>
      </c>
      <c r="ARB53" s="12">
        <f>MOD(ARA53-1+LaunchMonth-1,12)+1</f>
        <v/>
      </c>
      <c r="ARC53" s="12">
        <f>INT((ARA53-1+LaunchMonth-1)/12)+1</f>
        <v/>
      </c>
      <c r="ARD53" s="12">
        <f>VLOOKUP(ARB53,WinterPivotSeasonTable,5,FALSE)</f>
        <v/>
      </c>
      <c r="ARE53" s="12">
        <f>(1+InflationRate)^INT((ARA53-1)/12)</f>
        <v/>
      </c>
      <c r="ARF53" s="11">
        <f>MonthlyChurn*VLOOKUP(ARB53,WinterPivotChurnTable,6,FALSE)</f>
        <v/>
      </c>
      <c r="ARG53" s="12">
        <f>MIN(MAX(MktMin19plus,ASA52*MktPct19plus),MAX(0,ASO52-CashBuffer))</f>
        <v/>
      </c>
      <c r="ARH53" s="12">
        <f>IF(ARG53&gt;0,MAX(1,ROUND(ARG53/CAC*ARD53,0)),0)</f>
        <v/>
      </c>
      <c r="ARI53" s="12">
        <f>IF(ARH53&gt;0,ROUND(ARH53*ReferralMix/(1-ReferralMix),0),0)</f>
        <v/>
      </c>
      <c r="ARJ53" s="12">
        <f>ARH53+ARI53</f>
        <v/>
      </c>
      <c r="ARK53" s="12">
        <f>ROUND(ARJ53*(1-AnnualMix),0)</f>
        <v/>
      </c>
      <c r="ARL53" s="12">
        <f>ARJ53-ARK53</f>
        <v/>
      </c>
      <c r="ARM53" s="12">
        <f>ROUND(ARK53*'Sens - Winter Pivot'!$B$6,0)</f>
        <v/>
      </c>
      <c r="ARN53" s="12">
        <f>ARK53-ARM53</f>
        <v/>
      </c>
      <c r="ARO53" s="12">
        <f>ROUND(ARL53*'Sens - Winter Pivot'!$B$6,0)</f>
        <v/>
      </c>
      <c r="ARP53" s="12">
        <f>ARL53-ARO53</f>
        <v/>
      </c>
      <c r="ARQ53" s="12">
        <f>ARM53+ARM52+ARM51+MAX(0,ARQ52-ARM52-ARM51)*(1-ARF53)</f>
        <v/>
      </c>
      <c r="ARR53" s="12">
        <f>ARN53+ARN52+ARN51+MAX(0,ARR52-ARN52-ARN51)*(1-ARF53)</f>
        <v/>
      </c>
      <c r="ARS53" s="12">
        <f>ARS52+ARO53-ARO41*(AnnualChurn*VLOOKUP(ARB53,WinterPivotChurnTable,6,FALSE))*POWER(1-(AnnualChurn*VLOOKUP(ARB53,WinterPivotChurnTable,6,FALSE)),0)+ARO29*(AnnualChurn*VLOOKUP(ARB53,WinterPivotChurnTable,6,FALSE))*POWER(1-(AnnualChurn*VLOOKUP(ARB53,WinterPivotChurnTable,6,FALSE)),1)+ARO17*(AnnualChurn*VLOOKUP(ARB53,WinterPivotChurnTable,6,FALSE))*POWER(1-(AnnualChurn*VLOOKUP(ARB53,WinterPivotChurnTable,6,FALSE)),2)+ARO5*(AnnualChurn*VLOOKUP(ARB53,WinterPivotChurnTable,6,FALSE))*POWER(1-(AnnualChurn*VLOOKUP(ARB53,WinterPivotChurnTable,6,FALSE)),3)</f>
        <v/>
      </c>
      <c r="ART53" s="12">
        <f>ART52+ARP53-ARP41*(AnnualChurn*VLOOKUP(ARB53,WinterPivotChurnTable,6,FALSE))*POWER(1-(AnnualChurn*VLOOKUP(ARB53,WinterPivotChurnTable,6,FALSE)),0)+ARP29*(AnnualChurn*VLOOKUP(ARB53,WinterPivotChurnTable,6,FALSE))*POWER(1-(AnnualChurn*VLOOKUP(ARB53,WinterPivotChurnTable,6,FALSE)),1)+ARP17*(AnnualChurn*VLOOKUP(ARB53,WinterPivotChurnTable,6,FALSE))*POWER(1-(AnnualChurn*VLOOKUP(ARB53,WinterPivotChurnTable,6,FALSE)),2)+ARP5*(AnnualChurn*VLOOKUP(ARB53,WinterPivotChurnTable,6,FALSE))*POWER(1-(AnnualChurn*VLOOKUP(ARB53,WinterPivotChurnTable,6,FALSE)),3)</f>
        <v/>
      </c>
      <c r="ARU53" s="12">
        <f>ARQ53+ARR53+ARS53+ART53</f>
        <v/>
      </c>
      <c r="ARV53" s="9">
        <f>ARQ53*PriceEssMonthly*ARE53+ARR53*(PricePremMonthly+'Sens - Winter Pivot'!$B$7)*ARE53+ARS53*PriceEssAnnual*ARE53/12+ART53*(PricePremAnnual+'Sens - Winter Pivot'!$B$7*12)*ARE53/12</f>
        <v/>
      </c>
      <c r="ARW53" s="9">
        <f>ARV53*12</f>
        <v/>
      </c>
      <c r="ARX53" s="12">
        <f>ARQ53*PriceEssMonthly*ARE53+ARR53*(PricePremMonthly+'Sens - Winter Pivot'!$B$7)*ARE53</f>
        <v/>
      </c>
      <c r="ARY53" s="12">
        <f>ARO53*PriceEssAnnual*ARE53+ARP53*(PricePremAnnual+'Sens - Winter Pivot'!$B$7*12)*ARE53</f>
        <v/>
      </c>
      <c r="ARZ53" s="12">
        <f>ARO41*POWER(1-(AnnualChurn*VLOOKUP(ARB53,WinterPivotChurnTable,6,FALSE)),1)*PriceEssAnnual*ARE53+ARO29*POWER(1-(AnnualChurn*VLOOKUP(ARB53,WinterPivotChurnTable,6,FALSE)),2)*PriceEssAnnual*ARE53+ARO17*POWER(1-(AnnualChurn*VLOOKUP(ARB53,WinterPivotChurnTable,6,FALSE)),3)*PriceEssAnnual*ARE53+ARO5*POWER(1-(AnnualChurn*VLOOKUP(ARB53,WinterPivotChurnTable,6,FALSE)),4)*PriceEssAnnual*ARE53+ARP41*POWER(1-(AnnualChurn*VLOOKUP(ARB53,WinterPivotChurnTable,6,FALSE)),1)*PricePremAnnual*ARE53+ARP29*POWER(1-(AnnualChurn*VLOOKUP(ARB53,WinterPivotChurnTable,6,FALSE)),2)*PricePremAnnual*ARE53+ARP17*POWER(1-(AnnualChurn*VLOOKUP(ARB53,WinterPivotChurnTable,6,FALSE)),3)*PricePremAnnual*ARE53+ARP5*POWER(1-(AnnualChurn*VLOOKUP(ARB53,WinterPivotChurnTable,6,FALSE)),4)*PricePremAnnual*ARE53</f>
        <v/>
      </c>
      <c r="ASA53" s="9">
        <f>ARX53+ARY53+ARZ53</f>
        <v/>
      </c>
      <c r="ASB53" s="12">
        <f>SUM(ASA42:ASA53)</f>
        <v/>
      </c>
      <c r="ASC53" s="12">
        <f>OR(ASC52,ASB53&gt;=VATThreshold)</f>
        <v/>
      </c>
      <c r="ASD53" s="9">
        <f>IF(ASC53,ASA53/(1+VATRate),ASA53)</f>
        <v/>
      </c>
      <c r="ASE53" s="12">
        <f>ASA53-ASD53</f>
        <v/>
      </c>
      <c r="ASF53" s="12">
        <f>IF(ASC53=0,0,IF(ARB53=1,SUMPRODUCT(--(($ARC$5:$ARC53=$ARC53-1)*($ARB$5:$ARB53&gt;=10)*($ARB$5:$ARB53&lt;=12)),$ASE$5:$ASE53),IF(ARB53=4,SUMPRODUCT(--(($ARC$5:$ARC53=$ARC53)*($ARB$5:$ARB53&gt;=1)*($ARB$5:$ARB53&lt;=3)),$ASE$5:$ASE53),IF(ARB53=7,SUMPRODUCT(--(($ARC$5:$ARC53=$ARC53)*($ARB$5:$ARB53&gt;=4)*($ARB$5:$ARB53&lt;=6)),$ASE$5:$ASE53),IF(ARB53=10,SUMPRODUCT(--(($ARC$5:$ARC53=$ARC53)*($ARB$5:$ARB53&gt;=7)*($ARB$5:$ARB53&lt;=9)),$ASE$5:$ASE53),0)))))</f>
        <v/>
      </c>
      <c r="ASG53" s="12">
        <f>ASG52+ASE53-ASF53</f>
        <v/>
      </c>
      <c r="ASH53" s="12">
        <f>IF(ProviderDelay&gt;=1,ASD52*ProviderShare,ASD53*ProviderShare)</f>
        <v/>
      </c>
      <c r="ASI53" s="12">
        <f>ASA53*PaymentFee</f>
        <v/>
      </c>
      <c r="ASJ53" s="12">
        <f>ARU53*OpsAI</f>
        <v/>
      </c>
      <c r="ASK53" s="12">
        <f>MonthlyFixed</f>
        <v/>
      </c>
      <c r="ASL53" s="12">
        <f>ARI53*ReferralReward</f>
        <v/>
      </c>
      <c r="ASM53" s="12">
        <f>ARG53</f>
        <v/>
      </c>
      <c r="ASN53" s="9">
        <f>ASD53-ASH53-ASI53-ASJ53-ASK53-ASL53-ASM53</f>
        <v/>
      </c>
      <c r="ASO53" s="9">
        <f>ASO52+ASA53-(ASH53+ASI53+ASJ53+ASK53+ASL53+ASM53+ASF53)</f>
        <v/>
      </c>
      <c r="ASP53" s="12">
        <f>IF(ARU53&gt;0,ARV53/ARU53,0)</f>
        <v/>
      </c>
      <c r="ASQ53" s="11">
        <f>IF(ARU52&gt;0,MAX(0,(ARU52+ARJ53-ARU53)/ARU52),0)</f>
        <v/>
      </c>
    </row>
    <row r="54">
      <c r="A54" s="12" t="n">
        <v>50</v>
      </c>
      <c r="B54" s="12">
        <f>MOD(A54-1+LaunchMonth-1,12)+1</f>
        <v/>
      </c>
      <c r="C54" s="12">
        <f>INT((A54-1+LaunchMonth-1)/12)+1</f>
        <v/>
      </c>
      <c r="D54" s="12">
        <f>VLOOKUP(B54,SeasonTable,2,FALSE)</f>
        <v/>
      </c>
      <c r="E54" s="12">
        <f>(1+InflationRate)^INT((A54-1)/12)</f>
        <v/>
      </c>
      <c r="F54" s="11">
        <f>'Sens - Scenarios'!$B$5*VLOOKUP(B54,ChurnSeasonTable,4,FALSE)</f>
        <v/>
      </c>
      <c r="G54" s="12">
        <f>MIN(MAX(MktMin19plus,AA53*MktPct19plus),MAX(0,AO53-CashBuffer))</f>
        <v/>
      </c>
      <c r="H54" s="12">
        <f>IF(G54&gt;0,MAX(1,ROUND(G54/'Sens - Scenarios'!$B$8*D54,0)),0)</f>
        <v/>
      </c>
      <c r="I54" s="12">
        <f>IF(H54&gt;0,ROUND(H54*ReferralMix/(1-ReferralMix),0),0)</f>
        <v/>
      </c>
      <c r="J54" s="12">
        <f>H54+I54</f>
        <v/>
      </c>
      <c r="K54" s="12">
        <f>ROUND(J54*(1-'Sens - Scenarios'!$B$7),0)</f>
        <v/>
      </c>
      <c r="L54" s="12">
        <f>J54-K54</f>
        <v/>
      </c>
      <c r="M54" s="12">
        <f>ROUND(K54*EssentialMix,0)</f>
        <v/>
      </c>
      <c r="N54" s="12">
        <f>K54-M54</f>
        <v/>
      </c>
      <c r="O54" s="12">
        <f>ROUND(L54*EssentialMix,0)</f>
        <v/>
      </c>
      <c r="P54" s="12">
        <f>L54-O54</f>
        <v/>
      </c>
      <c r="Q54" s="12">
        <f>M54+M53+M52+MAX(0,Q53-M53-M52)*(1-F54)</f>
        <v/>
      </c>
      <c r="R54" s="12">
        <f>N54+N53+N52+MAX(0,R53-N53-N52)*(1-F54)</f>
        <v/>
      </c>
      <c r="S54" s="12">
        <f>S53+O54-O42*('Sens - Scenarios'!$B$6*VLOOKUP(B54,ChurnSeasonTable,4,FALSE))*POWER(1-('Sens - Scenarios'!$B$6*VLOOKUP(B54,ChurnSeasonTable,4,FALSE)),0)+O30*('Sens - Scenarios'!$B$6*VLOOKUP(B54,ChurnSeasonTable,4,FALSE))*POWER(1-('Sens - Scenarios'!$B$6*VLOOKUP(B54,ChurnSeasonTable,4,FALSE)),1)+O18*('Sens - Scenarios'!$B$6*VLOOKUP(B54,ChurnSeasonTable,4,FALSE))*POWER(1-('Sens - Scenarios'!$B$6*VLOOKUP(B54,ChurnSeasonTable,4,FALSE)),2)+O6*('Sens - Scenarios'!$B$6*VLOOKUP(B54,ChurnSeasonTable,4,FALSE))*POWER(1-('Sens - Scenarios'!$B$6*VLOOKUP(B54,ChurnSeasonTable,4,FALSE)),3)</f>
        <v/>
      </c>
      <c r="T54" s="12">
        <f>T53+P54-P42*('Sens - Scenarios'!$B$6*VLOOKUP(B54,ChurnSeasonTable,4,FALSE))*POWER(1-('Sens - Scenarios'!$B$6*VLOOKUP(B54,ChurnSeasonTable,4,FALSE)),0)+P30*('Sens - Scenarios'!$B$6*VLOOKUP(B54,ChurnSeasonTable,4,FALSE))*POWER(1-('Sens - Scenarios'!$B$6*VLOOKUP(B54,ChurnSeasonTable,4,FALSE)),1)+P18*('Sens - Scenarios'!$B$6*VLOOKUP(B54,ChurnSeasonTable,4,FALSE))*POWER(1-('Sens - Scenarios'!$B$6*VLOOKUP(B54,ChurnSeasonTable,4,FALSE)),2)+P6*('Sens - Scenarios'!$B$6*VLOOKUP(B54,ChurnSeasonTable,4,FALSE))*POWER(1-('Sens - Scenarios'!$B$6*VLOOKUP(B54,ChurnSeasonTable,4,FALSE)),3)</f>
        <v/>
      </c>
      <c r="U54" s="12">
        <f>Q54+R54+S54+T54</f>
        <v/>
      </c>
      <c r="V54" s="9">
        <f>Q54*PriceEssMonthly*E54+R54*PricePremMonthly*E54+S54*PriceEssAnnual*E54/12+T54*PricePremAnnual*E54/12</f>
        <v/>
      </c>
      <c r="W54" s="9">
        <f>V54*12</f>
        <v/>
      </c>
      <c r="X54" s="12">
        <f>Q54*PriceEssMonthly*E54+R54*PricePremMonthly*E54</f>
        <v/>
      </c>
      <c r="Y54" s="12">
        <f>O54*PriceEssAnnual*E54+P54*PricePremAnnual*E54</f>
        <v/>
      </c>
      <c r="Z54" s="12">
        <f>O42*POWER(1-('Sens - Scenarios'!$B$6*VLOOKUP(B54,ChurnSeasonTable,4,FALSE)),1)*PriceEssAnnual*E54+O30*POWER(1-('Sens - Scenarios'!$B$6*VLOOKUP(B54,ChurnSeasonTable,4,FALSE)),2)*PriceEssAnnual*E54+O18*POWER(1-('Sens - Scenarios'!$B$6*VLOOKUP(B54,ChurnSeasonTable,4,FALSE)),3)*PriceEssAnnual*E54+O6*POWER(1-('Sens - Scenarios'!$B$6*VLOOKUP(B54,ChurnSeasonTable,4,FALSE)),4)*PriceEssAnnual*E54+P42*POWER(1-('Sens - Scenarios'!$B$6*VLOOKUP(B54,ChurnSeasonTable,4,FALSE)),1)*PricePremAnnual*E54+P30*POWER(1-('Sens - Scenarios'!$B$6*VLOOKUP(B54,ChurnSeasonTable,4,FALSE)),2)*PricePremAnnual*E54+P18*POWER(1-('Sens - Scenarios'!$B$6*VLOOKUP(B54,ChurnSeasonTable,4,FALSE)),3)*PricePremAnnual*E54+P6*POWER(1-('Sens - Scenarios'!$B$6*VLOOKUP(B54,ChurnSeasonTable,4,FALSE)),4)*PricePremAnnual*E54</f>
        <v/>
      </c>
      <c r="AA54" s="9">
        <f>X54+Y54+Z54</f>
        <v/>
      </c>
      <c r="AB54" s="12">
        <f>SUM(AA43:AA54)</f>
        <v/>
      </c>
      <c r="AC54" s="12">
        <f>OR(AC53,AB54&gt;=VATThreshold)</f>
        <v/>
      </c>
      <c r="AD54" s="9">
        <f>IF(AC54,AA54/(1+VATRate),AA54)</f>
        <v/>
      </c>
      <c r="AE54" s="12">
        <f>AA54-AD54</f>
        <v/>
      </c>
      <c r="AF54" s="12">
        <f>IF(AC54=0,0,IF(B54=1,SUMPRODUCT(--(($C$5:$C54=$C54-1)*($B$5:$B54&gt;=10)*($B$5:$B54&lt;=12)),$AE$5:$AE54),IF(B54=4,SUMPRODUCT(--(($C$5:$C54=$C54)*($B$5:$B54&gt;=1)*($B$5:$B54&lt;=3)),$AE$5:$AE54),IF(B54=7,SUMPRODUCT(--(($C$5:$C54=$C54)*($B$5:$B54&gt;=4)*($B$5:$B54&lt;=6)),$AE$5:$AE54),IF(B54=10,SUMPRODUCT(--(($C$5:$C54=$C54)*($B$5:$B54&gt;=7)*($B$5:$B54&lt;=9)),$AE$5:$AE54),0)))))</f>
        <v/>
      </c>
      <c r="AG54" s="12">
        <f>AG53+AE54-AF54</f>
        <v/>
      </c>
      <c r="AH54" s="12">
        <f>IF(ProviderDelay&gt;=1,AD53*ProviderShare,AD54*ProviderShare)</f>
        <v/>
      </c>
      <c r="AI54" s="12">
        <f>AA54*PaymentFee</f>
        <v/>
      </c>
      <c r="AJ54" s="12">
        <f>U54*OpsAI</f>
        <v/>
      </c>
      <c r="AK54" s="12">
        <f>MonthlyFixed</f>
        <v/>
      </c>
      <c r="AL54" s="12">
        <f>I54*ReferralReward</f>
        <v/>
      </c>
      <c r="AM54" s="12">
        <f>G54</f>
        <v/>
      </c>
      <c r="AN54" s="9">
        <f>AD54-AH54-AI54-AJ54-AK54-AL54-AM54</f>
        <v/>
      </c>
      <c r="AO54" s="9">
        <f>AO53+AA54-(AH54+AI54+AJ54+AK54+AL54+AM54+AF54)</f>
        <v/>
      </c>
      <c r="AP54" s="12">
        <f>IF(U54&gt;0,V54/U54,0)</f>
        <v/>
      </c>
      <c r="AQ54" s="11">
        <f>IF(U53&gt;0,MAX(0,(U53+J54-U54)/U53),0)</f>
        <v/>
      </c>
      <c r="AS54" s="12" t="n">
        <v>50</v>
      </c>
      <c r="AT54" s="12">
        <f>MOD(AS54-1+LaunchMonth-1,12)+1</f>
        <v/>
      </c>
      <c r="AU54" s="12">
        <f>INT((AS54-1+LaunchMonth-1)/12)+1</f>
        <v/>
      </c>
      <c r="AV54" s="12">
        <f>VLOOKUP(AT54,SeasonTable,2,FALSE)</f>
        <v/>
      </c>
      <c r="AW54" s="12">
        <f>(1+InflationRate)^INT((AS54-1)/12)</f>
        <v/>
      </c>
      <c r="AX54" s="11">
        <f>MonthlyChurn*VLOOKUP(AT54,ChurnSeasonTable,4,FALSE)</f>
        <v/>
      </c>
      <c r="AY54" s="12">
        <f>MIN(MAX(MktMin19plus,BS53*MktPct19plus),MAX(0,CG53-CashBuffer))</f>
        <v/>
      </c>
      <c r="AZ54" s="12">
        <f>IF(AY54&gt;0,MAX(1,ROUND(AY54/CAC*AV54,0)),0)</f>
        <v/>
      </c>
      <c r="BA54" s="12">
        <f>IF(AZ54&gt;0,ROUND(AZ54*ReferralMix/(1-ReferralMix),0),0)</f>
        <v/>
      </c>
      <c r="BB54" s="12">
        <f>AZ54+BA54</f>
        <v/>
      </c>
      <c r="BC54" s="12">
        <f>ROUND(BB54*(1-AnnualMix),0)</f>
        <v/>
      </c>
      <c r="BD54" s="12">
        <f>BB54-BC54</f>
        <v/>
      </c>
      <c r="BE54" s="12">
        <f>ROUND(BC54*EssentialMix,0)</f>
        <v/>
      </c>
      <c r="BF54" s="12">
        <f>BC54-BE54</f>
        <v/>
      </c>
      <c r="BG54" s="12">
        <f>ROUND(BD54*EssentialMix,0)</f>
        <v/>
      </c>
      <c r="BH54" s="12">
        <f>BD54-BG54</f>
        <v/>
      </c>
      <c r="BI54" s="12">
        <f>BE54+BE53+BE52+MAX(0,BI53-BE53-BE52)*(1-AX54)</f>
        <v/>
      </c>
      <c r="BJ54" s="12">
        <f>BF54+BF53+BF52+MAX(0,BJ53-BF53-BF52)*(1-AX54)</f>
        <v/>
      </c>
      <c r="BK54" s="12">
        <f>BK53+BG54-BG42*(AnnualChurn*VLOOKUP(AT54,ChurnSeasonTable,4,FALSE))*POWER(1-(AnnualChurn*VLOOKUP(AT54,ChurnSeasonTable,4,FALSE)),0)+BG30*(AnnualChurn*VLOOKUP(AT54,ChurnSeasonTable,4,FALSE))*POWER(1-(AnnualChurn*VLOOKUP(AT54,ChurnSeasonTable,4,FALSE)),1)+BG18*(AnnualChurn*VLOOKUP(AT54,ChurnSeasonTable,4,FALSE))*POWER(1-(AnnualChurn*VLOOKUP(AT54,ChurnSeasonTable,4,FALSE)),2)+BG6*(AnnualChurn*VLOOKUP(AT54,ChurnSeasonTable,4,FALSE))*POWER(1-(AnnualChurn*VLOOKUP(AT54,ChurnSeasonTable,4,FALSE)),3)</f>
        <v/>
      </c>
      <c r="BL54" s="12">
        <f>BL53+BH54-BH42*(AnnualChurn*VLOOKUP(AT54,ChurnSeasonTable,4,FALSE))*POWER(1-(AnnualChurn*VLOOKUP(AT54,ChurnSeasonTable,4,FALSE)),0)+BH30*(AnnualChurn*VLOOKUP(AT54,ChurnSeasonTable,4,FALSE))*POWER(1-(AnnualChurn*VLOOKUP(AT54,ChurnSeasonTable,4,FALSE)),1)+BH18*(AnnualChurn*VLOOKUP(AT54,ChurnSeasonTable,4,FALSE))*POWER(1-(AnnualChurn*VLOOKUP(AT54,ChurnSeasonTable,4,FALSE)),2)+BH6*(AnnualChurn*VLOOKUP(AT54,ChurnSeasonTable,4,FALSE))*POWER(1-(AnnualChurn*VLOOKUP(AT54,ChurnSeasonTable,4,FALSE)),3)</f>
        <v/>
      </c>
      <c r="BM54" s="12">
        <f>BI54+BJ54+BK54+BL54</f>
        <v/>
      </c>
      <c r="BN54" s="9">
        <f>BI54*PriceEssMonthly*AW54+BJ54*PricePremMonthly*AW54+BK54*PriceEssAnnual*AW54/12+BL54*PricePremAnnual*AW54/12</f>
        <v/>
      </c>
      <c r="BO54" s="9">
        <f>BN54*12</f>
        <v/>
      </c>
      <c r="BP54" s="12">
        <f>BI54*PriceEssMonthly*AW54+BJ54*PricePremMonthly*AW54</f>
        <v/>
      </c>
      <c r="BQ54" s="12">
        <f>BG54*PriceEssAnnual*AW54+BH54*PricePremAnnual*AW54</f>
        <v/>
      </c>
      <c r="BR54" s="12">
        <f>BG42*POWER(1-(AnnualChurn*VLOOKUP(AT54,ChurnSeasonTable,4,FALSE)),1)*PriceEssAnnual*AW54+BG30*POWER(1-(AnnualChurn*VLOOKUP(AT54,ChurnSeasonTable,4,FALSE)),2)*PriceEssAnnual*AW54+BG18*POWER(1-(AnnualChurn*VLOOKUP(AT54,ChurnSeasonTable,4,FALSE)),3)*PriceEssAnnual*AW54+BG6*POWER(1-(AnnualChurn*VLOOKUP(AT54,ChurnSeasonTable,4,FALSE)),4)*PriceEssAnnual*AW54+BH42*POWER(1-(AnnualChurn*VLOOKUP(AT54,ChurnSeasonTable,4,FALSE)),1)*PricePremAnnual*AW54+BH30*POWER(1-(AnnualChurn*VLOOKUP(AT54,ChurnSeasonTable,4,FALSE)),2)*PricePremAnnual*AW54+BH18*POWER(1-(AnnualChurn*VLOOKUP(AT54,ChurnSeasonTable,4,FALSE)),3)*PricePremAnnual*AW54+BH6*POWER(1-(AnnualChurn*VLOOKUP(AT54,ChurnSeasonTable,4,FALSE)),4)*PricePremAnnual*AW54</f>
        <v/>
      </c>
      <c r="BS54" s="9">
        <f>BP54+BQ54+BR54</f>
        <v/>
      </c>
      <c r="BT54" s="12">
        <f>SUM(BS43:BS54)</f>
        <v/>
      </c>
      <c r="BU54" s="12">
        <f>OR(BU53,BT54&gt;=VATThreshold)</f>
        <v/>
      </c>
      <c r="BV54" s="9">
        <f>IF(BU54,BS54/(1+VATRate),BS54)</f>
        <v/>
      </c>
      <c r="BW54" s="12">
        <f>BS54-BV54</f>
        <v/>
      </c>
      <c r="BX54" s="12">
        <f>IF(BU54=0,0,IF(AT54=1,SUMPRODUCT(--(($AU$5:$AU54=$AU54-1)*($AT$5:$AT54&gt;=10)*($AT$5:$AT54&lt;=12)),$BW$5:$BW54),IF(AT54=4,SUMPRODUCT(--(($AU$5:$AU54=$AU54)*($AT$5:$AT54&gt;=1)*($AT$5:$AT54&lt;=3)),$BW$5:$BW54),IF(AT54=7,SUMPRODUCT(--(($AU$5:$AU54=$AU54)*($AT$5:$AT54&gt;=4)*($AT$5:$AT54&lt;=6)),$BW$5:$BW54),IF(AT54=10,SUMPRODUCT(--(($AU$5:$AU54=$AU54)*($AT$5:$AT54&gt;=7)*($AT$5:$AT54&lt;=9)),$BW$5:$BW54),0)))))</f>
        <v/>
      </c>
      <c r="BY54" s="12">
        <f>BY53+BW54-BX54</f>
        <v/>
      </c>
      <c r="BZ54" s="12">
        <f>IF(ProviderDelay&gt;=1,BV53*ProviderShare,BV54*ProviderShare)</f>
        <v/>
      </c>
      <c r="CA54" s="12">
        <f>BS54*PaymentFee</f>
        <v/>
      </c>
      <c r="CB54" s="12">
        <f>BM54*OpsAI</f>
        <v/>
      </c>
      <c r="CC54" s="12">
        <f>MonthlyFixed</f>
        <v/>
      </c>
      <c r="CD54" s="12">
        <f>BA54*ReferralReward</f>
        <v/>
      </c>
      <c r="CE54" s="12">
        <f>AY54</f>
        <v/>
      </c>
      <c r="CF54" s="9">
        <f>BV54-BZ54-CA54-CB54-CC54-CD54-CE54</f>
        <v/>
      </c>
      <c r="CG54" s="9">
        <f>CG53+BS54-(BZ54+CA54+CB54+CC54+CD54+CE54+BX54)</f>
        <v/>
      </c>
      <c r="CH54" s="12">
        <f>IF(BM54&gt;0,BN54/BM54,0)</f>
        <v/>
      </c>
      <c r="CI54" s="11">
        <f>IF(BM53&gt;0,MAX(0,(BM53+BB54-BM54)/BM53),0)</f>
        <v/>
      </c>
      <c r="CK54" s="12" t="n">
        <v>50</v>
      </c>
      <c r="CL54" s="12">
        <f>MOD(CK54-1+LaunchMonth-1,12)+1</f>
        <v/>
      </c>
      <c r="CM54" s="12">
        <f>INT((CK54-1+LaunchMonth-1)/12)+1</f>
        <v/>
      </c>
      <c r="CN54" s="12">
        <f>VLOOKUP(CL54,SeasonTable,2,FALSE)</f>
        <v/>
      </c>
      <c r="CO54" s="12">
        <f>(1+InflationRate)^INT((CK54-1)/12)</f>
        <v/>
      </c>
      <c r="CP54" s="11">
        <f>'Sens - Scenarios'!$D$5*VLOOKUP(CL54,ChurnSeasonTable,4,FALSE)</f>
        <v/>
      </c>
      <c r="CQ54" s="12">
        <f>MIN(MAX(MktMin19plus,DK53*MktPct19plus),MAX(0,DY53-CashBuffer))</f>
        <v/>
      </c>
      <c r="CR54" s="12">
        <f>IF(CQ54&gt;0,MAX(1,ROUND(CQ54/'Sens - Scenarios'!$D$8*CN54,0)),0)</f>
        <v/>
      </c>
      <c r="CS54" s="12">
        <f>IF(CR54&gt;0,ROUND(CR54*ReferralMix/(1-ReferralMix),0),0)</f>
        <v/>
      </c>
      <c r="CT54" s="12">
        <f>CR54+CS54</f>
        <v/>
      </c>
      <c r="CU54" s="12">
        <f>ROUND(CT54*(1-'Sens - Scenarios'!$D$7),0)</f>
        <v/>
      </c>
      <c r="CV54" s="12">
        <f>CT54-CU54</f>
        <v/>
      </c>
      <c r="CW54" s="12">
        <f>ROUND(CU54*EssentialMix,0)</f>
        <v/>
      </c>
      <c r="CX54" s="12">
        <f>CU54-CW54</f>
        <v/>
      </c>
      <c r="CY54" s="12">
        <f>ROUND(CV54*EssentialMix,0)</f>
        <v/>
      </c>
      <c r="CZ54" s="12">
        <f>CV54-CY54</f>
        <v/>
      </c>
      <c r="DA54" s="12">
        <f>CW54+CW53+CW52+MAX(0,DA53-CW53-CW52)*(1-CP54)</f>
        <v/>
      </c>
      <c r="DB54" s="12">
        <f>CX54+CX53+CX52+MAX(0,DB53-CX53-CX52)*(1-CP54)</f>
        <v/>
      </c>
      <c r="DC54" s="12">
        <f>DC53+CY54-CY42*('Sens - Scenarios'!$D$6*VLOOKUP(CL54,ChurnSeasonTable,4,FALSE))*POWER(1-('Sens - Scenarios'!$D$6*VLOOKUP(CL54,ChurnSeasonTable,4,FALSE)),0)+CY30*('Sens - Scenarios'!$D$6*VLOOKUP(CL54,ChurnSeasonTable,4,FALSE))*POWER(1-('Sens - Scenarios'!$D$6*VLOOKUP(CL54,ChurnSeasonTable,4,FALSE)),1)+CY18*('Sens - Scenarios'!$D$6*VLOOKUP(CL54,ChurnSeasonTable,4,FALSE))*POWER(1-('Sens - Scenarios'!$D$6*VLOOKUP(CL54,ChurnSeasonTable,4,FALSE)),2)+CY6*('Sens - Scenarios'!$D$6*VLOOKUP(CL54,ChurnSeasonTable,4,FALSE))*POWER(1-('Sens - Scenarios'!$D$6*VLOOKUP(CL54,ChurnSeasonTable,4,FALSE)),3)</f>
        <v/>
      </c>
      <c r="DD54" s="12">
        <f>DD53+CZ54-CZ42*('Sens - Scenarios'!$D$6*VLOOKUP(CL54,ChurnSeasonTable,4,FALSE))*POWER(1-('Sens - Scenarios'!$D$6*VLOOKUP(CL54,ChurnSeasonTable,4,FALSE)),0)+CZ30*('Sens - Scenarios'!$D$6*VLOOKUP(CL54,ChurnSeasonTable,4,FALSE))*POWER(1-('Sens - Scenarios'!$D$6*VLOOKUP(CL54,ChurnSeasonTable,4,FALSE)),1)+CZ18*('Sens - Scenarios'!$D$6*VLOOKUP(CL54,ChurnSeasonTable,4,FALSE))*POWER(1-('Sens - Scenarios'!$D$6*VLOOKUP(CL54,ChurnSeasonTable,4,FALSE)),2)+CZ6*('Sens - Scenarios'!$D$6*VLOOKUP(CL54,ChurnSeasonTable,4,FALSE))*POWER(1-('Sens - Scenarios'!$D$6*VLOOKUP(CL54,ChurnSeasonTable,4,FALSE)),3)</f>
        <v/>
      </c>
      <c r="DE54" s="12">
        <f>DA54+DB54+DC54+DD54</f>
        <v/>
      </c>
      <c r="DF54" s="9">
        <f>DA54*PriceEssMonthly*CO54+DB54*PricePremMonthly*CO54+DC54*PriceEssAnnual*CO54/12+DD54*PricePremAnnual*CO54/12</f>
        <v/>
      </c>
      <c r="DG54" s="9">
        <f>DF54*12</f>
        <v/>
      </c>
      <c r="DH54" s="12">
        <f>DA54*PriceEssMonthly*CO54+DB54*PricePremMonthly*CO54</f>
        <v/>
      </c>
      <c r="DI54" s="12">
        <f>CY54*PriceEssAnnual*CO54+CZ54*PricePremAnnual*CO54</f>
        <v/>
      </c>
      <c r="DJ54" s="12">
        <f>CY42*POWER(1-('Sens - Scenarios'!$D$6*VLOOKUP(CL54,ChurnSeasonTable,4,FALSE)),1)*PriceEssAnnual*CO54+CY30*POWER(1-('Sens - Scenarios'!$D$6*VLOOKUP(CL54,ChurnSeasonTable,4,FALSE)),2)*PriceEssAnnual*CO54+CY18*POWER(1-('Sens - Scenarios'!$D$6*VLOOKUP(CL54,ChurnSeasonTable,4,FALSE)),3)*PriceEssAnnual*CO54+CY6*POWER(1-('Sens - Scenarios'!$D$6*VLOOKUP(CL54,ChurnSeasonTable,4,FALSE)),4)*PriceEssAnnual*CO54+CZ42*POWER(1-('Sens - Scenarios'!$D$6*VLOOKUP(CL54,ChurnSeasonTable,4,FALSE)),1)*PricePremAnnual*CO54+CZ30*POWER(1-('Sens - Scenarios'!$D$6*VLOOKUP(CL54,ChurnSeasonTable,4,FALSE)),2)*PricePremAnnual*CO54+CZ18*POWER(1-('Sens - Scenarios'!$D$6*VLOOKUP(CL54,ChurnSeasonTable,4,FALSE)),3)*PricePremAnnual*CO54+CZ6*POWER(1-('Sens - Scenarios'!$D$6*VLOOKUP(CL54,ChurnSeasonTable,4,FALSE)),4)*PricePremAnnual*CO54</f>
        <v/>
      </c>
      <c r="DK54" s="9">
        <f>DH54+DI54+DJ54</f>
        <v/>
      </c>
      <c r="DL54" s="12">
        <f>SUM(DK43:DK54)</f>
        <v/>
      </c>
      <c r="DM54" s="12">
        <f>OR(DM53,DL54&gt;=VATThreshold)</f>
        <v/>
      </c>
      <c r="DN54" s="9">
        <f>IF(DM54,DK54/(1+VATRate),DK54)</f>
        <v/>
      </c>
      <c r="DO54" s="12">
        <f>DK54-DN54</f>
        <v/>
      </c>
      <c r="DP54" s="12">
        <f>IF(DM54=0,0,IF(CL54=1,SUMPRODUCT(--(($CM$5:$CM54=$CM54-1)*($CL$5:$CL54&gt;=10)*($CL$5:$CL54&lt;=12)),$DO$5:$DO54),IF(CL54=4,SUMPRODUCT(--(($CM$5:$CM54=$CM54)*($CL$5:$CL54&gt;=1)*($CL$5:$CL54&lt;=3)),$DO$5:$DO54),IF(CL54=7,SUMPRODUCT(--(($CM$5:$CM54=$CM54)*($CL$5:$CL54&gt;=4)*($CL$5:$CL54&lt;=6)),$DO$5:$DO54),IF(CL54=10,SUMPRODUCT(--(($CM$5:$CM54=$CM54)*($CL$5:$CL54&gt;=7)*($CL$5:$CL54&lt;=9)),$DO$5:$DO54),0)))))</f>
        <v/>
      </c>
      <c r="DQ54" s="12">
        <f>DQ53+DO54-DP54</f>
        <v/>
      </c>
      <c r="DR54" s="12">
        <f>IF(ProviderDelay&gt;=1,DN53*ProviderShare,DN54*ProviderShare)</f>
        <v/>
      </c>
      <c r="DS54" s="12">
        <f>DK54*PaymentFee</f>
        <v/>
      </c>
      <c r="DT54" s="12">
        <f>DE54*OpsAI</f>
        <v/>
      </c>
      <c r="DU54" s="12">
        <f>MonthlyFixed</f>
        <v/>
      </c>
      <c r="DV54" s="12">
        <f>CS54*ReferralReward</f>
        <v/>
      </c>
      <c r="DW54" s="12">
        <f>CQ54</f>
        <v/>
      </c>
      <c r="DX54" s="9">
        <f>DN54-DR54-DS54-DT54-DU54-DV54-DW54</f>
        <v/>
      </c>
      <c r="DY54" s="9">
        <f>DY53+DK54-(DR54+DS54+DT54+DU54+DV54+DW54+DP54)</f>
        <v/>
      </c>
      <c r="DZ54" s="12">
        <f>IF(DE54&gt;0,DF54/DE54,0)</f>
        <v/>
      </c>
      <c r="EA54" s="11">
        <f>IF(DE53&gt;0,MAX(0,(DE53+CT54-DE54)/DE53),0)</f>
        <v/>
      </c>
      <c r="EC54" s="12" t="n">
        <v>50</v>
      </c>
      <c r="ED54" s="12">
        <f>MOD(EC54-1+LaunchMonth-1,12)+1</f>
        <v/>
      </c>
      <c r="EE54" s="12">
        <f>INT((EC54-1+LaunchMonth-1)/12)+1</f>
        <v/>
      </c>
      <c r="EF54" s="12">
        <f>VLOOKUP(ED54,SeasonTable,2,FALSE)</f>
        <v/>
      </c>
      <c r="EG54" s="12">
        <f>(1+InflationRate)^INT((EC54-1)/12)</f>
        <v/>
      </c>
      <c r="EH54" s="11">
        <f>'Sens - Churn'!$A$13*VLOOKUP(ED54,ChurnSeasonTable,4,FALSE)</f>
        <v/>
      </c>
      <c r="EI54" s="12">
        <f>MIN(MAX(MktMin19plus,FC53*MktPct19plus),MAX(0,FQ53-CashBuffer))</f>
        <v/>
      </c>
      <c r="EJ54" s="12">
        <f>IF(EI54&gt;0,MAX(1,ROUND(EI54/CAC*EF54,0)),0)</f>
        <v/>
      </c>
      <c r="EK54" s="12">
        <f>IF(EJ54&gt;0,ROUND(EJ54*ReferralMix/(1-ReferralMix),0),0)</f>
        <v/>
      </c>
      <c r="EL54" s="12">
        <f>EJ54+EK54</f>
        <v/>
      </c>
      <c r="EM54" s="12">
        <f>ROUND(EL54*(1-AnnualMix),0)</f>
        <v/>
      </c>
      <c r="EN54" s="12">
        <f>EL54-EM54</f>
        <v/>
      </c>
      <c r="EO54" s="12">
        <f>ROUND(EM54*EssentialMix,0)</f>
        <v/>
      </c>
      <c r="EP54" s="12">
        <f>EM54-EO54</f>
        <v/>
      </c>
      <c r="EQ54" s="12">
        <f>ROUND(EN54*EssentialMix,0)</f>
        <v/>
      </c>
      <c r="ER54" s="12">
        <f>EN54-EQ54</f>
        <v/>
      </c>
      <c r="ES54" s="12">
        <f>EO54+EO53+EO52+MAX(0,ES53-EO53-EO52)*(1-EH54)</f>
        <v/>
      </c>
      <c r="ET54" s="12">
        <f>EP54+EP53+EP52+MAX(0,ET53-EP53-EP52)*(1-EH54)</f>
        <v/>
      </c>
      <c r="EU54" s="12">
        <f>EU53+EQ54-EQ42*(AnnualChurn*VLOOKUP(ED54,ChurnSeasonTable,4,FALSE))*POWER(1-(AnnualChurn*VLOOKUP(ED54,ChurnSeasonTable,4,FALSE)),0)+EQ30*(AnnualChurn*VLOOKUP(ED54,ChurnSeasonTable,4,FALSE))*POWER(1-(AnnualChurn*VLOOKUP(ED54,ChurnSeasonTable,4,FALSE)),1)+EQ18*(AnnualChurn*VLOOKUP(ED54,ChurnSeasonTable,4,FALSE))*POWER(1-(AnnualChurn*VLOOKUP(ED54,ChurnSeasonTable,4,FALSE)),2)+EQ6*(AnnualChurn*VLOOKUP(ED54,ChurnSeasonTable,4,FALSE))*POWER(1-(AnnualChurn*VLOOKUP(ED54,ChurnSeasonTable,4,FALSE)),3)</f>
        <v/>
      </c>
      <c r="EV54" s="12">
        <f>EV53+ER54-ER42*(AnnualChurn*VLOOKUP(ED54,ChurnSeasonTable,4,FALSE))*POWER(1-(AnnualChurn*VLOOKUP(ED54,ChurnSeasonTable,4,FALSE)),0)+ER30*(AnnualChurn*VLOOKUP(ED54,ChurnSeasonTable,4,FALSE))*POWER(1-(AnnualChurn*VLOOKUP(ED54,ChurnSeasonTable,4,FALSE)),1)+ER18*(AnnualChurn*VLOOKUP(ED54,ChurnSeasonTable,4,FALSE))*POWER(1-(AnnualChurn*VLOOKUP(ED54,ChurnSeasonTable,4,FALSE)),2)+ER6*(AnnualChurn*VLOOKUP(ED54,ChurnSeasonTable,4,FALSE))*POWER(1-(AnnualChurn*VLOOKUP(ED54,ChurnSeasonTable,4,FALSE)),3)</f>
        <v/>
      </c>
      <c r="EW54" s="12">
        <f>ES54+ET54+EU54+EV54</f>
        <v/>
      </c>
      <c r="EX54" s="9">
        <f>ES54*PriceEssMonthly*EG54+ET54*PricePremMonthly*EG54+EU54*PriceEssAnnual*EG54/12+EV54*PricePremAnnual*EG54/12</f>
        <v/>
      </c>
      <c r="EY54" s="9">
        <f>EX54*12</f>
        <v/>
      </c>
      <c r="EZ54" s="12">
        <f>ES54*PriceEssMonthly*EG54+ET54*PricePremMonthly*EG54</f>
        <v/>
      </c>
      <c r="FA54" s="12">
        <f>EQ54*PriceEssAnnual*EG54+ER54*PricePremAnnual*EG54</f>
        <v/>
      </c>
      <c r="FB54" s="12">
        <f>EQ42*POWER(1-(AnnualChurn*VLOOKUP(ED54,ChurnSeasonTable,4,FALSE)),1)*PriceEssAnnual*EG54+EQ30*POWER(1-(AnnualChurn*VLOOKUP(ED54,ChurnSeasonTable,4,FALSE)),2)*PriceEssAnnual*EG54+EQ18*POWER(1-(AnnualChurn*VLOOKUP(ED54,ChurnSeasonTable,4,FALSE)),3)*PriceEssAnnual*EG54+EQ6*POWER(1-(AnnualChurn*VLOOKUP(ED54,ChurnSeasonTable,4,FALSE)),4)*PriceEssAnnual*EG54+ER42*POWER(1-(AnnualChurn*VLOOKUP(ED54,ChurnSeasonTable,4,FALSE)),1)*PricePremAnnual*EG54+ER30*POWER(1-(AnnualChurn*VLOOKUP(ED54,ChurnSeasonTable,4,FALSE)),2)*PricePremAnnual*EG54+ER18*POWER(1-(AnnualChurn*VLOOKUP(ED54,ChurnSeasonTable,4,FALSE)),3)*PricePremAnnual*EG54+ER6*POWER(1-(AnnualChurn*VLOOKUP(ED54,ChurnSeasonTable,4,FALSE)),4)*PricePremAnnual*EG54</f>
        <v/>
      </c>
      <c r="FC54" s="9">
        <f>EZ54+FA54+FB54</f>
        <v/>
      </c>
      <c r="FD54" s="12">
        <f>SUM(FC43:FC54)</f>
        <v/>
      </c>
      <c r="FE54" s="12">
        <f>OR(FE53,FD54&gt;=VATThreshold)</f>
        <v/>
      </c>
      <c r="FF54" s="9">
        <f>IF(FE54,FC54/(1+VATRate),FC54)</f>
        <v/>
      </c>
      <c r="FG54" s="12">
        <f>FC54-FF54</f>
        <v/>
      </c>
      <c r="FH54" s="12">
        <f>IF(FE54=0,0,IF(ED54=1,SUMPRODUCT(--(($EE$5:$EE54=$EE54-1)*($ED$5:$ED54&gt;=10)*($ED$5:$ED54&lt;=12)),$FG$5:$FG54),IF(ED54=4,SUMPRODUCT(--(($EE$5:$EE54=$EE54)*($ED$5:$ED54&gt;=1)*($ED$5:$ED54&lt;=3)),$FG$5:$FG54),IF(ED54=7,SUMPRODUCT(--(($EE$5:$EE54=$EE54)*($ED$5:$ED54&gt;=4)*($ED$5:$ED54&lt;=6)),$FG$5:$FG54),IF(ED54=10,SUMPRODUCT(--(($EE$5:$EE54=$EE54)*($ED$5:$ED54&gt;=7)*($ED$5:$ED54&lt;=9)),$FG$5:$FG54),0)))))</f>
        <v/>
      </c>
      <c r="FI54" s="12">
        <f>FI53+FG54-FH54</f>
        <v/>
      </c>
      <c r="FJ54" s="12">
        <f>IF(ProviderDelay&gt;=1,FF53*ProviderShare,FF54*ProviderShare)</f>
        <v/>
      </c>
      <c r="FK54" s="12">
        <f>FC54*PaymentFee</f>
        <v/>
      </c>
      <c r="FL54" s="12">
        <f>EW54*OpsAI</f>
        <v/>
      </c>
      <c r="FM54" s="12">
        <f>MonthlyFixed</f>
        <v/>
      </c>
      <c r="FN54" s="12">
        <f>EK54*ReferralReward</f>
        <v/>
      </c>
      <c r="FO54" s="12">
        <f>EI54</f>
        <v/>
      </c>
      <c r="FP54" s="9">
        <f>FF54-FJ54-FK54-FL54-FM54-FN54-FO54</f>
        <v/>
      </c>
      <c r="FQ54" s="9">
        <f>FQ53+FC54-(FJ54+FK54+FL54+FM54+FN54+FO54+FH54)</f>
        <v/>
      </c>
      <c r="FR54" s="12">
        <f>IF(EW54&gt;0,EX54/EW54,0)</f>
        <v/>
      </c>
      <c r="FS54" s="11">
        <f>IF(EW53&gt;0,MAX(0,(EW53+EL54-EW54)/EW53),0)</f>
        <v/>
      </c>
      <c r="FU54" s="12" t="n">
        <v>50</v>
      </c>
      <c r="FV54" s="12">
        <f>MOD(FU54-1+LaunchMonth-1,12)+1</f>
        <v/>
      </c>
      <c r="FW54" s="12">
        <f>INT((FU54-1+LaunchMonth-1)/12)+1</f>
        <v/>
      </c>
      <c r="FX54" s="12">
        <f>VLOOKUP(FV54,SeasonTable,2,FALSE)</f>
        <v/>
      </c>
      <c r="FY54" s="12">
        <f>(1+InflationRate)^INT((FU54-1)/12)</f>
        <v/>
      </c>
      <c r="FZ54" s="11">
        <f>'Sens - Churn'!$A$14*VLOOKUP(FV54,ChurnSeasonTable,4,FALSE)</f>
        <v/>
      </c>
      <c r="GA54" s="12">
        <f>MIN(MAX(MktMin19plus,GU53*MktPct19plus),MAX(0,HI53-CashBuffer))</f>
        <v/>
      </c>
      <c r="GB54" s="12">
        <f>IF(GA54&gt;0,MAX(1,ROUND(GA54/CAC*FX54,0)),0)</f>
        <v/>
      </c>
      <c r="GC54" s="12">
        <f>IF(GB54&gt;0,ROUND(GB54*ReferralMix/(1-ReferralMix),0),0)</f>
        <v/>
      </c>
      <c r="GD54" s="12">
        <f>GB54+GC54</f>
        <v/>
      </c>
      <c r="GE54" s="12">
        <f>ROUND(GD54*(1-AnnualMix),0)</f>
        <v/>
      </c>
      <c r="GF54" s="12">
        <f>GD54-GE54</f>
        <v/>
      </c>
      <c r="GG54" s="12">
        <f>ROUND(GE54*EssentialMix,0)</f>
        <v/>
      </c>
      <c r="GH54" s="12">
        <f>GE54-GG54</f>
        <v/>
      </c>
      <c r="GI54" s="12">
        <f>ROUND(GF54*EssentialMix,0)</f>
        <v/>
      </c>
      <c r="GJ54" s="12">
        <f>GF54-GI54</f>
        <v/>
      </c>
      <c r="GK54" s="12">
        <f>GG54+GG53+GG52+MAX(0,GK53-GG53-GG52)*(1-FZ54)</f>
        <v/>
      </c>
      <c r="GL54" s="12">
        <f>GH54+GH53+GH52+MAX(0,GL53-GH53-GH52)*(1-FZ54)</f>
        <v/>
      </c>
      <c r="GM54" s="12">
        <f>GM53+GI54-GI42*(AnnualChurn*VLOOKUP(FV54,ChurnSeasonTable,4,FALSE))*POWER(1-(AnnualChurn*VLOOKUP(FV54,ChurnSeasonTable,4,FALSE)),0)+GI30*(AnnualChurn*VLOOKUP(FV54,ChurnSeasonTable,4,FALSE))*POWER(1-(AnnualChurn*VLOOKUP(FV54,ChurnSeasonTable,4,FALSE)),1)+GI18*(AnnualChurn*VLOOKUP(FV54,ChurnSeasonTable,4,FALSE))*POWER(1-(AnnualChurn*VLOOKUP(FV54,ChurnSeasonTable,4,FALSE)),2)+GI6*(AnnualChurn*VLOOKUP(FV54,ChurnSeasonTable,4,FALSE))*POWER(1-(AnnualChurn*VLOOKUP(FV54,ChurnSeasonTable,4,FALSE)),3)</f>
        <v/>
      </c>
      <c r="GN54" s="12">
        <f>GN53+GJ54-GJ42*(AnnualChurn*VLOOKUP(FV54,ChurnSeasonTable,4,FALSE))*POWER(1-(AnnualChurn*VLOOKUP(FV54,ChurnSeasonTable,4,FALSE)),0)+GJ30*(AnnualChurn*VLOOKUP(FV54,ChurnSeasonTable,4,FALSE))*POWER(1-(AnnualChurn*VLOOKUP(FV54,ChurnSeasonTable,4,FALSE)),1)+GJ18*(AnnualChurn*VLOOKUP(FV54,ChurnSeasonTable,4,FALSE))*POWER(1-(AnnualChurn*VLOOKUP(FV54,ChurnSeasonTable,4,FALSE)),2)+GJ6*(AnnualChurn*VLOOKUP(FV54,ChurnSeasonTable,4,FALSE))*POWER(1-(AnnualChurn*VLOOKUP(FV54,ChurnSeasonTable,4,FALSE)),3)</f>
        <v/>
      </c>
      <c r="GO54" s="12">
        <f>GK54+GL54+GM54+GN54</f>
        <v/>
      </c>
      <c r="GP54" s="9">
        <f>GK54*PriceEssMonthly*FY54+GL54*PricePremMonthly*FY54+GM54*PriceEssAnnual*FY54/12+GN54*PricePremAnnual*FY54/12</f>
        <v/>
      </c>
      <c r="GQ54" s="9">
        <f>GP54*12</f>
        <v/>
      </c>
      <c r="GR54" s="12">
        <f>GK54*PriceEssMonthly*FY54+GL54*PricePremMonthly*FY54</f>
        <v/>
      </c>
      <c r="GS54" s="12">
        <f>GI54*PriceEssAnnual*FY54+GJ54*PricePremAnnual*FY54</f>
        <v/>
      </c>
      <c r="GT54" s="12">
        <f>GI42*POWER(1-(AnnualChurn*VLOOKUP(FV54,ChurnSeasonTable,4,FALSE)),1)*PriceEssAnnual*FY54+GI30*POWER(1-(AnnualChurn*VLOOKUP(FV54,ChurnSeasonTable,4,FALSE)),2)*PriceEssAnnual*FY54+GI18*POWER(1-(AnnualChurn*VLOOKUP(FV54,ChurnSeasonTable,4,FALSE)),3)*PriceEssAnnual*FY54+GI6*POWER(1-(AnnualChurn*VLOOKUP(FV54,ChurnSeasonTable,4,FALSE)),4)*PriceEssAnnual*FY54+GJ42*POWER(1-(AnnualChurn*VLOOKUP(FV54,ChurnSeasonTable,4,FALSE)),1)*PricePremAnnual*FY54+GJ30*POWER(1-(AnnualChurn*VLOOKUP(FV54,ChurnSeasonTable,4,FALSE)),2)*PricePremAnnual*FY54+GJ18*POWER(1-(AnnualChurn*VLOOKUP(FV54,ChurnSeasonTable,4,FALSE)),3)*PricePremAnnual*FY54+GJ6*POWER(1-(AnnualChurn*VLOOKUP(FV54,ChurnSeasonTable,4,FALSE)),4)*PricePremAnnual*FY54</f>
        <v/>
      </c>
      <c r="GU54" s="9">
        <f>GR54+GS54+GT54</f>
        <v/>
      </c>
      <c r="GV54" s="12">
        <f>SUM(GU43:GU54)</f>
        <v/>
      </c>
      <c r="GW54" s="12">
        <f>OR(GW53,GV54&gt;=VATThreshold)</f>
        <v/>
      </c>
      <c r="GX54" s="9">
        <f>IF(GW54,GU54/(1+VATRate),GU54)</f>
        <v/>
      </c>
      <c r="GY54" s="12">
        <f>GU54-GX54</f>
        <v/>
      </c>
      <c r="GZ54" s="12">
        <f>IF(GW54=0,0,IF(FV54=1,SUMPRODUCT(--(($FW$5:$FW54=$FW54-1)*($FV$5:$FV54&gt;=10)*($FV$5:$FV54&lt;=12)),$GY$5:$GY54),IF(FV54=4,SUMPRODUCT(--(($FW$5:$FW54=$FW54)*($FV$5:$FV54&gt;=1)*($FV$5:$FV54&lt;=3)),$GY$5:$GY54),IF(FV54=7,SUMPRODUCT(--(($FW$5:$FW54=$FW54)*($FV$5:$FV54&gt;=4)*($FV$5:$FV54&lt;=6)),$GY$5:$GY54),IF(FV54=10,SUMPRODUCT(--(($FW$5:$FW54=$FW54)*($FV$5:$FV54&gt;=7)*($FV$5:$FV54&lt;=9)),$GY$5:$GY54),0)))))</f>
        <v/>
      </c>
      <c r="HA54" s="12">
        <f>HA53+GY54-GZ54</f>
        <v/>
      </c>
      <c r="HB54" s="12">
        <f>IF(ProviderDelay&gt;=1,GX53*ProviderShare,GX54*ProviderShare)</f>
        <v/>
      </c>
      <c r="HC54" s="12">
        <f>GU54*PaymentFee</f>
        <v/>
      </c>
      <c r="HD54" s="12">
        <f>GO54*OpsAI</f>
        <v/>
      </c>
      <c r="HE54" s="12">
        <f>MonthlyFixed</f>
        <v/>
      </c>
      <c r="HF54" s="12">
        <f>GC54*ReferralReward</f>
        <v/>
      </c>
      <c r="HG54" s="12">
        <f>GA54</f>
        <v/>
      </c>
      <c r="HH54" s="9">
        <f>GX54-HB54-HC54-HD54-HE54-HF54-HG54</f>
        <v/>
      </c>
      <c r="HI54" s="9">
        <f>HI53+GU54-(HB54+HC54+HD54+HE54+HF54+HG54+GZ54)</f>
        <v/>
      </c>
      <c r="HJ54" s="12">
        <f>IF(GO54&gt;0,GP54/GO54,0)</f>
        <v/>
      </c>
      <c r="HK54" s="11">
        <f>IF(GO53&gt;0,MAX(0,(GO53+GD54-GO54)/GO53),0)</f>
        <v/>
      </c>
      <c r="HM54" s="12" t="n">
        <v>50</v>
      </c>
      <c r="HN54" s="12">
        <f>MOD(HM54-1+LaunchMonth-1,12)+1</f>
        <v/>
      </c>
      <c r="HO54" s="12">
        <f>INT((HM54-1+LaunchMonth-1)/12)+1</f>
        <v/>
      </c>
      <c r="HP54" s="12">
        <f>VLOOKUP(HN54,SeasonTable,2,FALSE)</f>
        <v/>
      </c>
      <c r="HQ54" s="12">
        <f>(1+InflationRate)^INT((HM54-1)/12)</f>
        <v/>
      </c>
      <c r="HR54" s="11">
        <f>'Sens - Churn'!$A$15*VLOOKUP(HN54,ChurnSeasonTable,4,FALSE)</f>
        <v/>
      </c>
      <c r="HS54" s="12">
        <f>MIN(MAX(MktMin19plus,IM53*MktPct19plus),MAX(0,JA53-CashBuffer))</f>
        <v/>
      </c>
      <c r="HT54" s="12">
        <f>IF(HS54&gt;0,MAX(1,ROUND(HS54/CAC*HP54,0)),0)</f>
        <v/>
      </c>
      <c r="HU54" s="12">
        <f>IF(HT54&gt;0,ROUND(HT54*ReferralMix/(1-ReferralMix),0),0)</f>
        <v/>
      </c>
      <c r="HV54" s="12">
        <f>HT54+HU54</f>
        <v/>
      </c>
      <c r="HW54" s="12">
        <f>ROUND(HV54*(1-AnnualMix),0)</f>
        <v/>
      </c>
      <c r="HX54" s="12">
        <f>HV54-HW54</f>
        <v/>
      </c>
      <c r="HY54" s="12">
        <f>ROUND(HW54*EssentialMix,0)</f>
        <v/>
      </c>
      <c r="HZ54" s="12">
        <f>HW54-HY54</f>
        <v/>
      </c>
      <c r="IA54" s="12">
        <f>ROUND(HX54*EssentialMix,0)</f>
        <v/>
      </c>
      <c r="IB54" s="12">
        <f>HX54-IA54</f>
        <v/>
      </c>
      <c r="IC54" s="12">
        <f>HY54+HY53+HY52+MAX(0,IC53-HY53-HY52)*(1-HR54)</f>
        <v/>
      </c>
      <c r="ID54" s="12">
        <f>HZ54+HZ53+HZ52+MAX(0,ID53-HZ53-HZ52)*(1-HR54)</f>
        <v/>
      </c>
      <c r="IE54" s="12">
        <f>IE53+IA54-IA42*(AnnualChurn*VLOOKUP(HN54,ChurnSeasonTable,4,FALSE))*POWER(1-(AnnualChurn*VLOOKUP(HN54,ChurnSeasonTable,4,FALSE)),0)+IA30*(AnnualChurn*VLOOKUP(HN54,ChurnSeasonTable,4,FALSE))*POWER(1-(AnnualChurn*VLOOKUP(HN54,ChurnSeasonTable,4,FALSE)),1)+IA18*(AnnualChurn*VLOOKUP(HN54,ChurnSeasonTable,4,FALSE))*POWER(1-(AnnualChurn*VLOOKUP(HN54,ChurnSeasonTable,4,FALSE)),2)+IA6*(AnnualChurn*VLOOKUP(HN54,ChurnSeasonTable,4,FALSE))*POWER(1-(AnnualChurn*VLOOKUP(HN54,ChurnSeasonTable,4,FALSE)),3)</f>
        <v/>
      </c>
      <c r="IF54" s="12">
        <f>IF53+IB54-IB42*(AnnualChurn*VLOOKUP(HN54,ChurnSeasonTable,4,FALSE))*POWER(1-(AnnualChurn*VLOOKUP(HN54,ChurnSeasonTable,4,FALSE)),0)+IB30*(AnnualChurn*VLOOKUP(HN54,ChurnSeasonTable,4,FALSE))*POWER(1-(AnnualChurn*VLOOKUP(HN54,ChurnSeasonTable,4,FALSE)),1)+IB18*(AnnualChurn*VLOOKUP(HN54,ChurnSeasonTable,4,FALSE))*POWER(1-(AnnualChurn*VLOOKUP(HN54,ChurnSeasonTable,4,FALSE)),2)+IB6*(AnnualChurn*VLOOKUP(HN54,ChurnSeasonTable,4,FALSE))*POWER(1-(AnnualChurn*VLOOKUP(HN54,ChurnSeasonTable,4,FALSE)),3)</f>
        <v/>
      </c>
      <c r="IG54" s="12">
        <f>IC54+ID54+IE54+IF54</f>
        <v/>
      </c>
      <c r="IH54" s="9">
        <f>IC54*PriceEssMonthly*HQ54+ID54*PricePremMonthly*HQ54+IE54*PriceEssAnnual*HQ54/12+IF54*PricePremAnnual*HQ54/12</f>
        <v/>
      </c>
      <c r="II54" s="9">
        <f>IH54*12</f>
        <v/>
      </c>
      <c r="IJ54" s="12">
        <f>IC54*PriceEssMonthly*HQ54+ID54*PricePremMonthly*HQ54</f>
        <v/>
      </c>
      <c r="IK54" s="12">
        <f>IA54*PriceEssAnnual*HQ54+IB54*PricePremAnnual*HQ54</f>
        <v/>
      </c>
      <c r="IL54" s="12">
        <f>IA42*POWER(1-(AnnualChurn*VLOOKUP(HN54,ChurnSeasonTable,4,FALSE)),1)*PriceEssAnnual*HQ54+IA30*POWER(1-(AnnualChurn*VLOOKUP(HN54,ChurnSeasonTable,4,FALSE)),2)*PriceEssAnnual*HQ54+IA18*POWER(1-(AnnualChurn*VLOOKUP(HN54,ChurnSeasonTable,4,FALSE)),3)*PriceEssAnnual*HQ54+IA6*POWER(1-(AnnualChurn*VLOOKUP(HN54,ChurnSeasonTable,4,FALSE)),4)*PriceEssAnnual*HQ54+IB42*POWER(1-(AnnualChurn*VLOOKUP(HN54,ChurnSeasonTable,4,FALSE)),1)*PricePremAnnual*HQ54+IB30*POWER(1-(AnnualChurn*VLOOKUP(HN54,ChurnSeasonTable,4,FALSE)),2)*PricePremAnnual*HQ54+IB18*POWER(1-(AnnualChurn*VLOOKUP(HN54,ChurnSeasonTable,4,FALSE)),3)*PricePremAnnual*HQ54+IB6*POWER(1-(AnnualChurn*VLOOKUP(HN54,ChurnSeasonTable,4,FALSE)),4)*PricePremAnnual*HQ54</f>
        <v/>
      </c>
      <c r="IM54" s="9">
        <f>IJ54+IK54+IL54</f>
        <v/>
      </c>
      <c r="IN54" s="12">
        <f>SUM(IM43:IM54)</f>
        <v/>
      </c>
      <c r="IO54" s="12">
        <f>OR(IO53,IN54&gt;=VATThreshold)</f>
        <v/>
      </c>
      <c r="IP54" s="9">
        <f>IF(IO54,IM54/(1+VATRate),IM54)</f>
        <v/>
      </c>
      <c r="IQ54" s="12">
        <f>IM54-IP54</f>
        <v/>
      </c>
      <c r="IR54" s="12">
        <f>IF(IO54=0,0,IF(HN54=1,SUMPRODUCT(--(($HO$5:$HO54=$HO54-1)*($HN$5:$HN54&gt;=10)*($HN$5:$HN54&lt;=12)),$IQ$5:$IQ54),IF(HN54=4,SUMPRODUCT(--(($HO$5:$HO54=$HO54)*($HN$5:$HN54&gt;=1)*($HN$5:$HN54&lt;=3)),$IQ$5:$IQ54),IF(HN54=7,SUMPRODUCT(--(($HO$5:$HO54=$HO54)*($HN$5:$HN54&gt;=4)*($HN$5:$HN54&lt;=6)),$IQ$5:$IQ54),IF(HN54=10,SUMPRODUCT(--(($HO$5:$HO54=$HO54)*($HN$5:$HN54&gt;=7)*($HN$5:$HN54&lt;=9)),$IQ$5:$IQ54),0)))))</f>
        <v/>
      </c>
      <c r="IS54" s="12">
        <f>IS53+IQ54-IR54</f>
        <v/>
      </c>
      <c r="IT54" s="12">
        <f>IF(ProviderDelay&gt;=1,IP53*ProviderShare,IP54*ProviderShare)</f>
        <v/>
      </c>
      <c r="IU54" s="12">
        <f>IM54*PaymentFee</f>
        <v/>
      </c>
      <c r="IV54" s="12">
        <f>IG54*OpsAI</f>
        <v/>
      </c>
      <c r="IW54" s="12">
        <f>MonthlyFixed</f>
        <v/>
      </c>
      <c r="IX54" s="12">
        <f>HU54*ReferralReward</f>
        <v/>
      </c>
      <c r="IY54" s="12">
        <f>HS54</f>
        <v/>
      </c>
      <c r="IZ54" s="9">
        <f>IP54-IT54-IU54-IV54-IW54-IX54-IY54</f>
        <v/>
      </c>
      <c r="JA54" s="9">
        <f>JA53+IM54-(IT54+IU54+IV54+IW54+IX54+IY54+IR54)</f>
        <v/>
      </c>
      <c r="JB54" s="12">
        <f>IF(IG54&gt;0,IH54/IG54,0)</f>
        <v/>
      </c>
      <c r="JC54" s="11">
        <f>IF(IG53&gt;0,MAX(0,(IG53+HV54-IG54)/IG53),0)</f>
        <v/>
      </c>
      <c r="JE54" s="12" t="n">
        <v>50</v>
      </c>
      <c r="JF54" s="12">
        <f>MOD(JE54-1+LaunchMonth-1,12)+1</f>
        <v/>
      </c>
      <c r="JG54" s="12">
        <f>INT((JE54-1+LaunchMonth-1)/12)+1</f>
        <v/>
      </c>
      <c r="JH54" s="12">
        <f>VLOOKUP(JF54,SeasonTable,2,FALSE)</f>
        <v/>
      </c>
      <c r="JI54" s="12">
        <f>(1+InflationRate)^INT((JE54-1)/12)</f>
        <v/>
      </c>
      <c r="JJ54" s="11">
        <f>'Sens - Churn'!$A$16*VLOOKUP(JF54,ChurnSeasonTable,4,FALSE)</f>
        <v/>
      </c>
      <c r="JK54" s="12">
        <f>MIN(MAX(MktMin19plus,KE53*MktPct19plus),MAX(0,KS53-CashBuffer))</f>
        <v/>
      </c>
      <c r="JL54" s="12">
        <f>IF(JK54&gt;0,MAX(1,ROUND(JK54/CAC*JH54,0)),0)</f>
        <v/>
      </c>
      <c r="JM54" s="12">
        <f>IF(JL54&gt;0,ROUND(JL54*ReferralMix/(1-ReferralMix),0),0)</f>
        <v/>
      </c>
      <c r="JN54" s="12">
        <f>JL54+JM54</f>
        <v/>
      </c>
      <c r="JO54" s="12">
        <f>ROUND(JN54*(1-AnnualMix),0)</f>
        <v/>
      </c>
      <c r="JP54" s="12">
        <f>JN54-JO54</f>
        <v/>
      </c>
      <c r="JQ54" s="12">
        <f>ROUND(JO54*EssentialMix,0)</f>
        <v/>
      </c>
      <c r="JR54" s="12">
        <f>JO54-JQ54</f>
        <v/>
      </c>
      <c r="JS54" s="12">
        <f>ROUND(JP54*EssentialMix,0)</f>
        <v/>
      </c>
      <c r="JT54" s="12">
        <f>JP54-JS54</f>
        <v/>
      </c>
      <c r="JU54" s="12">
        <f>JQ54+JQ53+JQ52+MAX(0,JU53-JQ53-JQ52)*(1-JJ54)</f>
        <v/>
      </c>
      <c r="JV54" s="12">
        <f>JR54+JR53+JR52+MAX(0,JV53-JR53-JR52)*(1-JJ54)</f>
        <v/>
      </c>
      <c r="JW54" s="12">
        <f>JW53+JS54-JS42*(AnnualChurn*VLOOKUP(JF54,ChurnSeasonTable,4,FALSE))*POWER(1-(AnnualChurn*VLOOKUP(JF54,ChurnSeasonTable,4,FALSE)),0)+JS30*(AnnualChurn*VLOOKUP(JF54,ChurnSeasonTable,4,FALSE))*POWER(1-(AnnualChurn*VLOOKUP(JF54,ChurnSeasonTable,4,FALSE)),1)+JS18*(AnnualChurn*VLOOKUP(JF54,ChurnSeasonTable,4,FALSE))*POWER(1-(AnnualChurn*VLOOKUP(JF54,ChurnSeasonTable,4,FALSE)),2)+JS6*(AnnualChurn*VLOOKUP(JF54,ChurnSeasonTable,4,FALSE))*POWER(1-(AnnualChurn*VLOOKUP(JF54,ChurnSeasonTable,4,FALSE)),3)</f>
        <v/>
      </c>
      <c r="JX54" s="12">
        <f>JX53+JT54-JT42*(AnnualChurn*VLOOKUP(JF54,ChurnSeasonTable,4,FALSE))*POWER(1-(AnnualChurn*VLOOKUP(JF54,ChurnSeasonTable,4,FALSE)),0)+JT30*(AnnualChurn*VLOOKUP(JF54,ChurnSeasonTable,4,FALSE))*POWER(1-(AnnualChurn*VLOOKUP(JF54,ChurnSeasonTable,4,FALSE)),1)+JT18*(AnnualChurn*VLOOKUP(JF54,ChurnSeasonTable,4,FALSE))*POWER(1-(AnnualChurn*VLOOKUP(JF54,ChurnSeasonTable,4,FALSE)),2)+JT6*(AnnualChurn*VLOOKUP(JF54,ChurnSeasonTable,4,FALSE))*POWER(1-(AnnualChurn*VLOOKUP(JF54,ChurnSeasonTable,4,FALSE)),3)</f>
        <v/>
      </c>
      <c r="JY54" s="12">
        <f>JU54+JV54+JW54+JX54</f>
        <v/>
      </c>
      <c r="JZ54" s="9">
        <f>JU54*PriceEssMonthly*JI54+JV54*PricePremMonthly*JI54+JW54*PriceEssAnnual*JI54/12+JX54*PricePremAnnual*JI54/12</f>
        <v/>
      </c>
      <c r="KA54" s="9">
        <f>JZ54*12</f>
        <v/>
      </c>
      <c r="KB54" s="12">
        <f>JU54*PriceEssMonthly*JI54+JV54*PricePremMonthly*JI54</f>
        <v/>
      </c>
      <c r="KC54" s="12">
        <f>JS54*PriceEssAnnual*JI54+JT54*PricePremAnnual*JI54</f>
        <v/>
      </c>
      <c r="KD54" s="12">
        <f>JS42*POWER(1-(AnnualChurn*VLOOKUP(JF54,ChurnSeasonTable,4,FALSE)),1)*PriceEssAnnual*JI54+JS30*POWER(1-(AnnualChurn*VLOOKUP(JF54,ChurnSeasonTable,4,FALSE)),2)*PriceEssAnnual*JI54+JS18*POWER(1-(AnnualChurn*VLOOKUP(JF54,ChurnSeasonTable,4,FALSE)),3)*PriceEssAnnual*JI54+JS6*POWER(1-(AnnualChurn*VLOOKUP(JF54,ChurnSeasonTable,4,FALSE)),4)*PriceEssAnnual*JI54+JT42*POWER(1-(AnnualChurn*VLOOKUP(JF54,ChurnSeasonTable,4,FALSE)),1)*PricePremAnnual*JI54+JT30*POWER(1-(AnnualChurn*VLOOKUP(JF54,ChurnSeasonTable,4,FALSE)),2)*PricePremAnnual*JI54+JT18*POWER(1-(AnnualChurn*VLOOKUP(JF54,ChurnSeasonTable,4,FALSE)),3)*PricePremAnnual*JI54+JT6*POWER(1-(AnnualChurn*VLOOKUP(JF54,ChurnSeasonTable,4,FALSE)),4)*PricePremAnnual*JI54</f>
        <v/>
      </c>
      <c r="KE54" s="9">
        <f>KB54+KC54+KD54</f>
        <v/>
      </c>
      <c r="KF54" s="12">
        <f>SUM(KE43:KE54)</f>
        <v/>
      </c>
      <c r="KG54" s="12">
        <f>OR(KG53,KF54&gt;=VATThreshold)</f>
        <v/>
      </c>
      <c r="KH54" s="9">
        <f>IF(KG54,KE54/(1+VATRate),KE54)</f>
        <v/>
      </c>
      <c r="KI54" s="12">
        <f>KE54-KH54</f>
        <v/>
      </c>
      <c r="KJ54" s="12">
        <f>IF(KG54=0,0,IF(JF54=1,SUMPRODUCT(--(($JG$5:$JG54=$JG54-1)*($JF$5:$JF54&gt;=10)*($JF$5:$JF54&lt;=12)),$KI$5:$KI54),IF(JF54=4,SUMPRODUCT(--(($JG$5:$JG54=$JG54)*($JF$5:$JF54&gt;=1)*($JF$5:$JF54&lt;=3)),$KI$5:$KI54),IF(JF54=7,SUMPRODUCT(--(($JG$5:$JG54=$JG54)*($JF$5:$JF54&gt;=4)*($JF$5:$JF54&lt;=6)),$KI$5:$KI54),IF(JF54=10,SUMPRODUCT(--(($JG$5:$JG54=$JG54)*($JF$5:$JF54&gt;=7)*($JF$5:$JF54&lt;=9)),$KI$5:$KI54),0)))))</f>
        <v/>
      </c>
      <c r="KK54" s="12">
        <f>KK53+KI54-KJ54</f>
        <v/>
      </c>
      <c r="KL54" s="12">
        <f>IF(ProviderDelay&gt;=1,KH53*ProviderShare,KH54*ProviderShare)</f>
        <v/>
      </c>
      <c r="KM54" s="12">
        <f>KE54*PaymentFee</f>
        <v/>
      </c>
      <c r="KN54" s="12">
        <f>JY54*OpsAI</f>
        <v/>
      </c>
      <c r="KO54" s="12">
        <f>MonthlyFixed</f>
        <v/>
      </c>
      <c r="KP54" s="12">
        <f>JM54*ReferralReward</f>
        <v/>
      </c>
      <c r="KQ54" s="12">
        <f>JK54</f>
        <v/>
      </c>
      <c r="KR54" s="9">
        <f>KH54-KL54-KM54-KN54-KO54-KP54-KQ54</f>
        <v/>
      </c>
      <c r="KS54" s="9">
        <f>KS53+KE54-(KL54+KM54+KN54+KO54+KP54+KQ54+KJ54)</f>
        <v/>
      </c>
      <c r="KT54" s="12">
        <f>IF(JY54&gt;0,JZ54/JY54,0)</f>
        <v/>
      </c>
      <c r="KU54" s="11">
        <f>IF(JY53&gt;0,MAX(0,(JY53+JN54-JY54)/JY53),0)</f>
        <v/>
      </c>
      <c r="KW54" s="12" t="n">
        <v>50</v>
      </c>
      <c r="KX54" s="12">
        <f>MOD(KW54-1+LaunchMonth-1,12)+1</f>
        <v/>
      </c>
      <c r="KY54" s="12">
        <f>INT((KW54-1+LaunchMonth-1)/12)+1</f>
        <v/>
      </c>
      <c r="KZ54" s="12">
        <f>VLOOKUP(KX54,SeasonTable,2,FALSE)</f>
        <v/>
      </c>
      <c r="LA54" s="12">
        <f>(1+InflationRate)^INT((KW54-1)/12)</f>
        <v/>
      </c>
      <c r="LB54" s="11">
        <f>'Sens - Churn'!$A$17*VLOOKUP(KX54,ChurnSeasonTable,4,FALSE)</f>
        <v/>
      </c>
      <c r="LC54" s="12">
        <f>MIN(MAX(MktMin19plus,LW53*MktPct19plus),MAX(0,MK53-CashBuffer))</f>
        <v/>
      </c>
      <c r="LD54" s="12">
        <f>IF(LC54&gt;0,MAX(1,ROUND(LC54/CAC*KZ54,0)),0)</f>
        <v/>
      </c>
      <c r="LE54" s="12">
        <f>IF(LD54&gt;0,ROUND(LD54*ReferralMix/(1-ReferralMix),0),0)</f>
        <v/>
      </c>
      <c r="LF54" s="12">
        <f>LD54+LE54</f>
        <v/>
      </c>
      <c r="LG54" s="12">
        <f>ROUND(LF54*(1-AnnualMix),0)</f>
        <v/>
      </c>
      <c r="LH54" s="12">
        <f>LF54-LG54</f>
        <v/>
      </c>
      <c r="LI54" s="12">
        <f>ROUND(LG54*EssentialMix,0)</f>
        <v/>
      </c>
      <c r="LJ54" s="12">
        <f>LG54-LI54</f>
        <v/>
      </c>
      <c r="LK54" s="12">
        <f>ROUND(LH54*EssentialMix,0)</f>
        <v/>
      </c>
      <c r="LL54" s="12">
        <f>LH54-LK54</f>
        <v/>
      </c>
      <c r="LM54" s="12">
        <f>LI54+LI53+LI52+MAX(0,LM53-LI53-LI52)*(1-LB54)</f>
        <v/>
      </c>
      <c r="LN54" s="12">
        <f>LJ54+LJ53+LJ52+MAX(0,LN53-LJ53-LJ52)*(1-LB54)</f>
        <v/>
      </c>
      <c r="LO54" s="12">
        <f>LO53+LK54-LK42*(AnnualChurn*VLOOKUP(KX54,ChurnSeasonTable,4,FALSE))*POWER(1-(AnnualChurn*VLOOKUP(KX54,ChurnSeasonTable,4,FALSE)),0)+LK30*(AnnualChurn*VLOOKUP(KX54,ChurnSeasonTable,4,FALSE))*POWER(1-(AnnualChurn*VLOOKUP(KX54,ChurnSeasonTable,4,FALSE)),1)+LK18*(AnnualChurn*VLOOKUP(KX54,ChurnSeasonTable,4,FALSE))*POWER(1-(AnnualChurn*VLOOKUP(KX54,ChurnSeasonTable,4,FALSE)),2)+LK6*(AnnualChurn*VLOOKUP(KX54,ChurnSeasonTable,4,FALSE))*POWER(1-(AnnualChurn*VLOOKUP(KX54,ChurnSeasonTable,4,FALSE)),3)</f>
        <v/>
      </c>
      <c r="LP54" s="12">
        <f>LP53+LL54-LL42*(AnnualChurn*VLOOKUP(KX54,ChurnSeasonTable,4,FALSE))*POWER(1-(AnnualChurn*VLOOKUP(KX54,ChurnSeasonTable,4,FALSE)),0)+LL30*(AnnualChurn*VLOOKUP(KX54,ChurnSeasonTable,4,FALSE))*POWER(1-(AnnualChurn*VLOOKUP(KX54,ChurnSeasonTable,4,FALSE)),1)+LL18*(AnnualChurn*VLOOKUP(KX54,ChurnSeasonTable,4,FALSE))*POWER(1-(AnnualChurn*VLOOKUP(KX54,ChurnSeasonTable,4,FALSE)),2)+LL6*(AnnualChurn*VLOOKUP(KX54,ChurnSeasonTable,4,FALSE))*POWER(1-(AnnualChurn*VLOOKUP(KX54,ChurnSeasonTable,4,FALSE)),3)</f>
        <v/>
      </c>
      <c r="LQ54" s="12">
        <f>LM54+LN54+LO54+LP54</f>
        <v/>
      </c>
      <c r="LR54" s="9">
        <f>LM54*PriceEssMonthly*LA54+LN54*PricePremMonthly*LA54+LO54*PriceEssAnnual*LA54/12+LP54*PricePremAnnual*LA54/12</f>
        <v/>
      </c>
      <c r="LS54" s="9">
        <f>LR54*12</f>
        <v/>
      </c>
      <c r="LT54" s="12">
        <f>LM54*PriceEssMonthly*LA54+LN54*PricePremMonthly*LA54</f>
        <v/>
      </c>
      <c r="LU54" s="12">
        <f>LK54*PriceEssAnnual*LA54+LL54*PricePremAnnual*LA54</f>
        <v/>
      </c>
      <c r="LV54" s="12">
        <f>LK42*POWER(1-(AnnualChurn*VLOOKUP(KX54,ChurnSeasonTable,4,FALSE)),1)*PriceEssAnnual*LA54+LK30*POWER(1-(AnnualChurn*VLOOKUP(KX54,ChurnSeasonTable,4,FALSE)),2)*PriceEssAnnual*LA54+LK18*POWER(1-(AnnualChurn*VLOOKUP(KX54,ChurnSeasonTable,4,FALSE)),3)*PriceEssAnnual*LA54+LK6*POWER(1-(AnnualChurn*VLOOKUP(KX54,ChurnSeasonTable,4,FALSE)),4)*PriceEssAnnual*LA54+LL42*POWER(1-(AnnualChurn*VLOOKUP(KX54,ChurnSeasonTable,4,FALSE)),1)*PricePremAnnual*LA54+LL30*POWER(1-(AnnualChurn*VLOOKUP(KX54,ChurnSeasonTable,4,FALSE)),2)*PricePremAnnual*LA54+LL18*POWER(1-(AnnualChurn*VLOOKUP(KX54,ChurnSeasonTable,4,FALSE)),3)*PricePremAnnual*LA54+LL6*POWER(1-(AnnualChurn*VLOOKUP(KX54,ChurnSeasonTable,4,FALSE)),4)*PricePremAnnual*LA54</f>
        <v/>
      </c>
      <c r="LW54" s="9">
        <f>LT54+LU54+LV54</f>
        <v/>
      </c>
      <c r="LX54" s="12">
        <f>SUM(LW43:LW54)</f>
        <v/>
      </c>
      <c r="LY54" s="12">
        <f>OR(LY53,LX54&gt;=VATThreshold)</f>
        <v/>
      </c>
      <c r="LZ54" s="9">
        <f>IF(LY54,LW54/(1+VATRate),LW54)</f>
        <v/>
      </c>
      <c r="MA54" s="12">
        <f>LW54-LZ54</f>
        <v/>
      </c>
      <c r="MB54" s="12">
        <f>IF(LY54=0,0,IF(KX54=1,SUMPRODUCT(--(($KY$5:$KY54=$KY54-1)*($KX$5:$KX54&gt;=10)*($KX$5:$KX54&lt;=12)),$MA$5:$MA54),IF(KX54=4,SUMPRODUCT(--(($KY$5:$KY54=$KY54)*($KX$5:$KX54&gt;=1)*($KX$5:$KX54&lt;=3)),$MA$5:$MA54),IF(KX54=7,SUMPRODUCT(--(($KY$5:$KY54=$KY54)*($KX$5:$KX54&gt;=4)*($KX$5:$KX54&lt;=6)),$MA$5:$MA54),IF(KX54=10,SUMPRODUCT(--(($KY$5:$KY54=$KY54)*($KX$5:$KX54&gt;=7)*($KX$5:$KX54&lt;=9)),$MA$5:$MA54),0)))))</f>
        <v/>
      </c>
      <c r="MC54" s="12">
        <f>MC53+MA54-MB54</f>
        <v/>
      </c>
      <c r="MD54" s="12">
        <f>IF(ProviderDelay&gt;=1,LZ53*ProviderShare,LZ54*ProviderShare)</f>
        <v/>
      </c>
      <c r="ME54" s="12">
        <f>LW54*PaymentFee</f>
        <v/>
      </c>
      <c r="MF54" s="12">
        <f>LQ54*OpsAI</f>
        <v/>
      </c>
      <c r="MG54" s="12">
        <f>MonthlyFixed</f>
        <v/>
      </c>
      <c r="MH54" s="12">
        <f>LE54*ReferralReward</f>
        <v/>
      </c>
      <c r="MI54" s="12">
        <f>LC54</f>
        <v/>
      </c>
      <c r="MJ54" s="9">
        <f>LZ54-MD54-ME54-MF54-MG54-MH54-MI54</f>
        <v/>
      </c>
      <c r="MK54" s="9">
        <f>MK53+LW54-(MD54+ME54+MF54+MG54+MH54+MI54+MB54)</f>
        <v/>
      </c>
      <c r="ML54" s="12">
        <f>IF(LQ54&gt;0,LR54/LQ54,0)</f>
        <v/>
      </c>
      <c r="MM54" s="11">
        <f>IF(LQ53&gt;0,MAX(0,(LQ53+LF54-LQ54)/LQ53),0)</f>
        <v/>
      </c>
      <c r="MO54" s="12" t="n">
        <v>50</v>
      </c>
      <c r="MP54" s="12">
        <f>MOD(MO54-1+LaunchMonth-1,12)+1</f>
        <v/>
      </c>
      <c r="MQ54" s="12">
        <f>INT((MO54-1+LaunchMonth-1)/12)+1</f>
        <v/>
      </c>
      <c r="MR54" s="12">
        <f>VLOOKUP(MP54,SeasonTable,2,FALSE)</f>
        <v/>
      </c>
      <c r="MS54" s="12">
        <f>(1+InflationRate)^INT((MO54-1)/12)</f>
        <v/>
      </c>
      <c r="MT54" s="11">
        <f>'Sens - Churn'!$A$18*VLOOKUP(MP54,ChurnSeasonTable,4,FALSE)</f>
        <v/>
      </c>
      <c r="MU54" s="12">
        <f>MIN(MAX(MktMin19plus,NO53*MktPct19plus),MAX(0,OC53-CashBuffer))</f>
        <v/>
      </c>
      <c r="MV54" s="12">
        <f>IF(MU54&gt;0,MAX(1,ROUND(MU54/CAC*MR54,0)),0)</f>
        <v/>
      </c>
      <c r="MW54" s="12">
        <f>IF(MV54&gt;0,ROUND(MV54*ReferralMix/(1-ReferralMix),0),0)</f>
        <v/>
      </c>
      <c r="MX54" s="12">
        <f>MV54+MW54</f>
        <v/>
      </c>
      <c r="MY54" s="12">
        <f>ROUND(MX54*(1-AnnualMix),0)</f>
        <v/>
      </c>
      <c r="MZ54" s="12">
        <f>MX54-MY54</f>
        <v/>
      </c>
      <c r="NA54" s="12">
        <f>ROUND(MY54*EssentialMix,0)</f>
        <v/>
      </c>
      <c r="NB54" s="12">
        <f>MY54-NA54</f>
        <v/>
      </c>
      <c r="NC54" s="12">
        <f>ROUND(MZ54*EssentialMix,0)</f>
        <v/>
      </c>
      <c r="ND54" s="12">
        <f>MZ54-NC54</f>
        <v/>
      </c>
      <c r="NE54" s="12">
        <f>NA54+NA53+NA52+MAX(0,NE53-NA53-NA52)*(1-MT54)</f>
        <v/>
      </c>
      <c r="NF54" s="12">
        <f>NB54+NB53+NB52+MAX(0,NF53-NB53-NB52)*(1-MT54)</f>
        <v/>
      </c>
      <c r="NG54" s="12">
        <f>NG53+NC54-NC42*(AnnualChurn*VLOOKUP(MP54,ChurnSeasonTable,4,FALSE))*POWER(1-(AnnualChurn*VLOOKUP(MP54,ChurnSeasonTable,4,FALSE)),0)+NC30*(AnnualChurn*VLOOKUP(MP54,ChurnSeasonTable,4,FALSE))*POWER(1-(AnnualChurn*VLOOKUP(MP54,ChurnSeasonTable,4,FALSE)),1)+NC18*(AnnualChurn*VLOOKUP(MP54,ChurnSeasonTable,4,FALSE))*POWER(1-(AnnualChurn*VLOOKUP(MP54,ChurnSeasonTable,4,FALSE)),2)+NC6*(AnnualChurn*VLOOKUP(MP54,ChurnSeasonTable,4,FALSE))*POWER(1-(AnnualChurn*VLOOKUP(MP54,ChurnSeasonTable,4,FALSE)),3)</f>
        <v/>
      </c>
      <c r="NH54" s="12">
        <f>NH53+ND54-ND42*(AnnualChurn*VLOOKUP(MP54,ChurnSeasonTable,4,FALSE))*POWER(1-(AnnualChurn*VLOOKUP(MP54,ChurnSeasonTable,4,FALSE)),0)+ND30*(AnnualChurn*VLOOKUP(MP54,ChurnSeasonTable,4,FALSE))*POWER(1-(AnnualChurn*VLOOKUP(MP54,ChurnSeasonTable,4,FALSE)),1)+ND18*(AnnualChurn*VLOOKUP(MP54,ChurnSeasonTable,4,FALSE))*POWER(1-(AnnualChurn*VLOOKUP(MP54,ChurnSeasonTable,4,FALSE)),2)+ND6*(AnnualChurn*VLOOKUP(MP54,ChurnSeasonTable,4,FALSE))*POWER(1-(AnnualChurn*VLOOKUP(MP54,ChurnSeasonTable,4,FALSE)),3)</f>
        <v/>
      </c>
      <c r="NI54" s="12">
        <f>NE54+NF54+NG54+NH54</f>
        <v/>
      </c>
      <c r="NJ54" s="9">
        <f>NE54*PriceEssMonthly*MS54+NF54*PricePremMonthly*MS54+NG54*PriceEssAnnual*MS54/12+NH54*PricePremAnnual*MS54/12</f>
        <v/>
      </c>
      <c r="NK54" s="9">
        <f>NJ54*12</f>
        <v/>
      </c>
      <c r="NL54" s="12">
        <f>NE54*PriceEssMonthly*MS54+NF54*PricePremMonthly*MS54</f>
        <v/>
      </c>
      <c r="NM54" s="12">
        <f>NC54*PriceEssAnnual*MS54+ND54*PricePremAnnual*MS54</f>
        <v/>
      </c>
      <c r="NN54" s="12">
        <f>NC42*POWER(1-(AnnualChurn*VLOOKUP(MP54,ChurnSeasonTable,4,FALSE)),1)*PriceEssAnnual*MS54+NC30*POWER(1-(AnnualChurn*VLOOKUP(MP54,ChurnSeasonTable,4,FALSE)),2)*PriceEssAnnual*MS54+NC18*POWER(1-(AnnualChurn*VLOOKUP(MP54,ChurnSeasonTable,4,FALSE)),3)*PriceEssAnnual*MS54+NC6*POWER(1-(AnnualChurn*VLOOKUP(MP54,ChurnSeasonTable,4,FALSE)),4)*PriceEssAnnual*MS54+ND42*POWER(1-(AnnualChurn*VLOOKUP(MP54,ChurnSeasonTable,4,FALSE)),1)*PricePremAnnual*MS54+ND30*POWER(1-(AnnualChurn*VLOOKUP(MP54,ChurnSeasonTable,4,FALSE)),2)*PricePremAnnual*MS54+ND18*POWER(1-(AnnualChurn*VLOOKUP(MP54,ChurnSeasonTable,4,FALSE)),3)*PricePremAnnual*MS54+ND6*POWER(1-(AnnualChurn*VLOOKUP(MP54,ChurnSeasonTable,4,FALSE)),4)*PricePremAnnual*MS54</f>
        <v/>
      </c>
      <c r="NO54" s="9">
        <f>NL54+NM54+NN54</f>
        <v/>
      </c>
      <c r="NP54" s="12">
        <f>SUM(NO43:NO54)</f>
        <v/>
      </c>
      <c r="NQ54" s="12">
        <f>OR(NQ53,NP54&gt;=VATThreshold)</f>
        <v/>
      </c>
      <c r="NR54" s="9">
        <f>IF(NQ54,NO54/(1+VATRate),NO54)</f>
        <v/>
      </c>
      <c r="NS54" s="12">
        <f>NO54-NR54</f>
        <v/>
      </c>
      <c r="NT54" s="12">
        <f>IF(NQ54=0,0,IF(MP54=1,SUMPRODUCT(--(($MQ$5:$MQ54=$MQ54-1)*($MP$5:$MP54&gt;=10)*($MP$5:$MP54&lt;=12)),$NS$5:$NS54),IF(MP54=4,SUMPRODUCT(--(($MQ$5:$MQ54=$MQ54)*($MP$5:$MP54&gt;=1)*($MP$5:$MP54&lt;=3)),$NS$5:$NS54),IF(MP54=7,SUMPRODUCT(--(($MQ$5:$MQ54=$MQ54)*($MP$5:$MP54&gt;=4)*($MP$5:$MP54&lt;=6)),$NS$5:$NS54),IF(MP54=10,SUMPRODUCT(--(($MQ$5:$MQ54=$MQ54)*($MP$5:$MP54&gt;=7)*($MP$5:$MP54&lt;=9)),$NS$5:$NS54),0)))))</f>
        <v/>
      </c>
      <c r="NU54" s="12">
        <f>NU53+NS54-NT54</f>
        <v/>
      </c>
      <c r="NV54" s="12">
        <f>IF(ProviderDelay&gt;=1,NR53*ProviderShare,NR54*ProviderShare)</f>
        <v/>
      </c>
      <c r="NW54" s="12">
        <f>NO54*PaymentFee</f>
        <v/>
      </c>
      <c r="NX54" s="12">
        <f>NI54*OpsAI</f>
        <v/>
      </c>
      <c r="NY54" s="12">
        <f>MonthlyFixed</f>
        <v/>
      </c>
      <c r="NZ54" s="12">
        <f>MW54*ReferralReward</f>
        <v/>
      </c>
      <c r="OA54" s="12">
        <f>MU54</f>
        <v/>
      </c>
      <c r="OB54" s="9">
        <f>NR54-NV54-NW54-NX54-NY54-NZ54-OA54</f>
        <v/>
      </c>
      <c r="OC54" s="9">
        <f>OC53+NO54-(NV54+NW54+NX54+NY54+NZ54+OA54+NT54)</f>
        <v/>
      </c>
      <c r="OD54" s="12">
        <f>IF(NI54&gt;0,NJ54/NI54,0)</f>
        <v/>
      </c>
      <c r="OE54" s="11">
        <f>IF(NI53&gt;0,MAX(0,(NI53+MX54-NI54)/NI53),0)</f>
        <v/>
      </c>
      <c r="OG54" s="12" t="n">
        <v>50</v>
      </c>
      <c r="OH54" s="12">
        <f>MOD(OG54-1+LaunchMonth-1,12)+1</f>
        <v/>
      </c>
      <c r="OI54" s="12">
        <f>INT((OG54-1+LaunchMonth-1)/12)+1</f>
        <v/>
      </c>
      <c r="OJ54" s="12">
        <f>VLOOKUP(OH54,SeasonTable,2,FALSE)</f>
        <v/>
      </c>
      <c r="OK54" s="12">
        <f>(1+InflationRate)^INT((OG54-1)/12)</f>
        <v/>
      </c>
      <c r="OL54" s="11">
        <f>'Sens - Churn'!$A$19*VLOOKUP(OH54,ChurnSeasonTable,4,FALSE)</f>
        <v/>
      </c>
      <c r="OM54" s="12">
        <f>MIN(MAX(MktMin19plus,PG53*MktPct19plus),MAX(0,PU53-CashBuffer))</f>
        <v/>
      </c>
      <c r="ON54" s="12">
        <f>IF(OM54&gt;0,MAX(1,ROUND(OM54/CAC*OJ54,0)),0)</f>
        <v/>
      </c>
      <c r="OO54" s="12">
        <f>IF(ON54&gt;0,ROUND(ON54*ReferralMix/(1-ReferralMix),0),0)</f>
        <v/>
      </c>
      <c r="OP54" s="12">
        <f>ON54+OO54</f>
        <v/>
      </c>
      <c r="OQ54" s="12">
        <f>ROUND(OP54*(1-AnnualMix),0)</f>
        <v/>
      </c>
      <c r="OR54" s="12">
        <f>OP54-OQ54</f>
        <v/>
      </c>
      <c r="OS54" s="12">
        <f>ROUND(OQ54*EssentialMix,0)</f>
        <v/>
      </c>
      <c r="OT54" s="12">
        <f>OQ54-OS54</f>
        <v/>
      </c>
      <c r="OU54" s="12">
        <f>ROUND(OR54*EssentialMix,0)</f>
        <v/>
      </c>
      <c r="OV54" s="12">
        <f>OR54-OU54</f>
        <v/>
      </c>
      <c r="OW54" s="12">
        <f>OS54+OS53+OS52+MAX(0,OW53-OS53-OS52)*(1-OL54)</f>
        <v/>
      </c>
      <c r="OX54" s="12">
        <f>OT54+OT53+OT52+MAX(0,OX53-OT53-OT52)*(1-OL54)</f>
        <v/>
      </c>
      <c r="OY54" s="12">
        <f>OY53+OU54-OU42*(AnnualChurn*VLOOKUP(OH54,ChurnSeasonTable,4,FALSE))*POWER(1-(AnnualChurn*VLOOKUP(OH54,ChurnSeasonTable,4,FALSE)),0)+OU30*(AnnualChurn*VLOOKUP(OH54,ChurnSeasonTable,4,FALSE))*POWER(1-(AnnualChurn*VLOOKUP(OH54,ChurnSeasonTable,4,FALSE)),1)+OU18*(AnnualChurn*VLOOKUP(OH54,ChurnSeasonTable,4,FALSE))*POWER(1-(AnnualChurn*VLOOKUP(OH54,ChurnSeasonTable,4,FALSE)),2)+OU6*(AnnualChurn*VLOOKUP(OH54,ChurnSeasonTable,4,FALSE))*POWER(1-(AnnualChurn*VLOOKUP(OH54,ChurnSeasonTable,4,FALSE)),3)</f>
        <v/>
      </c>
      <c r="OZ54" s="12">
        <f>OZ53+OV54-OV42*(AnnualChurn*VLOOKUP(OH54,ChurnSeasonTable,4,FALSE))*POWER(1-(AnnualChurn*VLOOKUP(OH54,ChurnSeasonTable,4,FALSE)),0)+OV30*(AnnualChurn*VLOOKUP(OH54,ChurnSeasonTable,4,FALSE))*POWER(1-(AnnualChurn*VLOOKUP(OH54,ChurnSeasonTable,4,FALSE)),1)+OV18*(AnnualChurn*VLOOKUP(OH54,ChurnSeasonTable,4,FALSE))*POWER(1-(AnnualChurn*VLOOKUP(OH54,ChurnSeasonTable,4,FALSE)),2)+OV6*(AnnualChurn*VLOOKUP(OH54,ChurnSeasonTable,4,FALSE))*POWER(1-(AnnualChurn*VLOOKUP(OH54,ChurnSeasonTable,4,FALSE)),3)</f>
        <v/>
      </c>
      <c r="PA54" s="12">
        <f>OW54+OX54+OY54+OZ54</f>
        <v/>
      </c>
      <c r="PB54" s="9">
        <f>OW54*PriceEssMonthly*OK54+OX54*PricePremMonthly*OK54+OY54*PriceEssAnnual*OK54/12+OZ54*PricePremAnnual*OK54/12</f>
        <v/>
      </c>
      <c r="PC54" s="9">
        <f>PB54*12</f>
        <v/>
      </c>
      <c r="PD54" s="12">
        <f>OW54*PriceEssMonthly*OK54+OX54*PricePremMonthly*OK54</f>
        <v/>
      </c>
      <c r="PE54" s="12">
        <f>OU54*PriceEssAnnual*OK54+OV54*PricePremAnnual*OK54</f>
        <v/>
      </c>
      <c r="PF54" s="12">
        <f>OU42*POWER(1-(AnnualChurn*VLOOKUP(OH54,ChurnSeasonTable,4,FALSE)),1)*PriceEssAnnual*OK54+OU30*POWER(1-(AnnualChurn*VLOOKUP(OH54,ChurnSeasonTable,4,FALSE)),2)*PriceEssAnnual*OK54+OU18*POWER(1-(AnnualChurn*VLOOKUP(OH54,ChurnSeasonTable,4,FALSE)),3)*PriceEssAnnual*OK54+OU6*POWER(1-(AnnualChurn*VLOOKUP(OH54,ChurnSeasonTable,4,FALSE)),4)*PriceEssAnnual*OK54+OV42*POWER(1-(AnnualChurn*VLOOKUP(OH54,ChurnSeasonTable,4,FALSE)),1)*PricePremAnnual*OK54+OV30*POWER(1-(AnnualChurn*VLOOKUP(OH54,ChurnSeasonTable,4,FALSE)),2)*PricePremAnnual*OK54+OV18*POWER(1-(AnnualChurn*VLOOKUP(OH54,ChurnSeasonTable,4,FALSE)),3)*PricePremAnnual*OK54+OV6*POWER(1-(AnnualChurn*VLOOKUP(OH54,ChurnSeasonTable,4,FALSE)),4)*PricePremAnnual*OK54</f>
        <v/>
      </c>
      <c r="PG54" s="9">
        <f>PD54+PE54+PF54</f>
        <v/>
      </c>
      <c r="PH54" s="12">
        <f>SUM(PG43:PG54)</f>
        <v/>
      </c>
      <c r="PI54" s="12">
        <f>OR(PI53,PH54&gt;=VATThreshold)</f>
        <v/>
      </c>
      <c r="PJ54" s="9">
        <f>IF(PI54,PG54/(1+VATRate),PG54)</f>
        <v/>
      </c>
      <c r="PK54" s="12">
        <f>PG54-PJ54</f>
        <v/>
      </c>
      <c r="PL54" s="12">
        <f>IF(PI54=0,0,IF(OH54=1,SUMPRODUCT(--(($OI$5:$OI54=$OI54-1)*($OH$5:$OH54&gt;=10)*($OH$5:$OH54&lt;=12)),$PK$5:$PK54),IF(OH54=4,SUMPRODUCT(--(($OI$5:$OI54=$OI54)*($OH$5:$OH54&gt;=1)*($OH$5:$OH54&lt;=3)),$PK$5:$PK54),IF(OH54=7,SUMPRODUCT(--(($OI$5:$OI54=$OI54)*($OH$5:$OH54&gt;=4)*($OH$5:$OH54&lt;=6)),$PK$5:$PK54),IF(OH54=10,SUMPRODUCT(--(($OI$5:$OI54=$OI54)*($OH$5:$OH54&gt;=7)*($OH$5:$OH54&lt;=9)),$PK$5:$PK54),0)))))</f>
        <v/>
      </c>
      <c r="PM54" s="12">
        <f>PM53+PK54-PL54</f>
        <v/>
      </c>
      <c r="PN54" s="12">
        <f>IF(ProviderDelay&gt;=1,PJ53*ProviderShare,PJ54*ProviderShare)</f>
        <v/>
      </c>
      <c r="PO54" s="12">
        <f>PG54*PaymentFee</f>
        <v/>
      </c>
      <c r="PP54" s="12">
        <f>PA54*OpsAI</f>
        <v/>
      </c>
      <c r="PQ54" s="12">
        <f>MonthlyFixed</f>
        <v/>
      </c>
      <c r="PR54" s="12">
        <f>OO54*ReferralReward</f>
        <v/>
      </c>
      <c r="PS54" s="12">
        <f>OM54</f>
        <v/>
      </c>
      <c r="PT54" s="9">
        <f>PJ54-PN54-PO54-PP54-PQ54-PR54-PS54</f>
        <v/>
      </c>
      <c r="PU54" s="9">
        <f>PU53+PG54-(PN54+PO54+PP54+PQ54+PR54+PS54+PL54)</f>
        <v/>
      </c>
      <c r="PV54" s="12">
        <f>IF(PA54&gt;0,PB54/PA54,0)</f>
        <v/>
      </c>
      <c r="PW54" s="11">
        <f>IF(PA53&gt;0,MAX(0,(PA53+OP54-PA54)/PA53),0)</f>
        <v/>
      </c>
      <c r="PY54" s="12" t="n">
        <v>50</v>
      </c>
      <c r="PZ54" s="12">
        <f>MOD(PY54-1+LaunchMonth-1,12)+1</f>
        <v/>
      </c>
      <c r="QA54" s="12">
        <f>INT((PY54-1+LaunchMonth-1)/12)+1</f>
        <v/>
      </c>
      <c r="QB54" s="12">
        <f>VLOOKUP(PZ54,SeasonTable,2,FALSE)</f>
        <v/>
      </c>
      <c r="QC54" s="12">
        <f>(1+InflationRate)^INT((PY54-1)/12)</f>
        <v/>
      </c>
      <c r="QD54" s="11">
        <f>'Sens - Churn'!$A$20*VLOOKUP(PZ54,ChurnSeasonTable,4,FALSE)</f>
        <v/>
      </c>
      <c r="QE54" s="12">
        <f>MIN(MAX(MktMin19plus,QY53*MktPct19plus),MAX(0,RM53-CashBuffer))</f>
        <v/>
      </c>
      <c r="QF54" s="12">
        <f>IF(QE54&gt;0,MAX(1,ROUND(QE54/CAC*QB54,0)),0)</f>
        <v/>
      </c>
      <c r="QG54" s="12">
        <f>IF(QF54&gt;0,ROUND(QF54*ReferralMix/(1-ReferralMix),0),0)</f>
        <v/>
      </c>
      <c r="QH54" s="12">
        <f>QF54+QG54</f>
        <v/>
      </c>
      <c r="QI54" s="12">
        <f>ROUND(QH54*(1-AnnualMix),0)</f>
        <v/>
      </c>
      <c r="QJ54" s="12">
        <f>QH54-QI54</f>
        <v/>
      </c>
      <c r="QK54" s="12">
        <f>ROUND(QI54*EssentialMix,0)</f>
        <v/>
      </c>
      <c r="QL54" s="12">
        <f>QI54-QK54</f>
        <v/>
      </c>
      <c r="QM54" s="12">
        <f>ROUND(QJ54*EssentialMix,0)</f>
        <v/>
      </c>
      <c r="QN54" s="12">
        <f>QJ54-QM54</f>
        <v/>
      </c>
      <c r="QO54" s="12">
        <f>QK54+QK53+QK52+MAX(0,QO53-QK53-QK52)*(1-QD54)</f>
        <v/>
      </c>
      <c r="QP54" s="12">
        <f>QL54+QL53+QL52+MAX(0,QP53-QL53-QL52)*(1-QD54)</f>
        <v/>
      </c>
      <c r="QQ54" s="12">
        <f>QQ53+QM54-QM42*(AnnualChurn*VLOOKUP(PZ54,ChurnSeasonTable,4,FALSE))*POWER(1-(AnnualChurn*VLOOKUP(PZ54,ChurnSeasonTable,4,FALSE)),0)+QM30*(AnnualChurn*VLOOKUP(PZ54,ChurnSeasonTable,4,FALSE))*POWER(1-(AnnualChurn*VLOOKUP(PZ54,ChurnSeasonTable,4,FALSE)),1)+QM18*(AnnualChurn*VLOOKUP(PZ54,ChurnSeasonTable,4,FALSE))*POWER(1-(AnnualChurn*VLOOKUP(PZ54,ChurnSeasonTable,4,FALSE)),2)+QM6*(AnnualChurn*VLOOKUP(PZ54,ChurnSeasonTable,4,FALSE))*POWER(1-(AnnualChurn*VLOOKUP(PZ54,ChurnSeasonTable,4,FALSE)),3)</f>
        <v/>
      </c>
      <c r="QR54" s="12">
        <f>QR53+QN54-QN42*(AnnualChurn*VLOOKUP(PZ54,ChurnSeasonTable,4,FALSE))*POWER(1-(AnnualChurn*VLOOKUP(PZ54,ChurnSeasonTable,4,FALSE)),0)+QN30*(AnnualChurn*VLOOKUP(PZ54,ChurnSeasonTable,4,FALSE))*POWER(1-(AnnualChurn*VLOOKUP(PZ54,ChurnSeasonTable,4,FALSE)),1)+QN18*(AnnualChurn*VLOOKUP(PZ54,ChurnSeasonTable,4,FALSE))*POWER(1-(AnnualChurn*VLOOKUP(PZ54,ChurnSeasonTable,4,FALSE)),2)+QN6*(AnnualChurn*VLOOKUP(PZ54,ChurnSeasonTable,4,FALSE))*POWER(1-(AnnualChurn*VLOOKUP(PZ54,ChurnSeasonTable,4,FALSE)),3)</f>
        <v/>
      </c>
      <c r="QS54" s="12">
        <f>QO54+QP54+QQ54+QR54</f>
        <v/>
      </c>
      <c r="QT54" s="9">
        <f>QO54*PriceEssMonthly*QC54+QP54*PricePremMonthly*QC54+QQ54*PriceEssAnnual*QC54/12+QR54*PricePremAnnual*QC54/12</f>
        <v/>
      </c>
      <c r="QU54" s="9">
        <f>QT54*12</f>
        <v/>
      </c>
      <c r="QV54" s="12">
        <f>QO54*PriceEssMonthly*QC54+QP54*PricePremMonthly*QC54</f>
        <v/>
      </c>
      <c r="QW54" s="12">
        <f>QM54*PriceEssAnnual*QC54+QN54*PricePremAnnual*QC54</f>
        <v/>
      </c>
      <c r="QX54" s="12">
        <f>QM42*POWER(1-(AnnualChurn*VLOOKUP(PZ54,ChurnSeasonTable,4,FALSE)),1)*PriceEssAnnual*QC54+QM30*POWER(1-(AnnualChurn*VLOOKUP(PZ54,ChurnSeasonTable,4,FALSE)),2)*PriceEssAnnual*QC54+QM18*POWER(1-(AnnualChurn*VLOOKUP(PZ54,ChurnSeasonTable,4,FALSE)),3)*PriceEssAnnual*QC54+QM6*POWER(1-(AnnualChurn*VLOOKUP(PZ54,ChurnSeasonTable,4,FALSE)),4)*PriceEssAnnual*QC54+QN42*POWER(1-(AnnualChurn*VLOOKUP(PZ54,ChurnSeasonTable,4,FALSE)),1)*PricePremAnnual*QC54+QN30*POWER(1-(AnnualChurn*VLOOKUP(PZ54,ChurnSeasonTable,4,FALSE)),2)*PricePremAnnual*QC54+QN18*POWER(1-(AnnualChurn*VLOOKUP(PZ54,ChurnSeasonTable,4,FALSE)),3)*PricePremAnnual*QC54+QN6*POWER(1-(AnnualChurn*VLOOKUP(PZ54,ChurnSeasonTable,4,FALSE)),4)*PricePremAnnual*QC54</f>
        <v/>
      </c>
      <c r="QY54" s="9">
        <f>QV54+QW54+QX54</f>
        <v/>
      </c>
      <c r="QZ54" s="12">
        <f>SUM(QY43:QY54)</f>
        <v/>
      </c>
      <c r="RA54" s="12">
        <f>OR(RA53,QZ54&gt;=VATThreshold)</f>
        <v/>
      </c>
      <c r="RB54" s="9">
        <f>IF(RA54,QY54/(1+VATRate),QY54)</f>
        <v/>
      </c>
      <c r="RC54" s="12">
        <f>QY54-RB54</f>
        <v/>
      </c>
      <c r="RD54" s="12">
        <f>IF(RA54=0,0,IF(PZ54=1,SUMPRODUCT(--(($QA$5:$QA54=$QA54-1)*($PZ$5:$PZ54&gt;=10)*($PZ$5:$PZ54&lt;=12)),$RC$5:$RC54),IF(PZ54=4,SUMPRODUCT(--(($QA$5:$QA54=$QA54)*($PZ$5:$PZ54&gt;=1)*($PZ$5:$PZ54&lt;=3)),$RC$5:$RC54),IF(PZ54=7,SUMPRODUCT(--(($QA$5:$QA54=$QA54)*($PZ$5:$PZ54&gt;=4)*($PZ$5:$PZ54&lt;=6)),$RC$5:$RC54),IF(PZ54=10,SUMPRODUCT(--(($QA$5:$QA54=$QA54)*($PZ$5:$PZ54&gt;=7)*($PZ$5:$PZ54&lt;=9)),$RC$5:$RC54),0)))))</f>
        <v/>
      </c>
      <c r="RE54" s="12">
        <f>RE53+RC54-RD54</f>
        <v/>
      </c>
      <c r="RF54" s="12">
        <f>IF(ProviderDelay&gt;=1,RB53*ProviderShare,RB54*ProviderShare)</f>
        <v/>
      </c>
      <c r="RG54" s="12">
        <f>QY54*PaymentFee</f>
        <v/>
      </c>
      <c r="RH54" s="12">
        <f>QS54*OpsAI</f>
        <v/>
      </c>
      <c r="RI54" s="12">
        <f>MonthlyFixed</f>
        <v/>
      </c>
      <c r="RJ54" s="12">
        <f>QG54*ReferralReward</f>
        <v/>
      </c>
      <c r="RK54" s="12">
        <f>QE54</f>
        <v/>
      </c>
      <c r="RL54" s="9">
        <f>RB54-RF54-RG54-RH54-RI54-RJ54-RK54</f>
        <v/>
      </c>
      <c r="RM54" s="9">
        <f>RM53+QY54-(RF54+RG54+RH54+RI54+RJ54+RK54+RD54)</f>
        <v/>
      </c>
      <c r="RN54" s="12">
        <f>IF(QS54&gt;0,QT54/QS54,0)</f>
        <v/>
      </c>
      <c r="RO54" s="11">
        <f>IF(QS53&gt;0,MAX(0,(QS53+QH54-QS54)/QS53),0)</f>
        <v/>
      </c>
      <c r="RQ54" s="12" t="n">
        <v>50</v>
      </c>
      <c r="RR54" s="12">
        <f>MOD(RQ54-1+LaunchMonth-1,12)+1</f>
        <v/>
      </c>
      <c r="RS54" s="12">
        <f>INT((RQ54-1+LaunchMonth-1)/12)+1</f>
        <v/>
      </c>
      <c r="RT54" s="12">
        <f>VLOOKUP(RR54,SeasonTable,2,FALSE)</f>
        <v/>
      </c>
      <c r="RU54" s="12">
        <f>(1+InflationRate)^INT((RQ54-1)/12)</f>
        <v/>
      </c>
      <c r="RV54" s="11">
        <f>'Sens - Churn'!$A$21*VLOOKUP(RR54,ChurnSeasonTable,4,FALSE)</f>
        <v/>
      </c>
      <c r="RW54" s="12">
        <f>MIN(MAX(MktMin19plus,SQ53*MktPct19plus),MAX(0,TE53-CashBuffer))</f>
        <v/>
      </c>
      <c r="RX54" s="12">
        <f>IF(RW54&gt;0,MAX(1,ROUND(RW54/CAC*RT54,0)),0)</f>
        <v/>
      </c>
      <c r="RY54" s="12">
        <f>IF(RX54&gt;0,ROUND(RX54*ReferralMix/(1-ReferralMix),0),0)</f>
        <v/>
      </c>
      <c r="RZ54" s="12">
        <f>RX54+RY54</f>
        <v/>
      </c>
      <c r="SA54" s="12">
        <f>ROUND(RZ54*(1-AnnualMix),0)</f>
        <v/>
      </c>
      <c r="SB54" s="12">
        <f>RZ54-SA54</f>
        <v/>
      </c>
      <c r="SC54" s="12">
        <f>ROUND(SA54*EssentialMix,0)</f>
        <v/>
      </c>
      <c r="SD54" s="12">
        <f>SA54-SC54</f>
        <v/>
      </c>
      <c r="SE54" s="12">
        <f>ROUND(SB54*EssentialMix,0)</f>
        <v/>
      </c>
      <c r="SF54" s="12">
        <f>SB54-SE54</f>
        <v/>
      </c>
      <c r="SG54" s="12">
        <f>SC54+SC53+SC52+MAX(0,SG53-SC53-SC52)*(1-RV54)</f>
        <v/>
      </c>
      <c r="SH54" s="12">
        <f>SD54+SD53+SD52+MAX(0,SH53-SD53-SD52)*(1-RV54)</f>
        <v/>
      </c>
      <c r="SI54" s="12">
        <f>SI53+SE54-SE42*(AnnualChurn*VLOOKUP(RR54,ChurnSeasonTable,4,FALSE))*POWER(1-(AnnualChurn*VLOOKUP(RR54,ChurnSeasonTable,4,FALSE)),0)+SE30*(AnnualChurn*VLOOKUP(RR54,ChurnSeasonTable,4,FALSE))*POWER(1-(AnnualChurn*VLOOKUP(RR54,ChurnSeasonTable,4,FALSE)),1)+SE18*(AnnualChurn*VLOOKUP(RR54,ChurnSeasonTable,4,FALSE))*POWER(1-(AnnualChurn*VLOOKUP(RR54,ChurnSeasonTable,4,FALSE)),2)+SE6*(AnnualChurn*VLOOKUP(RR54,ChurnSeasonTable,4,FALSE))*POWER(1-(AnnualChurn*VLOOKUP(RR54,ChurnSeasonTable,4,FALSE)),3)</f>
        <v/>
      </c>
      <c r="SJ54" s="12">
        <f>SJ53+SF54-SF42*(AnnualChurn*VLOOKUP(RR54,ChurnSeasonTable,4,FALSE))*POWER(1-(AnnualChurn*VLOOKUP(RR54,ChurnSeasonTable,4,FALSE)),0)+SF30*(AnnualChurn*VLOOKUP(RR54,ChurnSeasonTable,4,FALSE))*POWER(1-(AnnualChurn*VLOOKUP(RR54,ChurnSeasonTable,4,FALSE)),1)+SF18*(AnnualChurn*VLOOKUP(RR54,ChurnSeasonTable,4,FALSE))*POWER(1-(AnnualChurn*VLOOKUP(RR54,ChurnSeasonTable,4,FALSE)),2)+SF6*(AnnualChurn*VLOOKUP(RR54,ChurnSeasonTable,4,FALSE))*POWER(1-(AnnualChurn*VLOOKUP(RR54,ChurnSeasonTable,4,FALSE)),3)</f>
        <v/>
      </c>
      <c r="SK54" s="12">
        <f>SG54+SH54+SI54+SJ54</f>
        <v/>
      </c>
      <c r="SL54" s="9">
        <f>SG54*PriceEssMonthly*RU54+SH54*PricePremMonthly*RU54+SI54*PriceEssAnnual*RU54/12+SJ54*PricePremAnnual*RU54/12</f>
        <v/>
      </c>
      <c r="SM54" s="9">
        <f>SL54*12</f>
        <v/>
      </c>
      <c r="SN54" s="12">
        <f>SG54*PriceEssMonthly*RU54+SH54*PricePremMonthly*RU54</f>
        <v/>
      </c>
      <c r="SO54" s="12">
        <f>SE54*PriceEssAnnual*RU54+SF54*PricePremAnnual*RU54</f>
        <v/>
      </c>
      <c r="SP54" s="12">
        <f>SE42*POWER(1-(AnnualChurn*VLOOKUP(RR54,ChurnSeasonTable,4,FALSE)),1)*PriceEssAnnual*RU54+SE30*POWER(1-(AnnualChurn*VLOOKUP(RR54,ChurnSeasonTable,4,FALSE)),2)*PriceEssAnnual*RU54+SE18*POWER(1-(AnnualChurn*VLOOKUP(RR54,ChurnSeasonTable,4,FALSE)),3)*PriceEssAnnual*RU54+SE6*POWER(1-(AnnualChurn*VLOOKUP(RR54,ChurnSeasonTable,4,FALSE)),4)*PriceEssAnnual*RU54+SF42*POWER(1-(AnnualChurn*VLOOKUP(RR54,ChurnSeasonTable,4,FALSE)),1)*PricePremAnnual*RU54+SF30*POWER(1-(AnnualChurn*VLOOKUP(RR54,ChurnSeasonTable,4,FALSE)),2)*PricePremAnnual*RU54+SF18*POWER(1-(AnnualChurn*VLOOKUP(RR54,ChurnSeasonTable,4,FALSE)),3)*PricePremAnnual*RU54+SF6*POWER(1-(AnnualChurn*VLOOKUP(RR54,ChurnSeasonTable,4,FALSE)),4)*PricePremAnnual*RU54</f>
        <v/>
      </c>
      <c r="SQ54" s="9">
        <f>SN54+SO54+SP54</f>
        <v/>
      </c>
      <c r="SR54" s="12">
        <f>SUM(SQ43:SQ54)</f>
        <v/>
      </c>
      <c r="SS54" s="12">
        <f>OR(SS53,SR54&gt;=VATThreshold)</f>
        <v/>
      </c>
      <c r="ST54" s="9">
        <f>IF(SS54,SQ54/(1+VATRate),SQ54)</f>
        <v/>
      </c>
      <c r="SU54" s="12">
        <f>SQ54-ST54</f>
        <v/>
      </c>
      <c r="SV54" s="12">
        <f>IF(SS54=0,0,IF(RR54=1,SUMPRODUCT(--(($RS$5:$RS54=$RS54-1)*($RR$5:$RR54&gt;=10)*($RR$5:$RR54&lt;=12)),$SU$5:$SU54),IF(RR54=4,SUMPRODUCT(--(($RS$5:$RS54=$RS54)*($RR$5:$RR54&gt;=1)*($RR$5:$RR54&lt;=3)),$SU$5:$SU54),IF(RR54=7,SUMPRODUCT(--(($RS$5:$RS54=$RS54)*($RR$5:$RR54&gt;=4)*($RR$5:$RR54&lt;=6)),$SU$5:$SU54),IF(RR54=10,SUMPRODUCT(--(($RS$5:$RS54=$RS54)*($RR$5:$RR54&gt;=7)*($RR$5:$RR54&lt;=9)),$SU$5:$SU54),0)))))</f>
        <v/>
      </c>
      <c r="SW54" s="12">
        <f>SW53+SU54-SV54</f>
        <v/>
      </c>
      <c r="SX54" s="12">
        <f>IF(ProviderDelay&gt;=1,ST53*ProviderShare,ST54*ProviderShare)</f>
        <v/>
      </c>
      <c r="SY54" s="12">
        <f>SQ54*PaymentFee</f>
        <v/>
      </c>
      <c r="SZ54" s="12">
        <f>SK54*OpsAI</f>
        <v/>
      </c>
      <c r="TA54" s="12">
        <f>MonthlyFixed</f>
        <v/>
      </c>
      <c r="TB54" s="12">
        <f>RY54*ReferralReward</f>
        <v/>
      </c>
      <c r="TC54" s="12">
        <f>RW54</f>
        <v/>
      </c>
      <c r="TD54" s="9">
        <f>ST54-SX54-SY54-SZ54-TA54-TB54-TC54</f>
        <v/>
      </c>
      <c r="TE54" s="9">
        <f>TE53+SQ54-(SX54+SY54+SZ54+TA54+TB54+TC54+SV54)</f>
        <v/>
      </c>
      <c r="TF54" s="12">
        <f>IF(SK54&gt;0,SL54/SK54,0)</f>
        <v/>
      </c>
      <c r="TG54" s="11">
        <f>IF(SK53&gt;0,MAX(0,(SK53+RZ54-SK54)/SK53),0)</f>
        <v/>
      </c>
      <c r="TI54" s="12" t="n">
        <v>50</v>
      </c>
      <c r="TJ54" s="12">
        <f>MOD(TI54-1+LaunchMonth-1,12)+1</f>
        <v/>
      </c>
      <c r="TK54" s="12">
        <f>INT((TI54-1+LaunchMonth-1)/12)+1</f>
        <v/>
      </c>
      <c r="TL54" s="12">
        <f>VLOOKUP(TJ54,SeasonTable,2,FALSE)</f>
        <v/>
      </c>
      <c r="TM54" s="12">
        <f>(1+InflationRate)^INT((TI54-1)/12)</f>
        <v/>
      </c>
      <c r="TN54" s="11">
        <f>MonthlyChurn*VLOOKUP(TJ54,ChurnSeasonTable,4,FALSE)</f>
        <v/>
      </c>
      <c r="TO54" s="12">
        <f>MIN(MAX(MktMin19plus,UI53*MktPct19plus),MAX(0,UW53-CashBuffer))</f>
        <v/>
      </c>
      <c r="TP54" s="12">
        <f>IF(TO54&gt;0,MAX(1,ROUND(TO54/CAC*TL54,0)),0)</f>
        <v/>
      </c>
      <c r="TQ54" s="12">
        <f>IF(TP54&gt;0,ROUND(TP54*ReferralMix/(1-ReferralMix),0),0)</f>
        <v/>
      </c>
      <c r="TR54" s="12">
        <f>TP54+TQ54</f>
        <v/>
      </c>
      <c r="TS54" s="12">
        <f>ROUND(TR54*(1-'Sens - Annual Mix'!$A$9),0)</f>
        <v/>
      </c>
      <c r="TT54" s="12">
        <f>TR54-TS54</f>
        <v/>
      </c>
      <c r="TU54" s="12">
        <f>ROUND(TS54*EssentialMix,0)</f>
        <v/>
      </c>
      <c r="TV54" s="12">
        <f>TS54-TU54</f>
        <v/>
      </c>
      <c r="TW54" s="12">
        <f>ROUND(TT54*EssentialMix,0)</f>
        <v/>
      </c>
      <c r="TX54" s="12">
        <f>TT54-TW54</f>
        <v/>
      </c>
      <c r="TY54" s="12">
        <f>TU54+TU53+TU52+MAX(0,TY53-TU53-TU52)*(1-TN54)</f>
        <v/>
      </c>
      <c r="TZ54" s="12">
        <f>TV54+TV53+TV52+MAX(0,TZ53-TV53-TV52)*(1-TN54)</f>
        <v/>
      </c>
      <c r="UA54" s="12">
        <f>UA53+TW54-TW42*(AnnualChurn*VLOOKUP(TJ54,ChurnSeasonTable,4,FALSE))*POWER(1-(AnnualChurn*VLOOKUP(TJ54,ChurnSeasonTable,4,FALSE)),0)+TW30*(AnnualChurn*VLOOKUP(TJ54,ChurnSeasonTable,4,FALSE))*POWER(1-(AnnualChurn*VLOOKUP(TJ54,ChurnSeasonTable,4,FALSE)),1)+TW18*(AnnualChurn*VLOOKUP(TJ54,ChurnSeasonTable,4,FALSE))*POWER(1-(AnnualChurn*VLOOKUP(TJ54,ChurnSeasonTable,4,FALSE)),2)+TW6*(AnnualChurn*VLOOKUP(TJ54,ChurnSeasonTable,4,FALSE))*POWER(1-(AnnualChurn*VLOOKUP(TJ54,ChurnSeasonTable,4,FALSE)),3)</f>
        <v/>
      </c>
      <c r="UB54" s="12">
        <f>UB53+TX54-TX42*(AnnualChurn*VLOOKUP(TJ54,ChurnSeasonTable,4,FALSE))*POWER(1-(AnnualChurn*VLOOKUP(TJ54,ChurnSeasonTable,4,FALSE)),0)+TX30*(AnnualChurn*VLOOKUP(TJ54,ChurnSeasonTable,4,FALSE))*POWER(1-(AnnualChurn*VLOOKUP(TJ54,ChurnSeasonTable,4,FALSE)),1)+TX18*(AnnualChurn*VLOOKUP(TJ54,ChurnSeasonTable,4,FALSE))*POWER(1-(AnnualChurn*VLOOKUP(TJ54,ChurnSeasonTable,4,FALSE)),2)+TX6*(AnnualChurn*VLOOKUP(TJ54,ChurnSeasonTable,4,FALSE))*POWER(1-(AnnualChurn*VLOOKUP(TJ54,ChurnSeasonTable,4,FALSE)),3)</f>
        <v/>
      </c>
      <c r="UC54" s="12">
        <f>TY54+TZ54+UA54+UB54</f>
        <v/>
      </c>
      <c r="UD54" s="9">
        <f>TY54*PriceEssMonthly*TM54+TZ54*PricePremMonthly*TM54+UA54*PriceEssAnnual*TM54/12+UB54*PricePremAnnual*TM54/12</f>
        <v/>
      </c>
      <c r="UE54" s="9">
        <f>UD54*12</f>
        <v/>
      </c>
      <c r="UF54" s="12">
        <f>TY54*PriceEssMonthly*TM54+TZ54*PricePremMonthly*TM54</f>
        <v/>
      </c>
      <c r="UG54" s="12">
        <f>TW54*PriceEssAnnual*TM54+TX54*PricePremAnnual*TM54</f>
        <v/>
      </c>
      <c r="UH54" s="12">
        <f>TW42*POWER(1-(AnnualChurn*VLOOKUP(TJ54,ChurnSeasonTable,4,FALSE)),1)*PriceEssAnnual*TM54+TW30*POWER(1-(AnnualChurn*VLOOKUP(TJ54,ChurnSeasonTable,4,FALSE)),2)*PriceEssAnnual*TM54+TW18*POWER(1-(AnnualChurn*VLOOKUP(TJ54,ChurnSeasonTable,4,FALSE)),3)*PriceEssAnnual*TM54+TW6*POWER(1-(AnnualChurn*VLOOKUP(TJ54,ChurnSeasonTable,4,FALSE)),4)*PriceEssAnnual*TM54+TX42*POWER(1-(AnnualChurn*VLOOKUP(TJ54,ChurnSeasonTable,4,FALSE)),1)*PricePremAnnual*TM54+TX30*POWER(1-(AnnualChurn*VLOOKUP(TJ54,ChurnSeasonTable,4,FALSE)),2)*PricePremAnnual*TM54+TX18*POWER(1-(AnnualChurn*VLOOKUP(TJ54,ChurnSeasonTable,4,FALSE)),3)*PricePremAnnual*TM54+TX6*POWER(1-(AnnualChurn*VLOOKUP(TJ54,ChurnSeasonTable,4,FALSE)),4)*PricePremAnnual*TM54</f>
        <v/>
      </c>
      <c r="UI54" s="9">
        <f>UF54+UG54+UH54</f>
        <v/>
      </c>
      <c r="UJ54" s="12">
        <f>SUM(UI43:UI54)</f>
        <v/>
      </c>
      <c r="UK54" s="12">
        <f>OR(UK53,UJ54&gt;=VATThreshold)</f>
        <v/>
      </c>
      <c r="UL54" s="9">
        <f>IF(UK54,UI54/(1+VATRate),UI54)</f>
        <v/>
      </c>
      <c r="UM54" s="12">
        <f>UI54-UL54</f>
        <v/>
      </c>
      <c r="UN54" s="12">
        <f>IF(UK54=0,0,IF(TJ54=1,SUMPRODUCT(--(($TK$5:$TK54=$TK54-1)*($TJ$5:$TJ54&gt;=10)*($TJ$5:$TJ54&lt;=12)),$UM$5:$UM54),IF(TJ54=4,SUMPRODUCT(--(($TK$5:$TK54=$TK54)*($TJ$5:$TJ54&gt;=1)*($TJ$5:$TJ54&lt;=3)),$UM$5:$UM54),IF(TJ54=7,SUMPRODUCT(--(($TK$5:$TK54=$TK54)*($TJ$5:$TJ54&gt;=4)*($TJ$5:$TJ54&lt;=6)),$UM$5:$UM54),IF(TJ54=10,SUMPRODUCT(--(($TK$5:$TK54=$TK54)*($TJ$5:$TJ54&gt;=7)*($TJ$5:$TJ54&lt;=9)),$UM$5:$UM54),0)))))</f>
        <v/>
      </c>
      <c r="UO54" s="12">
        <f>UO53+UM54-UN54</f>
        <v/>
      </c>
      <c r="UP54" s="12">
        <f>IF(ProviderDelay&gt;=1,UL53*ProviderShare,UL54*ProviderShare)</f>
        <v/>
      </c>
      <c r="UQ54" s="12">
        <f>UI54*PaymentFee</f>
        <v/>
      </c>
      <c r="UR54" s="12">
        <f>UC54*OpsAI</f>
        <v/>
      </c>
      <c r="US54" s="12">
        <f>MonthlyFixed</f>
        <v/>
      </c>
      <c r="UT54" s="12">
        <f>TQ54*ReferralReward</f>
        <v/>
      </c>
      <c r="UU54" s="12">
        <f>TO54</f>
        <v/>
      </c>
      <c r="UV54" s="9">
        <f>UL54-UP54-UQ54-UR54-US54-UT54-UU54</f>
        <v/>
      </c>
      <c r="UW54" s="9">
        <f>UW53+UI54-(UP54+UQ54+UR54+US54+UT54+UU54+UN54)</f>
        <v/>
      </c>
      <c r="UX54" s="12">
        <f>IF(UC54&gt;0,UD54/UC54,0)</f>
        <v/>
      </c>
      <c r="UY54" s="11">
        <f>IF(UC53&gt;0,MAX(0,(UC53+TR54-UC54)/UC53),0)</f>
        <v/>
      </c>
      <c r="VA54" s="12" t="n">
        <v>50</v>
      </c>
      <c r="VB54" s="12">
        <f>MOD(VA54-1+LaunchMonth-1,12)+1</f>
        <v/>
      </c>
      <c r="VC54" s="12">
        <f>INT((VA54-1+LaunchMonth-1)/12)+1</f>
        <v/>
      </c>
      <c r="VD54" s="12">
        <f>VLOOKUP(VB54,SeasonTable,2,FALSE)</f>
        <v/>
      </c>
      <c r="VE54" s="12">
        <f>(1+InflationRate)^INT((VA54-1)/12)</f>
        <v/>
      </c>
      <c r="VF54" s="11">
        <f>MonthlyChurn*VLOOKUP(VB54,ChurnSeasonTable,4,FALSE)</f>
        <v/>
      </c>
      <c r="VG54" s="12">
        <f>MIN(MAX(MktMin19plus,WA53*MktPct19plus),MAX(0,WO53-CashBuffer))</f>
        <v/>
      </c>
      <c r="VH54" s="12">
        <f>IF(VG54&gt;0,MAX(1,ROUND(VG54/CAC*VD54,0)),0)</f>
        <v/>
      </c>
      <c r="VI54" s="12">
        <f>IF(VH54&gt;0,ROUND(VH54*ReferralMix/(1-ReferralMix),0),0)</f>
        <v/>
      </c>
      <c r="VJ54" s="12">
        <f>VH54+VI54</f>
        <v/>
      </c>
      <c r="VK54" s="12">
        <f>ROUND(VJ54*(1-'Sens - Annual Mix'!$A$10),0)</f>
        <v/>
      </c>
      <c r="VL54" s="12">
        <f>VJ54-VK54</f>
        <v/>
      </c>
      <c r="VM54" s="12">
        <f>ROUND(VK54*EssentialMix,0)</f>
        <v/>
      </c>
      <c r="VN54" s="12">
        <f>VK54-VM54</f>
        <v/>
      </c>
      <c r="VO54" s="12">
        <f>ROUND(VL54*EssentialMix,0)</f>
        <v/>
      </c>
      <c r="VP54" s="12">
        <f>VL54-VO54</f>
        <v/>
      </c>
      <c r="VQ54" s="12">
        <f>VM54+VM53+VM52+MAX(0,VQ53-VM53-VM52)*(1-VF54)</f>
        <v/>
      </c>
      <c r="VR54" s="12">
        <f>VN54+VN53+VN52+MAX(0,VR53-VN53-VN52)*(1-VF54)</f>
        <v/>
      </c>
      <c r="VS54" s="12">
        <f>VS53+VO54-VO42*(AnnualChurn*VLOOKUP(VB54,ChurnSeasonTable,4,FALSE))*POWER(1-(AnnualChurn*VLOOKUP(VB54,ChurnSeasonTable,4,FALSE)),0)+VO30*(AnnualChurn*VLOOKUP(VB54,ChurnSeasonTable,4,FALSE))*POWER(1-(AnnualChurn*VLOOKUP(VB54,ChurnSeasonTable,4,FALSE)),1)+VO18*(AnnualChurn*VLOOKUP(VB54,ChurnSeasonTable,4,FALSE))*POWER(1-(AnnualChurn*VLOOKUP(VB54,ChurnSeasonTable,4,FALSE)),2)+VO6*(AnnualChurn*VLOOKUP(VB54,ChurnSeasonTable,4,FALSE))*POWER(1-(AnnualChurn*VLOOKUP(VB54,ChurnSeasonTable,4,FALSE)),3)</f>
        <v/>
      </c>
      <c r="VT54" s="12">
        <f>VT53+VP54-VP42*(AnnualChurn*VLOOKUP(VB54,ChurnSeasonTable,4,FALSE))*POWER(1-(AnnualChurn*VLOOKUP(VB54,ChurnSeasonTable,4,FALSE)),0)+VP30*(AnnualChurn*VLOOKUP(VB54,ChurnSeasonTable,4,FALSE))*POWER(1-(AnnualChurn*VLOOKUP(VB54,ChurnSeasonTable,4,FALSE)),1)+VP18*(AnnualChurn*VLOOKUP(VB54,ChurnSeasonTable,4,FALSE))*POWER(1-(AnnualChurn*VLOOKUP(VB54,ChurnSeasonTable,4,FALSE)),2)+VP6*(AnnualChurn*VLOOKUP(VB54,ChurnSeasonTable,4,FALSE))*POWER(1-(AnnualChurn*VLOOKUP(VB54,ChurnSeasonTable,4,FALSE)),3)</f>
        <v/>
      </c>
      <c r="VU54" s="12">
        <f>VQ54+VR54+VS54+VT54</f>
        <v/>
      </c>
      <c r="VV54" s="9">
        <f>VQ54*PriceEssMonthly*VE54+VR54*PricePremMonthly*VE54+VS54*PriceEssAnnual*VE54/12+VT54*PricePremAnnual*VE54/12</f>
        <v/>
      </c>
      <c r="VW54" s="9">
        <f>VV54*12</f>
        <v/>
      </c>
      <c r="VX54" s="12">
        <f>VQ54*PriceEssMonthly*VE54+VR54*PricePremMonthly*VE54</f>
        <v/>
      </c>
      <c r="VY54" s="12">
        <f>VO54*PriceEssAnnual*VE54+VP54*PricePremAnnual*VE54</f>
        <v/>
      </c>
      <c r="VZ54" s="12">
        <f>VO42*POWER(1-(AnnualChurn*VLOOKUP(VB54,ChurnSeasonTable,4,FALSE)),1)*PriceEssAnnual*VE54+VO30*POWER(1-(AnnualChurn*VLOOKUP(VB54,ChurnSeasonTable,4,FALSE)),2)*PriceEssAnnual*VE54+VO18*POWER(1-(AnnualChurn*VLOOKUP(VB54,ChurnSeasonTable,4,FALSE)),3)*PriceEssAnnual*VE54+VO6*POWER(1-(AnnualChurn*VLOOKUP(VB54,ChurnSeasonTable,4,FALSE)),4)*PriceEssAnnual*VE54+VP42*POWER(1-(AnnualChurn*VLOOKUP(VB54,ChurnSeasonTable,4,FALSE)),1)*PricePremAnnual*VE54+VP30*POWER(1-(AnnualChurn*VLOOKUP(VB54,ChurnSeasonTable,4,FALSE)),2)*PricePremAnnual*VE54+VP18*POWER(1-(AnnualChurn*VLOOKUP(VB54,ChurnSeasonTable,4,FALSE)),3)*PricePremAnnual*VE54+VP6*POWER(1-(AnnualChurn*VLOOKUP(VB54,ChurnSeasonTable,4,FALSE)),4)*PricePremAnnual*VE54</f>
        <v/>
      </c>
      <c r="WA54" s="9">
        <f>VX54+VY54+VZ54</f>
        <v/>
      </c>
      <c r="WB54" s="12">
        <f>SUM(WA43:WA54)</f>
        <v/>
      </c>
      <c r="WC54" s="12">
        <f>OR(WC53,WB54&gt;=VATThreshold)</f>
        <v/>
      </c>
      <c r="WD54" s="9">
        <f>IF(WC54,WA54/(1+VATRate),WA54)</f>
        <v/>
      </c>
      <c r="WE54" s="12">
        <f>WA54-WD54</f>
        <v/>
      </c>
      <c r="WF54" s="12">
        <f>IF(WC54=0,0,IF(VB54=1,SUMPRODUCT(--(($VC$5:$VC54=$VC54-1)*($VB$5:$VB54&gt;=10)*($VB$5:$VB54&lt;=12)),$WE$5:$WE54),IF(VB54=4,SUMPRODUCT(--(($VC$5:$VC54=$VC54)*($VB$5:$VB54&gt;=1)*($VB$5:$VB54&lt;=3)),$WE$5:$WE54),IF(VB54=7,SUMPRODUCT(--(($VC$5:$VC54=$VC54)*($VB$5:$VB54&gt;=4)*($VB$5:$VB54&lt;=6)),$WE$5:$WE54),IF(VB54=10,SUMPRODUCT(--(($VC$5:$VC54=$VC54)*($VB$5:$VB54&gt;=7)*($VB$5:$VB54&lt;=9)),$WE$5:$WE54),0)))))</f>
        <v/>
      </c>
      <c r="WG54" s="12">
        <f>WG53+WE54-WF54</f>
        <v/>
      </c>
      <c r="WH54" s="12">
        <f>IF(ProviderDelay&gt;=1,WD53*ProviderShare,WD54*ProviderShare)</f>
        <v/>
      </c>
      <c r="WI54" s="12">
        <f>WA54*PaymentFee</f>
        <v/>
      </c>
      <c r="WJ54" s="12">
        <f>VU54*OpsAI</f>
        <v/>
      </c>
      <c r="WK54" s="12">
        <f>MonthlyFixed</f>
        <v/>
      </c>
      <c r="WL54" s="12">
        <f>VI54*ReferralReward</f>
        <v/>
      </c>
      <c r="WM54" s="12">
        <f>VG54</f>
        <v/>
      </c>
      <c r="WN54" s="9">
        <f>WD54-WH54-WI54-WJ54-WK54-WL54-WM54</f>
        <v/>
      </c>
      <c r="WO54" s="9">
        <f>WO53+WA54-(WH54+WI54+WJ54+WK54+WL54+WM54+WF54)</f>
        <v/>
      </c>
      <c r="WP54" s="12">
        <f>IF(VU54&gt;0,VV54/VU54,0)</f>
        <v/>
      </c>
      <c r="WQ54" s="11">
        <f>IF(VU53&gt;0,MAX(0,(VU53+VJ54-VU54)/VU53),0)</f>
        <v/>
      </c>
      <c r="WS54" s="12" t="n">
        <v>50</v>
      </c>
      <c r="WT54" s="12">
        <f>MOD(WS54-1+LaunchMonth-1,12)+1</f>
        <v/>
      </c>
      <c r="WU54" s="12">
        <f>INT((WS54-1+LaunchMonth-1)/12)+1</f>
        <v/>
      </c>
      <c r="WV54" s="12">
        <f>VLOOKUP(WT54,SeasonTable,2,FALSE)</f>
        <v/>
      </c>
      <c r="WW54" s="12">
        <f>(1+InflationRate)^INT((WS54-1)/12)</f>
        <v/>
      </c>
      <c r="WX54" s="11">
        <f>MonthlyChurn*VLOOKUP(WT54,ChurnSeasonTable,4,FALSE)</f>
        <v/>
      </c>
      <c r="WY54" s="12">
        <f>MIN(MAX(MktMin19plus,XS53*MktPct19plus),MAX(0,YG53-CashBuffer))</f>
        <v/>
      </c>
      <c r="WZ54" s="12">
        <f>IF(WY54&gt;0,MAX(1,ROUND(WY54/CAC*WV54,0)),0)</f>
        <v/>
      </c>
      <c r="XA54" s="12">
        <f>IF(WZ54&gt;0,ROUND(WZ54*ReferralMix/(1-ReferralMix),0),0)</f>
        <v/>
      </c>
      <c r="XB54" s="12">
        <f>WZ54+XA54</f>
        <v/>
      </c>
      <c r="XC54" s="12">
        <f>ROUND(XB54*(1-'Sens - Annual Mix'!$A$11),0)</f>
        <v/>
      </c>
      <c r="XD54" s="12">
        <f>XB54-XC54</f>
        <v/>
      </c>
      <c r="XE54" s="12">
        <f>ROUND(XC54*EssentialMix,0)</f>
        <v/>
      </c>
      <c r="XF54" s="12">
        <f>XC54-XE54</f>
        <v/>
      </c>
      <c r="XG54" s="12">
        <f>ROUND(XD54*EssentialMix,0)</f>
        <v/>
      </c>
      <c r="XH54" s="12">
        <f>XD54-XG54</f>
        <v/>
      </c>
      <c r="XI54" s="12">
        <f>XE54+XE53+XE52+MAX(0,XI53-XE53-XE52)*(1-WX54)</f>
        <v/>
      </c>
      <c r="XJ54" s="12">
        <f>XF54+XF53+XF52+MAX(0,XJ53-XF53-XF52)*(1-WX54)</f>
        <v/>
      </c>
      <c r="XK54" s="12">
        <f>XK53+XG54-XG42*(AnnualChurn*VLOOKUP(WT54,ChurnSeasonTable,4,FALSE))*POWER(1-(AnnualChurn*VLOOKUP(WT54,ChurnSeasonTable,4,FALSE)),0)+XG30*(AnnualChurn*VLOOKUP(WT54,ChurnSeasonTable,4,FALSE))*POWER(1-(AnnualChurn*VLOOKUP(WT54,ChurnSeasonTable,4,FALSE)),1)+XG18*(AnnualChurn*VLOOKUP(WT54,ChurnSeasonTable,4,FALSE))*POWER(1-(AnnualChurn*VLOOKUP(WT54,ChurnSeasonTable,4,FALSE)),2)+XG6*(AnnualChurn*VLOOKUP(WT54,ChurnSeasonTable,4,FALSE))*POWER(1-(AnnualChurn*VLOOKUP(WT54,ChurnSeasonTable,4,FALSE)),3)</f>
        <v/>
      </c>
      <c r="XL54" s="12">
        <f>XL53+XH54-XH42*(AnnualChurn*VLOOKUP(WT54,ChurnSeasonTable,4,FALSE))*POWER(1-(AnnualChurn*VLOOKUP(WT54,ChurnSeasonTable,4,FALSE)),0)+XH30*(AnnualChurn*VLOOKUP(WT54,ChurnSeasonTable,4,FALSE))*POWER(1-(AnnualChurn*VLOOKUP(WT54,ChurnSeasonTable,4,FALSE)),1)+XH18*(AnnualChurn*VLOOKUP(WT54,ChurnSeasonTable,4,FALSE))*POWER(1-(AnnualChurn*VLOOKUP(WT54,ChurnSeasonTable,4,FALSE)),2)+XH6*(AnnualChurn*VLOOKUP(WT54,ChurnSeasonTable,4,FALSE))*POWER(1-(AnnualChurn*VLOOKUP(WT54,ChurnSeasonTable,4,FALSE)),3)</f>
        <v/>
      </c>
      <c r="XM54" s="12">
        <f>XI54+XJ54+XK54+XL54</f>
        <v/>
      </c>
      <c r="XN54" s="9">
        <f>XI54*PriceEssMonthly*WW54+XJ54*PricePremMonthly*WW54+XK54*PriceEssAnnual*WW54/12+XL54*PricePremAnnual*WW54/12</f>
        <v/>
      </c>
      <c r="XO54" s="9">
        <f>XN54*12</f>
        <v/>
      </c>
      <c r="XP54" s="12">
        <f>XI54*PriceEssMonthly*WW54+XJ54*PricePremMonthly*WW54</f>
        <v/>
      </c>
      <c r="XQ54" s="12">
        <f>XG54*PriceEssAnnual*WW54+XH54*PricePremAnnual*WW54</f>
        <v/>
      </c>
      <c r="XR54" s="12">
        <f>XG42*POWER(1-(AnnualChurn*VLOOKUP(WT54,ChurnSeasonTable,4,FALSE)),1)*PriceEssAnnual*WW54+XG30*POWER(1-(AnnualChurn*VLOOKUP(WT54,ChurnSeasonTable,4,FALSE)),2)*PriceEssAnnual*WW54+XG18*POWER(1-(AnnualChurn*VLOOKUP(WT54,ChurnSeasonTable,4,FALSE)),3)*PriceEssAnnual*WW54+XG6*POWER(1-(AnnualChurn*VLOOKUP(WT54,ChurnSeasonTable,4,FALSE)),4)*PriceEssAnnual*WW54+XH42*POWER(1-(AnnualChurn*VLOOKUP(WT54,ChurnSeasonTable,4,FALSE)),1)*PricePremAnnual*WW54+XH30*POWER(1-(AnnualChurn*VLOOKUP(WT54,ChurnSeasonTable,4,FALSE)),2)*PricePremAnnual*WW54+XH18*POWER(1-(AnnualChurn*VLOOKUP(WT54,ChurnSeasonTable,4,FALSE)),3)*PricePremAnnual*WW54+XH6*POWER(1-(AnnualChurn*VLOOKUP(WT54,ChurnSeasonTable,4,FALSE)),4)*PricePremAnnual*WW54</f>
        <v/>
      </c>
      <c r="XS54" s="9">
        <f>XP54+XQ54+XR54</f>
        <v/>
      </c>
      <c r="XT54" s="12">
        <f>SUM(XS43:XS54)</f>
        <v/>
      </c>
      <c r="XU54" s="12">
        <f>OR(XU53,XT54&gt;=VATThreshold)</f>
        <v/>
      </c>
      <c r="XV54" s="9">
        <f>IF(XU54,XS54/(1+VATRate),XS54)</f>
        <v/>
      </c>
      <c r="XW54" s="12">
        <f>XS54-XV54</f>
        <v/>
      </c>
      <c r="XX54" s="12">
        <f>IF(XU54=0,0,IF(WT54=1,SUMPRODUCT(--(($WU$5:$WU54=$WU54-1)*($WT$5:$WT54&gt;=10)*($WT$5:$WT54&lt;=12)),$XW$5:$XW54),IF(WT54=4,SUMPRODUCT(--(($WU$5:$WU54=$WU54)*($WT$5:$WT54&gt;=1)*($WT$5:$WT54&lt;=3)),$XW$5:$XW54),IF(WT54=7,SUMPRODUCT(--(($WU$5:$WU54=$WU54)*($WT$5:$WT54&gt;=4)*($WT$5:$WT54&lt;=6)),$XW$5:$XW54),IF(WT54=10,SUMPRODUCT(--(($WU$5:$WU54=$WU54)*($WT$5:$WT54&gt;=7)*($WT$5:$WT54&lt;=9)),$XW$5:$XW54),0)))))</f>
        <v/>
      </c>
      <c r="XY54" s="12">
        <f>XY53+XW54-XX54</f>
        <v/>
      </c>
      <c r="XZ54" s="12">
        <f>IF(ProviderDelay&gt;=1,XV53*ProviderShare,XV54*ProviderShare)</f>
        <v/>
      </c>
      <c r="YA54" s="12">
        <f>XS54*PaymentFee</f>
        <v/>
      </c>
      <c r="YB54" s="12">
        <f>XM54*OpsAI</f>
        <v/>
      </c>
      <c r="YC54" s="12">
        <f>MonthlyFixed</f>
        <v/>
      </c>
      <c r="YD54" s="12">
        <f>XA54*ReferralReward</f>
        <v/>
      </c>
      <c r="YE54" s="12">
        <f>WY54</f>
        <v/>
      </c>
      <c r="YF54" s="9">
        <f>XV54-XZ54-YA54-YB54-YC54-YD54-YE54</f>
        <v/>
      </c>
      <c r="YG54" s="9">
        <f>YG53+XS54-(XZ54+YA54+YB54+YC54+YD54+YE54+XX54)</f>
        <v/>
      </c>
      <c r="YH54" s="12">
        <f>IF(XM54&gt;0,XN54/XM54,0)</f>
        <v/>
      </c>
      <c r="YI54" s="11">
        <f>IF(XM53&gt;0,MAX(0,(XM53+XB54-XM54)/XM53),0)</f>
        <v/>
      </c>
      <c r="YK54" s="12" t="n">
        <v>50</v>
      </c>
      <c r="YL54" s="12">
        <f>MOD(YK54-1+LaunchMonth-1,12)+1</f>
        <v/>
      </c>
      <c r="YM54" s="12">
        <f>INT((YK54-1+LaunchMonth-1)/12)+1</f>
        <v/>
      </c>
      <c r="YN54" s="12">
        <f>VLOOKUP(YL54,SeasonTable,2,FALSE)</f>
        <v/>
      </c>
      <c r="YO54" s="12">
        <f>(1+InflationRate)^INT((YK54-1)/12)</f>
        <v/>
      </c>
      <c r="YP54" s="11">
        <f>MonthlyChurn*VLOOKUP(YL54,ChurnSeasonTable,4,FALSE)</f>
        <v/>
      </c>
      <c r="YQ54" s="12">
        <f>MIN(MAX(MktMin19plus,ZK53*MktPct19plus),MAX(0,ZY53-CashBuffer))</f>
        <v/>
      </c>
      <c r="YR54" s="12">
        <f>IF(YQ54&gt;0,MAX(1,ROUND(YQ54/CAC*YN54,0)),0)</f>
        <v/>
      </c>
      <c r="YS54" s="12">
        <f>IF(YR54&gt;0,ROUND(YR54*ReferralMix/(1-ReferralMix),0),0)</f>
        <v/>
      </c>
      <c r="YT54" s="12">
        <f>YR54+YS54</f>
        <v/>
      </c>
      <c r="YU54" s="12">
        <f>ROUND(YT54*(1-'Sens - Annual Mix'!$A$12),0)</f>
        <v/>
      </c>
      <c r="YV54" s="12">
        <f>YT54-YU54</f>
        <v/>
      </c>
      <c r="YW54" s="12">
        <f>ROUND(YU54*EssentialMix,0)</f>
        <v/>
      </c>
      <c r="YX54" s="12">
        <f>YU54-YW54</f>
        <v/>
      </c>
      <c r="YY54" s="12">
        <f>ROUND(YV54*EssentialMix,0)</f>
        <v/>
      </c>
      <c r="YZ54" s="12">
        <f>YV54-YY54</f>
        <v/>
      </c>
      <c r="ZA54" s="12">
        <f>YW54+YW53+YW52+MAX(0,ZA53-YW53-YW52)*(1-YP54)</f>
        <v/>
      </c>
      <c r="ZB54" s="12">
        <f>YX54+YX53+YX52+MAX(0,ZB53-YX53-YX52)*(1-YP54)</f>
        <v/>
      </c>
      <c r="ZC54" s="12">
        <f>ZC53+YY54-YY42*(AnnualChurn*VLOOKUP(YL54,ChurnSeasonTable,4,FALSE))*POWER(1-(AnnualChurn*VLOOKUP(YL54,ChurnSeasonTable,4,FALSE)),0)+YY30*(AnnualChurn*VLOOKUP(YL54,ChurnSeasonTable,4,FALSE))*POWER(1-(AnnualChurn*VLOOKUP(YL54,ChurnSeasonTable,4,FALSE)),1)+YY18*(AnnualChurn*VLOOKUP(YL54,ChurnSeasonTable,4,FALSE))*POWER(1-(AnnualChurn*VLOOKUP(YL54,ChurnSeasonTable,4,FALSE)),2)+YY6*(AnnualChurn*VLOOKUP(YL54,ChurnSeasonTable,4,FALSE))*POWER(1-(AnnualChurn*VLOOKUP(YL54,ChurnSeasonTable,4,FALSE)),3)</f>
        <v/>
      </c>
      <c r="ZD54" s="12">
        <f>ZD53+YZ54-YZ42*(AnnualChurn*VLOOKUP(YL54,ChurnSeasonTable,4,FALSE))*POWER(1-(AnnualChurn*VLOOKUP(YL54,ChurnSeasonTable,4,FALSE)),0)+YZ30*(AnnualChurn*VLOOKUP(YL54,ChurnSeasonTable,4,FALSE))*POWER(1-(AnnualChurn*VLOOKUP(YL54,ChurnSeasonTable,4,FALSE)),1)+YZ18*(AnnualChurn*VLOOKUP(YL54,ChurnSeasonTable,4,FALSE))*POWER(1-(AnnualChurn*VLOOKUP(YL54,ChurnSeasonTable,4,FALSE)),2)+YZ6*(AnnualChurn*VLOOKUP(YL54,ChurnSeasonTable,4,FALSE))*POWER(1-(AnnualChurn*VLOOKUP(YL54,ChurnSeasonTable,4,FALSE)),3)</f>
        <v/>
      </c>
      <c r="ZE54" s="12">
        <f>ZA54+ZB54+ZC54+ZD54</f>
        <v/>
      </c>
      <c r="ZF54" s="9">
        <f>ZA54*PriceEssMonthly*YO54+ZB54*PricePremMonthly*YO54+ZC54*PriceEssAnnual*YO54/12+ZD54*PricePremAnnual*YO54/12</f>
        <v/>
      </c>
      <c r="ZG54" s="9">
        <f>ZF54*12</f>
        <v/>
      </c>
      <c r="ZH54" s="12">
        <f>ZA54*PriceEssMonthly*YO54+ZB54*PricePremMonthly*YO54</f>
        <v/>
      </c>
      <c r="ZI54" s="12">
        <f>YY54*PriceEssAnnual*YO54+YZ54*PricePremAnnual*YO54</f>
        <v/>
      </c>
      <c r="ZJ54" s="12">
        <f>YY42*POWER(1-(AnnualChurn*VLOOKUP(YL54,ChurnSeasonTable,4,FALSE)),1)*PriceEssAnnual*YO54+YY30*POWER(1-(AnnualChurn*VLOOKUP(YL54,ChurnSeasonTable,4,FALSE)),2)*PriceEssAnnual*YO54+YY18*POWER(1-(AnnualChurn*VLOOKUP(YL54,ChurnSeasonTable,4,FALSE)),3)*PriceEssAnnual*YO54+YY6*POWER(1-(AnnualChurn*VLOOKUP(YL54,ChurnSeasonTable,4,FALSE)),4)*PriceEssAnnual*YO54+YZ42*POWER(1-(AnnualChurn*VLOOKUP(YL54,ChurnSeasonTable,4,FALSE)),1)*PricePremAnnual*YO54+YZ30*POWER(1-(AnnualChurn*VLOOKUP(YL54,ChurnSeasonTable,4,FALSE)),2)*PricePremAnnual*YO54+YZ18*POWER(1-(AnnualChurn*VLOOKUP(YL54,ChurnSeasonTable,4,FALSE)),3)*PricePremAnnual*YO54+YZ6*POWER(1-(AnnualChurn*VLOOKUP(YL54,ChurnSeasonTable,4,FALSE)),4)*PricePremAnnual*YO54</f>
        <v/>
      </c>
      <c r="ZK54" s="9">
        <f>ZH54+ZI54+ZJ54</f>
        <v/>
      </c>
      <c r="ZL54" s="12">
        <f>SUM(ZK43:ZK54)</f>
        <v/>
      </c>
      <c r="ZM54" s="12">
        <f>OR(ZM53,ZL54&gt;=VATThreshold)</f>
        <v/>
      </c>
      <c r="ZN54" s="9">
        <f>IF(ZM54,ZK54/(1+VATRate),ZK54)</f>
        <v/>
      </c>
      <c r="ZO54" s="12">
        <f>ZK54-ZN54</f>
        <v/>
      </c>
      <c r="ZP54" s="12">
        <f>IF(ZM54=0,0,IF(YL54=1,SUMPRODUCT(--(($YM$5:$YM54=$YM54-1)*($YL$5:$YL54&gt;=10)*($YL$5:$YL54&lt;=12)),$ZO$5:$ZO54),IF(YL54=4,SUMPRODUCT(--(($YM$5:$YM54=$YM54)*($YL$5:$YL54&gt;=1)*($YL$5:$YL54&lt;=3)),$ZO$5:$ZO54),IF(YL54=7,SUMPRODUCT(--(($YM$5:$YM54=$YM54)*($YL$5:$YL54&gt;=4)*($YL$5:$YL54&lt;=6)),$ZO$5:$ZO54),IF(YL54=10,SUMPRODUCT(--(($YM$5:$YM54=$YM54)*($YL$5:$YL54&gt;=7)*($YL$5:$YL54&lt;=9)),$ZO$5:$ZO54),0)))))</f>
        <v/>
      </c>
      <c r="ZQ54" s="12">
        <f>ZQ53+ZO54-ZP54</f>
        <v/>
      </c>
      <c r="ZR54" s="12">
        <f>IF(ProviderDelay&gt;=1,ZN53*ProviderShare,ZN54*ProviderShare)</f>
        <v/>
      </c>
      <c r="ZS54" s="12">
        <f>ZK54*PaymentFee</f>
        <v/>
      </c>
      <c r="ZT54" s="12">
        <f>ZE54*OpsAI</f>
        <v/>
      </c>
      <c r="ZU54" s="12">
        <f>MonthlyFixed</f>
        <v/>
      </c>
      <c r="ZV54" s="12">
        <f>YS54*ReferralReward</f>
        <v/>
      </c>
      <c r="ZW54" s="12">
        <f>YQ54</f>
        <v/>
      </c>
      <c r="ZX54" s="9">
        <f>ZN54-ZR54-ZS54-ZT54-ZU54-ZV54-ZW54</f>
        <v/>
      </c>
      <c r="ZY54" s="9">
        <f>ZY53+ZK54-(ZR54+ZS54+ZT54+ZU54+ZV54+ZW54+ZP54)</f>
        <v/>
      </c>
      <c r="ZZ54" s="12">
        <f>IF(ZE54&gt;0,ZF54/ZE54,0)</f>
        <v/>
      </c>
      <c r="AAA54" s="11">
        <f>IF(ZE53&gt;0,MAX(0,(ZE53+YT54-ZE54)/ZE53),0)</f>
        <v/>
      </c>
      <c r="AAC54" s="12" t="n">
        <v>50</v>
      </c>
      <c r="AAD54" s="12">
        <f>MOD(AAC54-1+LaunchMonth-1,12)+1</f>
        <v/>
      </c>
      <c r="AAE54" s="12">
        <f>INT((AAC54-1+LaunchMonth-1)/12)+1</f>
        <v/>
      </c>
      <c r="AAF54" s="12">
        <f>VLOOKUP(AAD54,SeasonTable,2,FALSE)</f>
        <v/>
      </c>
      <c r="AAG54" s="12">
        <f>(1+InflationRate)^INT((AAC54-1)/12)</f>
        <v/>
      </c>
      <c r="AAH54" s="11">
        <f>MonthlyChurn*VLOOKUP(AAD54,ChurnSeasonTable,4,FALSE)</f>
        <v/>
      </c>
      <c r="AAI54" s="12">
        <f>MIN(MAX(MktMin19plus,ABC53*MktPct19plus),MAX(0,ABQ53-CashBuffer))</f>
        <v/>
      </c>
      <c r="AAJ54" s="12">
        <f>IF(AAI54&gt;0,MAX(1,ROUND(AAI54/CAC*AAF54,0)),0)</f>
        <v/>
      </c>
      <c r="AAK54" s="12">
        <f>IF(AAJ54&gt;0,ROUND(AAJ54*ReferralMix/(1-ReferralMix),0),0)</f>
        <v/>
      </c>
      <c r="AAL54" s="12">
        <f>AAJ54+AAK54</f>
        <v/>
      </c>
      <c r="AAM54" s="12">
        <f>ROUND(AAL54*(1-'Sens - Annual Mix'!$A$13),0)</f>
        <v/>
      </c>
      <c r="AAN54" s="12">
        <f>AAL54-AAM54</f>
        <v/>
      </c>
      <c r="AAO54" s="12">
        <f>ROUND(AAM54*EssentialMix,0)</f>
        <v/>
      </c>
      <c r="AAP54" s="12">
        <f>AAM54-AAO54</f>
        <v/>
      </c>
      <c r="AAQ54" s="12">
        <f>ROUND(AAN54*EssentialMix,0)</f>
        <v/>
      </c>
      <c r="AAR54" s="12">
        <f>AAN54-AAQ54</f>
        <v/>
      </c>
      <c r="AAS54" s="12">
        <f>AAO54+AAO53+AAO52+MAX(0,AAS53-AAO53-AAO52)*(1-AAH54)</f>
        <v/>
      </c>
      <c r="AAT54" s="12">
        <f>AAP54+AAP53+AAP52+MAX(0,AAT53-AAP53-AAP52)*(1-AAH54)</f>
        <v/>
      </c>
      <c r="AAU54" s="12">
        <f>AAU53+AAQ54-AAQ42*(AnnualChurn*VLOOKUP(AAD54,ChurnSeasonTable,4,FALSE))*POWER(1-(AnnualChurn*VLOOKUP(AAD54,ChurnSeasonTable,4,FALSE)),0)+AAQ30*(AnnualChurn*VLOOKUP(AAD54,ChurnSeasonTable,4,FALSE))*POWER(1-(AnnualChurn*VLOOKUP(AAD54,ChurnSeasonTable,4,FALSE)),1)+AAQ18*(AnnualChurn*VLOOKUP(AAD54,ChurnSeasonTable,4,FALSE))*POWER(1-(AnnualChurn*VLOOKUP(AAD54,ChurnSeasonTable,4,FALSE)),2)+AAQ6*(AnnualChurn*VLOOKUP(AAD54,ChurnSeasonTable,4,FALSE))*POWER(1-(AnnualChurn*VLOOKUP(AAD54,ChurnSeasonTable,4,FALSE)),3)</f>
        <v/>
      </c>
      <c r="AAV54" s="12">
        <f>AAV53+AAR54-AAR42*(AnnualChurn*VLOOKUP(AAD54,ChurnSeasonTable,4,FALSE))*POWER(1-(AnnualChurn*VLOOKUP(AAD54,ChurnSeasonTable,4,FALSE)),0)+AAR30*(AnnualChurn*VLOOKUP(AAD54,ChurnSeasonTable,4,FALSE))*POWER(1-(AnnualChurn*VLOOKUP(AAD54,ChurnSeasonTable,4,FALSE)),1)+AAR18*(AnnualChurn*VLOOKUP(AAD54,ChurnSeasonTable,4,FALSE))*POWER(1-(AnnualChurn*VLOOKUP(AAD54,ChurnSeasonTable,4,FALSE)),2)+AAR6*(AnnualChurn*VLOOKUP(AAD54,ChurnSeasonTable,4,FALSE))*POWER(1-(AnnualChurn*VLOOKUP(AAD54,ChurnSeasonTable,4,FALSE)),3)</f>
        <v/>
      </c>
      <c r="AAW54" s="12">
        <f>AAS54+AAT54+AAU54+AAV54</f>
        <v/>
      </c>
      <c r="AAX54" s="9">
        <f>AAS54*PriceEssMonthly*AAG54+AAT54*PricePremMonthly*AAG54+AAU54*PriceEssAnnual*AAG54/12+AAV54*PricePremAnnual*AAG54/12</f>
        <v/>
      </c>
      <c r="AAY54" s="9">
        <f>AAX54*12</f>
        <v/>
      </c>
      <c r="AAZ54" s="12">
        <f>AAS54*PriceEssMonthly*AAG54+AAT54*PricePremMonthly*AAG54</f>
        <v/>
      </c>
      <c r="ABA54" s="12">
        <f>AAQ54*PriceEssAnnual*AAG54+AAR54*PricePremAnnual*AAG54</f>
        <v/>
      </c>
      <c r="ABB54" s="12">
        <f>AAQ42*POWER(1-(AnnualChurn*VLOOKUP(AAD54,ChurnSeasonTable,4,FALSE)),1)*PriceEssAnnual*AAG54+AAQ30*POWER(1-(AnnualChurn*VLOOKUP(AAD54,ChurnSeasonTable,4,FALSE)),2)*PriceEssAnnual*AAG54+AAQ18*POWER(1-(AnnualChurn*VLOOKUP(AAD54,ChurnSeasonTable,4,FALSE)),3)*PriceEssAnnual*AAG54+AAQ6*POWER(1-(AnnualChurn*VLOOKUP(AAD54,ChurnSeasonTable,4,FALSE)),4)*PriceEssAnnual*AAG54+AAR42*POWER(1-(AnnualChurn*VLOOKUP(AAD54,ChurnSeasonTable,4,FALSE)),1)*PricePremAnnual*AAG54+AAR30*POWER(1-(AnnualChurn*VLOOKUP(AAD54,ChurnSeasonTable,4,FALSE)),2)*PricePremAnnual*AAG54+AAR18*POWER(1-(AnnualChurn*VLOOKUP(AAD54,ChurnSeasonTable,4,FALSE)),3)*PricePremAnnual*AAG54+AAR6*POWER(1-(AnnualChurn*VLOOKUP(AAD54,ChurnSeasonTable,4,FALSE)),4)*PricePremAnnual*AAG54</f>
        <v/>
      </c>
      <c r="ABC54" s="9">
        <f>AAZ54+ABA54+ABB54</f>
        <v/>
      </c>
      <c r="ABD54" s="12">
        <f>SUM(ABC43:ABC54)</f>
        <v/>
      </c>
      <c r="ABE54" s="12">
        <f>OR(ABE53,ABD54&gt;=VATThreshold)</f>
        <v/>
      </c>
      <c r="ABF54" s="9">
        <f>IF(ABE54,ABC54/(1+VATRate),ABC54)</f>
        <v/>
      </c>
      <c r="ABG54" s="12">
        <f>ABC54-ABF54</f>
        <v/>
      </c>
      <c r="ABH54" s="12">
        <f>IF(ABE54=0,0,IF(AAD54=1,SUMPRODUCT(--(($AAE$5:$AAE54=$AAE54-1)*($AAD$5:$AAD54&gt;=10)*($AAD$5:$AAD54&lt;=12)),$ABG$5:$ABG54),IF(AAD54=4,SUMPRODUCT(--(($AAE$5:$AAE54=$AAE54)*($AAD$5:$AAD54&gt;=1)*($AAD$5:$AAD54&lt;=3)),$ABG$5:$ABG54),IF(AAD54=7,SUMPRODUCT(--(($AAE$5:$AAE54=$AAE54)*($AAD$5:$AAD54&gt;=4)*($AAD$5:$AAD54&lt;=6)),$ABG$5:$ABG54),IF(AAD54=10,SUMPRODUCT(--(($AAE$5:$AAE54=$AAE54)*($AAD$5:$AAD54&gt;=7)*($AAD$5:$AAD54&lt;=9)),$ABG$5:$ABG54),0)))))</f>
        <v/>
      </c>
      <c r="ABI54" s="12">
        <f>ABI53+ABG54-ABH54</f>
        <v/>
      </c>
      <c r="ABJ54" s="12">
        <f>IF(ProviderDelay&gt;=1,ABF53*ProviderShare,ABF54*ProviderShare)</f>
        <v/>
      </c>
      <c r="ABK54" s="12">
        <f>ABC54*PaymentFee</f>
        <v/>
      </c>
      <c r="ABL54" s="12">
        <f>AAW54*OpsAI</f>
        <v/>
      </c>
      <c r="ABM54" s="12">
        <f>MonthlyFixed</f>
        <v/>
      </c>
      <c r="ABN54" s="12">
        <f>AAK54*ReferralReward</f>
        <v/>
      </c>
      <c r="ABO54" s="12">
        <f>AAI54</f>
        <v/>
      </c>
      <c r="ABP54" s="9">
        <f>ABF54-ABJ54-ABK54-ABL54-ABM54-ABN54-ABO54</f>
        <v/>
      </c>
      <c r="ABQ54" s="9">
        <f>ABQ53+ABC54-(ABJ54+ABK54+ABL54+ABM54+ABN54+ABO54+ABH54)</f>
        <v/>
      </c>
      <c r="ABR54" s="12">
        <f>IF(AAW54&gt;0,AAX54/AAW54,0)</f>
        <v/>
      </c>
      <c r="ABS54" s="11">
        <f>IF(AAW53&gt;0,MAX(0,(AAW53+AAL54-AAW54)/AAW53),0)</f>
        <v/>
      </c>
      <c r="ABU54" s="12" t="n">
        <v>50</v>
      </c>
      <c r="ABV54" s="12">
        <f>MOD(ABU54-1+LaunchMonth-1,12)+1</f>
        <v/>
      </c>
      <c r="ABW54" s="12">
        <f>INT((ABU54-1+LaunchMonth-1)/12)+1</f>
        <v/>
      </c>
      <c r="ABX54" s="12">
        <f>VLOOKUP(ABV54,SeasonTable,2,FALSE)</f>
        <v/>
      </c>
      <c r="ABY54" s="12">
        <f>(1+InflationRate)^INT((ABU54-1)/12)</f>
        <v/>
      </c>
      <c r="ABZ54" s="11">
        <f>MonthlyChurn*VLOOKUP(ABV54,ChurnSeasonTable,4,FALSE)</f>
        <v/>
      </c>
      <c r="ACA54" s="12">
        <f>MIN(MAX(MktMin19plus,ACU53*MktPct19plus),MAX(0,ADI53-CashBuffer))</f>
        <v/>
      </c>
      <c r="ACB54" s="12">
        <f>IF(ACA54&gt;0,MAX(1,ROUND(ACA54/CAC*ABX54,0)),0)</f>
        <v/>
      </c>
      <c r="ACC54" s="12">
        <f>IF(ACB54&gt;0,ROUND(ACB54*ReferralMix/(1-ReferralMix),0),0)</f>
        <v/>
      </c>
      <c r="ACD54" s="12">
        <f>ACB54+ACC54</f>
        <v/>
      </c>
      <c r="ACE54" s="12">
        <f>ROUND(ACD54*(1-'Sens - Annual Mix'!$A$14),0)</f>
        <v/>
      </c>
      <c r="ACF54" s="12">
        <f>ACD54-ACE54</f>
        <v/>
      </c>
      <c r="ACG54" s="12">
        <f>ROUND(ACE54*EssentialMix,0)</f>
        <v/>
      </c>
      <c r="ACH54" s="12">
        <f>ACE54-ACG54</f>
        <v/>
      </c>
      <c r="ACI54" s="12">
        <f>ROUND(ACF54*EssentialMix,0)</f>
        <v/>
      </c>
      <c r="ACJ54" s="12">
        <f>ACF54-ACI54</f>
        <v/>
      </c>
      <c r="ACK54" s="12">
        <f>ACG54+ACG53+ACG52+MAX(0,ACK53-ACG53-ACG52)*(1-ABZ54)</f>
        <v/>
      </c>
      <c r="ACL54" s="12">
        <f>ACH54+ACH53+ACH52+MAX(0,ACL53-ACH53-ACH52)*(1-ABZ54)</f>
        <v/>
      </c>
      <c r="ACM54" s="12">
        <f>ACM53+ACI54-ACI42*(AnnualChurn*VLOOKUP(ABV54,ChurnSeasonTable,4,FALSE))*POWER(1-(AnnualChurn*VLOOKUP(ABV54,ChurnSeasonTable,4,FALSE)),0)+ACI30*(AnnualChurn*VLOOKUP(ABV54,ChurnSeasonTable,4,FALSE))*POWER(1-(AnnualChurn*VLOOKUP(ABV54,ChurnSeasonTable,4,FALSE)),1)+ACI18*(AnnualChurn*VLOOKUP(ABV54,ChurnSeasonTable,4,FALSE))*POWER(1-(AnnualChurn*VLOOKUP(ABV54,ChurnSeasonTable,4,FALSE)),2)+ACI6*(AnnualChurn*VLOOKUP(ABV54,ChurnSeasonTable,4,FALSE))*POWER(1-(AnnualChurn*VLOOKUP(ABV54,ChurnSeasonTable,4,FALSE)),3)</f>
        <v/>
      </c>
      <c r="ACN54" s="12">
        <f>ACN53+ACJ54-ACJ42*(AnnualChurn*VLOOKUP(ABV54,ChurnSeasonTable,4,FALSE))*POWER(1-(AnnualChurn*VLOOKUP(ABV54,ChurnSeasonTable,4,FALSE)),0)+ACJ30*(AnnualChurn*VLOOKUP(ABV54,ChurnSeasonTable,4,FALSE))*POWER(1-(AnnualChurn*VLOOKUP(ABV54,ChurnSeasonTable,4,FALSE)),1)+ACJ18*(AnnualChurn*VLOOKUP(ABV54,ChurnSeasonTable,4,FALSE))*POWER(1-(AnnualChurn*VLOOKUP(ABV54,ChurnSeasonTable,4,FALSE)),2)+ACJ6*(AnnualChurn*VLOOKUP(ABV54,ChurnSeasonTable,4,FALSE))*POWER(1-(AnnualChurn*VLOOKUP(ABV54,ChurnSeasonTable,4,FALSE)),3)</f>
        <v/>
      </c>
      <c r="ACO54" s="12">
        <f>ACK54+ACL54+ACM54+ACN54</f>
        <v/>
      </c>
      <c r="ACP54" s="9">
        <f>ACK54*PriceEssMonthly*ABY54+ACL54*PricePremMonthly*ABY54+ACM54*PriceEssAnnual*ABY54/12+ACN54*PricePremAnnual*ABY54/12</f>
        <v/>
      </c>
      <c r="ACQ54" s="9">
        <f>ACP54*12</f>
        <v/>
      </c>
      <c r="ACR54" s="12">
        <f>ACK54*PriceEssMonthly*ABY54+ACL54*PricePremMonthly*ABY54</f>
        <v/>
      </c>
      <c r="ACS54" s="12">
        <f>ACI54*PriceEssAnnual*ABY54+ACJ54*PricePremAnnual*ABY54</f>
        <v/>
      </c>
      <c r="ACT54" s="12">
        <f>ACI42*POWER(1-(AnnualChurn*VLOOKUP(ABV54,ChurnSeasonTable,4,FALSE)),1)*PriceEssAnnual*ABY54+ACI30*POWER(1-(AnnualChurn*VLOOKUP(ABV54,ChurnSeasonTable,4,FALSE)),2)*PriceEssAnnual*ABY54+ACI18*POWER(1-(AnnualChurn*VLOOKUP(ABV54,ChurnSeasonTable,4,FALSE)),3)*PriceEssAnnual*ABY54+ACI6*POWER(1-(AnnualChurn*VLOOKUP(ABV54,ChurnSeasonTable,4,FALSE)),4)*PriceEssAnnual*ABY54+ACJ42*POWER(1-(AnnualChurn*VLOOKUP(ABV54,ChurnSeasonTable,4,FALSE)),1)*PricePremAnnual*ABY54+ACJ30*POWER(1-(AnnualChurn*VLOOKUP(ABV54,ChurnSeasonTable,4,FALSE)),2)*PricePremAnnual*ABY54+ACJ18*POWER(1-(AnnualChurn*VLOOKUP(ABV54,ChurnSeasonTable,4,FALSE)),3)*PricePremAnnual*ABY54+ACJ6*POWER(1-(AnnualChurn*VLOOKUP(ABV54,ChurnSeasonTable,4,FALSE)),4)*PricePremAnnual*ABY54</f>
        <v/>
      </c>
      <c r="ACU54" s="9">
        <f>ACR54+ACS54+ACT54</f>
        <v/>
      </c>
      <c r="ACV54" s="12">
        <f>SUM(ACU43:ACU54)</f>
        <v/>
      </c>
      <c r="ACW54" s="12">
        <f>OR(ACW53,ACV54&gt;=VATThreshold)</f>
        <v/>
      </c>
      <c r="ACX54" s="9">
        <f>IF(ACW54,ACU54/(1+VATRate),ACU54)</f>
        <v/>
      </c>
      <c r="ACY54" s="12">
        <f>ACU54-ACX54</f>
        <v/>
      </c>
      <c r="ACZ54" s="12">
        <f>IF(ACW54=0,0,IF(ABV54=1,SUMPRODUCT(--(($ABW$5:$ABW54=$ABW54-1)*($ABV$5:$ABV54&gt;=10)*($ABV$5:$ABV54&lt;=12)),$ACY$5:$ACY54),IF(ABV54=4,SUMPRODUCT(--(($ABW$5:$ABW54=$ABW54)*($ABV$5:$ABV54&gt;=1)*($ABV$5:$ABV54&lt;=3)),$ACY$5:$ACY54),IF(ABV54=7,SUMPRODUCT(--(($ABW$5:$ABW54=$ABW54)*($ABV$5:$ABV54&gt;=4)*($ABV$5:$ABV54&lt;=6)),$ACY$5:$ACY54),IF(ABV54=10,SUMPRODUCT(--(($ABW$5:$ABW54=$ABW54)*($ABV$5:$ABV54&gt;=7)*($ABV$5:$ABV54&lt;=9)),$ACY$5:$ACY54),0)))))</f>
        <v/>
      </c>
      <c r="ADA54" s="12">
        <f>ADA53+ACY54-ACZ54</f>
        <v/>
      </c>
      <c r="ADB54" s="12">
        <f>IF(ProviderDelay&gt;=1,ACX53*ProviderShare,ACX54*ProviderShare)</f>
        <v/>
      </c>
      <c r="ADC54" s="12">
        <f>ACU54*PaymentFee</f>
        <v/>
      </c>
      <c r="ADD54" s="12">
        <f>ACO54*OpsAI</f>
        <v/>
      </c>
      <c r="ADE54" s="12">
        <f>MonthlyFixed</f>
        <v/>
      </c>
      <c r="ADF54" s="12">
        <f>ACC54*ReferralReward</f>
        <v/>
      </c>
      <c r="ADG54" s="12">
        <f>ACA54</f>
        <v/>
      </c>
      <c r="ADH54" s="9">
        <f>ACX54-ADB54-ADC54-ADD54-ADE54-ADF54-ADG54</f>
        <v/>
      </c>
      <c r="ADI54" s="9">
        <f>ADI53+ACU54-(ADB54+ADC54+ADD54+ADE54+ADF54+ADG54+ACZ54)</f>
        <v/>
      </c>
      <c r="ADJ54" s="12">
        <f>IF(ACO54&gt;0,ACP54/ACO54,0)</f>
        <v/>
      </c>
      <c r="ADK54" s="11">
        <f>IF(ACO53&gt;0,MAX(0,(ACO53+ACD54-ACO54)/ACO53),0)</f>
        <v/>
      </c>
      <c r="ADM54" s="12" t="n">
        <v>50</v>
      </c>
      <c r="ADN54" s="12">
        <f>MOD(ADM54-1+LaunchMonth-1,12)+1</f>
        <v/>
      </c>
      <c r="ADO54" s="12">
        <f>INT((ADM54-1+LaunchMonth-1)/12)+1</f>
        <v/>
      </c>
      <c r="ADP54" s="12">
        <f>VLOOKUP(ADN54,SeasonTable,2,FALSE)</f>
        <v/>
      </c>
      <c r="ADQ54" s="12">
        <f>(1+InflationRate)^INT((ADM54-1)/12)</f>
        <v/>
      </c>
      <c r="ADR54" s="11">
        <f>MonthlyChurn*VLOOKUP(ADN54,ChurnSeasonTable,4,FALSE)</f>
        <v/>
      </c>
      <c r="ADS54" s="12">
        <f>MIN(MAX(MktMin19plus,AEM53*MktPct19plus),MAX(0,AFA53-CashBuffer))</f>
        <v/>
      </c>
      <c r="ADT54" s="12">
        <f>IF(ADS54&gt;0,MAX(1,ROUND(ADS54/CAC*ADP54,0)),0)</f>
        <v/>
      </c>
      <c r="ADU54" s="12">
        <f>IF(ADT54&gt;0,ROUND(ADT54*ReferralMix/(1-ReferralMix),0),0)</f>
        <v/>
      </c>
      <c r="ADV54" s="12">
        <f>ADT54+ADU54</f>
        <v/>
      </c>
      <c r="ADW54" s="12">
        <f>ROUND(ADV54*(1-'Sens - Annual Mix'!$A$15),0)</f>
        <v/>
      </c>
      <c r="ADX54" s="12">
        <f>ADV54-ADW54</f>
        <v/>
      </c>
      <c r="ADY54" s="12">
        <f>ROUND(ADW54*EssentialMix,0)</f>
        <v/>
      </c>
      <c r="ADZ54" s="12">
        <f>ADW54-ADY54</f>
        <v/>
      </c>
      <c r="AEA54" s="12">
        <f>ROUND(ADX54*EssentialMix,0)</f>
        <v/>
      </c>
      <c r="AEB54" s="12">
        <f>ADX54-AEA54</f>
        <v/>
      </c>
      <c r="AEC54" s="12">
        <f>ADY54+ADY53+ADY52+MAX(0,AEC53-ADY53-ADY52)*(1-ADR54)</f>
        <v/>
      </c>
      <c r="AED54" s="12">
        <f>ADZ54+ADZ53+ADZ52+MAX(0,AED53-ADZ53-ADZ52)*(1-ADR54)</f>
        <v/>
      </c>
      <c r="AEE54" s="12">
        <f>AEE53+AEA54-AEA42*(AnnualChurn*VLOOKUP(ADN54,ChurnSeasonTable,4,FALSE))*POWER(1-(AnnualChurn*VLOOKUP(ADN54,ChurnSeasonTable,4,FALSE)),0)+AEA30*(AnnualChurn*VLOOKUP(ADN54,ChurnSeasonTable,4,FALSE))*POWER(1-(AnnualChurn*VLOOKUP(ADN54,ChurnSeasonTable,4,FALSE)),1)+AEA18*(AnnualChurn*VLOOKUP(ADN54,ChurnSeasonTable,4,FALSE))*POWER(1-(AnnualChurn*VLOOKUP(ADN54,ChurnSeasonTable,4,FALSE)),2)+AEA6*(AnnualChurn*VLOOKUP(ADN54,ChurnSeasonTable,4,FALSE))*POWER(1-(AnnualChurn*VLOOKUP(ADN54,ChurnSeasonTable,4,FALSE)),3)</f>
        <v/>
      </c>
      <c r="AEF54" s="12">
        <f>AEF53+AEB54-AEB42*(AnnualChurn*VLOOKUP(ADN54,ChurnSeasonTable,4,FALSE))*POWER(1-(AnnualChurn*VLOOKUP(ADN54,ChurnSeasonTable,4,FALSE)),0)+AEB30*(AnnualChurn*VLOOKUP(ADN54,ChurnSeasonTable,4,FALSE))*POWER(1-(AnnualChurn*VLOOKUP(ADN54,ChurnSeasonTable,4,FALSE)),1)+AEB18*(AnnualChurn*VLOOKUP(ADN54,ChurnSeasonTable,4,FALSE))*POWER(1-(AnnualChurn*VLOOKUP(ADN54,ChurnSeasonTable,4,FALSE)),2)+AEB6*(AnnualChurn*VLOOKUP(ADN54,ChurnSeasonTable,4,FALSE))*POWER(1-(AnnualChurn*VLOOKUP(ADN54,ChurnSeasonTable,4,FALSE)),3)</f>
        <v/>
      </c>
      <c r="AEG54" s="12">
        <f>AEC54+AED54+AEE54+AEF54</f>
        <v/>
      </c>
      <c r="AEH54" s="9">
        <f>AEC54*PriceEssMonthly*ADQ54+AED54*PricePremMonthly*ADQ54+AEE54*PriceEssAnnual*ADQ54/12+AEF54*PricePremAnnual*ADQ54/12</f>
        <v/>
      </c>
      <c r="AEI54" s="9">
        <f>AEH54*12</f>
        <v/>
      </c>
      <c r="AEJ54" s="12">
        <f>AEC54*PriceEssMonthly*ADQ54+AED54*PricePremMonthly*ADQ54</f>
        <v/>
      </c>
      <c r="AEK54" s="12">
        <f>AEA54*PriceEssAnnual*ADQ54+AEB54*PricePremAnnual*ADQ54</f>
        <v/>
      </c>
      <c r="AEL54" s="12">
        <f>AEA42*POWER(1-(AnnualChurn*VLOOKUP(ADN54,ChurnSeasonTable,4,FALSE)),1)*PriceEssAnnual*ADQ54+AEA30*POWER(1-(AnnualChurn*VLOOKUP(ADN54,ChurnSeasonTable,4,FALSE)),2)*PriceEssAnnual*ADQ54+AEA18*POWER(1-(AnnualChurn*VLOOKUP(ADN54,ChurnSeasonTable,4,FALSE)),3)*PriceEssAnnual*ADQ54+AEA6*POWER(1-(AnnualChurn*VLOOKUP(ADN54,ChurnSeasonTable,4,FALSE)),4)*PriceEssAnnual*ADQ54+AEB42*POWER(1-(AnnualChurn*VLOOKUP(ADN54,ChurnSeasonTable,4,FALSE)),1)*PricePremAnnual*ADQ54+AEB30*POWER(1-(AnnualChurn*VLOOKUP(ADN54,ChurnSeasonTable,4,FALSE)),2)*PricePremAnnual*ADQ54+AEB18*POWER(1-(AnnualChurn*VLOOKUP(ADN54,ChurnSeasonTable,4,FALSE)),3)*PricePremAnnual*ADQ54+AEB6*POWER(1-(AnnualChurn*VLOOKUP(ADN54,ChurnSeasonTable,4,FALSE)),4)*PricePremAnnual*ADQ54</f>
        <v/>
      </c>
      <c r="AEM54" s="9">
        <f>AEJ54+AEK54+AEL54</f>
        <v/>
      </c>
      <c r="AEN54" s="12">
        <f>SUM(AEM43:AEM54)</f>
        <v/>
      </c>
      <c r="AEO54" s="12">
        <f>OR(AEO53,AEN54&gt;=VATThreshold)</f>
        <v/>
      </c>
      <c r="AEP54" s="9">
        <f>IF(AEO54,AEM54/(1+VATRate),AEM54)</f>
        <v/>
      </c>
      <c r="AEQ54" s="12">
        <f>AEM54-AEP54</f>
        <v/>
      </c>
      <c r="AER54" s="12">
        <f>IF(AEO54=0,0,IF(ADN54=1,SUMPRODUCT(--(($ADO$5:$ADO54=$ADO54-1)*($ADN$5:$ADN54&gt;=10)*($ADN$5:$ADN54&lt;=12)),$AEQ$5:$AEQ54),IF(ADN54=4,SUMPRODUCT(--(($ADO$5:$ADO54=$ADO54)*($ADN$5:$ADN54&gt;=1)*($ADN$5:$ADN54&lt;=3)),$AEQ$5:$AEQ54),IF(ADN54=7,SUMPRODUCT(--(($ADO$5:$ADO54=$ADO54)*($ADN$5:$ADN54&gt;=4)*($ADN$5:$ADN54&lt;=6)),$AEQ$5:$AEQ54),IF(ADN54=10,SUMPRODUCT(--(($ADO$5:$ADO54=$ADO54)*($ADN$5:$ADN54&gt;=7)*($ADN$5:$ADN54&lt;=9)),$AEQ$5:$AEQ54),0)))))</f>
        <v/>
      </c>
      <c r="AES54" s="12">
        <f>AES53+AEQ54-AER54</f>
        <v/>
      </c>
      <c r="AET54" s="12">
        <f>IF(ProviderDelay&gt;=1,AEP53*ProviderShare,AEP54*ProviderShare)</f>
        <v/>
      </c>
      <c r="AEU54" s="12">
        <f>AEM54*PaymentFee</f>
        <v/>
      </c>
      <c r="AEV54" s="12">
        <f>AEG54*OpsAI</f>
        <v/>
      </c>
      <c r="AEW54" s="12">
        <f>MonthlyFixed</f>
        <v/>
      </c>
      <c r="AEX54" s="12">
        <f>ADU54*ReferralReward</f>
        <v/>
      </c>
      <c r="AEY54" s="12">
        <f>ADS54</f>
        <v/>
      </c>
      <c r="AEZ54" s="9">
        <f>AEP54-AET54-AEU54-AEV54-AEW54-AEX54-AEY54</f>
        <v/>
      </c>
      <c r="AFA54" s="9">
        <f>AFA53+AEM54-(AET54+AEU54+AEV54+AEW54+AEX54+AEY54+AER54)</f>
        <v/>
      </c>
      <c r="AFB54" s="12">
        <f>IF(AEG54&gt;0,AEH54/AEG54,0)</f>
        <v/>
      </c>
      <c r="AFC54" s="11">
        <f>IF(AEG53&gt;0,MAX(0,(AEG53+ADV54-AEG54)/AEG53),0)</f>
        <v/>
      </c>
      <c r="AFE54" s="12" t="n">
        <v>50</v>
      </c>
      <c r="AFF54" s="12">
        <f>MOD(AFE54-1+LaunchMonth-1,12)+1</f>
        <v/>
      </c>
      <c r="AFG54" s="12">
        <f>INT((AFE54-1+LaunchMonth-1)/12)+1</f>
        <v/>
      </c>
      <c r="AFH54" s="12">
        <f>VLOOKUP(AFF54,SeasonTable,2,FALSE)</f>
        <v/>
      </c>
      <c r="AFI54" s="12">
        <f>(1+InflationRate)^INT((AFE54-1)/12)</f>
        <v/>
      </c>
      <c r="AFJ54" s="11">
        <f>MonthlyChurn*VLOOKUP(AFF54,ChurnSeasonTable,4,FALSE)</f>
        <v/>
      </c>
      <c r="AFK54" s="12">
        <f>MIN(MAX(MktMin19plus,AGE53*MktPct19plus),MAX(0,AGS53-CashBuffer))</f>
        <v/>
      </c>
      <c r="AFL54" s="12">
        <f>IF(AFK54&gt;0,MAX(1,ROUND(AFK54/'Sens - CAC &amp; Marketing'!$A$9*AFH54,0)),0)</f>
        <v/>
      </c>
      <c r="AFM54" s="12">
        <f>IF(AFL54&gt;0,ROUND(AFL54*ReferralMix/(1-ReferralMix),0),0)</f>
        <v/>
      </c>
      <c r="AFN54" s="12">
        <f>AFL54+AFM54</f>
        <v/>
      </c>
      <c r="AFO54" s="12">
        <f>ROUND(AFN54*(1-AnnualMix),0)</f>
        <v/>
      </c>
      <c r="AFP54" s="12">
        <f>AFN54-AFO54</f>
        <v/>
      </c>
      <c r="AFQ54" s="12">
        <f>ROUND(AFO54*EssentialMix,0)</f>
        <v/>
      </c>
      <c r="AFR54" s="12">
        <f>AFO54-AFQ54</f>
        <v/>
      </c>
      <c r="AFS54" s="12">
        <f>ROUND(AFP54*EssentialMix,0)</f>
        <v/>
      </c>
      <c r="AFT54" s="12">
        <f>AFP54-AFS54</f>
        <v/>
      </c>
      <c r="AFU54" s="12">
        <f>AFQ54+AFQ53+AFQ52+MAX(0,AFU53-AFQ53-AFQ52)*(1-AFJ54)</f>
        <v/>
      </c>
      <c r="AFV54" s="12">
        <f>AFR54+AFR53+AFR52+MAX(0,AFV53-AFR53-AFR52)*(1-AFJ54)</f>
        <v/>
      </c>
      <c r="AFW54" s="12">
        <f>AFW53+AFS54-AFS42*(AnnualChurn*VLOOKUP(AFF54,ChurnSeasonTable,4,FALSE))*POWER(1-(AnnualChurn*VLOOKUP(AFF54,ChurnSeasonTable,4,FALSE)),0)+AFS30*(AnnualChurn*VLOOKUP(AFF54,ChurnSeasonTable,4,FALSE))*POWER(1-(AnnualChurn*VLOOKUP(AFF54,ChurnSeasonTable,4,FALSE)),1)+AFS18*(AnnualChurn*VLOOKUP(AFF54,ChurnSeasonTable,4,FALSE))*POWER(1-(AnnualChurn*VLOOKUP(AFF54,ChurnSeasonTable,4,FALSE)),2)+AFS6*(AnnualChurn*VLOOKUP(AFF54,ChurnSeasonTable,4,FALSE))*POWER(1-(AnnualChurn*VLOOKUP(AFF54,ChurnSeasonTable,4,FALSE)),3)</f>
        <v/>
      </c>
      <c r="AFX54" s="12">
        <f>AFX53+AFT54-AFT42*(AnnualChurn*VLOOKUP(AFF54,ChurnSeasonTable,4,FALSE))*POWER(1-(AnnualChurn*VLOOKUP(AFF54,ChurnSeasonTable,4,FALSE)),0)+AFT30*(AnnualChurn*VLOOKUP(AFF54,ChurnSeasonTable,4,FALSE))*POWER(1-(AnnualChurn*VLOOKUP(AFF54,ChurnSeasonTable,4,FALSE)),1)+AFT18*(AnnualChurn*VLOOKUP(AFF54,ChurnSeasonTable,4,FALSE))*POWER(1-(AnnualChurn*VLOOKUP(AFF54,ChurnSeasonTable,4,FALSE)),2)+AFT6*(AnnualChurn*VLOOKUP(AFF54,ChurnSeasonTable,4,FALSE))*POWER(1-(AnnualChurn*VLOOKUP(AFF54,ChurnSeasonTable,4,FALSE)),3)</f>
        <v/>
      </c>
      <c r="AFY54" s="12">
        <f>AFU54+AFV54+AFW54+AFX54</f>
        <v/>
      </c>
      <c r="AFZ54" s="9">
        <f>AFU54*PriceEssMonthly*AFI54+AFV54*PricePremMonthly*AFI54+AFW54*PriceEssAnnual*AFI54/12+AFX54*PricePremAnnual*AFI54/12</f>
        <v/>
      </c>
      <c r="AGA54" s="9">
        <f>AFZ54*12</f>
        <v/>
      </c>
      <c r="AGB54" s="12">
        <f>AFU54*PriceEssMonthly*AFI54+AFV54*PricePremMonthly*AFI54</f>
        <v/>
      </c>
      <c r="AGC54" s="12">
        <f>AFS54*PriceEssAnnual*AFI54+AFT54*PricePremAnnual*AFI54</f>
        <v/>
      </c>
      <c r="AGD54" s="12">
        <f>AFS42*POWER(1-(AnnualChurn*VLOOKUP(AFF54,ChurnSeasonTable,4,FALSE)),1)*PriceEssAnnual*AFI54+AFS30*POWER(1-(AnnualChurn*VLOOKUP(AFF54,ChurnSeasonTable,4,FALSE)),2)*PriceEssAnnual*AFI54+AFS18*POWER(1-(AnnualChurn*VLOOKUP(AFF54,ChurnSeasonTable,4,FALSE)),3)*PriceEssAnnual*AFI54+AFS6*POWER(1-(AnnualChurn*VLOOKUP(AFF54,ChurnSeasonTable,4,FALSE)),4)*PriceEssAnnual*AFI54+AFT42*POWER(1-(AnnualChurn*VLOOKUP(AFF54,ChurnSeasonTable,4,FALSE)),1)*PricePremAnnual*AFI54+AFT30*POWER(1-(AnnualChurn*VLOOKUP(AFF54,ChurnSeasonTable,4,FALSE)),2)*PricePremAnnual*AFI54+AFT18*POWER(1-(AnnualChurn*VLOOKUP(AFF54,ChurnSeasonTable,4,FALSE)),3)*PricePremAnnual*AFI54+AFT6*POWER(1-(AnnualChurn*VLOOKUP(AFF54,ChurnSeasonTable,4,FALSE)),4)*PricePremAnnual*AFI54</f>
        <v/>
      </c>
      <c r="AGE54" s="9">
        <f>AGB54+AGC54+AGD54</f>
        <v/>
      </c>
      <c r="AGF54" s="12">
        <f>SUM(AGE43:AGE54)</f>
        <v/>
      </c>
      <c r="AGG54" s="12">
        <f>OR(AGG53,AGF54&gt;=VATThreshold)</f>
        <v/>
      </c>
      <c r="AGH54" s="9">
        <f>IF(AGG54,AGE54/(1+VATRate),AGE54)</f>
        <v/>
      </c>
      <c r="AGI54" s="12">
        <f>AGE54-AGH54</f>
        <v/>
      </c>
      <c r="AGJ54" s="12">
        <f>IF(AGG54=0,0,IF(AFF54=1,SUMPRODUCT(--(($AFG$5:$AFG54=$AFG54-1)*($AFF$5:$AFF54&gt;=10)*($AFF$5:$AFF54&lt;=12)),$AGI$5:$AGI54),IF(AFF54=4,SUMPRODUCT(--(($AFG$5:$AFG54=$AFG54)*($AFF$5:$AFF54&gt;=1)*($AFF$5:$AFF54&lt;=3)),$AGI$5:$AGI54),IF(AFF54=7,SUMPRODUCT(--(($AFG$5:$AFG54=$AFG54)*($AFF$5:$AFF54&gt;=4)*($AFF$5:$AFF54&lt;=6)),$AGI$5:$AGI54),IF(AFF54=10,SUMPRODUCT(--(($AFG$5:$AFG54=$AFG54)*($AFF$5:$AFF54&gt;=7)*($AFF$5:$AFF54&lt;=9)),$AGI$5:$AGI54),0)))))</f>
        <v/>
      </c>
      <c r="AGK54" s="12">
        <f>AGK53+AGI54-AGJ54</f>
        <v/>
      </c>
      <c r="AGL54" s="12">
        <f>IF(ProviderDelay&gt;=1,AGH53*ProviderShare,AGH54*ProviderShare)</f>
        <v/>
      </c>
      <c r="AGM54" s="12">
        <f>AGE54*PaymentFee</f>
        <v/>
      </c>
      <c r="AGN54" s="12">
        <f>AFY54*OpsAI</f>
        <v/>
      </c>
      <c r="AGO54" s="12">
        <f>MonthlyFixed</f>
        <v/>
      </c>
      <c r="AGP54" s="12">
        <f>AFM54*ReferralReward</f>
        <v/>
      </c>
      <c r="AGQ54" s="12">
        <f>AFK54</f>
        <v/>
      </c>
      <c r="AGR54" s="9">
        <f>AGH54-AGL54-AGM54-AGN54-AGO54-AGP54-AGQ54</f>
        <v/>
      </c>
      <c r="AGS54" s="9">
        <f>AGS53+AGE54-(AGL54+AGM54+AGN54+AGO54+AGP54+AGQ54+AGJ54)</f>
        <v/>
      </c>
      <c r="AGT54" s="12">
        <f>IF(AFY54&gt;0,AFZ54/AFY54,0)</f>
        <v/>
      </c>
      <c r="AGU54" s="11">
        <f>IF(AFY53&gt;0,MAX(0,(AFY53+AFN54-AFY54)/AFY53),0)</f>
        <v/>
      </c>
      <c r="AGW54" s="12" t="n">
        <v>50</v>
      </c>
      <c r="AGX54" s="12">
        <f>MOD(AGW54-1+LaunchMonth-1,12)+1</f>
        <v/>
      </c>
      <c r="AGY54" s="12">
        <f>INT((AGW54-1+LaunchMonth-1)/12)+1</f>
        <v/>
      </c>
      <c r="AGZ54" s="12">
        <f>VLOOKUP(AGX54,SeasonTable,2,FALSE)</f>
        <v/>
      </c>
      <c r="AHA54" s="12">
        <f>(1+InflationRate)^INT((AGW54-1)/12)</f>
        <v/>
      </c>
      <c r="AHB54" s="11">
        <f>MonthlyChurn*VLOOKUP(AGX54,ChurnSeasonTable,4,FALSE)</f>
        <v/>
      </c>
      <c r="AHC54" s="12">
        <f>MIN(MAX(MktMin19plus,AHW53*MktPct19plus),MAX(0,AIK53-CashBuffer))</f>
        <v/>
      </c>
      <c r="AHD54" s="12">
        <f>IF(AHC54&gt;0,MAX(1,ROUND(AHC54/'Sens - CAC &amp; Marketing'!$A$10*AGZ54,0)),0)</f>
        <v/>
      </c>
      <c r="AHE54" s="12">
        <f>IF(AHD54&gt;0,ROUND(AHD54*ReferralMix/(1-ReferralMix),0),0)</f>
        <v/>
      </c>
      <c r="AHF54" s="12">
        <f>AHD54+AHE54</f>
        <v/>
      </c>
      <c r="AHG54" s="12">
        <f>ROUND(AHF54*(1-AnnualMix),0)</f>
        <v/>
      </c>
      <c r="AHH54" s="12">
        <f>AHF54-AHG54</f>
        <v/>
      </c>
      <c r="AHI54" s="12">
        <f>ROUND(AHG54*EssentialMix,0)</f>
        <v/>
      </c>
      <c r="AHJ54" s="12">
        <f>AHG54-AHI54</f>
        <v/>
      </c>
      <c r="AHK54" s="12">
        <f>ROUND(AHH54*EssentialMix,0)</f>
        <v/>
      </c>
      <c r="AHL54" s="12">
        <f>AHH54-AHK54</f>
        <v/>
      </c>
      <c r="AHM54" s="12">
        <f>AHI54+AHI53+AHI52+MAX(0,AHM53-AHI53-AHI52)*(1-AHB54)</f>
        <v/>
      </c>
      <c r="AHN54" s="12">
        <f>AHJ54+AHJ53+AHJ52+MAX(0,AHN53-AHJ53-AHJ52)*(1-AHB54)</f>
        <v/>
      </c>
      <c r="AHO54" s="12">
        <f>AHO53+AHK54-AHK42*(AnnualChurn*VLOOKUP(AGX54,ChurnSeasonTable,4,FALSE))*POWER(1-(AnnualChurn*VLOOKUP(AGX54,ChurnSeasonTable,4,FALSE)),0)+AHK30*(AnnualChurn*VLOOKUP(AGX54,ChurnSeasonTable,4,FALSE))*POWER(1-(AnnualChurn*VLOOKUP(AGX54,ChurnSeasonTable,4,FALSE)),1)+AHK18*(AnnualChurn*VLOOKUP(AGX54,ChurnSeasonTable,4,FALSE))*POWER(1-(AnnualChurn*VLOOKUP(AGX54,ChurnSeasonTable,4,FALSE)),2)+AHK6*(AnnualChurn*VLOOKUP(AGX54,ChurnSeasonTable,4,FALSE))*POWER(1-(AnnualChurn*VLOOKUP(AGX54,ChurnSeasonTable,4,FALSE)),3)</f>
        <v/>
      </c>
      <c r="AHP54" s="12">
        <f>AHP53+AHL54-AHL42*(AnnualChurn*VLOOKUP(AGX54,ChurnSeasonTable,4,FALSE))*POWER(1-(AnnualChurn*VLOOKUP(AGX54,ChurnSeasonTable,4,FALSE)),0)+AHL30*(AnnualChurn*VLOOKUP(AGX54,ChurnSeasonTable,4,FALSE))*POWER(1-(AnnualChurn*VLOOKUP(AGX54,ChurnSeasonTable,4,FALSE)),1)+AHL18*(AnnualChurn*VLOOKUP(AGX54,ChurnSeasonTable,4,FALSE))*POWER(1-(AnnualChurn*VLOOKUP(AGX54,ChurnSeasonTable,4,FALSE)),2)+AHL6*(AnnualChurn*VLOOKUP(AGX54,ChurnSeasonTable,4,FALSE))*POWER(1-(AnnualChurn*VLOOKUP(AGX54,ChurnSeasonTable,4,FALSE)),3)</f>
        <v/>
      </c>
      <c r="AHQ54" s="12">
        <f>AHM54+AHN54+AHO54+AHP54</f>
        <v/>
      </c>
      <c r="AHR54" s="9">
        <f>AHM54*PriceEssMonthly*AHA54+AHN54*PricePremMonthly*AHA54+AHO54*PriceEssAnnual*AHA54/12+AHP54*PricePremAnnual*AHA54/12</f>
        <v/>
      </c>
      <c r="AHS54" s="9">
        <f>AHR54*12</f>
        <v/>
      </c>
      <c r="AHT54" s="12">
        <f>AHM54*PriceEssMonthly*AHA54+AHN54*PricePremMonthly*AHA54</f>
        <v/>
      </c>
      <c r="AHU54" s="12">
        <f>AHK54*PriceEssAnnual*AHA54+AHL54*PricePremAnnual*AHA54</f>
        <v/>
      </c>
      <c r="AHV54" s="12">
        <f>AHK42*POWER(1-(AnnualChurn*VLOOKUP(AGX54,ChurnSeasonTable,4,FALSE)),1)*PriceEssAnnual*AHA54+AHK30*POWER(1-(AnnualChurn*VLOOKUP(AGX54,ChurnSeasonTable,4,FALSE)),2)*PriceEssAnnual*AHA54+AHK18*POWER(1-(AnnualChurn*VLOOKUP(AGX54,ChurnSeasonTable,4,FALSE)),3)*PriceEssAnnual*AHA54+AHK6*POWER(1-(AnnualChurn*VLOOKUP(AGX54,ChurnSeasonTable,4,FALSE)),4)*PriceEssAnnual*AHA54+AHL42*POWER(1-(AnnualChurn*VLOOKUP(AGX54,ChurnSeasonTable,4,FALSE)),1)*PricePremAnnual*AHA54+AHL30*POWER(1-(AnnualChurn*VLOOKUP(AGX54,ChurnSeasonTable,4,FALSE)),2)*PricePremAnnual*AHA54+AHL18*POWER(1-(AnnualChurn*VLOOKUP(AGX54,ChurnSeasonTable,4,FALSE)),3)*PricePremAnnual*AHA54+AHL6*POWER(1-(AnnualChurn*VLOOKUP(AGX54,ChurnSeasonTable,4,FALSE)),4)*PricePremAnnual*AHA54</f>
        <v/>
      </c>
      <c r="AHW54" s="9">
        <f>AHT54+AHU54+AHV54</f>
        <v/>
      </c>
      <c r="AHX54" s="12">
        <f>SUM(AHW43:AHW54)</f>
        <v/>
      </c>
      <c r="AHY54" s="12">
        <f>OR(AHY53,AHX54&gt;=VATThreshold)</f>
        <v/>
      </c>
      <c r="AHZ54" s="9">
        <f>IF(AHY54,AHW54/(1+VATRate),AHW54)</f>
        <v/>
      </c>
      <c r="AIA54" s="12">
        <f>AHW54-AHZ54</f>
        <v/>
      </c>
      <c r="AIB54" s="12">
        <f>IF(AHY54=0,0,IF(AGX54=1,SUMPRODUCT(--(($AGY$5:$AGY54=$AGY54-1)*($AGX$5:$AGX54&gt;=10)*($AGX$5:$AGX54&lt;=12)),$AIA$5:$AIA54),IF(AGX54=4,SUMPRODUCT(--(($AGY$5:$AGY54=$AGY54)*($AGX$5:$AGX54&gt;=1)*($AGX$5:$AGX54&lt;=3)),$AIA$5:$AIA54),IF(AGX54=7,SUMPRODUCT(--(($AGY$5:$AGY54=$AGY54)*($AGX$5:$AGX54&gt;=4)*($AGX$5:$AGX54&lt;=6)),$AIA$5:$AIA54),IF(AGX54=10,SUMPRODUCT(--(($AGY$5:$AGY54=$AGY54)*($AGX$5:$AGX54&gt;=7)*($AGX$5:$AGX54&lt;=9)),$AIA$5:$AIA54),0)))))</f>
        <v/>
      </c>
      <c r="AIC54" s="12">
        <f>AIC53+AIA54-AIB54</f>
        <v/>
      </c>
      <c r="AID54" s="12">
        <f>IF(ProviderDelay&gt;=1,AHZ53*ProviderShare,AHZ54*ProviderShare)</f>
        <v/>
      </c>
      <c r="AIE54" s="12">
        <f>AHW54*PaymentFee</f>
        <v/>
      </c>
      <c r="AIF54" s="12">
        <f>AHQ54*OpsAI</f>
        <v/>
      </c>
      <c r="AIG54" s="12">
        <f>MonthlyFixed</f>
        <v/>
      </c>
      <c r="AIH54" s="12">
        <f>AHE54*ReferralReward</f>
        <v/>
      </c>
      <c r="AII54" s="12">
        <f>AHC54</f>
        <v/>
      </c>
      <c r="AIJ54" s="9">
        <f>AHZ54-AID54-AIE54-AIF54-AIG54-AIH54-AII54</f>
        <v/>
      </c>
      <c r="AIK54" s="9">
        <f>AIK53+AHW54-(AID54+AIE54+AIF54+AIG54+AIH54+AII54+AIB54)</f>
        <v/>
      </c>
      <c r="AIL54" s="12">
        <f>IF(AHQ54&gt;0,AHR54/AHQ54,0)</f>
        <v/>
      </c>
      <c r="AIM54" s="11">
        <f>IF(AHQ53&gt;0,MAX(0,(AHQ53+AHF54-AHQ54)/AHQ53),0)</f>
        <v/>
      </c>
      <c r="AIO54" s="12" t="n">
        <v>50</v>
      </c>
      <c r="AIP54" s="12">
        <f>MOD(AIO54-1+LaunchMonth-1,12)+1</f>
        <v/>
      </c>
      <c r="AIQ54" s="12">
        <f>INT((AIO54-1+LaunchMonth-1)/12)+1</f>
        <v/>
      </c>
      <c r="AIR54" s="12">
        <f>VLOOKUP(AIP54,SeasonTable,2,FALSE)</f>
        <v/>
      </c>
      <c r="AIS54" s="12">
        <f>(1+InflationRate)^INT((AIO54-1)/12)</f>
        <v/>
      </c>
      <c r="AIT54" s="11">
        <f>MonthlyChurn*VLOOKUP(AIP54,ChurnSeasonTable,4,FALSE)</f>
        <v/>
      </c>
      <c r="AIU54" s="12">
        <f>MIN(MAX(MktMin19plus,AJO53*MktPct19plus),MAX(0,AKC53-CashBuffer))</f>
        <v/>
      </c>
      <c r="AIV54" s="12">
        <f>IF(AIU54&gt;0,MAX(1,ROUND(AIU54/'Sens - CAC &amp; Marketing'!$A$11*AIR54,0)),0)</f>
        <v/>
      </c>
      <c r="AIW54" s="12">
        <f>IF(AIV54&gt;0,ROUND(AIV54*ReferralMix/(1-ReferralMix),0),0)</f>
        <v/>
      </c>
      <c r="AIX54" s="12">
        <f>AIV54+AIW54</f>
        <v/>
      </c>
      <c r="AIY54" s="12">
        <f>ROUND(AIX54*(1-AnnualMix),0)</f>
        <v/>
      </c>
      <c r="AIZ54" s="12">
        <f>AIX54-AIY54</f>
        <v/>
      </c>
      <c r="AJA54" s="12">
        <f>ROUND(AIY54*EssentialMix,0)</f>
        <v/>
      </c>
      <c r="AJB54" s="12">
        <f>AIY54-AJA54</f>
        <v/>
      </c>
      <c r="AJC54" s="12">
        <f>ROUND(AIZ54*EssentialMix,0)</f>
        <v/>
      </c>
      <c r="AJD54" s="12">
        <f>AIZ54-AJC54</f>
        <v/>
      </c>
      <c r="AJE54" s="12">
        <f>AJA54+AJA53+AJA52+MAX(0,AJE53-AJA53-AJA52)*(1-AIT54)</f>
        <v/>
      </c>
      <c r="AJF54" s="12">
        <f>AJB54+AJB53+AJB52+MAX(0,AJF53-AJB53-AJB52)*(1-AIT54)</f>
        <v/>
      </c>
      <c r="AJG54" s="12">
        <f>AJG53+AJC54-AJC42*(AnnualChurn*VLOOKUP(AIP54,ChurnSeasonTable,4,FALSE))*POWER(1-(AnnualChurn*VLOOKUP(AIP54,ChurnSeasonTable,4,FALSE)),0)+AJC30*(AnnualChurn*VLOOKUP(AIP54,ChurnSeasonTable,4,FALSE))*POWER(1-(AnnualChurn*VLOOKUP(AIP54,ChurnSeasonTable,4,FALSE)),1)+AJC18*(AnnualChurn*VLOOKUP(AIP54,ChurnSeasonTable,4,FALSE))*POWER(1-(AnnualChurn*VLOOKUP(AIP54,ChurnSeasonTable,4,FALSE)),2)+AJC6*(AnnualChurn*VLOOKUP(AIP54,ChurnSeasonTable,4,FALSE))*POWER(1-(AnnualChurn*VLOOKUP(AIP54,ChurnSeasonTable,4,FALSE)),3)</f>
        <v/>
      </c>
      <c r="AJH54" s="12">
        <f>AJH53+AJD54-AJD42*(AnnualChurn*VLOOKUP(AIP54,ChurnSeasonTable,4,FALSE))*POWER(1-(AnnualChurn*VLOOKUP(AIP54,ChurnSeasonTable,4,FALSE)),0)+AJD30*(AnnualChurn*VLOOKUP(AIP54,ChurnSeasonTable,4,FALSE))*POWER(1-(AnnualChurn*VLOOKUP(AIP54,ChurnSeasonTable,4,FALSE)),1)+AJD18*(AnnualChurn*VLOOKUP(AIP54,ChurnSeasonTable,4,FALSE))*POWER(1-(AnnualChurn*VLOOKUP(AIP54,ChurnSeasonTable,4,FALSE)),2)+AJD6*(AnnualChurn*VLOOKUP(AIP54,ChurnSeasonTable,4,FALSE))*POWER(1-(AnnualChurn*VLOOKUP(AIP54,ChurnSeasonTable,4,FALSE)),3)</f>
        <v/>
      </c>
      <c r="AJI54" s="12">
        <f>AJE54+AJF54+AJG54+AJH54</f>
        <v/>
      </c>
      <c r="AJJ54" s="9">
        <f>AJE54*PriceEssMonthly*AIS54+AJF54*PricePremMonthly*AIS54+AJG54*PriceEssAnnual*AIS54/12+AJH54*PricePremAnnual*AIS54/12</f>
        <v/>
      </c>
      <c r="AJK54" s="9">
        <f>AJJ54*12</f>
        <v/>
      </c>
      <c r="AJL54" s="12">
        <f>AJE54*PriceEssMonthly*AIS54+AJF54*PricePremMonthly*AIS54</f>
        <v/>
      </c>
      <c r="AJM54" s="12">
        <f>AJC54*PriceEssAnnual*AIS54+AJD54*PricePremAnnual*AIS54</f>
        <v/>
      </c>
      <c r="AJN54" s="12">
        <f>AJC42*POWER(1-(AnnualChurn*VLOOKUP(AIP54,ChurnSeasonTable,4,FALSE)),1)*PriceEssAnnual*AIS54+AJC30*POWER(1-(AnnualChurn*VLOOKUP(AIP54,ChurnSeasonTable,4,FALSE)),2)*PriceEssAnnual*AIS54+AJC18*POWER(1-(AnnualChurn*VLOOKUP(AIP54,ChurnSeasonTable,4,FALSE)),3)*PriceEssAnnual*AIS54+AJC6*POWER(1-(AnnualChurn*VLOOKUP(AIP54,ChurnSeasonTable,4,FALSE)),4)*PriceEssAnnual*AIS54+AJD42*POWER(1-(AnnualChurn*VLOOKUP(AIP54,ChurnSeasonTable,4,FALSE)),1)*PricePremAnnual*AIS54+AJD30*POWER(1-(AnnualChurn*VLOOKUP(AIP54,ChurnSeasonTable,4,FALSE)),2)*PricePremAnnual*AIS54+AJD18*POWER(1-(AnnualChurn*VLOOKUP(AIP54,ChurnSeasonTable,4,FALSE)),3)*PricePremAnnual*AIS54+AJD6*POWER(1-(AnnualChurn*VLOOKUP(AIP54,ChurnSeasonTable,4,FALSE)),4)*PricePremAnnual*AIS54</f>
        <v/>
      </c>
      <c r="AJO54" s="9">
        <f>AJL54+AJM54+AJN54</f>
        <v/>
      </c>
      <c r="AJP54" s="12">
        <f>SUM(AJO43:AJO54)</f>
        <v/>
      </c>
      <c r="AJQ54" s="12">
        <f>OR(AJQ53,AJP54&gt;=VATThreshold)</f>
        <v/>
      </c>
      <c r="AJR54" s="9">
        <f>IF(AJQ54,AJO54/(1+VATRate),AJO54)</f>
        <v/>
      </c>
      <c r="AJS54" s="12">
        <f>AJO54-AJR54</f>
        <v/>
      </c>
      <c r="AJT54" s="12">
        <f>IF(AJQ54=0,0,IF(AIP54=1,SUMPRODUCT(--(($AIQ$5:$AIQ54=$AIQ54-1)*($AIP$5:$AIP54&gt;=10)*($AIP$5:$AIP54&lt;=12)),$AJS$5:$AJS54),IF(AIP54=4,SUMPRODUCT(--(($AIQ$5:$AIQ54=$AIQ54)*($AIP$5:$AIP54&gt;=1)*($AIP$5:$AIP54&lt;=3)),$AJS$5:$AJS54),IF(AIP54=7,SUMPRODUCT(--(($AIQ$5:$AIQ54=$AIQ54)*($AIP$5:$AIP54&gt;=4)*($AIP$5:$AIP54&lt;=6)),$AJS$5:$AJS54),IF(AIP54=10,SUMPRODUCT(--(($AIQ$5:$AIQ54=$AIQ54)*($AIP$5:$AIP54&gt;=7)*($AIP$5:$AIP54&lt;=9)),$AJS$5:$AJS54),0)))))</f>
        <v/>
      </c>
      <c r="AJU54" s="12">
        <f>AJU53+AJS54-AJT54</f>
        <v/>
      </c>
      <c r="AJV54" s="12">
        <f>IF(ProviderDelay&gt;=1,AJR53*ProviderShare,AJR54*ProviderShare)</f>
        <v/>
      </c>
      <c r="AJW54" s="12">
        <f>AJO54*PaymentFee</f>
        <v/>
      </c>
      <c r="AJX54" s="12">
        <f>AJI54*OpsAI</f>
        <v/>
      </c>
      <c r="AJY54" s="12">
        <f>MonthlyFixed</f>
        <v/>
      </c>
      <c r="AJZ54" s="12">
        <f>AIW54*ReferralReward</f>
        <v/>
      </c>
      <c r="AKA54" s="12">
        <f>AIU54</f>
        <v/>
      </c>
      <c r="AKB54" s="9">
        <f>AJR54-AJV54-AJW54-AJX54-AJY54-AJZ54-AKA54</f>
        <v/>
      </c>
      <c r="AKC54" s="9">
        <f>AKC53+AJO54-(AJV54+AJW54+AJX54+AJY54+AJZ54+AKA54+AJT54)</f>
        <v/>
      </c>
      <c r="AKD54" s="12">
        <f>IF(AJI54&gt;0,AJJ54/AJI54,0)</f>
        <v/>
      </c>
      <c r="AKE54" s="11">
        <f>IF(AJI53&gt;0,MAX(0,(AJI53+AIX54-AJI54)/AJI53),0)</f>
        <v/>
      </c>
      <c r="AKG54" s="12" t="n">
        <v>50</v>
      </c>
      <c r="AKH54" s="12">
        <f>MOD(AKG54-1+LaunchMonth-1,12)+1</f>
        <v/>
      </c>
      <c r="AKI54" s="12">
        <f>INT((AKG54-1+LaunchMonth-1)/12)+1</f>
        <v/>
      </c>
      <c r="AKJ54" s="12">
        <f>VLOOKUP(AKH54,SeasonTable,2,FALSE)</f>
        <v/>
      </c>
      <c r="AKK54" s="12">
        <f>(1+InflationRate)^INT((AKG54-1)/12)</f>
        <v/>
      </c>
      <c r="AKL54" s="11">
        <f>MonthlyChurn*VLOOKUP(AKH54,ChurnSeasonTable,4,FALSE)</f>
        <v/>
      </c>
      <c r="AKM54" s="12">
        <f>MIN(MAX(MktMin19plus,ALG53*MktPct19plus),MAX(0,ALU53-CashBuffer))</f>
        <v/>
      </c>
      <c r="AKN54" s="12">
        <f>IF(AKM54&gt;0,MAX(1,ROUND(AKM54/'Sens - CAC &amp; Marketing'!$A$12*AKJ54,0)),0)</f>
        <v/>
      </c>
      <c r="AKO54" s="12">
        <f>IF(AKN54&gt;0,ROUND(AKN54*ReferralMix/(1-ReferralMix),0),0)</f>
        <v/>
      </c>
      <c r="AKP54" s="12">
        <f>AKN54+AKO54</f>
        <v/>
      </c>
      <c r="AKQ54" s="12">
        <f>ROUND(AKP54*(1-AnnualMix),0)</f>
        <v/>
      </c>
      <c r="AKR54" s="12">
        <f>AKP54-AKQ54</f>
        <v/>
      </c>
      <c r="AKS54" s="12">
        <f>ROUND(AKQ54*EssentialMix,0)</f>
        <v/>
      </c>
      <c r="AKT54" s="12">
        <f>AKQ54-AKS54</f>
        <v/>
      </c>
      <c r="AKU54" s="12">
        <f>ROUND(AKR54*EssentialMix,0)</f>
        <v/>
      </c>
      <c r="AKV54" s="12">
        <f>AKR54-AKU54</f>
        <v/>
      </c>
      <c r="AKW54" s="12">
        <f>AKS54+AKS53+AKS52+MAX(0,AKW53-AKS53-AKS52)*(1-AKL54)</f>
        <v/>
      </c>
      <c r="AKX54" s="12">
        <f>AKT54+AKT53+AKT52+MAX(0,AKX53-AKT53-AKT52)*(1-AKL54)</f>
        <v/>
      </c>
      <c r="AKY54" s="12">
        <f>AKY53+AKU54-AKU42*(AnnualChurn*VLOOKUP(AKH54,ChurnSeasonTable,4,FALSE))*POWER(1-(AnnualChurn*VLOOKUP(AKH54,ChurnSeasonTable,4,FALSE)),0)+AKU30*(AnnualChurn*VLOOKUP(AKH54,ChurnSeasonTable,4,FALSE))*POWER(1-(AnnualChurn*VLOOKUP(AKH54,ChurnSeasonTable,4,FALSE)),1)+AKU18*(AnnualChurn*VLOOKUP(AKH54,ChurnSeasonTable,4,FALSE))*POWER(1-(AnnualChurn*VLOOKUP(AKH54,ChurnSeasonTable,4,FALSE)),2)+AKU6*(AnnualChurn*VLOOKUP(AKH54,ChurnSeasonTable,4,FALSE))*POWER(1-(AnnualChurn*VLOOKUP(AKH54,ChurnSeasonTable,4,FALSE)),3)</f>
        <v/>
      </c>
      <c r="AKZ54" s="12">
        <f>AKZ53+AKV54-AKV42*(AnnualChurn*VLOOKUP(AKH54,ChurnSeasonTable,4,FALSE))*POWER(1-(AnnualChurn*VLOOKUP(AKH54,ChurnSeasonTable,4,FALSE)),0)+AKV30*(AnnualChurn*VLOOKUP(AKH54,ChurnSeasonTable,4,FALSE))*POWER(1-(AnnualChurn*VLOOKUP(AKH54,ChurnSeasonTable,4,FALSE)),1)+AKV18*(AnnualChurn*VLOOKUP(AKH54,ChurnSeasonTable,4,FALSE))*POWER(1-(AnnualChurn*VLOOKUP(AKH54,ChurnSeasonTable,4,FALSE)),2)+AKV6*(AnnualChurn*VLOOKUP(AKH54,ChurnSeasonTable,4,FALSE))*POWER(1-(AnnualChurn*VLOOKUP(AKH54,ChurnSeasonTable,4,FALSE)),3)</f>
        <v/>
      </c>
      <c r="ALA54" s="12">
        <f>AKW54+AKX54+AKY54+AKZ54</f>
        <v/>
      </c>
      <c r="ALB54" s="9">
        <f>AKW54*PriceEssMonthly*AKK54+AKX54*PricePremMonthly*AKK54+AKY54*PriceEssAnnual*AKK54/12+AKZ54*PricePremAnnual*AKK54/12</f>
        <v/>
      </c>
      <c r="ALC54" s="9">
        <f>ALB54*12</f>
        <v/>
      </c>
      <c r="ALD54" s="12">
        <f>AKW54*PriceEssMonthly*AKK54+AKX54*PricePremMonthly*AKK54</f>
        <v/>
      </c>
      <c r="ALE54" s="12">
        <f>AKU54*PriceEssAnnual*AKK54+AKV54*PricePremAnnual*AKK54</f>
        <v/>
      </c>
      <c r="ALF54" s="12">
        <f>AKU42*POWER(1-(AnnualChurn*VLOOKUP(AKH54,ChurnSeasonTable,4,FALSE)),1)*PriceEssAnnual*AKK54+AKU30*POWER(1-(AnnualChurn*VLOOKUP(AKH54,ChurnSeasonTable,4,FALSE)),2)*PriceEssAnnual*AKK54+AKU18*POWER(1-(AnnualChurn*VLOOKUP(AKH54,ChurnSeasonTable,4,FALSE)),3)*PriceEssAnnual*AKK54+AKU6*POWER(1-(AnnualChurn*VLOOKUP(AKH54,ChurnSeasonTable,4,FALSE)),4)*PriceEssAnnual*AKK54+AKV42*POWER(1-(AnnualChurn*VLOOKUP(AKH54,ChurnSeasonTable,4,FALSE)),1)*PricePremAnnual*AKK54+AKV30*POWER(1-(AnnualChurn*VLOOKUP(AKH54,ChurnSeasonTable,4,FALSE)),2)*PricePremAnnual*AKK54+AKV18*POWER(1-(AnnualChurn*VLOOKUP(AKH54,ChurnSeasonTable,4,FALSE)),3)*PricePremAnnual*AKK54+AKV6*POWER(1-(AnnualChurn*VLOOKUP(AKH54,ChurnSeasonTable,4,FALSE)),4)*PricePremAnnual*AKK54</f>
        <v/>
      </c>
      <c r="ALG54" s="9">
        <f>ALD54+ALE54+ALF54</f>
        <v/>
      </c>
      <c r="ALH54" s="12">
        <f>SUM(ALG43:ALG54)</f>
        <v/>
      </c>
      <c r="ALI54" s="12">
        <f>OR(ALI53,ALH54&gt;=VATThreshold)</f>
        <v/>
      </c>
      <c r="ALJ54" s="9">
        <f>IF(ALI54,ALG54/(1+VATRate),ALG54)</f>
        <v/>
      </c>
      <c r="ALK54" s="12">
        <f>ALG54-ALJ54</f>
        <v/>
      </c>
      <c r="ALL54" s="12">
        <f>IF(ALI54=0,0,IF(AKH54=1,SUMPRODUCT(--(($AKI$5:$AKI54=$AKI54-1)*($AKH$5:$AKH54&gt;=10)*($AKH$5:$AKH54&lt;=12)),$ALK$5:$ALK54),IF(AKH54=4,SUMPRODUCT(--(($AKI$5:$AKI54=$AKI54)*($AKH$5:$AKH54&gt;=1)*($AKH$5:$AKH54&lt;=3)),$ALK$5:$ALK54),IF(AKH54=7,SUMPRODUCT(--(($AKI$5:$AKI54=$AKI54)*($AKH$5:$AKH54&gt;=4)*($AKH$5:$AKH54&lt;=6)),$ALK$5:$ALK54),IF(AKH54=10,SUMPRODUCT(--(($AKI$5:$AKI54=$AKI54)*($AKH$5:$AKH54&gt;=7)*($AKH$5:$AKH54&lt;=9)),$ALK$5:$ALK54),0)))))</f>
        <v/>
      </c>
      <c r="ALM54" s="12">
        <f>ALM53+ALK54-ALL54</f>
        <v/>
      </c>
      <c r="ALN54" s="12">
        <f>IF(ProviderDelay&gt;=1,ALJ53*ProviderShare,ALJ54*ProviderShare)</f>
        <v/>
      </c>
      <c r="ALO54" s="12">
        <f>ALG54*PaymentFee</f>
        <v/>
      </c>
      <c r="ALP54" s="12">
        <f>ALA54*OpsAI</f>
        <v/>
      </c>
      <c r="ALQ54" s="12">
        <f>MonthlyFixed</f>
        <v/>
      </c>
      <c r="ALR54" s="12">
        <f>AKO54*ReferralReward</f>
        <v/>
      </c>
      <c r="ALS54" s="12">
        <f>AKM54</f>
        <v/>
      </c>
      <c r="ALT54" s="9">
        <f>ALJ54-ALN54-ALO54-ALP54-ALQ54-ALR54-ALS54</f>
        <v/>
      </c>
      <c r="ALU54" s="9">
        <f>ALU53+ALG54-(ALN54+ALO54+ALP54+ALQ54+ALR54+ALS54+ALL54)</f>
        <v/>
      </c>
      <c r="ALV54" s="12">
        <f>IF(ALA54&gt;0,ALB54/ALA54,0)</f>
        <v/>
      </c>
      <c r="ALW54" s="11">
        <f>IF(ALA53&gt;0,MAX(0,(ALA53+AKP54-ALA54)/ALA53),0)</f>
        <v/>
      </c>
      <c r="ALY54" s="12" t="n">
        <v>50</v>
      </c>
      <c r="ALZ54" s="12">
        <f>MOD(ALY54-1+LaunchMonth-1,12)+1</f>
        <v/>
      </c>
      <c r="AMA54" s="12">
        <f>INT((ALY54-1+LaunchMonth-1)/12)+1</f>
        <v/>
      </c>
      <c r="AMB54" s="12">
        <f>VLOOKUP(ALZ54,SeasonTable,2,FALSE)</f>
        <v/>
      </c>
      <c r="AMC54" s="12">
        <f>(1+InflationRate)^INT((ALY54-1)/12)</f>
        <v/>
      </c>
      <c r="AMD54" s="11">
        <f>MonthlyChurn*VLOOKUP(ALZ54,ChurnSeasonTable,4,FALSE)</f>
        <v/>
      </c>
      <c r="AME54" s="12">
        <f>MIN(MAX(MktMin19plus,AMY53*MktPct19plus),MAX(0,ANM53-CashBuffer))</f>
        <v/>
      </c>
      <c r="AMF54" s="12">
        <f>IF(AME54&gt;0,MAX(1,ROUND(AME54/'Sens - CAC &amp; Marketing'!$A$13*AMB54,0)),0)</f>
        <v/>
      </c>
      <c r="AMG54" s="12">
        <f>IF(AMF54&gt;0,ROUND(AMF54*ReferralMix/(1-ReferralMix),0),0)</f>
        <v/>
      </c>
      <c r="AMH54" s="12">
        <f>AMF54+AMG54</f>
        <v/>
      </c>
      <c r="AMI54" s="12">
        <f>ROUND(AMH54*(1-AnnualMix),0)</f>
        <v/>
      </c>
      <c r="AMJ54" s="12">
        <f>AMH54-AMI54</f>
        <v/>
      </c>
      <c r="AMK54" s="12">
        <f>ROUND(AMI54*EssentialMix,0)</f>
        <v/>
      </c>
      <c r="AML54" s="12">
        <f>AMI54-AMK54</f>
        <v/>
      </c>
      <c r="AMM54" s="12">
        <f>ROUND(AMJ54*EssentialMix,0)</f>
        <v/>
      </c>
      <c r="AMN54" s="12">
        <f>AMJ54-AMM54</f>
        <v/>
      </c>
      <c r="AMO54" s="12">
        <f>AMK54+AMK53+AMK52+MAX(0,AMO53-AMK53-AMK52)*(1-AMD54)</f>
        <v/>
      </c>
      <c r="AMP54" s="12">
        <f>AML54+AML53+AML52+MAX(0,AMP53-AML53-AML52)*(1-AMD54)</f>
        <v/>
      </c>
      <c r="AMQ54" s="12">
        <f>AMQ53+AMM54-AMM42*(AnnualChurn*VLOOKUP(ALZ54,ChurnSeasonTable,4,FALSE))*POWER(1-(AnnualChurn*VLOOKUP(ALZ54,ChurnSeasonTable,4,FALSE)),0)+AMM30*(AnnualChurn*VLOOKUP(ALZ54,ChurnSeasonTable,4,FALSE))*POWER(1-(AnnualChurn*VLOOKUP(ALZ54,ChurnSeasonTable,4,FALSE)),1)+AMM18*(AnnualChurn*VLOOKUP(ALZ54,ChurnSeasonTable,4,FALSE))*POWER(1-(AnnualChurn*VLOOKUP(ALZ54,ChurnSeasonTable,4,FALSE)),2)+AMM6*(AnnualChurn*VLOOKUP(ALZ54,ChurnSeasonTable,4,FALSE))*POWER(1-(AnnualChurn*VLOOKUP(ALZ54,ChurnSeasonTable,4,FALSE)),3)</f>
        <v/>
      </c>
      <c r="AMR54" s="12">
        <f>AMR53+AMN54-AMN42*(AnnualChurn*VLOOKUP(ALZ54,ChurnSeasonTable,4,FALSE))*POWER(1-(AnnualChurn*VLOOKUP(ALZ54,ChurnSeasonTable,4,FALSE)),0)+AMN30*(AnnualChurn*VLOOKUP(ALZ54,ChurnSeasonTable,4,FALSE))*POWER(1-(AnnualChurn*VLOOKUP(ALZ54,ChurnSeasonTable,4,FALSE)),1)+AMN18*(AnnualChurn*VLOOKUP(ALZ54,ChurnSeasonTable,4,FALSE))*POWER(1-(AnnualChurn*VLOOKUP(ALZ54,ChurnSeasonTable,4,FALSE)),2)+AMN6*(AnnualChurn*VLOOKUP(ALZ54,ChurnSeasonTable,4,FALSE))*POWER(1-(AnnualChurn*VLOOKUP(ALZ54,ChurnSeasonTable,4,FALSE)),3)</f>
        <v/>
      </c>
      <c r="AMS54" s="12">
        <f>AMO54+AMP54+AMQ54+AMR54</f>
        <v/>
      </c>
      <c r="AMT54" s="9">
        <f>AMO54*PriceEssMonthly*AMC54+AMP54*PricePremMonthly*AMC54+AMQ54*PriceEssAnnual*AMC54/12+AMR54*PricePremAnnual*AMC54/12</f>
        <v/>
      </c>
      <c r="AMU54" s="9">
        <f>AMT54*12</f>
        <v/>
      </c>
      <c r="AMV54" s="12">
        <f>AMO54*PriceEssMonthly*AMC54+AMP54*PricePremMonthly*AMC54</f>
        <v/>
      </c>
      <c r="AMW54" s="12">
        <f>AMM54*PriceEssAnnual*AMC54+AMN54*PricePremAnnual*AMC54</f>
        <v/>
      </c>
      <c r="AMX54" s="12">
        <f>AMM42*POWER(1-(AnnualChurn*VLOOKUP(ALZ54,ChurnSeasonTable,4,FALSE)),1)*PriceEssAnnual*AMC54+AMM30*POWER(1-(AnnualChurn*VLOOKUP(ALZ54,ChurnSeasonTable,4,FALSE)),2)*PriceEssAnnual*AMC54+AMM18*POWER(1-(AnnualChurn*VLOOKUP(ALZ54,ChurnSeasonTable,4,FALSE)),3)*PriceEssAnnual*AMC54+AMM6*POWER(1-(AnnualChurn*VLOOKUP(ALZ54,ChurnSeasonTable,4,FALSE)),4)*PriceEssAnnual*AMC54+AMN42*POWER(1-(AnnualChurn*VLOOKUP(ALZ54,ChurnSeasonTable,4,FALSE)),1)*PricePremAnnual*AMC54+AMN30*POWER(1-(AnnualChurn*VLOOKUP(ALZ54,ChurnSeasonTable,4,FALSE)),2)*PricePremAnnual*AMC54+AMN18*POWER(1-(AnnualChurn*VLOOKUP(ALZ54,ChurnSeasonTable,4,FALSE)),3)*PricePremAnnual*AMC54+AMN6*POWER(1-(AnnualChurn*VLOOKUP(ALZ54,ChurnSeasonTable,4,FALSE)),4)*PricePremAnnual*AMC54</f>
        <v/>
      </c>
      <c r="AMY54" s="9">
        <f>AMV54+AMW54+AMX54</f>
        <v/>
      </c>
      <c r="AMZ54" s="12">
        <f>SUM(AMY43:AMY54)</f>
        <v/>
      </c>
      <c r="ANA54" s="12">
        <f>OR(ANA53,AMZ54&gt;=VATThreshold)</f>
        <v/>
      </c>
      <c r="ANB54" s="9">
        <f>IF(ANA54,AMY54/(1+VATRate),AMY54)</f>
        <v/>
      </c>
      <c r="ANC54" s="12">
        <f>AMY54-ANB54</f>
        <v/>
      </c>
      <c r="AND54" s="12">
        <f>IF(ANA54=0,0,IF(ALZ54=1,SUMPRODUCT(--(($AMA$5:$AMA54=$AMA54-1)*($ALZ$5:$ALZ54&gt;=10)*($ALZ$5:$ALZ54&lt;=12)),$ANC$5:$ANC54),IF(ALZ54=4,SUMPRODUCT(--(($AMA$5:$AMA54=$AMA54)*($ALZ$5:$ALZ54&gt;=1)*($ALZ$5:$ALZ54&lt;=3)),$ANC$5:$ANC54),IF(ALZ54=7,SUMPRODUCT(--(($AMA$5:$AMA54=$AMA54)*($ALZ$5:$ALZ54&gt;=4)*($ALZ$5:$ALZ54&lt;=6)),$ANC$5:$ANC54),IF(ALZ54=10,SUMPRODUCT(--(($AMA$5:$AMA54=$AMA54)*($ALZ$5:$ALZ54&gt;=7)*($ALZ$5:$ALZ54&lt;=9)),$ANC$5:$ANC54),0)))))</f>
        <v/>
      </c>
      <c r="ANE54" s="12">
        <f>ANE53+ANC54-AND54</f>
        <v/>
      </c>
      <c r="ANF54" s="12">
        <f>IF(ProviderDelay&gt;=1,ANB53*ProviderShare,ANB54*ProviderShare)</f>
        <v/>
      </c>
      <c r="ANG54" s="12">
        <f>AMY54*PaymentFee</f>
        <v/>
      </c>
      <c r="ANH54" s="12">
        <f>AMS54*OpsAI</f>
        <v/>
      </c>
      <c r="ANI54" s="12">
        <f>MonthlyFixed</f>
        <v/>
      </c>
      <c r="ANJ54" s="12">
        <f>AMG54*ReferralReward</f>
        <v/>
      </c>
      <c r="ANK54" s="12">
        <f>AME54</f>
        <v/>
      </c>
      <c r="ANL54" s="9">
        <f>ANB54-ANF54-ANG54-ANH54-ANI54-ANJ54-ANK54</f>
        <v/>
      </c>
      <c r="ANM54" s="9">
        <f>ANM53+AMY54-(ANF54+ANG54+ANH54+ANI54+ANJ54+ANK54+AND54)</f>
        <v/>
      </c>
      <c r="ANN54" s="12">
        <f>IF(AMS54&gt;0,AMT54/AMS54,0)</f>
        <v/>
      </c>
      <c r="ANO54" s="11">
        <f>IF(AMS53&gt;0,MAX(0,(AMS53+AMH54-AMS54)/AMS53),0)</f>
        <v/>
      </c>
      <c r="ANQ54" s="12" t="n">
        <v>50</v>
      </c>
      <c r="ANR54" s="12">
        <f>MOD(ANQ54-1+LaunchMonth-1,12)+1</f>
        <v/>
      </c>
      <c r="ANS54" s="12">
        <f>INT((ANQ54-1+LaunchMonth-1)/12)+1</f>
        <v/>
      </c>
      <c r="ANT54" s="12">
        <f>VLOOKUP(ANR54,SeasonTable,2,FALSE)</f>
        <v/>
      </c>
      <c r="ANU54" s="12">
        <f>(1+InflationRate)^INT((ANQ54-1)/12)</f>
        <v/>
      </c>
      <c r="ANV54" s="11">
        <f>MonthlyChurn*VLOOKUP(ANR54,ChurnSeasonTable,4,FALSE)</f>
        <v/>
      </c>
      <c r="ANW54" s="12">
        <f>MIN(MAX(MktMin19plus,AOQ53*MktPct19plus),MAX(0,APE53-CashBuffer))</f>
        <v/>
      </c>
      <c r="ANX54" s="12">
        <f>IF(ANW54&gt;0,MAX(1,ROUND(ANW54/'Sens - CAC &amp; Marketing'!$A$14*ANT54,0)),0)</f>
        <v/>
      </c>
      <c r="ANY54" s="12">
        <f>IF(ANX54&gt;0,ROUND(ANX54*ReferralMix/(1-ReferralMix),0),0)</f>
        <v/>
      </c>
      <c r="ANZ54" s="12">
        <f>ANX54+ANY54</f>
        <v/>
      </c>
      <c r="AOA54" s="12">
        <f>ROUND(ANZ54*(1-AnnualMix),0)</f>
        <v/>
      </c>
      <c r="AOB54" s="12">
        <f>ANZ54-AOA54</f>
        <v/>
      </c>
      <c r="AOC54" s="12">
        <f>ROUND(AOA54*EssentialMix,0)</f>
        <v/>
      </c>
      <c r="AOD54" s="12">
        <f>AOA54-AOC54</f>
        <v/>
      </c>
      <c r="AOE54" s="12">
        <f>ROUND(AOB54*EssentialMix,0)</f>
        <v/>
      </c>
      <c r="AOF54" s="12">
        <f>AOB54-AOE54</f>
        <v/>
      </c>
      <c r="AOG54" s="12">
        <f>AOC54+AOC53+AOC52+MAX(0,AOG53-AOC53-AOC52)*(1-ANV54)</f>
        <v/>
      </c>
      <c r="AOH54" s="12">
        <f>AOD54+AOD53+AOD52+MAX(0,AOH53-AOD53-AOD52)*(1-ANV54)</f>
        <v/>
      </c>
      <c r="AOI54" s="12">
        <f>AOI53+AOE54-AOE42*(AnnualChurn*VLOOKUP(ANR54,ChurnSeasonTable,4,FALSE))*POWER(1-(AnnualChurn*VLOOKUP(ANR54,ChurnSeasonTable,4,FALSE)),0)+AOE30*(AnnualChurn*VLOOKUP(ANR54,ChurnSeasonTable,4,FALSE))*POWER(1-(AnnualChurn*VLOOKUP(ANR54,ChurnSeasonTable,4,FALSE)),1)+AOE18*(AnnualChurn*VLOOKUP(ANR54,ChurnSeasonTable,4,FALSE))*POWER(1-(AnnualChurn*VLOOKUP(ANR54,ChurnSeasonTable,4,FALSE)),2)+AOE6*(AnnualChurn*VLOOKUP(ANR54,ChurnSeasonTable,4,FALSE))*POWER(1-(AnnualChurn*VLOOKUP(ANR54,ChurnSeasonTable,4,FALSE)),3)</f>
        <v/>
      </c>
      <c r="AOJ54" s="12">
        <f>AOJ53+AOF54-AOF42*(AnnualChurn*VLOOKUP(ANR54,ChurnSeasonTable,4,FALSE))*POWER(1-(AnnualChurn*VLOOKUP(ANR54,ChurnSeasonTable,4,FALSE)),0)+AOF30*(AnnualChurn*VLOOKUP(ANR54,ChurnSeasonTable,4,FALSE))*POWER(1-(AnnualChurn*VLOOKUP(ANR54,ChurnSeasonTable,4,FALSE)),1)+AOF18*(AnnualChurn*VLOOKUP(ANR54,ChurnSeasonTable,4,FALSE))*POWER(1-(AnnualChurn*VLOOKUP(ANR54,ChurnSeasonTable,4,FALSE)),2)+AOF6*(AnnualChurn*VLOOKUP(ANR54,ChurnSeasonTable,4,FALSE))*POWER(1-(AnnualChurn*VLOOKUP(ANR54,ChurnSeasonTable,4,FALSE)),3)</f>
        <v/>
      </c>
      <c r="AOK54" s="12">
        <f>AOG54+AOH54+AOI54+AOJ54</f>
        <v/>
      </c>
      <c r="AOL54" s="9">
        <f>AOG54*PriceEssMonthly*ANU54+AOH54*PricePremMonthly*ANU54+AOI54*PriceEssAnnual*ANU54/12+AOJ54*PricePremAnnual*ANU54/12</f>
        <v/>
      </c>
      <c r="AOM54" s="9">
        <f>AOL54*12</f>
        <v/>
      </c>
      <c r="AON54" s="12">
        <f>AOG54*PriceEssMonthly*ANU54+AOH54*PricePremMonthly*ANU54</f>
        <v/>
      </c>
      <c r="AOO54" s="12">
        <f>AOE54*PriceEssAnnual*ANU54+AOF54*PricePremAnnual*ANU54</f>
        <v/>
      </c>
      <c r="AOP54" s="12">
        <f>AOE42*POWER(1-(AnnualChurn*VLOOKUP(ANR54,ChurnSeasonTable,4,FALSE)),1)*PriceEssAnnual*ANU54+AOE30*POWER(1-(AnnualChurn*VLOOKUP(ANR54,ChurnSeasonTable,4,FALSE)),2)*PriceEssAnnual*ANU54+AOE18*POWER(1-(AnnualChurn*VLOOKUP(ANR54,ChurnSeasonTable,4,FALSE)),3)*PriceEssAnnual*ANU54+AOE6*POWER(1-(AnnualChurn*VLOOKUP(ANR54,ChurnSeasonTable,4,FALSE)),4)*PriceEssAnnual*ANU54+AOF42*POWER(1-(AnnualChurn*VLOOKUP(ANR54,ChurnSeasonTable,4,FALSE)),1)*PricePremAnnual*ANU54+AOF30*POWER(1-(AnnualChurn*VLOOKUP(ANR54,ChurnSeasonTable,4,FALSE)),2)*PricePremAnnual*ANU54+AOF18*POWER(1-(AnnualChurn*VLOOKUP(ANR54,ChurnSeasonTable,4,FALSE)),3)*PricePremAnnual*ANU54+AOF6*POWER(1-(AnnualChurn*VLOOKUP(ANR54,ChurnSeasonTable,4,FALSE)),4)*PricePremAnnual*ANU54</f>
        <v/>
      </c>
      <c r="AOQ54" s="9">
        <f>AON54+AOO54+AOP54</f>
        <v/>
      </c>
      <c r="AOR54" s="12">
        <f>SUM(AOQ43:AOQ54)</f>
        <v/>
      </c>
      <c r="AOS54" s="12">
        <f>OR(AOS53,AOR54&gt;=VATThreshold)</f>
        <v/>
      </c>
      <c r="AOT54" s="9">
        <f>IF(AOS54,AOQ54/(1+VATRate),AOQ54)</f>
        <v/>
      </c>
      <c r="AOU54" s="12">
        <f>AOQ54-AOT54</f>
        <v/>
      </c>
      <c r="AOV54" s="12">
        <f>IF(AOS54=0,0,IF(ANR54=1,SUMPRODUCT(--(($ANS$5:$ANS54=$ANS54-1)*($ANR$5:$ANR54&gt;=10)*($ANR$5:$ANR54&lt;=12)),$AOU$5:$AOU54),IF(ANR54=4,SUMPRODUCT(--(($ANS$5:$ANS54=$ANS54)*($ANR$5:$ANR54&gt;=1)*($ANR$5:$ANR54&lt;=3)),$AOU$5:$AOU54),IF(ANR54=7,SUMPRODUCT(--(($ANS$5:$ANS54=$ANS54)*($ANR$5:$ANR54&gt;=4)*($ANR$5:$ANR54&lt;=6)),$AOU$5:$AOU54),IF(ANR54=10,SUMPRODUCT(--(($ANS$5:$ANS54=$ANS54)*($ANR$5:$ANR54&gt;=7)*($ANR$5:$ANR54&lt;=9)),$AOU$5:$AOU54),0)))))</f>
        <v/>
      </c>
      <c r="AOW54" s="12">
        <f>AOW53+AOU54-AOV54</f>
        <v/>
      </c>
      <c r="AOX54" s="12">
        <f>IF(ProviderDelay&gt;=1,AOT53*ProviderShare,AOT54*ProviderShare)</f>
        <v/>
      </c>
      <c r="AOY54" s="12">
        <f>AOQ54*PaymentFee</f>
        <v/>
      </c>
      <c r="AOZ54" s="12">
        <f>AOK54*OpsAI</f>
        <v/>
      </c>
      <c r="APA54" s="12">
        <f>MonthlyFixed</f>
        <v/>
      </c>
      <c r="APB54" s="12">
        <f>ANY54*ReferralReward</f>
        <v/>
      </c>
      <c r="APC54" s="12">
        <f>ANW54</f>
        <v/>
      </c>
      <c r="APD54" s="9">
        <f>AOT54-AOX54-AOY54-AOZ54-APA54-APB54-APC54</f>
        <v/>
      </c>
      <c r="APE54" s="9">
        <f>APE53+AOQ54-(AOX54+AOY54+AOZ54+APA54+APB54+APC54+AOV54)</f>
        <v/>
      </c>
      <c r="APF54" s="12">
        <f>IF(AOK54&gt;0,AOL54/AOK54,0)</f>
        <v/>
      </c>
      <c r="APG54" s="11">
        <f>IF(AOK53&gt;0,MAX(0,(AOK53+ANZ54-AOK54)/AOK53),0)</f>
        <v/>
      </c>
      <c r="API54" s="12" t="n">
        <v>50</v>
      </c>
      <c r="APJ54" s="12">
        <f>MOD(API54-1+LaunchMonth-1,12)+1</f>
        <v/>
      </c>
      <c r="APK54" s="12">
        <f>INT((API54-1+LaunchMonth-1)/12)+1</f>
        <v/>
      </c>
      <c r="APL54" s="12">
        <f>VLOOKUP(APJ54,SeasonTable,2,FALSE)</f>
        <v/>
      </c>
      <c r="APM54" s="12">
        <f>(1+InflationRate)^INT((API54-1)/12)</f>
        <v/>
      </c>
      <c r="APN54" s="11">
        <f>MonthlyChurn*VLOOKUP(APJ54,ChurnSeasonTable,4,FALSE)</f>
        <v/>
      </c>
      <c r="APO54" s="12">
        <f>MIN(MAX(MktMin19plus,AQI53*MktPct19plus),MAX(0,AQW53-CashBuffer))</f>
        <v/>
      </c>
      <c r="APP54" s="12">
        <f>IF(APO54&gt;0,MAX(1,ROUND(APO54/'Sens - CAC &amp; Marketing'!$A$15*APL54,0)),0)</f>
        <v/>
      </c>
      <c r="APQ54" s="12">
        <f>IF(APP54&gt;0,ROUND(APP54*ReferralMix/(1-ReferralMix),0),0)</f>
        <v/>
      </c>
      <c r="APR54" s="12">
        <f>APP54+APQ54</f>
        <v/>
      </c>
      <c r="APS54" s="12">
        <f>ROUND(APR54*(1-AnnualMix),0)</f>
        <v/>
      </c>
      <c r="APT54" s="12">
        <f>APR54-APS54</f>
        <v/>
      </c>
      <c r="APU54" s="12">
        <f>ROUND(APS54*EssentialMix,0)</f>
        <v/>
      </c>
      <c r="APV54" s="12">
        <f>APS54-APU54</f>
        <v/>
      </c>
      <c r="APW54" s="12">
        <f>ROUND(APT54*EssentialMix,0)</f>
        <v/>
      </c>
      <c r="APX54" s="12">
        <f>APT54-APW54</f>
        <v/>
      </c>
      <c r="APY54" s="12">
        <f>APU54+APU53+APU52+MAX(0,APY53-APU53-APU52)*(1-APN54)</f>
        <v/>
      </c>
      <c r="APZ54" s="12">
        <f>APV54+APV53+APV52+MAX(0,APZ53-APV53-APV52)*(1-APN54)</f>
        <v/>
      </c>
      <c r="AQA54" s="12">
        <f>AQA53+APW54-APW42*(AnnualChurn*VLOOKUP(APJ54,ChurnSeasonTable,4,FALSE))*POWER(1-(AnnualChurn*VLOOKUP(APJ54,ChurnSeasonTable,4,FALSE)),0)+APW30*(AnnualChurn*VLOOKUP(APJ54,ChurnSeasonTable,4,FALSE))*POWER(1-(AnnualChurn*VLOOKUP(APJ54,ChurnSeasonTable,4,FALSE)),1)+APW18*(AnnualChurn*VLOOKUP(APJ54,ChurnSeasonTable,4,FALSE))*POWER(1-(AnnualChurn*VLOOKUP(APJ54,ChurnSeasonTable,4,FALSE)),2)+APW6*(AnnualChurn*VLOOKUP(APJ54,ChurnSeasonTable,4,FALSE))*POWER(1-(AnnualChurn*VLOOKUP(APJ54,ChurnSeasonTable,4,FALSE)),3)</f>
        <v/>
      </c>
      <c r="AQB54" s="12">
        <f>AQB53+APX54-APX42*(AnnualChurn*VLOOKUP(APJ54,ChurnSeasonTable,4,FALSE))*POWER(1-(AnnualChurn*VLOOKUP(APJ54,ChurnSeasonTable,4,FALSE)),0)+APX30*(AnnualChurn*VLOOKUP(APJ54,ChurnSeasonTable,4,FALSE))*POWER(1-(AnnualChurn*VLOOKUP(APJ54,ChurnSeasonTable,4,FALSE)),1)+APX18*(AnnualChurn*VLOOKUP(APJ54,ChurnSeasonTable,4,FALSE))*POWER(1-(AnnualChurn*VLOOKUP(APJ54,ChurnSeasonTable,4,FALSE)),2)+APX6*(AnnualChurn*VLOOKUP(APJ54,ChurnSeasonTable,4,FALSE))*POWER(1-(AnnualChurn*VLOOKUP(APJ54,ChurnSeasonTable,4,FALSE)),3)</f>
        <v/>
      </c>
      <c r="AQC54" s="12">
        <f>APY54+APZ54+AQA54+AQB54</f>
        <v/>
      </c>
      <c r="AQD54" s="9">
        <f>APY54*PriceEssMonthly*APM54+APZ54*PricePremMonthly*APM54+AQA54*PriceEssAnnual*APM54/12+AQB54*PricePremAnnual*APM54/12</f>
        <v/>
      </c>
      <c r="AQE54" s="9">
        <f>AQD54*12</f>
        <v/>
      </c>
      <c r="AQF54" s="12">
        <f>APY54*PriceEssMonthly*APM54+APZ54*PricePremMonthly*APM54</f>
        <v/>
      </c>
      <c r="AQG54" s="12">
        <f>APW54*PriceEssAnnual*APM54+APX54*PricePremAnnual*APM54</f>
        <v/>
      </c>
      <c r="AQH54" s="12">
        <f>APW42*POWER(1-(AnnualChurn*VLOOKUP(APJ54,ChurnSeasonTable,4,FALSE)),1)*PriceEssAnnual*APM54+APW30*POWER(1-(AnnualChurn*VLOOKUP(APJ54,ChurnSeasonTable,4,FALSE)),2)*PriceEssAnnual*APM54+APW18*POWER(1-(AnnualChurn*VLOOKUP(APJ54,ChurnSeasonTable,4,FALSE)),3)*PriceEssAnnual*APM54+APW6*POWER(1-(AnnualChurn*VLOOKUP(APJ54,ChurnSeasonTable,4,FALSE)),4)*PriceEssAnnual*APM54+APX42*POWER(1-(AnnualChurn*VLOOKUP(APJ54,ChurnSeasonTable,4,FALSE)),1)*PricePremAnnual*APM54+APX30*POWER(1-(AnnualChurn*VLOOKUP(APJ54,ChurnSeasonTable,4,FALSE)),2)*PricePremAnnual*APM54+APX18*POWER(1-(AnnualChurn*VLOOKUP(APJ54,ChurnSeasonTable,4,FALSE)),3)*PricePremAnnual*APM54+APX6*POWER(1-(AnnualChurn*VLOOKUP(APJ54,ChurnSeasonTable,4,FALSE)),4)*PricePremAnnual*APM54</f>
        <v/>
      </c>
      <c r="AQI54" s="9">
        <f>AQF54+AQG54+AQH54</f>
        <v/>
      </c>
      <c r="AQJ54" s="12">
        <f>SUM(AQI43:AQI54)</f>
        <v/>
      </c>
      <c r="AQK54" s="12">
        <f>OR(AQK53,AQJ54&gt;=VATThreshold)</f>
        <v/>
      </c>
      <c r="AQL54" s="9">
        <f>IF(AQK54,AQI54/(1+VATRate),AQI54)</f>
        <v/>
      </c>
      <c r="AQM54" s="12">
        <f>AQI54-AQL54</f>
        <v/>
      </c>
      <c r="AQN54" s="12">
        <f>IF(AQK54=0,0,IF(APJ54=1,SUMPRODUCT(--(($APK$5:$APK54=$APK54-1)*($APJ$5:$APJ54&gt;=10)*($APJ$5:$APJ54&lt;=12)),$AQM$5:$AQM54),IF(APJ54=4,SUMPRODUCT(--(($APK$5:$APK54=$APK54)*($APJ$5:$APJ54&gt;=1)*($APJ$5:$APJ54&lt;=3)),$AQM$5:$AQM54),IF(APJ54=7,SUMPRODUCT(--(($APK$5:$APK54=$APK54)*($APJ$5:$APJ54&gt;=4)*($APJ$5:$APJ54&lt;=6)),$AQM$5:$AQM54),IF(APJ54=10,SUMPRODUCT(--(($APK$5:$APK54=$APK54)*($APJ$5:$APJ54&gt;=7)*($APJ$5:$APJ54&lt;=9)),$AQM$5:$AQM54),0)))))</f>
        <v/>
      </c>
      <c r="AQO54" s="12">
        <f>AQO53+AQM54-AQN54</f>
        <v/>
      </c>
      <c r="AQP54" s="12">
        <f>IF(ProviderDelay&gt;=1,AQL53*ProviderShare,AQL54*ProviderShare)</f>
        <v/>
      </c>
      <c r="AQQ54" s="12">
        <f>AQI54*PaymentFee</f>
        <v/>
      </c>
      <c r="AQR54" s="12">
        <f>AQC54*OpsAI</f>
        <v/>
      </c>
      <c r="AQS54" s="12">
        <f>MonthlyFixed</f>
        <v/>
      </c>
      <c r="AQT54" s="12">
        <f>APQ54*ReferralReward</f>
        <v/>
      </c>
      <c r="AQU54" s="12">
        <f>APO54</f>
        <v/>
      </c>
      <c r="AQV54" s="9">
        <f>AQL54-AQP54-AQQ54-AQR54-AQS54-AQT54-AQU54</f>
        <v/>
      </c>
      <c r="AQW54" s="9">
        <f>AQW53+AQI54-(AQP54+AQQ54+AQR54+AQS54+AQT54+AQU54+AQN54)</f>
        <v/>
      </c>
      <c r="AQX54" s="12">
        <f>IF(AQC54&gt;0,AQD54/AQC54,0)</f>
        <v/>
      </c>
      <c r="AQY54" s="11">
        <f>IF(AQC53&gt;0,MAX(0,(AQC53+APR54-AQC54)/AQC53),0)</f>
        <v/>
      </c>
      <c r="ARA54" s="12" t="n">
        <v>50</v>
      </c>
      <c r="ARB54" s="12">
        <f>MOD(ARA54-1+LaunchMonth-1,12)+1</f>
        <v/>
      </c>
      <c r="ARC54" s="12">
        <f>INT((ARA54-1+LaunchMonth-1)/12)+1</f>
        <v/>
      </c>
      <c r="ARD54" s="12">
        <f>VLOOKUP(ARB54,WinterPivotSeasonTable,5,FALSE)</f>
        <v/>
      </c>
      <c r="ARE54" s="12">
        <f>(1+InflationRate)^INT((ARA54-1)/12)</f>
        <v/>
      </c>
      <c r="ARF54" s="11">
        <f>MonthlyChurn*VLOOKUP(ARB54,WinterPivotChurnTable,6,FALSE)</f>
        <v/>
      </c>
      <c r="ARG54" s="12">
        <f>MIN(MAX(MktMin19plus,ASA53*MktPct19plus),MAX(0,ASO53-CashBuffer))</f>
        <v/>
      </c>
      <c r="ARH54" s="12">
        <f>IF(ARG54&gt;0,MAX(1,ROUND(ARG54/CAC*ARD54,0)),0)</f>
        <v/>
      </c>
      <c r="ARI54" s="12">
        <f>IF(ARH54&gt;0,ROUND(ARH54*ReferralMix/(1-ReferralMix),0),0)</f>
        <v/>
      </c>
      <c r="ARJ54" s="12">
        <f>ARH54+ARI54</f>
        <v/>
      </c>
      <c r="ARK54" s="12">
        <f>ROUND(ARJ54*(1-AnnualMix),0)</f>
        <v/>
      </c>
      <c r="ARL54" s="12">
        <f>ARJ54-ARK54</f>
        <v/>
      </c>
      <c r="ARM54" s="12">
        <f>ROUND(ARK54*'Sens - Winter Pivot'!$B$6,0)</f>
        <v/>
      </c>
      <c r="ARN54" s="12">
        <f>ARK54-ARM54</f>
        <v/>
      </c>
      <c r="ARO54" s="12">
        <f>ROUND(ARL54*'Sens - Winter Pivot'!$B$6,0)</f>
        <v/>
      </c>
      <c r="ARP54" s="12">
        <f>ARL54-ARO54</f>
        <v/>
      </c>
      <c r="ARQ54" s="12">
        <f>ARM54+ARM53+ARM52+MAX(0,ARQ53-ARM53-ARM52)*(1-ARF54)</f>
        <v/>
      </c>
      <c r="ARR54" s="12">
        <f>ARN54+ARN53+ARN52+MAX(0,ARR53-ARN53-ARN52)*(1-ARF54)</f>
        <v/>
      </c>
      <c r="ARS54" s="12">
        <f>ARS53+ARO54-ARO42*(AnnualChurn*VLOOKUP(ARB54,WinterPivotChurnTable,6,FALSE))*POWER(1-(AnnualChurn*VLOOKUP(ARB54,WinterPivotChurnTable,6,FALSE)),0)+ARO30*(AnnualChurn*VLOOKUP(ARB54,WinterPivotChurnTable,6,FALSE))*POWER(1-(AnnualChurn*VLOOKUP(ARB54,WinterPivotChurnTable,6,FALSE)),1)+ARO18*(AnnualChurn*VLOOKUP(ARB54,WinterPivotChurnTable,6,FALSE))*POWER(1-(AnnualChurn*VLOOKUP(ARB54,WinterPivotChurnTable,6,FALSE)),2)+ARO6*(AnnualChurn*VLOOKUP(ARB54,WinterPivotChurnTable,6,FALSE))*POWER(1-(AnnualChurn*VLOOKUP(ARB54,WinterPivotChurnTable,6,FALSE)),3)</f>
        <v/>
      </c>
      <c r="ART54" s="12">
        <f>ART53+ARP54-ARP42*(AnnualChurn*VLOOKUP(ARB54,WinterPivotChurnTable,6,FALSE))*POWER(1-(AnnualChurn*VLOOKUP(ARB54,WinterPivotChurnTable,6,FALSE)),0)+ARP30*(AnnualChurn*VLOOKUP(ARB54,WinterPivotChurnTable,6,FALSE))*POWER(1-(AnnualChurn*VLOOKUP(ARB54,WinterPivotChurnTable,6,FALSE)),1)+ARP18*(AnnualChurn*VLOOKUP(ARB54,WinterPivotChurnTable,6,FALSE))*POWER(1-(AnnualChurn*VLOOKUP(ARB54,WinterPivotChurnTable,6,FALSE)),2)+ARP6*(AnnualChurn*VLOOKUP(ARB54,WinterPivotChurnTable,6,FALSE))*POWER(1-(AnnualChurn*VLOOKUP(ARB54,WinterPivotChurnTable,6,FALSE)),3)</f>
        <v/>
      </c>
      <c r="ARU54" s="12">
        <f>ARQ54+ARR54+ARS54+ART54</f>
        <v/>
      </c>
      <c r="ARV54" s="9">
        <f>ARQ54*PriceEssMonthly*ARE54+ARR54*(PricePremMonthly+'Sens - Winter Pivot'!$B$7)*ARE54+ARS54*PriceEssAnnual*ARE54/12+ART54*(PricePremAnnual+'Sens - Winter Pivot'!$B$7*12)*ARE54/12</f>
        <v/>
      </c>
      <c r="ARW54" s="9">
        <f>ARV54*12</f>
        <v/>
      </c>
      <c r="ARX54" s="12">
        <f>ARQ54*PriceEssMonthly*ARE54+ARR54*(PricePremMonthly+'Sens - Winter Pivot'!$B$7)*ARE54</f>
        <v/>
      </c>
      <c r="ARY54" s="12">
        <f>ARO54*PriceEssAnnual*ARE54+ARP54*(PricePremAnnual+'Sens - Winter Pivot'!$B$7*12)*ARE54</f>
        <v/>
      </c>
      <c r="ARZ54" s="12">
        <f>ARO42*POWER(1-(AnnualChurn*VLOOKUP(ARB54,WinterPivotChurnTable,6,FALSE)),1)*PriceEssAnnual*ARE54+ARO30*POWER(1-(AnnualChurn*VLOOKUP(ARB54,WinterPivotChurnTable,6,FALSE)),2)*PriceEssAnnual*ARE54+ARO18*POWER(1-(AnnualChurn*VLOOKUP(ARB54,WinterPivotChurnTable,6,FALSE)),3)*PriceEssAnnual*ARE54+ARO6*POWER(1-(AnnualChurn*VLOOKUP(ARB54,WinterPivotChurnTable,6,FALSE)),4)*PriceEssAnnual*ARE54+ARP42*POWER(1-(AnnualChurn*VLOOKUP(ARB54,WinterPivotChurnTable,6,FALSE)),1)*PricePremAnnual*ARE54+ARP30*POWER(1-(AnnualChurn*VLOOKUP(ARB54,WinterPivotChurnTable,6,FALSE)),2)*PricePremAnnual*ARE54+ARP18*POWER(1-(AnnualChurn*VLOOKUP(ARB54,WinterPivotChurnTable,6,FALSE)),3)*PricePremAnnual*ARE54+ARP6*POWER(1-(AnnualChurn*VLOOKUP(ARB54,WinterPivotChurnTable,6,FALSE)),4)*PricePremAnnual*ARE54</f>
        <v/>
      </c>
      <c r="ASA54" s="9">
        <f>ARX54+ARY54+ARZ54</f>
        <v/>
      </c>
      <c r="ASB54" s="12">
        <f>SUM(ASA43:ASA54)</f>
        <v/>
      </c>
      <c r="ASC54" s="12">
        <f>OR(ASC53,ASB54&gt;=VATThreshold)</f>
        <v/>
      </c>
      <c r="ASD54" s="9">
        <f>IF(ASC54,ASA54/(1+VATRate),ASA54)</f>
        <v/>
      </c>
      <c r="ASE54" s="12">
        <f>ASA54-ASD54</f>
        <v/>
      </c>
      <c r="ASF54" s="12">
        <f>IF(ASC54=0,0,IF(ARB54=1,SUMPRODUCT(--(($ARC$5:$ARC54=$ARC54-1)*($ARB$5:$ARB54&gt;=10)*($ARB$5:$ARB54&lt;=12)),$ASE$5:$ASE54),IF(ARB54=4,SUMPRODUCT(--(($ARC$5:$ARC54=$ARC54)*($ARB$5:$ARB54&gt;=1)*($ARB$5:$ARB54&lt;=3)),$ASE$5:$ASE54),IF(ARB54=7,SUMPRODUCT(--(($ARC$5:$ARC54=$ARC54)*($ARB$5:$ARB54&gt;=4)*($ARB$5:$ARB54&lt;=6)),$ASE$5:$ASE54),IF(ARB54=10,SUMPRODUCT(--(($ARC$5:$ARC54=$ARC54)*($ARB$5:$ARB54&gt;=7)*($ARB$5:$ARB54&lt;=9)),$ASE$5:$ASE54),0)))))</f>
        <v/>
      </c>
      <c r="ASG54" s="12">
        <f>ASG53+ASE54-ASF54</f>
        <v/>
      </c>
      <c r="ASH54" s="12">
        <f>IF(ProviderDelay&gt;=1,ASD53*ProviderShare,ASD54*ProviderShare)</f>
        <v/>
      </c>
      <c r="ASI54" s="12">
        <f>ASA54*PaymentFee</f>
        <v/>
      </c>
      <c r="ASJ54" s="12">
        <f>ARU54*OpsAI</f>
        <v/>
      </c>
      <c r="ASK54" s="12">
        <f>MonthlyFixed</f>
        <v/>
      </c>
      <c r="ASL54" s="12">
        <f>ARI54*ReferralReward</f>
        <v/>
      </c>
      <c r="ASM54" s="12">
        <f>ARG54</f>
        <v/>
      </c>
      <c r="ASN54" s="9">
        <f>ASD54-ASH54-ASI54-ASJ54-ASK54-ASL54-ASM54</f>
        <v/>
      </c>
      <c r="ASO54" s="9">
        <f>ASO53+ASA54-(ASH54+ASI54+ASJ54+ASK54+ASL54+ASM54+ASF54)</f>
        <v/>
      </c>
      <c r="ASP54" s="12">
        <f>IF(ARU54&gt;0,ARV54/ARU54,0)</f>
        <v/>
      </c>
      <c r="ASQ54" s="11">
        <f>IF(ARU53&gt;0,MAX(0,(ARU53+ARJ54-ARU54)/ARU53),0)</f>
        <v/>
      </c>
    </row>
    <row r="55">
      <c r="A55" s="12" t="n">
        <v>51</v>
      </c>
      <c r="B55" s="12">
        <f>MOD(A55-1+LaunchMonth-1,12)+1</f>
        <v/>
      </c>
      <c r="C55" s="12">
        <f>INT((A55-1+LaunchMonth-1)/12)+1</f>
        <v/>
      </c>
      <c r="D55" s="12">
        <f>VLOOKUP(B55,SeasonTable,2,FALSE)</f>
        <v/>
      </c>
      <c r="E55" s="12">
        <f>(1+InflationRate)^INT((A55-1)/12)</f>
        <v/>
      </c>
      <c r="F55" s="11">
        <f>'Sens - Scenarios'!$B$5*VLOOKUP(B55,ChurnSeasonTable,4,FALSE)</f>
        <v/>
      </c>
      <c r="G55" s="12">
        <f>MIN(MAX(MktMin19plus,AA54*MktPct19plus),MAX(0,AO54-CashBuffer))</f>
        <v/>
      </c>
      <c r="H55" s="12">
        <f>IF(G55&gt;0,MAX(1,ROUND(G55/'Sens - Scenarios'!$B$8*D55,0)),0)</f>
        <v/>
      </c>
      <c r="I55" s="12">
        <f>IF(H55&gt;0,ROUND(H55*ReferralMix/(1-ReferralMix),0),0)</f>
        <v/>
      </c>
      <c r="J55" s="12">
        <f>H55+I55</f>
        <v/>
      </c>
      <c r="K55" s="12">
        <f>ROUND(J55*(1-'Sens - Scenarios'!$B$7),0)</f>
        <v/>
      </c>
      <c r="L55" s="12">
        <f>J55-K55</f>
        <v/>
      </c>
      <c r="M55" s="12">
        <f>ROUND(K55*EssentialMix,0)</f>
        <v/>
      </c>
      <c r="N55" s="12">
        <f>K55-M55</f>
        <v/>
      </c>
      <c r="O55" s="12">
        <f>ROUND(L55*EssentialMix,0)</f>
        <v/>
      </c>
      <c r="P55" s="12">
        <f>L55-O55</f>
        <v/>
      </c>
      <c r="Q55" s="12">
        <f>M55+M54+M53+MAX(0,Q54-M54-M53)*(1-F55)</f>
        <v/>
      </c>
      <c r="R55" s="12">
        <f>N55+N54+N53+MAX(0,R54-N54-N53)*(1-F55)</f>
        <v/>
      </c>
      <c r="S55" s="12">
        <f>S54+O55-O43*('Sens - Scenarios'!$B$6*VLOOKUP(B55,ChurnSeasonTable,4,FALSE))*POWER(1-('Sens - Scenarios'!$B$6*VLOOKUP(B55,ChurnSeasonTable,4,FALSE)),0)+O31*('Sens - Scenarios'!$B$6*VLOOKUP(B55,ChurnSeasonTable,4,FALSE))*POWER(1-('Sens - Scenarios'!$B$6*VLOOKUP(B55,ChurnSeasonTable,4,FALSE)),1)+O19*('Sens - Scenarios'!$B$6*VLOOKUP(B55,ChurnSeasonTable,4,FALSE))*POWER(1-('Sens - Scenarios'!$B$6*VLOOKUP(B55,ChurnSeasonTable,4,FALSE)),2)+O7*('Sens - Scenarios'!$B$6*VLOOKUP(B55,ChurnSeasonTable,4,FALSE))*POWER(1-('Sens - Scenarios'!$B$6*VLOOKUP(B55,ChurnSeasonTable,4,FALSE)),3)</f>
        <v/>
      </c>
      <c r="T55" s="12">
        <f>T54+P55-P43*('Sens - Scenarios'!$B$6*VLOOKUP(B55,ChurnSeasonTable,4,FALSE))*POWER(1-('Sens - Scenarios'!$B$6*VLOOKUP(B55,ChurnSeasonTable,4,FALSE)),0)+P31*('Sens - Scenarios'!$B$6*VLOOKUP(B55,ChurnSeasonTable,4,FALSE))*POWER(1-('Sens - Scenarios'!$B$6*VLOOKUP(B55,ChurnSeasonTable,4,FALSE)),1)+P19*('Sens - Scenarios'!$B$6*VLOOKUP(B55,ChurnSeasonTable,4,FALSE))*POWER(1-('Sens - Scenarios'!$B$6*VLOOKUP(B55,ChurnSeasonTable,4,FALSE)),2)+P7*('Sens - Scenarios'!$B$6*VLOOKUP(B55,ChurnSeasonTable,4,FALSE))*POWER(1-('Sens - Scenarios'!$B$6*VLOOKUP(B55,ChurnSeasonTable,4,FALSE)),3)</f>
        <v/>
      </c>
      <c r="U55" s="12">
        <f>Q55+R55+S55+T55</f>
        <v/>
      </c>
      <c r="V55" s="9">
        <f>Q55*PriceEssMonthly*E55+R55*PricePremMonthly*E55+S55*PriceEssAnnual*E55/12+T55*PricePremAnnual*E55/12</f>
        <v/>
      </c>
      <c r="W55" s="9">
        <f>V55*12</f>
        <v/>
      </c>
      <c r="X55" s="12">
        <f>Q55*PriceEssMonthly*E55+R55*PricePremMonthly*E55</f>
        <v/>
      </c>
      <c r="Y55" s="12">
        <f>O55*PriceEssAnnual*E55+P55*PricePremAnnual*E55</f>
        <v/>
      </c>
      <c r="Z55" s="12">
        <f>O43*POWER(1-('Sens - Scenarios'!$B$6*VLOOKUP(B55,ChurnSeasonTable,4,FALSE)),1)*PriceEssAnnual*E55+O31*POWER(1-('Sens - Scenarios'!$B$6*VLOOKUP(B55,ChurnSeasonTable,4,FALSE)),2)*PriceEssAnnual*E55+O19*POWER(1-('Sens - Scenarios'!$B$6*VLOOKUP(B55,ChurnSeasonTable,4,FALSE)),3)*PriceEssAnnual*E55+O7*POWER(1-('Sens - Scenarios'!$B$6*VLOOKUP(B55,ChurnSeasonTable,4,FALSE)),4)*PriceEssAnnual*E55+P43*POWER(1-('Sens - Scenarios'!$B$6*VLOOKUP(B55,ChurnSeasonTable,4,FALSE)),1)*PricePremAnnual*E55+P31*POWER(1-('Sens - Scenarios'!$B$6*VLOOKUP(B55,ChurnSeasonTable,4,FALSE)),2)*PricePremAnnual*E55+P19*POWER(1-('Sens - Scenarios'!$B$6*VLOOKUP(B55,ChurnSeasonTable,4,FALSE)),3)*PricePremAnnual*E55+P7*POWER(1-('Sens - Scenarios'!$B$6*VLOOKUP(B55,ChurnSeasonTable,4,FALSE)),4)*PricePremAnnual*E55</f>
        <v/>
      </c>
      <c r="AA55" s="9">
        <f>X55+Y55+Z55</f>
        <v/>
      </c>
      <c r="AB55" s="12">
        <f>SUM(AA44:AA55)</f>
        <v/>
      </c>
      <c r="AC55" s="12">
        <f>OR(AC54,AB55&gt;=VATThreshold)</f>
        <v/>
      </c>
      <c r="AD55" s="9">
        <f>IF(AC55,AA55/(1+VATRate),AA55)</f>
        <v/>
      </c>
      <c r="AE55" s="12">
        <f>AA55-AD55</f>
        <v/>
      </c>
      <c r="AF55" s="12">
        <f>IF(AC55=0,0,IF(B55=1,SUMPRODUCT(--(($C$5:$C55=$C55-1)*($B$5:$B55&gt;=10)*($B$5:$B55&lt;=12)),$AE$5:$AE55),IF(B55=4,SUMPRODUCT(--(($C$5:$C55=$C55)*($B$5:$B55&gt;=1)*($B$5:$B55&lt;=3)),$AE$5:$AE55),IF(B55=7,SUMPRODUCT(--(($C$5:$C55=$C55)*($B$5:$B55&gt;=4)*($B$5:$B55&lt;=6)),$AE$5:$AE55),IF(B55=10,SUMPRODUCT(--(($C$5:$C55=$C55)*($B$5:$B55&gt;=7)*($B$5:$B55&lt;=9)),$AE$5:$AE55),0)))))</f>
        <v/>
      </c>
      <c r="AG55" s="12">
        <f>AG54+AE55-AF55</f>
        <v/>
      </c>
      <c r="AH55" s="12">
        <f>IF(ProviderDelay&gt;=1,AD54*ProviderShare,AD55*ProviderShare)</f>
        <v/>
      </c>
      <c r="AI55" s="12">
        <f>AA55*PaymentFee</f>
        <v/>
      </c>
      <c r="AJ55" s="12">
        <f>U55*OpsAI</f>
        <v/>
      </c>
      <c r="AK55" s="12">
        <f>MonthlyFixed</f>
        <v/>
      </c>
      <c r="AL55" s="12">
        <f>I55*ReferralReward</f>
        <v/>
      </c>
      <c r="AM55" s="12">
        <f>G55</f>
        <v/>
      </c>
      <c r="AN55" s="9">
        <f>AD55-AH55-AI55-AJ55-AK55-AL55-AM55</f>
        <v/>
      </c>
      <c r="AO55" s="9">
        <f>AO54+AA55-(AH55+AI55+AJ55+AK55+AL55+AM55+AF55)</f>
        <v/>
      </c>
      <c r="AP55" s="12">
        <f>IF(U55&gt;0,V55/U55,0)</f>
        <v/>
      </c>
      <c r="AQ55" s="11">
        <f>IF(U54&gt;0,MAX(0,(U54+J55-U55)/U54),0)</f>
        <v/>
      </c>
      <c r="AS55" s="12" t="n">
        <v>51</v>
      </c>
      <c r="AT55" s="12">
        <f>MOD(AS55-1+LaunchMonth-1,12)+1</f>
        <v/>
      </c>
      <c r="AU55" s="12">
        <f>INT((AS55-1+LaunchMonth-1)/12)+1</f>
        <v/>
      </c>
      <c r="AV55" s="12">
        <f>VLOOKUP(AT55,SeasonTable,2,FALSE)</f>
        <v/>
      </c>
      <c r="AW55" s="12">
        <f>(1+InflationRate)^INT((AS55-1)/12)</f>
        <v/>
      </c>
      <c r="AX55" s="11">
        <f>MonthlyChurn*VLOOKUP(AT55,ChurnSeasonTable,4,FALSE)</f>
        <v/>
      </c>
      <c r="AY55" s="12">
        <f>MIN(MAX(MktMin19plus,BS54*MktPct19plus),MAX(0,CG54-CashBuffer))</f>
        <v/>
      </c>
      <c r="AZ55" s="12">
        <f>IF(AY55&gt;0,MAX(1,ROUND(AY55/CAC*AV55,0)),0)</f>
        <v/>
      </c>
      <c r="BA55" s="12">
        <f>IF(AZ55&gt;0,ROUND(AZ55*ReferralMix/(1-ReferralMix),0),0)</f>
        <v/>
      </c>
      <c r="BB55" s="12">
        <f>AZ55+BA55</f>
        <v/>
      </c>
      <c r="BC55" s="12">
        <f>ROUND(BB55*(1-AnnualMix),0)</f>
        <v/>
      </c>
      <c r="BD55" s="12">
        <f>BB55-BC55</f>
        <v/>
      </c>
      <c r="BE55" s="12">
        <f>ROUND(BC55*EssentialMix,0)</f>
        <v/>
      </c>
      <c r="BF55" s="12">
        <f>BC55-BE55</f>
        <v/>
      </c>
      <c r="BG55" s="12">
        <f>ROUND(BD55*EssentialMix,0)</f>
        <v/>
      </c>
      <c r="BH55" s="12">
        <f>BD55-BG55</f>
        <v/>
      </c>
      <c r="BI55" s="12">
        <f>BE55+BE54+BE53+MAX(0,BI54-BE54-BE53)*(1-AX55)</f>
        <v/>
      </c>
      <c r="BJ55" s="12">
        <f>BF55+BF54+BF53+MAX(0,BJ54-BF54-BF53)*(1-AX55)</f>
        <v/>
      </c>
      <c r="BK55" s="12">
        <f>BK54+BG55-BG43*(AnnualChurn*VLOOKUP(AT55,ChurnSeasonTable,4,FALSE))*POWER(1-(AnnualChurn*VLOOKUP(AT55,ChurnSeasonTable,4,FALSE)),0)+BG31*(AnnualChurn*VLOOKUP(AT55,ChurnSeasonTable,4,FALSE))*POWER(1-(AnnualChurn*VLOOKUP(AT55,ChurnSeasonTable,4,FALSE)),1)+BG19*(AnnualChurn*VLOOKUP(AT55,ChurnSeasonTable,4,FALSE))*POWER(1-(AnnualChurn*VLOOKUP(AT55,ChurnSeasonTable,4,FALSE)),2)+BG7*(AnnualChurn*VLOOKUP(AT55,ChurnSeasonTable,4,FALSE))*POWER(1-(AnnualChurn*VLOOKUP(AT55,ChurnSeasonTable,4,FALSE)),3)</f>
        <v/>
      </c>
      <c r="BL55" s="12">
        <f>BL54+BH55-BH43*(AnnualChurn*VLOOKUP(AT55,ChurnSeasonTable,4,FALSE))*POWER(1-(AnnualChurn*VLOOKUP(AT55,ChurnSeasonTable,4,FALSE)),0)+BH31*(AnnualChurn*VLOOKUP(AT55,ChurnSeasonTable,4,FALSE))*POWER(1-(AnnualChurn*VLOOKUP(AT55,ChurnSeasonTable,4,FALSE)),1)+BH19*(AnnualChurn*VLOOKUP(AT55,ChurnSeasonTable,4,FALSE))*POWER(1-(AnnualChurn*VLOOKUP(AT55,ChurnSeasonTable,4,FALSE)),2)+BH7*(AnnualChurn*VLOOKUP(AT55,ChurnSeasonTable,4,FALSE))*POWER(1-(AnnualChurn*VLOOKUP(AT55,ChurnSeasonTable,4,FALSE)),3)</f>
        <v/>
      </c>
      <c r="BM55" s="12">
        <f>BI55+BJ55+BK55+BL55</f>
        <v/>
      </c>
      <c r="BN55" s="9">
        <f>BI55*PriceEssMonthly*AW55+BJ55*PricePremMonthly*AW55+BK55*PriceEssAnnual*AW55/12+BL55*PricePremAnnual*AW55/12</f>
        <v/>
      </c>
      <c r="BO55" s="9">
        <f>BN55*12</f>
        <v/>
      </c>
      <c r="BP55" s="12">
        <f>BI55*PriceEssMonthly*AW55+BJ55*PricePremMonthly*AW55</f>
        <v/>
      </c>
      <c r="BQ55" s="12">
        <f>BG55*PriceEssAnnual*AW55+BH55*PricePremAnnual*AW55</f>
        <v/>
      </c>
      <c r="BR55" s="12">
        <f>BG43*POWER(1-(AnnualChurn*VLOOKUP(AT55,ChurnSeasonTable,4,FALSE)),1)*PriceEssAnnual*AW55+BG31*POWER(1-(AnnualChurn*VLOOKUP(AT55,ChurnSeasonTable,4,FALSE)),2)*PriceEssAnnual*AW55+BG19*POWER(1-(AnnualChurn*VLOOKUP(AT55,ChurnSeasonTable,4,FALSE)),3)*PriceEssAnnual*AW55+BG7*POWER(1-(AnnualChurn*VLOOKUP(AT55,ChurnSeasonTable,4,FALSE)),4)*PriceEssAnnual*AW55+BH43*POWER(1-(AnnualChurn*VLOOKUP(AT55,ChurnSeasonTable,4,FALSE)),1)*PricePremAnnual*AW55+BH31*POWER(1-(AnnualChurn*VLOOKUP(AT55,ChurnSeasonTable,4,FALSE)),2)*PricePremAnnual*AW55+BH19*POWER(1-(AnnualChurn*VLOOKUP(AT55,ChurnSeasonTable,4,FALSE)),3)*PricePremAnnual*AW55+BH7*POWER(1-(AnnualChurn*VLOOKUP(AT55,ChurnSeasonTable,4,FALSE)),4)*PricePremAnnual*AW55</f>
        <v/>
      </c>
      <c r="BS55" s="9">
        <f>BP55+BQ55+BR55</f>
        <v/>
      </c>
      <c r="BT55" s="12">
        <f>SUM(BS44:BS55)</f>
        <v/>
      </c>
      <c r="BU55" s="12">
        <f>OR(BU54,BT55&gt;=VATThreshold)</f>
        <v/>
      </c>
      <c r="BV55" s="9">
        <f>IF(BU55,BS55/(1+VATRate),BS55)</f>
        <v/>
      </c>
      <c r="BW55" s="12">
        <f>BS55-BV55</f>
        <v/>
      </c>
      <c r="BX55" s="12">
        <f>IF(BU55=0,0,IF(AT55=1,SUMPRODUCT(--(($AU$5:$AU55=$AU55-1)*($AT$5:$AT55&gt;=10)*($AT$5:$AT55&lt;=12)),$BW$5:$BW55),IF(AT55=4,SUMPRODUCT(--(($AU$5:$AU55=$AU55)*($AT$5:$AT55&gt;=1)*($AT$5:$AT55&lt;=3)),$BW$5:$BW55),IF(AT55=7,SUMPRODUCT(--(($AU$5:$AU55=$AU55)*($AT$5:$AT55&gt;=4)*($AT$5:$AT55&lt;=6)),$BW$5:$BW55),IF(AT55=10,SUMPRODUCT(--(($AU$5:$AU55=$AU55)*($AT$5:$AT55&gt;=7)*($AT$5:$AT55&lt;=9)),$BW$5:$BW55),0)))))</f>
        <v/>
      </c>
      <c r="BY55" s="12">
        <f>BY54+BW55-BX55</f>
        <v/>
      </c>
      <c r="BZ55" s="12">
        <f>IF(ProviderDelay&gt;=1,BV54*ProviderShare,BV55*ProviderShare)</f>
        <v/>
      </c>
      <c r="CA55" s="12">
        <f>BS55*PaymentFee</f>
        <v/>
      </c>
      <c r="CB55" s="12">
        <f>BM55*OpsAI</f>
        <v/>
      </c>
      <c r="CC55" s="12">
        <f>MonthlyFixed</f>
        <v/>
      </c>
      <c r="CD55" s="12">
        <f>BA55*ReferralReward</f>
        <v/>
      </c>
      <c r="CE55" s="12">
        <f>AY55</f>
        <v/>
      </c>
      <c r="CF55" s="9">
        <f>BV55-BZ55-CA55-CB55-CC55-CD55-CE55</f>
        <v/>
      </c>
      <c r="CG55" s="9">
        <f>CG54+BS55-(BZ55+CA55+CB55+CC55+CD55+CE55+BX55)</f>
        <v/>
      </c>
      <c r="CH55" s="12">
        <f>IF(BM55&gt;0,BN55/BM55,0)</f>
        <v/>
      </c>
      <c r="CI55" s="11">
        <f>IF(BM54&gt;0,MAX(0,(BM54+BB55-BM55)/BM54),0)</f>
        <v/>
      </c>
      <c r="CK55" s="12" t="n">
        <v>51</v>
      </c>
      <c r="CL55" s="12">
        <f>MOD(CK55-1+LaunchMonth-1,12)+1</f>
        <v/>
      </c>
      <c r="CM55" s="12">
        <f>INT((CK55-1+LaunchMonth-1)/12)+1</f>
        <v/>
      </c>
      <c r="CN55" s="12">
        <f>VLOOKUP(CL55,SeasonTable,2,FALSE)</f>
        <v/>
      </c>
      <c r="CO55" s="12">
        <f>(1+InflationRate)^INT((CK55-1)/12)</f>
        <v/>
      </c>
      <c r="CP55" s="11">
        <f>'Sens - Scenarios'!$D$5*VLOOKUP(CL55,ChurnSeasonTable,4,FALSE)</f>
        <v/>
      </c>
      <c r="CQ55" s="12">
        <f>MIN(MAX(MktMin19plus,DK54*MktPct19plus),MAX(0,DY54-CashBuffer))</f>
        <v/>
      </c>
      <c r="CR55" s="12">
        <f>IF(CQ55&gt;0,MAX(1,ROUND(CQ55/'Sens - Scenarios'!$D$8*CN55,0)),0)</f>
        <v/>
      </c>
      <c r="CS55" s="12">
        <f>IF(CR55&gt;0,ROUND(CR55*ReferralMix/(1-ReferralMix),0),0)</f>
        <v/>
      </c>
      <c r="CT55" s="12">
        <f>CR55+CS55</f>
        <v/>
      </c>
      <c r="CU55" s="12">
        <f>ROUND(CT55*(1-'Sens - Scenarios'!$D$7),0)</f>
        <v/>
      </c>
      <c r="CV55" s="12">
        <f>CT55-CU55</f>
        <v/>
      </c>
      <c r="CW55" s="12">
        <f>ROUND(CU55*EssentialMix,0)</f>
        <v/>
      </c>
      <c r="CX55" s="12">
        <f>CU55-CW55</f>
        <v/>
      </c>
      <c r="CY55" s="12">
        <f>ROUND(CV55*EssentialMix,0)</f>
        <v/>
      </c>
      <c r="CZ55" s="12">
        <f>CV55-CY55</f>
        <v/>
      </c>
      <c r="DA55" s="12">
        <f>CW55+CW54+CW53+MAX(0,DA54-CW54-CW53)*(1-CP55)</f>
        <v/>
      </c>
      <c r="DB55" s="12">
        <f>CX55+CX54+CX53+MAX(0,DB54-CX54-CX53)*(1-CP55)</f>
        <v/>
      </c>
      <c r="DC55" s="12">
        <f>DC54+CY55-CY43*('Sens - Scenarios'!$D$6*VLOOKUP(CL55,ChurnSeasonTable,4,FALSE))*POWER(1-('Sens - Scenarios'!$D$6*VLOOKUP(CL55,ChurnSeasonTable,4,FALSE)),0)+CY31*('Sens - Scenarios'!$D$6*VLOOKUP(CL55,ChurnSeasonTable,4,FALSE))*POWER(1-('Sens - Scenarios'!$D$6*VLOOKUP(CL55,ChurnSeasonTable,4,FALSE)),1)+CY19*('Sens - Scenarios'!$D$6*VLOOKUP(CL55,ChurnSeasonTable,4,FALSE))*POWER(1-('Sens - Scenarios'!$D$6*VLOOKUP(CL55,ChurnSeasonTable,4,FALSE)),2)+CY7*('Sens - Scenarios'!$D$6*VLOOKUP(CL55,ChurnSeasonTable,4,FALSE))*POWER(1-('Sens - Scenarios'!$D$6*VLOOKUP(CL55,ChurnSeasonTable,4,FALSE)),3)</f>
        <v/>
      </c>
      <c r="DD55" s="12">
        <f>DD54+CZ55-CZ43*('Sens - Scenarios'!$D$6*VLOOKUP(CL55,ChurnSeasonTable,4,FALSE))*POWER(1-('Sens - Scenarios'!$D$6*VLOOKUP(CL55,ChurnSeasonTable,4,FALSE)),0)+CZ31*('Sens - Scenarios'!$D$6*VLOOKUP(CL55,ChurnSeasonTable,4,FALSE))*POWER(1-('Sens - Scenarios'!$D$6*VLOOKUP(CL55,ChurnSeasonTable,4,FALSE)),1)+CZ19*('Sens - Scenarios'!$D$6*VLOOKUP(CL55,ChurnSeasonTable,4,FALSE))*POWER(1-('Sens - Scenarios'!$D$6*VLOOKUP(CL55,ChurnSeasonTable,4,FALSE)),2)+CZ7*('Sens - Scenarios'!$D$6*VLOOKUP(CL55,ChurnSeasonTable,4,FALSE))*POWER(1-('Sens - Scenarios'!$D$6*VLOOKUP(CL55,ChurnSeasonTable,4,FALSE)),3)</f>
        <v/>
      </c>
      <c r="DE55" s="12">
        <f>DA55+DB55+DC55+DD55</f>
        <v/>
      </c>
      <c r="DF55" s="9">
        <f>DA55*PriceEssMonthly*CO55+DB55*PricePremMonthly*CO55+DC55*PriceEssAnnual*CO55/12+DD55*PricePremAnnual*CO55/12</f>
        <v/>
      </c>
      <c r="DG55" s="9">
        <f>DF55*12</f>
        <v/>
      </c>
      <c r="DH55" s="12">
        <f>DA55*PriceEssMonthly*CO55+DB55*PricePremMonthly*CO55</f>
        <v/>
      </c>
      <c r="DI55" s="12">
        <f>CY55*PriceEssAnnual*CO55+CZ55*PricePremAnnual*CO55</f>
        <v/>
      </c>
      <c r="DJ55" s="12">
        <f>CY43*POWER(1-('Sens - Scenarios'!$D$6*VLOOKUP(CL55,ChurnSeasonTable,4,FALSE)),1)*PriceEssAnnual*CO55+CY31*POWER(1-('Sens - Scenarios'!$D$6*VLOOKUP(CL55,ChurnSeasonTable,4,FALSE)),2)*PriceEssAnnual*CO55+CY19*POWER(1-('Sens - Scenarios'!$D$6*VLOOKUP(CL55,ChurnSeasonTable,4,FALSE)),3)*PriceEssAnnual*CO55+CY7*POWER(1-('Sens - Scenarios'!$D$6*VLOOKUP(CL55,ChurnSeasonTable,4,FALSE)),4)*PriceEssAnnual*CO55+CZ43*POWER(1-('Sens - Scenarios'!$D$6*VLOOKUP(CL55,ChurnSeasonTable,4,FALSE)),1)*PricePremAnnual*CO55+CZ31*POWER(1-('Sens - Scenarios'!$D$6*VLOOKUP(CL55,ChurnSeasonTable,4,FALSE)),2)*PricePremAnnual*CO55+CZ19*POWER(1-('Sens - Scenarios'!$D$6*VLOOKUP(CL55,ChurnSeasonTable,4,FALSE)),3)*PricePremAnnual*CO55+CZ7*POWER(1-('Sens - Scenarios'!$D$6*VLOOKUP(CL55,ChurnSeasonTable,4,FALSE)),4)*PricePremAnnual*CO55</f>
        <v/>
      </c>
      <c r="DK55" s="9">
        <f>DH55+DI55+DJ55</f>
        <v/>
      </c>
      <c r="DL55" s="12">
        <f>SUM(DK44:DK55)</f>
        <v/>
      </c>
      <c r="DM55" s="12">
        <f>OR(DM54,DL55&gt;=VATThreshold)</f>
        <v/>
      </c>
      <c r="DN55" s="9">
        <f>IF(DM55,DK55/(1+VATRate),DK55)</f>
        <v/>
      </c>
      <c r="DO55" s="12">
        <f>DK55-DN55</f>
        <v/>
      </c>
      <c r="DP55" s="12">
        <f>IF(DM55=0,0,IF(CL55=1,SUMPRODUCT(--(($CM$5:$CM55=$CM55-1)*($CL$5:$CL55&gt;=10)*($CL$5:$CL55&lt;=12)),$DO$5:$DO55),IF(CL55=4,SUMPRODUCT(--(($CM$5:$CM55=$CM55)*($CL$5:$CL55&gt;=1)*($CL$5:$CL55&lt;=3)),$DO$5:$DO55),IF(CL55=7,SUMPRODUCT(--(($CM$5:$CM55=$CM55)*($CL$5:$CL55&gt;=4)*($CL$5:$CL55&lt;=6)),$DO$5:$DO55),IF(CL55=10,SUMPRODUCT(--(($CM$5:$CM55=$CM55)*($CL$5:$CL55&gt;=7)*($CL$5:$CL55&lt;=9)),$DO$5:$DO55),0)))))</f>
        <v/>
      </c>
      <c r="DQ55" s="12">
        <f>DQ54+DO55-DP55</f>
        <v/>
      </c>
      <c r="DR55" s="12">
        <f>IF(ProviderDelay&gt;=1,DN54*ProviderShare,DN55*ProviderShare)</f>
        <v/>
      </c>
      <c r="DS55" s="12">
        <f>DK55*PaymentFee</f>
        <v/>
      </c>
      <c r="DT55" s="12">
        <f>DE55*OpsAI</f>
        <v/>
      </c>
      <c r="DU55" s="12">
        <f>MonthlyFixed</f>
        <v/>
      </c>
      <c r="DV55" s="12">
        <f>CS55*ReferralReward</f>
        <v/>
      </c>
      <c r="DW55" s="12">
        <f>CQ55</f>
        <v/>
      </c>
      <c r="DX55" s="9">
        <f>DN55-DR55-DS55-DT55-DU55-DV55-DW55</f>
        <v/>
      </c>
      <c r="DY55" s="9">
        <f>DY54+DK55-(DR55+DS55+DT55+DU55+DV55+DW55+DP55)</f>
        <v/>
      </c>
      <c r="DZ55" s="12">
        <f>IF(DE55&gt;0,DF55/DE55,0)</f>
        <v/>
      </c>
      <c r="EA55" s="11">
        <f>IF(DE54&gt;0,MAX(0,(DE54+CT55-DE55)/DE54),0)</f>
        <v/>
      </c>
      <c r="EC55" s="12" t="n">
        <v>51</v>
      </c>
      <c r="ED55" s="12">
        <f>MOD(EC55-1+LaunchMonth-1,12)+1</f>
        <v/>
      </c>
      <c r="EE55" s="12">
        <f>INT((EC55-1+LaunchMonth-1)/12)+1</f>
        <v/>
      </c>
      <c r="EF55" s="12">
        <f>VLOOKUP(ED55,SeasonTable,2,FALSE)</f>
        <v/>
      </c>
      <c r="EG55" s="12">
        <f>(1+InflationRate)^INT((EC55-1)/12)</f>
        <v/>
      </c>
      <c r="EH55" s="11">
        <f>'Sens - Churn'!$A$13*VLOOKUP(ED55,ChurnSeasonTable,4,FALSE)</f>
        <v/>
      </c>
      <c r="EI55" s="12">
        <f>MIN(MAX(MktMin19plus,FC54*MktPct19plus),MAX(0,FQ54-CashBuffer))</f>
        <v/>
      </c>
      <c r="EJ55" s="12">
        <f>IF(EI55&gt;0,MAX(1,ROUND(EI55/CAC*EF55,0)),0)</f>
        <v/>
      </c>
      <c r="EK55" s="12">
        <f>IF(EJ55&gt;0,ROUND(EJ55*ReferralMix/(1-ReferralMix),0),0)</f>
        <v/>
      </c>
      <c r="EL55" s="12">
        <f>EJ55+EK55</f>
        <v/>
      </c>
      <c r="EM55" s="12">
        <f>ROUND(EL55*(1-AnnualMix),0)</f>
        <v/>
      </c>
      <c r="EN55" s="12">
        <f>EL55-EM55</f>
        <v/>
      </c>
      <c r="EO55" s="12">
        <f>ROUND(EM55*EssentialMix,0)</f>
        <v/>
      </c>
      <c r="EP55" s="12">
        <f>EM55-EO55</f>
        <v/>
      </c>
      <c r="EQ55" s="12">
        <f>ROUND(EN55*EssentialMix,0)</f>
        <v/>
      </c>
      <c r="ER55" s="12">
        <f>EN55-EQ55</f>
        <v/>
      </c>
      <c r="ES55" s="12">
        <f>EO55+EO54+EO53+MAX(0,ES54-EO54-EO53)*(1-EH55)</f>
        <v/>
      </c>
      <c r="ET55" s="12">
        <f>EP55+EP54+EP53+MAX(0,ET54-EP54-EP53)*(1-EH55)</f>
        <v/>
      </c>
      <c r="EU55" s="12">
        <f>EU54+EQ55-EQ43*(AnnualChurn*VLOOKUP(ED55,ChurnSeasonTable,4,FALSE))*POWER(1-(AnnualChurn*VLOOKUP(ED55,ChurnSeasonTable,4,FALSE)),0)+EQ31*(AnnualChurn*VLOOKUP(ED55,ChurnSeasonTable,4,FALSE))*POWER(1-(AnnualChurn*VLOOKUP(ED55,ChurnSeasonTable,4,FALSE)),1)+EQ19*(AnnualChurn*VLOOKUP(ED55,ChurnSeasonTable,4,FALSE))*POWER(1-(AnnualChurn*VLOOKUP(ED55,ChurnSeasonTable,4,FALSE)),2)+EQ7*(AnnualChurn*VLOOKUP(ED55,ChurnSeasonTable,4,FALSE))*POWER(1-(AnnualChurn*VLOOKUP(ED55,ChurnSeasonTable,4,FALSE)),3)</f>
        <v/>
      </c>
      <c r="EV55" s="12">
        <f>EV54+ER55-ER43*(AnnualChurn*VLOOKUP(ED55,ChurnSeasonTable,4,FALSE))*POWER(1-(AnnualChurn*VLOOKUP(ED55,ChurnSeasonTable,4,FALSE)),0)+ER31*(AnnualChurn*VLOOKUP(ED55,ChurnSeasonTable,4,FALSE))*POWER(1-(AnnualChurn*VLOOKUP(ED55,ChurnSeasonTable,4,FALSE)),1)+ER19*(AnnualChurn*VLOOKUP(ED55,ChurnSeasonTable,4,FALSE))*POWER(1-(AnnualChurn*VLOOKUP(ED55,ChurnSeasonTable,4,FALSE)),2)+ER7*(AnnualChurn*VLOOKUP(ED55,ChurnSeasonTable,4,FALSE))*POWER(1-(AnnualChurn*VLOOKUP(ED55,ChurnSeasonTable,4,FALSE)),3)</f>
        <v/>
      </c>
      <c r="EW55" s="12">
        <f>ES55+ET55+EU55+EV55</f>
        <v/>
      </c>
      <c r="EX55" s="9">
        <f>ES55*PriceEssMonthly*EG55+ET55*PricePremMonthly*EG55+EU55*PriceEssAnnual*EG55/12+EV55*PricePremAnnual*EG55/12</f>
        <v/>
      </c>
      <c r="EY55" s="9">
        <f>EX55*12</f>
        <v/>
      </c>
      <c r="EZ55" s="12">
        <f>ES55*PriceEssMonthly*EG55+ET55*PricePremMonthly*EG55</f>
        <v/>
      </c>
      <c r="FA55" s="12">
        <f>EQ55*PriceEssAnnual*EG55+ER55*PricePremAnnual*EG55</f>
        <v/>
      </c>
      <c r="FB55" s="12">
        <f>EQ43*POWER(1-(AnnualChurn*VLOOKUP(ED55,ChurnSeasonTable,4,FALSE)),1)*PriceEssAnnual*EG55+EQ31*POWER(1-(AnnualChurn*VLOOKUP(ED55,ChurnSeasonTable,4,FALSE)),2)*PriceEssAnnual*EG55+EQ19*POWER(1-(AnnualChurn*VLOOKUP(ED55,ChurnSeasonTable,4,FALSE)),3)*PriceEssAnnual*EG55+EQ7*POWER(1-(AnnualChurn*VLOOKUP(ED55,ChurnSeasonTable,4,FALSE)),4)*PriceEssAnnual*EG55+ER43*POWER(1-(AnnualChurn*VLOOKUP(ED55,ChurnSeasonTable,4,FALSE)),1)*PricePremAnnual*EG55+ER31*POWER(1-(AnnualChurn*VLOOKUP(ED55,ChurnSeasonTable,4,FALSE)),2)*PricePremAnnual*EG55+ER19*POWER(1-(AnnualChurn*VLOOKUP(ED55,ChurnSeasonTable,4,FALSE)),3)*PricePremAnnual*EG55+ER7*POWER(1-(AnnualChurn*VLOOKUP(ED55,ChurnSeasonTable,4,FALSE)),4)*PricePremAnnual*EG55</f>
        <v/>
      </c>
      <c r="FC55" s="9">
        <f>EZ55+FA55+FB55</f>
        <v/>
      </c>
      <c r="FD55" s="12">
        <f>SUM(FC44:FC55)</f>
        <v/>
      </c>
      <c r="FE55" s="12">
        <f>OR(FE54,FD55&gt;=VATThreshold)</f>
        <v/>
      </c>
      <c r="FF55" s="9">
        <f>IF(FE55,FC55/(1+VATRate),FC55)</f>
        <v/>
      </c>
      <c r="FG55" s="12">
        <f>FC55-FF55</f>
        <v/>
      </c>
      <c r="FH55" s="12">
        <f>IF(FE55=0,0,IF(ED55=1,SUMPRODUCT(--(($EE$5:$EE55=$EE55-1)*($ED$5:$ED55&gt;=10)*($ED$5:$ED55&lt;=12)),$FG$5:$FG55),IF(ED55=4,SUMPRODUCT(--(($EE$5:$EE55=$EE55)*($ED$5:$ED55&gt;=1)*($ED$5:$ED55&lt;=3)),$FG$5:$FG55),IF(ED55=7,SUMPRODUCT(--(($EE$5:$EE55=$EE55)*($ED$5:$ED55&gt;=4)*($ED$5:$ED55&lt;=6)),$FG$5:$FG55),IF(ED55=10,SUMPRODUCT(--(($EE$5:$EE55=$EE55)*($ED$5:$ED55&gt;=7)*($ED$5:$ED55&lt;=9)),$FG$5:$FG55),0)))))</f>
        <v/>
      </c>
      <c r="FI55" s="12">
        <f>FI54+FG55-FH55</f>
        <v/>
      </c>
      <c r="FJ55" s="12">
        <f>IF(ProviderDelay&gt;=1,FF54*ProviderShare,FF55*ProviderShare)</f>
        <v/>
      </c>
      <c r="FK55" s="12">
        <f>FC55*PaymentFee</f>
        <v/>
      </c>
      <c r="FL55" s="12">
        <f>EW55*OpsAI</f>
        <v/>
      </c>
      <c r="FM55" s="12">
        <f>MonthlyFixed</f>
        <v/>
      </c>
      <c r="FN55" s="12">
        <f>EK55*ReferralReward</f>
        <v/>
      </c>
      <c r="FO55" s="12">
        <f>EI55</f>
        <v/>
      </c>
      <c r="FP55" s="9">
        <f>FF55-FJ55-FK55-FL55-FM55-FN55-FO55</f>
        <v/>
      </c>
      <c r="FQ55" s="9">
        <f>FQ54+FC55-(FJ55+FK55+FL55+FM55+FN55+FO55+FH55)</f>
        <v/>
      </c>
      <c r="FR55" s="12">
        <f>IF(EW55&gt;0,EX55/EW55,0)</f>
        <v/>
      </c>
      <c r="FS55" s="11">
        <f>IF(EW54&gt;0,MAX(0,(EW54+EL55-EW55)/EW54),0)</f>
        <v/>
      </c>
      <c r="FU55" s="12" t="n">
        <v>51</v>
      </c>
      <c r="FV55" s="12">
        <f>MOD(FU55-1+LaunchMonth-1,12)+1</f>
        <v/>
      </c>
      <c r="FW55" s="12">
        <f>INT((FU55-1+LaunchMonth-1)/12)+1</f>
        <v/>
      </c>
      <c r="FX55" s="12">
        <f>VLOOKUP(FV55,SeasonTable,2,FALSE)</f>
        <v/>
      </c>
      <c r="FY55" s="12">
        <f>(1+InflationRate)^INT((FU55-1)/12)</f>
        <v/>
      </c>
      <c r="FZ55" s="11">
        <f>'Sens - Churn'!$A$14*VLOOKUP(FV55,ChurnSeasonTable,4,FALSE)</f>
        <v/>
      </c>
      <c r="GA55" s="12">
        <f>MIN(MAX(MktMin19plus,GU54*MktPct19plus),MAX(0,HI54-CashBuffer))</f>
        <v/>
      </c>
      <c r="GB55" s="12">
        <f>IF(GA55&gt;0,MAX(1,ROUND(GA55/CAC*FX55,0)),0)</f>
        <v/>
      </c>
      <c r="GC55" s="12">
        <f>IF(GB55&gt;0,ROUND(GB55*ReferralMix/(1-ReferralMix),0),0)</f>
        <v/>
      </c>
      <c r="GD55" s="12">
        <f>GB55+GC55</f>
        <v/>
      </c>
      <c r="GE55" s="12">
        <f>ROUND(GD55*(1-AnnualMix),0)</f>
        <v/>
      </c>
      <c r="GF55" s="12">
        <f>GD55-GE55</f>
        <v/>
      </c>
      <c r="GG55" s="12">
        <f>ROUND(GE55*EssentialMix,0)</f>
        <v/>
      </c>
      <c r="GH55" s="12">
        <f>GE55-GG55</f>
        <v/>
      </c>
      <c r="GI55" s="12">
        <f>ROUND(GF55*EssentialMix,0)</f>
        <v/>
      </c>
      <c r="GJ55" s="12">
        <f>GF55-GI55</f>
        <v/>
      </c>
      <c r="GK55" s="12">
        <f>GG55+GG54+GG53+MAX(0,GK54-GG54-GG53)*(1-FZ55)</f>
        <v/>
      </c>
      <c r="GL55" s="12">
        <f>GH55+GH54+GH53+MAX(0,GL54-GH54-GH53)*(1-FZ55)</f>
        <v/>
      </c>
      <c r="GM55" s="12">
        <f>GM54+GI55-GI43*(AnnualChurn*VLOOKUP(FV55,ChurnSeasonTable,4,FALSE))*POWER(1-(AnnualChurn*VLOOKUP(FV55,ChurnSeasonTable,4,FALSE)),0)+GI31*(AnnualChurn*VLOOKUP(FV55,ChurnSeasonTable,4,FALSE))*POWER(1-(AnnualChurn*VLOOKUP(FV55,ChurnSeasonTable,4,FALSE)),1)+GI19*(AnnualChurn*VLOOKUP(FV55,ChurnSeasonTable,4,FALSE))*POWER(1-(AnnualChurn*VLOOKUP(FV55,ChurnSeasonTable,4,FALSE)),2)+GI7*(AnnualChurn*VLOOKUP(FV55,ChurnSeasonTable,4,FALSE))*POWER(1-(AnnualChurn*VLOOKUP(FV55,ChurnSeasonTable,4,FALSE)),3)</f>
        <v/>
      </c>
      <c r="GN55" s="12">
        <f>GN54+GJ55-GJ43*(AnnualChurn*VLOOKUP(FV55,ChurnSeasonTable,4,FALSE))*POWER(1-(AnnualChurn*VLOOKUP(FV55,ChurnSeasonTable,4,FALSE)),0)+GJ31*(AnnualChurn*VLOOKUP(FV55,ChurnSeasonTable,4,FALSE))*POWER(1-(AnnualChurn*VLOOKUP(FV55,ChurnSeasonTable,4,FALSE)),1)+GJ19*(AnnualChurn*VLOOKUP(FV55,ChurnSeasonTable,4,FALSE))*POWER(1-(AnnualChurn*VLOOKUP(FV55,ChurnSeasonTable,4,FALSE)),2)+GJ7*(AnnualChurn*VLOOKUP(FV55,ChurnSeasonTable,4,FALSE))*POWER(1-(AnnualChurn*VLOOKUP(FV55,ChurnSeasonTable,4,FALSE)),3)</f>
        <v/>
      </c>
      <c r="GO55" s="12">
        <f>GK55+GL55+GM55+GN55</f>
        <v/>
      </c>
      <c r="GP55" s="9">
        <f>GK55*PriceEssMonthly*FY55+GL55*PricePremMonthly*FY55+GM55*PriceEssAnnual*FY55/12+GN55*PricePremAnnual*FY55/12</f>
        <v/>
      </c>
      <c r="GQ55" s="9">
        <f>GP55*12</f>
        <v/>
      </c>
      <c r="GR55" s="12">
        <f>GK55*PriceEssMonthly*FY55+GL55*PricePremMonthly*FY55</f>
        <v/>
      </c>
      <c r="GS55" s="12">
        <f>GI55*PriceEssAnnual*FY55+GJ55*PricePremAnnual*FY55</f>
        <v/>
      </c>
      <c r="GT55" s="12">
        <f>GI43*POWER(1-(AnnualChurn*VLOOKUP(FV55,ChurnSeasonTable,4,FALSE)),1)*PriceEssAnnual*FY55+GI31*POWER(1-(AnnualChurn*VLOOKUP(FV55,ChurnSeasonTable,4,FALSE)),2)*PriceEssAnnual*FY55+GI19*POWER(1-(AnnualChurn*VLOOKUP(FV55,ChurnSeasonTable,4,FALSE)),3)*PriceEssAnnual*FY55+GI7*POWER(1-(AnnualChurn*VLOOKUP(FV55,ChurnSeasonTable,4,FALSE)),4)*PriceEssAnnual*FY55+GJ43*POWER(1-(AnnualChurn*VLOOKUP(FV55,ChurnSeasonTable,4,FALSE)),1)*PricePremAnnual*FY55+GJ31*POWER(1-(AnnualChurn*VLOOKUP(FV55,ChurnSeasonTable,4,FALSE)),2)*PricePremAnnual*FY55+GJ19*POWER(1-(AnnualChurn*VLOOKUP(FV55,ChurnSeasonTable,4,FALSE)),3)*PricePremAnnual*FY55+GJ7*POWER(1-(AnnualChurn*VLOOKUP(FV55,ChurnSeasonTable,4,FALSE)),4)*PricePremAnnual*FY55</f>
        <v/>
      </c>
      <c r="GU55" s="9">
        <f>GR55+GS55+GT55</f>
        <v/>
      </c>
      <c r="GV55" s="12">
        <f>SUM(GU44:GU55)</f>
        <v/>
      </c>
      <c r="GW55" s="12">
        <f>OR(GW54,GV55&gt;=VATThreshold)</f>
        <v/>
      </c>
      <c r="GX55" s="9">
        <f>IF(GW55,GU55/(1+VATRate),GU55)</f>
        <v/>
      </c>
      <c r="GY55" s="12">
        <f>GU55-GX55</f>
        <v/>
      </c>
      <c r="GZ55" s="12">
        <f>IF(GW55=0,0,IF(FV55=1,SUMPRODUCT(--(($FW$5:$FW55=$FW55-1)*($FV$5:$FV55&gt;=10)*($FV$5:$FV55&lt;=12)),$GY$5:$GY55),IF(FV55=4,SUMPRODUCT(--(($FW$5:$FW55=$FW55)*($FV$5:$FV55&gt;=1)*($FV$5:$FV55&lt;=3)),$GY$5:$GY55),IF(FV55=7,SUMPRODUCT(--(($FW$5:$FW55=$FW55)*($FV$5:$FV55&gt;=4)*($FV$5:$FV55&lt;=6)),$GY$5:$GY55),IF(FV55=10,SUMPRODUCT(--(($FW$5:$FW55=$FW55)*($FV$5:$FV55&gt;=7)*($FV$5:$FV55&lt;=9)),$GY$5:$GY55),0)))))</f>
        <v/>
      </c>
      <c r="HA55" s="12">
        <f>HA54+GY55-GZ55</f>
        <v/>
      </c>
      <c r="HB55" s="12">
        <f>IF(ProviderDelay&gt;=1,GX54*ProviderShare,GX55*ProviderShare)</f>
        <v/>
      </c>
      <c r="HC55" s="12">
        <f>GU55*PaymentFee</f>
        <v/>
      </c>
      <c r="HD55" s="12">
        <f>GO55*OpsAI</f>
        <v/>
      </c>
      <c r="HE55" s="12">
        <f>MonthlyFixed</f>
        <v/>
      </c>
      <c r="HF55" s="12">
        <f>GC55*ReferralReward</f>
        <v/>
      </c>
      <c r="HG55" s="12">
        <f>GA55</f>
        <v/>
      </c>
      <c r="HH55" s="9">
        <f>GX55-HB55-HC55-HD55-HE55-HF55-HG55</f>
        <v/>
      </c>
      <c r="HI55" s="9">
        <f>HI54+GU55-(HB55+HC55+HD55+HE55+HF55+HG55+GZ55)</f>
        <v/>
      </c>
      <c r="HJ55" s="12">
        <f>IF(GO55&gt;0,GP55/GO55,0)</f>
        <v/>
      </c>
      <c r="HK55" s="11">
        <f>IF(GO54&gt;0,MAX(0,(GO54+GD55-GO55)/GO54),0)</f>
        <v/>
      </c>
      <c r="HM55" s="12" t="n">
        <v>51</v>
      </c>
      <c r="HN55" s="12">
        <f>MOD(HM55-1+LaunchMonth-1,12)+1</f>
        <v/>
      </c>
      <c r="HO55" s="12">
        <f>INT((HM55-1+LaunchMonth-1)/12)+1</f>
        <v/>
      </c>
      <c r="HP55" s="12">
        <f>VLOOKUP(HN55,SeasonTable,2,FALSE)</f>
        <v/>
      </c>
      <c r="HQ55" s="12">
        <f>(1+InflationRate)^INT((HM55-1)/12)</f>
        <v/>
      </c>
      <c r="HR55" s="11">
        <f>'Sens - Churn'!$A$15*VLOOKUP(HN55,ChurnSeasonTable,4,FALSE)</f>
        <v/>
      </c>
      <c r="HS55" s="12">
        <f>MIN(MAX(MktMin19plus,IM54*MktPct19plus),MAX(0,JA54-CashBuffer))</f>
        <v/>
      </c>
      <c r="HT55" s="12">
        <f>IF(HS55&gt;0,MAX(1,ROUND(HS55/CAC*HP55,0)),0)</f>
        <v/>
      </c>
      <c r="HU55" s="12">
        <f>IF(HT55&gt;0,ROUND(HT55*ReferralMix/(1-ReferralMix),0),0)</f>
        <v/>
      </c>
      <c r="HV55" s="12">
        <f>HT55+HU55</f>
        <v/>
      </c>
      <c r="HW55" s="12">
        <f>ROUND(HV55*(1-AnnualMix),0)</f>
        <v/>
      </c>
      <c r="HX55" s="12">
        <f>HV55-HW55</f>
        <v/>
      </c>
      <c r="HY55" s="12">
        <f>ROUND(HW55*EssentialMix,0)</f>
        <v/>
      </c>
      <c r="HZ55" s="12">
        <f>HW55-HY55</f>
        <v/>
      </c>
      <c r="IA55" s="12">
        <f>ROUND(HX55*EssentialMix,0)</f>
        <v/>
      </c>
      <c r="IB55" s="12">
        <f>HX55-IA55</f>
        <v/>
      </c>
      <c r="IC55" s="12">
        <f>HY55+HY54+HY53+MAX(0,IC54-HY54-HY53)*(1-HR55)</f>
        <v/>
      </c>
      <c r="ID55" s="12">
        <f>HZ55+HZ54+HZ53+MAX(0,ID54-HZ54-HZ53)*(1-HR55)</f>
        <v/>
      </c>
      <c r="IE55" s="12">
        <f>IE54+IA55-IA43*(AnnualChurn*VLOOKUP(HN55,ChurnSeasonTable,4,FALSE))*POWER(1-(AnnualChurn*VLOOKUP(HN55,ChurnSeasonTable,4,FALSE)),0)+IA31*(AnnualChurn*VLOOKUP(HN55,ChurnSeasonTable,4,FALSE))*POWER(1-(AnnualChurn*VLOOKUP(HN55,ChurnSeasonTable,4,FALSE)),1)+IA19*(AnnualChurn*VLOOKUP(HN55,ChurnSeasonTable,4,FALSE))*POWER(1-(AnnualChurn*VLOOKUP(HN55,ChurnSeasonTable,4,FALSE)),2)+IA7*(AnnualChurn*VLOOKUP(HN55,ChurnSeasonTable,4,FALSE))*POWER(1-(AnnualChurn*VLOOKUP(HN55,ChurnSeasonTable,4,FALSE)),3)</f>
        <v/>
      </c>
      <c r="IF55" s="12">
        <f>IF54+IB55-IB43*(AnnualChurn*VLOOKUP(HN55,ChurnSeasonTable,4,FALSE))*POWER(1-(AnnualChurn*VLOOKUP(HN55,ChurnSeasonTable,4,FALSE)),0)+IB31*(AnnualChurn*VLOOKUP(HN55,ChurnSeasonTable,4,FALSE))*POWER(1-(AnnualChurn*VLOOKUP(HN55,ChurnSeasonTable,4,FALSE)),1)+IB19*(AnnualChurn*VLOOKUP(HN55,ChurnSeasonTable,4,FALSE))*POWER(1-(AnnualChurn*VLOOKUP(HN55,ChurnSeasonTable,4,FALSE)),2)+IB7*(AnnualChurn*VLOOKUP(HN55,ChurnSeasonTable,4,FALSE))*POWER(1-(AnnualChurn*VLOOKUP(HN55,ChurnSeasonTable,4,FALSE)),3)</f>
        <v/>
      </c>
      <c r="IG55" s="12">
        <f>IC55+ID55+IE55+IF55</f>
        <v/>
      </c>
      <c r="IH55" s="9">
        <f>IC55*PriceEssMonthly*HQ55+ID55*PricePremMonthly*HQ55+IE55*PriceEssAnnual*HQ55/12+IF55*PricePremAnnual*HQ55/12</f>
        <v/>
      </c>
      <c r="II55" s="9">
        <f>IH55*12</f>
        <v/>
      </c>
      <c r="IJ55" s="12">
        <f>IC55*PriceEssMonthly*HQ55+ID55*PricePremMonthly*HQ55</f>
        <v/>
      </c>
      <c r="IK55" s="12">
        <f>IA55*PriceEssAnnual*HQ55+IB55*PricePremAnnual*HQ55</f>
        <v/>
      </c>
      <c r="IL55" s="12">
        <f>IA43*POWER(1-(AnnualChurn*VLOOKUP(HN55,ChurnSeasonTable,4,FALSE)),1)*PriceEssAnnual*HQ55+IA31*POWER(1-(AnnualChurn*VLOOKUP(HN55,ChurnSeasonTable,4,FALSE)),2)*PriceEssAnnual*HQ55+IA19*POWER(1-(AnnualChurn*VLOOKUP(HN55,ChurnSeasonTable,4,FALSE)),3)*PriceEssAnnual*HQ55+IA7*POWER(1-(AnnualChurn*VLOOKUP(HN55,ChurnSeasonTable,4,FALSE)),4)*PriceEssAnnual*HQ55+IB43*POWER(1-(AnnualChurn*VLOOKUP(HN55,ChurnSeasonTable,4,FALSE)),1)*PricePremAnnual*HQ55+IB31*POWER(1-(AnnualChurn*VLOOKUP(HN55,ChurnSeasonTable,4,FALSE)),2)*PricePremAnnual*HQ55+IB19*POWER(1-(AnnualChurn*VLOOKUP(HN55,ChurnSeasonTable,4,FALSE)),3)*PricePremAnnual*HQ55+IB7*POWER(1-(AnnualChurn*VLOOKUP(HN55,ChurnSeasonTable,4,FALSE)),4)*PricePremAnnual*HQ55</f>
        <v/>
      </c>
      <c r="IM55" s="9">
        <f>IJ55+IK55+IL55</f>
        <v/>
      </c>
      <c r="IN55" s="12">
        <f>SUM(IM44:IM55)</f>
        <v/>
      </c>
      <c r="IO55" s="12">
        <f>OR(IO54,IN55&gt;=VATThreshold)</f>
        <v/>
      </c>
      <c r="IP55" s="9">
        <f>IF(IO55,IM55/(1+VATRate),IM55)</f>
        <v/>
      </c>
      <c r="IQ55" s="12">
        <f>IM55-IP55</f>
        <v/>
      </c>
      <c r="IR55" s="12">
        <f>IF(IO55=0,0,IF(HN55=1,SUMPRODUCT(--(($HO$5:$HO55=$HO55-1)*($HN$5:$HN55&gt;=10)*($HN$5:$HN55&lt;=12)),$IQ$5:$IQ55),IF(HN55=4,SUMPRODUCT(--(($HO$5:$HO55=$HO55)*($HN$5:$HN55&gt;=1)*($HN$5:$HN55&lt;=3)),$IQ$5:$IQ55),IF(HN55=7,SUMPRODUCT(--(($HO$5:$HO55=$HO55)*($HN$5:$HN55&gt;=4)*($HN$5:$HN55&lt;=6)),$IQ$5:$IQ55),IF(HN55=10,SUMPRODUCT(--(($HO$5:$HO55=$HO55)*($HN$5:$HN55&gt;=7)*($HN$5:$HN55&lt;=9)),$IQ$5:$IQ55),0)))))</f>
        <v/>
      </c>
      <c r="IS55" s="12">
        <f>IS54+IQ55-IR55</f>
        <v/>
      </c>
      <c r="IT55" s="12">
        <f>IF(ProviderDelay&gt;=1,IP54*ProviderShare,IP55*ProviderShare)</f>
        <v/>
      </c>
      <c r="IU55" s="12">
        <f>IM55*PaymentFee</f>
        <v/>
      </c>
      <c r="IV55" s="12">
        <f>IG55*OpsAI</f>
        <v/>
      </c>
      <c r="IW55" s="12">
        <f>MonthlyFixed</f>
        <v/>
      </c>
      <c r="IX55" s="12">
        <f>HU55*ReferralReward</f>
        <v/>
      </c>
      <c r="IY55" s="12">
        <f>HS55</f>
        <v/>
      </c>
      <c r="IZ55" s="9">
        <f>IP55-IT55-IU55-IV55-IW55-IX55-IY55</f>
        <v/>
      </c>
      <c r="JA55" s="9">
        <f>JA54+IM55-(IT55+IU55+IV55+IW55+IX55+IY55+IR55)</f>
        <v/>
      </c>
      <c r="JB55" s="12">
        <f>IF(IG55&gt;0,IH55/IG55,0)</f>
        <v/>
      </c>
      <c r="JC55" s="11">
        <f>IF(IG54&gt;0,MAX(0,(IG54+HV55-IG55)/IG54),0)</f>
        <v/>
      </c>
      <c r="JE55" s="12" t="n">
        <v>51</v>
      </c>
      <c r="JF55" s="12">
        <f>MOD(JE55-1+LaunchMonth-1,12)+1</f>
        <v/>
      </c>
      <c r="JG55" s="12">
        <f>INT((JE55-1+LaunchMonth-1)/12)+1</f>
        <v/>
      </c>
      <c r="JH55" s="12">
        <f>VLOOKUP(JF55,SeasonTable,2,FALSE)</f>
        <v/>
      </c>
      <c r="JI55" s="12">
        <f>(1+InflationRate)^INT((JE55-1)/12)</f>
        <v/>
      </c>
      <c r="JJ55" s="11">
        <f>'Sens - Churn'!$A$16*VLOOKUP(JF55,ChurnSeasonTable,4,FALSE)</f>
        <v/>
      </c>
      <c r="JK55" s="12">
        <f>MIN(MAX(MktMin19plus,KE54*MktPct19plus),MAX(0,KS54-CashBuffer))</f>
        <v/>
      </c>
      <c r="JL55" s="12">
        <f>IF(JK55&gt;0,MAX(1,ROUND(JK55/CAC*JH55,0)),0)</f>
        <v/>
      </c>
      <c r="JM55" s="12">
        <f>IF(JL55&gt;0,ROUND(JL55*ReferralMix/(1-ReferralMix),0),0)</f>
        <v/>
      </c>
      <c r="JN55" s="12">
        <f>JL55+JM55</f>
        <v/>
      </c>
      <c r="JO55" s="12">
        <f>ROUND(JN55*(1-AnnualMix),0)</f>
        <v/>
      </c>
      <c r="JP55" s="12">
        <f>JN55-JO55</f>
        <v/>
      </c>
      <c r="JQ55" s="12">
        <f>ROUND(JO55*EssentialMix,0)</f>
        <v/>
      </c>
      <c r="JR55" s="12">
        <f>JO55-JQ55</f>
        <v/>
      </c>
      <c r="JS55" s="12">
        <f>ROUND(JP55*EssentialMix,0)</f>
        <v/>
      </c>
      <c r="JT55" s="12">
        <f>JP55-JS55</f>
        <v/>
      </c>
      <c r="JU55" s="12">
        <f>JQ55+JQ54+JQ53+MAX(0,JU54-JQ54-JQ53)*(1-JJ55)</f>
        <v/>
      </c>
      <c r="JV55" s="12">
        <f>JR55+JR54+JR53+MAX(0,JV54-JR54-JR53)*(1-JJ55)</f>
        <v/>
      </c>
      <c r="JW55" s="12">
        <f>JW54+JS55-JS43*(AnnualChurn*VLOOKUP(JF55,ChurnSeasonTable,4,FALSE))*POWER(1-(AnnualChurn*VLOOKUP(JF55,ChurnSeasonTable,4,FALSE)),0)+JS31*(AnnualChurn*VLOOKUP(JF55,ChurnSeasonTable,4,FALSE))*POWER(1-(AnnualChurn*VLOOKUP(JF55,ChurnSeasonTable,4,FALSE)),1)+JS19*(AnnualChurn*VLOOKUP(JF55,ChurnSeasonTable,4,FALSE))*POWER(1-(AnnualChurn*VLOOKUP(JF55,ChurnSeasonTable,4,FALSE)),2)+JS7*(AnnualChurn*VLOOKUP(JF55,ChurnSeasonTable,4,FALSE))*POWER(1-(AnnualChurn*VLOOKUP(JF55,ChurnSeasonTable,4,FALSE)),3)</f>
        <v/>
      </c>
      <c r="JX55" s="12">
        <f>JX54+JT55-JT43*(AnnualChurn*VLOOKUP(JF55,ChurnSeasonTable,4,FALSE))*POWER(1-(AnnualChurn*VLOOKUP(JF55,ChurnSeasonTable,4,FALSE)),0)+JT31*(AnnualChurn*VLOOKUP(JF55,ChurnSeasonTable,4,FALSE))*POWER(1-(AnnualChurn*VLOOKUP(JF55,ChurnSeasonTable,4,FALSE)),1)+JT19*(AnnualChurn*VLOOKUP(JF55,ChurnSeasonTable,4,FALSE))*POWER(1-(AnnualChurn*VLOOKUP(JF55,ChurnSeasonTable,4,FALSE)),2)+JT7*(AnnualChurn*VLOOKUP(JF55,ChurnSeasonTable,4,FALSE))*POWER(1-(AnnualChurn*VLOOKUP(JF55,ChurnSeasonTable,4,FALSE)),3)</f>
        <v/>
      </c>
      <c r="JY55" s="12">
        <f>JU55+JV55+JW55+JX55</f>
        <v/>
      </c>
      <c r="JZ55" s="9">
        <f>JU55*PriceEssMonthly*JI55+JV55*PricePremMonthly*JI55+JW55*PriceEssAnnual*JI55/12+JX55*PricePremAnnual*JI55/12</f>
        <v/>
      </c>
      <c r="KA55" s="9">
        <f>JZ55*12</f>
        <v/>
      </c>
      <c r="KB55" s="12">
        <f>JU55*PriceEssMonthly*JI55+JV55*PricePremMonthly*JI55</f>
        <v/>
      </c>
      <c r="KC55" s="12">
        <f>JS55*PriceEssAnnual*JI55+JT55*PricePremAnnual*JI55</f>
        <v/>
      </c>
      <c r="KD55" s="12">
        <f>JS43*POWER(1-(AnnualChurn*VLOOKUP(JF55,ChurnSeasonTable,4,FALSE)),1)*PriceEssAnnual*JI55+JS31*POWER(1-(AnnualChurn*VLOOKUP(JF55,ChurnSeasonTable,4,FALSE)),2)*PriceEssAnnual*JI55+JS19*POWER(1-(AnnualChurn*VLOOKUP(JF55,ChurnSeasonTable,4,FALSE)),3)*PriceEssAnnual*JI55+JS7*POWER(1-(AnnualChurn*VLOOKUP(JF55,ChurnSeasonTable,4,FALSE)),4)*PriceEssAnnual*JI55+JT43*POWER(1-(AnnualChurn*VLOOKUP(JF55,ChurnSeasonTable,4,FALSE)),1)*PricePremAnnual*JI55+JT31*POWER(1-(AnnualChurn*VLOOKUP(JF55,ChurnSeasonTable,4,FALSE)),2)*PricePremAnnual*JI55+JT19*POWER(1-(AnnualChurn*VLOOKUP(JF55,ChurnSeasonTable,4,FALSE)),3)*PricePremAnnual*JI55+JT7*POWER(1-(AnnualChurn*VLOOKUP(JF55,ChurnSeasonTable,4,FALSE)),4)*PricePremAnnual*JI55</f>
        <v/>
      </c>
      <c r="KE55" s="9">
        <f>KB55+KC55+KD55</f>
        <v/>
      </c>
      <c r="KF55" s="12">
        <f>SUM(KE44:KE55)</f>
        <v/>
      </c>
      <c r="KG55" s="12">
        <f>OR(KG54,KF55&gt;=VATThreshold)</f>
        <v/>
      </c>
      <c r="KH55" s="9">
        <f>IF(KG55,KE55/(1+VATRate),KE55)</f>
        <v/>
      </c>
      <c r="KI55" s="12">
        <f>KE55-KH55</f>
        <v/>
      </c>
      <c r="KJ55" s="12">
        <f>IF(KG55=0,0,IF(JF55=1,SUMPRODUCT(--(($JG$5:$JG55=$JG55-1)*($JF$5:$JF55&gt;=10)*($JF$5:$JF55&lt;=12)),$KI$5:$KI55),IF(JF55=4,SUMPRODUCT(--(($JG$5:$JG55=$JG55)*($JF$5:$JF55&gt;=1)*($JF$5:$JF55&lt;=3)),$KI$5:$KI55),IF(JF55=7,SUMPRODUCT(--(($JG$5:$JG55=$JG55)*($JF$5:$JF55&gt;=4)*($JF$5:$JF55&lt;=6)),$KI$5:$KI55),IF(JF55=10,SUMPRODUCT(--(($JG$5:$JG55=$JG55)*($JF$5:$JF55&gt;=7)*($JF$5:$JF55&lt;=9)),$KI$5:$KI55),0)))))</f>
        <v/>
      </c>
      <c r="KK55" s="12">
        <f>KK54+KI55-KJ55</f>
        <v/>
      </c>
      <c r="KL55" s="12">
        <f>IF(ProviderDelay&gt;=1,KH54*ProviderShare,KH55*ProviderShare)</f>
        <v/>
      </c>
      <c r="KM55" s="12">
        <f>KE55*PaymentFee</f>
        <v/>
      </c>
      <c r="KN55" s="12">
        <f>JY55*OpsAI</f>
        <v/>
      </c>
      <c r="KO55" s="12">
        <f>MonthlyFixed</f>
        <v/>
      </c>
      <c r="KP55" s="12">
        <f>JM55*ReferralReward</f>
        <v/>
      </c>
      <c r="KQ55" s="12">
        <f>JK55</f>
        <v/>
      </c>
      <c r="KR55" s="9">
        <f>KH55-KL55-KM55-KN55-KO55-KP55-KQ55</f>
        <v/>
      </c>
      <c r="KS55" s="9">
        <f>KS54+KE55-(KL55+KM55+KN55+KO55+KP55+KQ55+KJ55)</f>
        <v/>
      </c>
      <c r="KT55" s="12">
        <f>IF(JY55&gt;0,JZ55/JY55,0)</f>
        <v/>
      </c>
      <c r="KU55" s="11">
        <f>IF(JY54&gt;0,MAX(0,(JY54+JN55-JY55)/JY54),0)</f>
        <v/>
      </c>
      <c r="KW55" s="12" t="n">
        <v>51</v>
      </c>
      <c r="KX55" s="12">
        <f>MOD(KW55-1+LaunchMonth-1,12)+1</f>
        <v/>
      </c>
      <c r="KY55" s="12">
        <f>INT((KW55-1+LaunchMonth-1)/12)+1</f>
        <v/>
      </c>
      <c r="KZ55" s="12">
        <f>VLOOKUP(KX55,SeasonTable,2,FALSE)</f>
        <v/>
      </c>
      <c r="LA55" s="12">
        <f>(1+InflationRate)^INT((KW55-1)/12)</f>
        <v/>
      </c>
      <c r="LB55" s="11">
        <f>'Sens - Churn'!$A$17*VLOOKUP(KX55,ChurnSeasonTable,4,FALSE)</f>
        <v/>
      </c>
      <c r="LC55" s="12">
        <f>MIN(MAX(MktMin19plus,LW54*MktPct19plus),MAX(0,MK54-CashBuffer))</f>
        <v/>
      </c>
      <c r="LD55" s="12">
        <f>IF(LC55&gt;0,MAX(1,ROUND(LC55/CAC*KZ55,0)),0)</f>
        <v/>
      </c>
      <c r="LE55" s="12">
        <f>IF(LD55&gt;0,ROUND(LD55*ReferralMix/(1-ReferralMix),0),0)</f>
        <v/>
      </c>
      <c r="LF55" s="12">
        <f>LD55+LE55</f>
        <v/>
      </c>
      <c r="LG55" s="12">
        <f>ROUND(LF55*(1-AnnualMix),0)</f>
        <v/>
      </c>
      <c r="LH55" s="12">
        <f>LF55-LG55</f>
        <v/>
      </c>
      <c r="LI55" s="12">
        <f>ROUND(LG55*EssentialMix,0)</f>
        <v/>
      </c>
      <c r="LJ55" s="12">
        <f>LG55-LI55</f>
        <v/>
      </c>
      <c r="LK55" s="12">
        <f>ROUND(LH55*EssentialMix,0)</f>
        <v/>
      </c>
      <c r="LL55" s="12">
        <f>LH55-LK55</f>
        <v/>
      </c>
      <c r="LM55" s="12">
        <f>LI55+LI54+LI53+MAX(0,LM54-LI54-LI53)*(1-LB55)</f>
        <v/>
      </c>
      <c r="LN55" s="12">
        <f>LJ55+LJ54+LJ53+MAX(0,LN54-LJ54-LJ53)*(1-LB55)</f>
        <v/>
      </c>
      <c r="LO55" s="12">
        <f>LO54+LK55-LK43*(AnnualChurn*VLOOKUP(KX55,ChurnSeasonTable,4,FALSE))*POWER(1-(AnnualChurn*VLOOKUP(KX55,ChurnSeasonTable,4,FALSE)),0)+LK31*(AnnualChurn*VLOOKUP(KX55,ChurnSeasonTable,4,FALSE))*POWER(1-(AnnualChurn*VLOOKUP(KX55,ChurnSeasonTable,4,FALSE)),1)+LK19*(AnnualChurn*VLOOKUP(KX55,ChurnSeasonTable,4,FALSE))*POWER(1-(AnnualChurn*VLOOKUP(KX55,ChurnSeasonTable,4,FALSE)),2)+LK7*(AnnualChurn*VLOOKUP(KX55,ChurnSeasonTable,4,FALSE))*POWER(1-(AnnualChurn*VLOOKUP(KX55,ChurnSeasonTable,4,FALSE)),3)</f>
        <v/>
      </c>
      <c r="LP55" s="12">
        <f>LP54+LL55-LL43*(AnnualChurn*VLOOKUP(KX55,ChurnSeasonTable,4,FALSE))*POWER(1-(AnnualChurn*VLOOKUP(KX55,ChurnSeasonTable,4,FALSE)),0)+LL31*(AnnualChurn*VLOOKUP(KX55,ChurnSeasonTable,4,FALSE))*POWER(1-(AnnualChurn*VLOOKUP(KX55,ChurnSeasonTable,4,FALSE)),1)+LL19*(AnnualChurn*VLOOKUP(KX55,ChurnSeasonTable,4,FALSE))*POWER(1-(AnnualChurn*VLOOKUP(KX55,ChurnSeasonTable,4,FALSE)),2)+LL7*(AnnualChurn*VLOOKUP(KX55,ChurnSeasonTable,4,FALSE))*POWER(1-(AnnualChurn*VLOOKUP(KX55,ChurnSeasonTable,4,FALSE)),3)</f>
        <v/>
      </c>
      <c r="LQ55" s="12">
        <f>LM55+LN55+LO55+LP55</f>
        <v/>
      </c>
      <c r="LR55" s="9">
        <f>LM55*PriceEssMonthly*LA55+LN55*PricePremMonthly*LA55+LO55*PriceEssAnnual*LA55/12+LP55*PricePremAnnual*LA55/12</f>
        <v/>
      </c>
      <c r="LS55" s="9">
        <f>LR55*12</f>
        <v/>
      </c>
      <c r="LT55" s="12">
        <f>LM55*PriceEssMonthly*LA55+LN55*PricePremMonthly*LA55</f>
        <v/>
      </c>
      <c r="LU55" s="12">
        <f>LK55*PriceEssAnnual*LA55+LL55*PricePremAnnual*LA55</f>
        <v/>
      </c>
      <c r="LV55" s="12">
        <f>LK43*POWER(1-(AnnualChurn*VLOOKUP(KX55,ChurnSeasonTable,4,FALSE)),1)*PriceEssAnnual*LA55+LK31*POWER(1-(AnnualChurn*VLOOKUP(KX55,ChurnSeasonTable,4,FALSE)),2)*PriceEssAnnual*LA55+LK19*POWER(1-(AnnualChurn*VLOOKUP(KX55,ChurnSeasonTable,4,FALSE)),3)*PriceEssAnnual*LA55+LK7*POWER(1-(AnnualChurn*VLOOKUP(KX55,ChurnSeasonTable,4,FALSE)),4)*PriceEssAnnual*LA55+LL43*POWER(1-(AnnualChurn*VLOOKUP(KX55,ChurnSeasonTable,4,FALSE)),1)*PricePremAnnual*LA55+LL31*POWER(1-(AnnualChurn*VLOOKUP(KX55,ChurnSeasonTable,4,FALSE)),2)*PricePremAnnual*LA55+LL19*POWER(1-(AnnualChurn*VLOOKUP(KX55,ChurnSeasonTable,4,FALSE)),3)*PricePremAnnual*LA55+LL7*POWER(1-(AnnualChurn*VLOOKUP(KX55,ChurnSeasonTable,4,FALSE)),4)*PricePremAnnual*LA55</f>
        <v/>
      </c>
      <c r="LW55" s="9">
        <f>LT55+LU55+LV55</f>
        <v/>
      </c>
      <c r="LX55" s="12">
        <f>SUM(LW44:LW55)</f>
        <v/>
      </c>
      <c r="LY55" s="12">
        <f>OR(LY54,LX55&gt;=VATThreshold)</f>
        <v/>
      </c>
      <c r="LZ55" s="9">
        <f>IF(LY55,LW55/(1+VATRate),LW55)</f>
        <v/>
      </c>
      <c r="MA55" s="12">
        <f>LW55-LZ55</f>
        <v/>
      </c>
      <c r="MB55" s="12">
        <f>IF(LY55=0,0,IF(KX55=1,SUMPRODUCT(--(($KY$5:$KY55=$KY55-1)*($KX$5:$KX55&gt;=10)*($KX$5:$KX55&lt;=12)),$MA$5:$MA55),IF(KX55=4,SUMPRODUCT(--(($KY$5:$KY55=$KY55)*($KX$5:$KX55&gt;=1)*($KX$5:$KX55&lt;=3)),$MA$5:$MA55),IF(KX55=7,SUMPRODUCT(--(($KY$5:$KY55=$KY55)*($KX$5:$KX55&gt;=4)*($KX$5:$KX55&lt;=6)),$MA$5:$MA55),IF(KX55=10,SUMPRODUCT(--(($KY$5:$KY55=$KY55)*($KX$5:$KX55&gt;=7)*($KX$5:$KX55&lt;=9)),$MA$5:$MA55),0)))))</f>
        <v/>
      </c>
      <c r="MC55" s="12">
        <f>MC54+MA55-MB55</f>
        <v/>
      </c>
      <c r="MD55" s="12">
        <f>IF(ProviderDelay&gt;=1,LZ54*ProviderShare,LZ55*ProviderShare)</f>
        <v/>
      </c>
      <c r="ME55" s="12">
        <f>LW55*PaymentFee</f>
        <v/>
      </c>
      <c r="MF55" s="12">
        <f>LQ55*OpsAI</f>
        <v/>
      </c>
      <c r="MG55" s="12">
        <f>MonthlyFixed</f>
        <v/>
      </c>
      <c r="MH55" s="12">
        <f>LE55*ReferralReward</f>
        <v/>
      </c>
      <c r="MI55" s="12">
        <f>LC55</f>
        <v/>
      </c>
      <c r="MJ55" s="9">
        <f>LZ55-MD55-ME55-MF55-MG55-MH55-MI55</f>
        <v/>
      </c>
      <c r="MK55" s="9">
        <f>MK54+LW55-(MD55+ME55+MF55+MG55+MH55+MI55+MB55)</f>
        <v/>
      </c>
      <c r="ML55" s="12">
        <f>IF(LQ55&gt;0,LR55/LQ55,0)</f>
        <v/>
      </c>
      <c r="MM55" s="11">
        <f>IF(LQ54&gt;0,MAX(0,(LQ54+LF55-LQ55)/LQ54),0)</f>
        <v/>
      </c>
      <c r="MO55" s="12" t="n">
        <v>51</v>
      </c>
      <c r="MP55" s="12">
        <f>MOD(MO55-1+LaunchMonth-1,12)+1</f>
        <v/>
      </c>
      <c r="MQ55" s="12">
        <f>INT((MO55-1+LaunchMonth-1)/12)+1</f>
        <v/>
      </c>
      <c r="MR55" s="12">
        <f>VLOOKUP(MP55,SeasonTable,2,FALSE)</f>
        <v/>
      </c>
      <c r="MS55" s="12">
        <f>(1+InflationRate)^INT((MO55-1)/12)</f>
        <v/>
      </c>
      <c r="MT55" s="11">
        <f>'Sens - Churn'!$A$18*VLOOKUP(MP55,ChurnSeasonTable,4,FALSE)</f>
        <v/>
      </c>
      <c r="MU55" s="12">
        <f>MIN(MAX(MktMin19plus,NO54*MktPct19plus),MAX(0,OC54-CashBuffer))</f>
        <v/>
      </c>
      <c r="MV55" s="12">
        <f>IF(MU55&gt;0,MAX(1,ROUND(MU55/CAC*MR55,0)),0)</f>
        <v/>
      </c>
      <c r="MW55" s="12">
        <f>IF(MV55&gt;0,ROUND(MV55*ReferralMix/(1-ReferralMix),0),0)</f>
        <v/>
      </c>
      <c r="MX55" s="12">
        <f>MV55+MW55</f>
        <v/>
      </c>
      <c r="MY55" s="12">
        <f>ROUND(MX55*(1-AnnualMix),0)</f>
        <v/>
      </c>
      <c r="MZ55" s="12">
        <f>MX55-MY55</f>
        <v/>
      </c>
      <c r="NA55" s="12">
        <f>ROUND(MY55*EssentialMix,0)</f>
        <v/>
      </c>
      <c r="NB55" s="12">
        <f>MY55-NA55</f>
        <v/>
      </c>
      <c r="NC55" s="12">
        <f>ROUND(MZ55*EssentialMix,0)</f>
        <v/>
      </c>
      <c r="ND55" s="12">
        <f>MZ55-NC55</f>
        <v/>
      </c>
      <c r="NE55" s="12">
        <f>NA55+NA54+NA53+MAX(0,NE54-NA54-NA53)*(1-MT55)</f>
        <v/>
      </c>
      <c r="NF55" s="12">
        <f>NB55+NB54+NB53+MAX(0,NF54-NB54-NB53)*(1-MT55)</f>
        <v/>
      </c>
      <c r="NG55" s="12">
        <f>NG54+NC55-NC43*(AnnualChurn*VLOOKUP(MP55,ChurnSeasonTable,4,FALSE))*POWER(1-(AnnualChurn*VLOOKUP(MP55,ChurnSeasonTable,4,FALSE)),0)+NC31*(AnnualChurn*VLOOKUP(MP55,ChurnSeasonTable,4,FALSE))*POWER(1-(AnnualChurn*VLOOKUP(MP55,ChurnSeasonTable,4,FALSE)),1)+NC19*(AnnualChurn*VLOOKUP(MP55,ChurnSeasonTable,4,FALSE))*POWER(1-(AnnualChurn*VLOOKUP(MP55,ChurnSeasonTable,4,FALSE)),2)+NC7*(AnnualChurn*VLOOKUP(MP55,ChurnSeasonTable,4,FALSE))*POWER(1-(AnnualChurn*VLOOKUP(MP55,ChurnSeasonTable,4,FALSE)),3)</f>
        <v/>
      </c>
      <c r="NH55" s="12">
        <f>NH54+ND55-ND43*(AnnualChurn*VLOOKUP(MP55,ChurnSeasonTable,4,FALSE))*POWER(1-(AnnualChurn*VLOOKUP(MP55,ChurnSeasonTable,4,FALSE)),0)+ND31*(AnnualChurn*VLOOKUP(MP55,ChurnSeasonTable,4,FALSE))*POWER(1-(AnnualChurn*VLOOKUP(MP55,ChurnSeasonTable,4,FALSE)),1)+ND19*(AnnualChurn*VLOOKUP(MP55,ChurnSeasonTable,4,FALSE))*POWER(1-(AnnualChurn*VLOOKUP(MP55,ChurnSeasonTable,4,FALSE)),2)+ND7*(AnnualChurn*VLOOKUP(MP55,ChurnSeasonTable,4,FALSE))*POWER(1-(AnnualChurn*VLOOKUP(MP55,ChurnSeasonTable,4,FALSE)),3)</f>
        <v/>
      </c>
      <c r="NI55" s="12">
        <f>NE55+NF55+NG55+NH55</f>
        <v/>
      </c>
      <c r="NJ55" s="9">
        <f>NE55*PriceEssMonthly*MS55+NF55*PricePremMonthly*MS55+NG55*PriceEssAnnual*MS55/12+NH55*PricePremAnnual*MS55/12</f>
        <v/>
      </c>
      <c r="NK55" s="9">
        <f>NJ55*12</f>
        <v/>
      </c>
      <c r="NL55" s="12">
        <f>NE55*PriceEssMonthly*MS55+NF55*PricePremMonthly*MS55</f>
        <v/>
      </c>
      <c r="NM55" s="12">
        <f>NC55*PriceEssAnnual*MS55+ND55*PricePremAnnual*MS55</f>
        <v/>
      </c>
      <c r="NN55" s="12">
        <f>NC43*POWER(1-(AnnualChurn*VLOOKUP(MP55,ChurnSeasonTable,4,FALSE)),1)*PriceEssAnnual*MS55+NC31*POWER(1-(AnnualChurn*VLOOKUP(MP55,ChurnSeasonTable,4,FALSE)),2)*PriceEssAnnual*MS55+NC19*POWER(1-(AnnualChurn*VLOOKUP(MP55,ChurnSeasonTable,4,FALSE)),3)*PriceEssAnnual*MS55+NC7*POWER(1-(AnnualChurn*VLOOKUP(MP55,ChurnSeasonTable,4,FALSE)),4)*PriceEssAnnual*MS55+ND43*POWER(1-(AnnualChurn*VLOOKUP(MP55,ChurnSeasonTable,4,FALSE)),1)*PricePremAnnual*MS55+ND31*POWER(1-(AnnualChurn*VLOOKUP(MP55,ChurnSeasonTable,4,FALSE)),2)*PricePremAnnual*MS55+ND19*POWER(1-(AnnualChurn*VLOOKUP(MP55,ChurnSeasonTable,4,FALSE)),3)*PricePremAnnual*MS55+ND7*POWER(1-(AnnualChurn*VLOOKUP(MP55,ChurnSeasonTable,4,FALSE)),4)*PricePremAnnual*MS55</f>
        <v/>
      </c>
      <c r="NO55" s="9">
        <f>NL55+NM55+NN55</f>
        <v/>
      </c>
      <c r="NP55" s="12">
        <f>SUM(NO44:NO55)</f>
        <v/>
      </c>
      <c r="NQ55" s="12">
        <f>OR(NQ54,NP55&gt;=VATThreshold)</f>
        <v/>
      </c>
      <c r="NR55" s="9">
        <f>IF(NQ55,NO55/(1+VATRate),NO55)</f>
        <v/>
      </c>
      <c r="NS55" s="12">
        <f>NO55-NR55</f>
        <v/>
      </c>
      <c r="NT55" s="12">
        <f>IF(NQ55=0,0,IF(MP55=1,SUMPRODUCT(--(($MQ$5:$MQ55=$MQ55-1)*($MP$5:$MP55&gt;=10)*($MP$5:$MP55&lt;=12)),$NS$5:$NS55),IF(MP55=4,SUMPRODUCT(--(($MQ$5:$MQ55=$MQ55)*($MP$5:$MP55&gt;=1)*($MP$5:$MP55&lt;=3)),$NS$5:$NS55),IF(MP55=7,SUMPRODUCT(--(($MQ$5:$MQ55=$MQ55)*($MP$5:$MP55&gt;=4)*($MP$5:$MP55&lt;=6)),$NS$5:$NS55),IF(MP55=10,SUMPRODUCT(--(($MQ$5:$MQ55=$MQ55)*($MP$5:$MP55&gt;=7)*($MP$5:$MP55&lt;=9)),$NS$5:$NS55),0)))))</f>
        <v/>
      </c>
      <c r="NU55" s="12">
        <f>NU54+NS55-NT55</f>
        <v/>
      </c>
      <c r="NV55" s="12">
        <f>IF(ProviderDelay&gt;=1,NR54*ProviderShare,NR55*ProviderShare)</f>
        <v/>
      </c>
      <c r="NW55" s="12">
        <f>NO55*PaymentFee</f>
        <v/>
      </c>
      <c r="NX55" s="12">
        <f>NI55*OpsAI</f>
        <v/>
      </c>
      <c r="NY55" s="12">
        <f>MonthlyFixed</f>
        <v/>
      </c>
      <c r="NZ55" s="12">
        <f>MW55*ReferralReward</f>
        <v/>
      </c>
      <c r="OA55" s="12">
        <f>MU55</f>
        <v/>
      </c>
      <c r="OB55" s="9">
        <f>NR55-NV55-NW55-NX55-NY55-NZ55-OA55</f>
        <v/>
      </c>
      <c r="OC55" s="9">
        <f>OC54+NO55-(NV55+NW55+NX55+NY55+NZ55+OA55+NT55)</f>
        <v/>
      </c>
      <c r="OD55" s="12">
        <f>IF(NI55&gt;0,NJ55/NI55,0)</f>
        <v/>
      </c>
      <c r="OE55" s="11">
        <f>IF(NI54&gt;0,MAX(0,(NI54+MX55-NI55)/NI54),0)</f>
        <v/>
      </c>
      <c r="OG55" s="12" t="n">
        <v>51</v>
      </c>
      <c r="OH55" s="12">
        <f>MOD(OG55-1+LaunchMonth-1,12)+1</f>
        <v/>
      </c>
      <c r="OI55" s="12">
        <f>INT((OG55-1+LaunchMonth-1)/12)+1</f>
        <v/>
      </c>
      <c r="OJ55" s="12">
        <f>VLOOKUP(OH55,SeasonTable,2,FALSE)</f>
        <v/>
      </c>
      <c r="OK55" s="12">
        <f>(1+InflationRate)^INT((OG55-1)/12)</f>
        <v/>
      </c>
      <c r="OL55" s="11">
        <f>'Sens - Churn'!$A$19*VLOOKUP(OH55,ChurnSeasonTable,4,FALSE)</f>
        <v/>
      </c>
      <c r="OM55" s="12">
        <f>MIN(MAX(MktMin19plus,PG54*MktPct19plus),MAX(0,PU54-CashBuffer))</f>
        <v/>
      </c>
      <c r="ON55" s="12">
        <f>IF(OM55&gt;0,MAX(1,ROUND(OM55/CAC*OJ55,0)),0)</f>
        <v/>
      </c>
      <c r="OO55" s="12">
        <f>IF(ON55&gt;0,ROUND(ON55*ReferralMix/(1-ReferralMix),0),0)</f>
        <v/>
      </c>
      <c r="OP55" s="12">
        <f>ON55+OO55</f>
        <v/>
      </c>
      <c r="OQ55" s="12">
        <f>ROUND(OP55*(1-AnnualMix),0)</f>
        <v/>
      </c>
      <c r="OR55" s="12">
        <f>OP55-OQ55</f>
        <v/>
      </c>
      <c r="OS55" s="12">
        <f>ROUND(OQ55*EssentialMix,0)</f>
        <v/>
      </c>
      <c r="OT55" s="12">
        <f>OQ55-OS55</f>
        <v/>
      </c>
      <c r="OU55" s="12">
        <f>ROUND(OR55*EssentialMix,0)</f>
        <v/>
      </c>
      <c r="OV55" s="12">
        <f>OR55-OU55</f>
        <v/>
      </c>
      <c r="OW55" s="12">
        <f>OS55+OS54+OS53+MAX(0,OW54-OS54-OS53)*(1-OL55)</f>
        <v/>
      </c>
      <c r="OX55" s="12">
        <f>OT55+OT54+OT53+MAX(0,OX54-OT54-OT53)*(1-OL55)</f>
        <v/>
      </c>
      <c r="OY55" s="12">
        <f>OY54+OU55-OU43*(AnnualChurn*VLOOKUP(OH55,ChurnSeasonTable,4,FALSE))*POWER(1-(AnnualChurn*VLOOKUP(OH55,ChurnSeasonTable,4,FALSE)),0)+OU31*(AnnualChurn*VLOOKUP(OH55,ChurnSeasonTable,4,FALSE))*POWER(1-(AnnualChurn*VLOOKUP(OH55,ChurnSeasonTable,4,FALSE)),1)+OU19*(AnnualChurn*VLOOKUP(OH55,ChurnSeasonTable,4,FALSE))*POWER(1-(AnnualChurn*VLOOKUP(OH55,ChurnSeasonTable,4,FALSE)),2)+OU7*(AnnualChurn*VLOOKUP(OH55,ChurnSeasonTable,4,FALSE))*POWER(1-(AnnualChurn*VLOOKUP(OH55,ChurnSeasonTable,4,FALSE)),3)</f>
        <v/>
      </c>
      <c r="OZ55" s="12">
        <f>OZ54+OV55-OV43*(AnnualChurn*VLOOKUP(OH55,ChurnSeasonTable,4,FALSE))*POWER(1-(AnnualChurn*VLOOKUP(OH55,ChurnSeasonTable,4,FALSE)),0)+OV31*(AnnualChurn*VLOOKUP(OH55,ChurnSeasonTable,4,FALSE))*POWER(1-(AnnualChurn*VLOOKUP(OH55,ChurnSeasonTable,4,FALSE)),1)+OV19*(AnnualChurn*VLOOKUP(OH55,ChurnSeasonTable,4,FALSE))*POWER(1-(AnnualChurn*VLOOKUP(OH55,ChurnSeasonTable,4,FALSE)),2)+OV7*(AnnualChurn*VLOOKUP(OH55,ChurnSeasonTable,4,FALSE))*POWER(1-(AnnualChurn*VLOOKUP(OH55,ChurnSeasonTable,4,FALSE)),3)</f>
        <v/>
      </c>
      <c r="PA55" s="12">
        <f>OW55+OX55+OY55+OZ55</f>
        <v/>
      </c>
      <c r="PB55" s="9">
        <f>OW55*PriceEssMonthly*OK55+OX55*PricePremMonthly*OK55+OY55*PriceEssAnnual*OK55/12+OZ55*PricePremAnnual*OK55/12</f>
        <v/>
      </c>
      <c r="PC55" s="9">
        <f>PB55*12</f>
        <v/>
      </c>
      <c r="PD55" s="12">
        <f>OW55*PriceEssMonthly*OK55+OX55*PricePremMonthly*OK55</f>
        <v/>
      </c>
      <c r="PE55" s="12">
        <f>OU55*PriceEssAnnual*OK55+OV55*PricePremAnnual*OK55</f>
        <v/>
      </c>
      <c r="PF55" s="12">
        <f>OU43*POWER(1-(AnnualChurn*VLOOKUP(OH55,ChurnSeasonTable,4,FALSE)),1)*PriceEssAnnual*OK55+OU31*POWER(1-(AnnualChurn*VLOOKUP(OH55,ChurnSeasonTable,4,FALSE)),2)*PriceEssAnnual*OK55+OU19*POWER(1-(AnnualChurn*VLOOKUP(OH55,ChurnSeasonTable,4,FALSE)),3)*PriceEssAnnual*OK55+OU7*POWER(1-(AnnualChurn*VLOOKUP(OH55,ChurnSeasonTable,4,FALSE)),4)*PriceEssAnnual*OK55+OV43*POWER(1-(AnnualChurn*VLOOKUP(OH55,ChurnSeasonTable,4,FALSE)),1)*PricePremAnnual*OK55+OV31*POWER(1-(AnnualChurn*VLOOKUP(OH55,ChurnSeasonTable,4,FALSE)),2)*PricePremAnnual*OK55+OV19*POWER(1-(AnnualChurn*VLOOKUP(OH55,ChurnSeasonTable,4,FALSE)),3)*PricePremAnnual*OK55+OV7*POWER(1-(AnnualChurn*VLOOKUP(OH55,ChurnSeasonTable,4,FALSE)),4)*PricePremAnnual*OK55</f>
        <v/>
      </c>
      <c r="PG55" s="9">
        <f>PD55+PE55+PF55</f>
        <v/>
      </c>
      <c r="PH55" s="12">
        <f>SUM(PG44:PG55)</f>
        <v/>
      </c>
      <c r="PI55" s="12">
        <f>OR(PI54,PH55&gt;=VATThreshold)</f>
        <v/>
      </c>
      <c r="PJ55" s="9">
        <f>IF(PI55,PG55/(1+VATRate),PG55)</f>
        <v/>
      </c>
      <c r="PK55" s="12">
        <f>PG55-PJ55</f>
        <v/>
      </c>
      <c r="PL55" s="12">
        <f>IF(PI55=0,0,IF(OH55=1,SUMPRODUCT(--(($OI$5:$OI55=$OI55-1)*($OH$5:$OH55&gt;=10)*($OH$5:$OH55&lt;=12)),$PK$5:$PK55),IF(OH55=4,SUMPRODUCT(--(($OI$5:$OI55=$OI55)*($OH$5:$OH55&gt;=1)*($OH$5:$OH55&lt;=3)),$PK$5:$PK55),IF(OH55=7,SUMPRODUCT(--(($OI$5:$OI55=$OI55)*($OH$5:$OH55&gt;=4)*($OH$5:$OH55&lt;=6)),$PK$5:$PK55),IF(OH55=10,SUMPRODUCT(--(($OI$5:$OI55=$OI55)*($OH$5:$OH55&gt;=7)*($OH$5:$OH55&lt;=9)),$PK$5:$PK55),0)))))</f>
        <v/>
      </c>
      <c r="PM55" s="12">
        <f>PM54+PK55-PL55</f>
        <v/>
      </c>
      <c r="PN55" s="12">
        <f>IF(ProviderDelay&gt;=1,PJ54*ProviderShare,PJ55*ProviderShare)</f>
        <v/>
      </c>
      <c r="PO55" s="12">
        <f>PG55*PaymentFee</f>
        <v/>
      </c>
      <c r="PP55" s="12">
        <f>PA55*OpsAI</f>
        <v/>
      </c>
      <c r="PQ55" s="12">
        <f>MonthlyFixed</f>
        <v/>
      </c>
      <c r="PR55" s="12">
        <f>OO55*ReferralReward</f>
        <v/>
      </c>
      <c r="PS55" s="12">
        <f>OM55</f>
        <v/>
      </c>
      <c r="PT55" s="9">
        <f>PJ55-PN55-PO55-PP55-PQ55-PR55-PS55</f>
        <v/>
      </c>
      <c r="PU55" s="9">
        <f>PU54+PG55-(PN55+PO55+PP55+PQ55+PR55+PS55+PL55)</f>
        <v/>
      </c>
      <c r="PV55" s="12">
        <f>IF(PA55&gt;0,PB55/PA55,0)</f>
        <v/>
      </c>
      <c r="PW55" s="11">
        <f>IF(PA54&gt;0,MAX(0,(PA54+OP55-PA55)/PA54),0)</f>
        <v/>
      </c>
      <c r="PY55" s="12" t="n">
        <v>51</v>
      </c>
      <c r="PZ55" s="12">
        <f>MOD(PY55-1+LaunchMonth-1,12)+1</f>
        <v/>
      </c>
      <c r="QA55" s="12">
        <f>INT((PY55-1+LaunchMonth-1)/12)+1</f>
        <v/>
      </c>
      <c r="QB55" s="12">
        <f>VLOOKUP(PZ55,SeasonTable,2,FALSE)</f>
        <v/>
      </c>
      <c r="QC55" s="12">
        <f>(1+InflationRate)^INT((PY55-1)/12)</f>
        <v/>
      </c>
      <c r="QD55" s="11">
        <f>'Sens - Churn'!$A$20*VLOOKUP(PZ55,ChurnSeasonTable,4,FALSE)</f>
        <v/>
      </c>
      <c r="QE55" s="12">
        <f>MIN(MAX(MktMin19plus,QY54*MktPct19plus),MAX(0,RM54-CashBuffer))</f>
        <v/>
      </c>
      <c r="QF55" s="12">
        <f>IF(QE55&gt;0,MAX(1,ROUND(QE55/CAC*QB55,0)),0)</f>
        <v/>
      </c>
      <c r="QG55" s="12">
        <f>IF(QF55&gt;0,ROUND(QF55*ReferralMix/(1-ReferralMix),0),0)</f>
        <v/>
      </c>
      <c r="QH55" s="12">
        <f>QF55+QG55</f>
        <v/>
      </c>
      <c r="QI55" s="12">
        <f>ROUND(QH55*(1-AnnualMix),0)</f>
        <v/>
      </c>
      <c r="QJ55" s="12">
        <f>QH55-QI55</f>
        <v/>
      </c>
      <c r="QK55" s="12">
        <f>ROUND(QI55*EssentialMix,0)</f>
        <v/>
      </c>
      <c r="QL55" s="12">
        <f>QI55-QK55</f>
        <v/>
      </c>
      <c r="QM55" s="12">
        <f>ROUND(QJ55*EssentialMix,0)</f>
        <v/>
      </c>
      <c r="QN55" s="12">
        <f>QJ55-QM55</f>
        <v/>
      </c>
      <c r="QO55" s="12">
        <f>QK55+QK54+QK53+MAX(0,QO54-QK54-QK53)*(1-QD55)</f>
        <v/>
      </c>
      <c r="QP55" s="12">
        <f>QL55+QL54+QL53+MAX(0,QP54-QL54-QL53)*(1-QD55)</f>
        <v/>
      </c>
      <c r="QQ55" s="12">
        <f>QQ54+QM55-QM43*(AnnualChurn*VLOOKUP(PZ55,ChurnSeasonTable,4,FALSE))*POWER(1-(AnnualChurn*VLOOKUP(PZ55,ChurnSeasonTable,4,FALSE)),0)+QM31*(AnnualChurn*VLOOKUP(PZ55,ChurnSeasonTable,4,FALSE))*POWER(1-(AnnualChurn*VLOOKUP(PZ55,ChurnSeasonTable,4,FALSE)),1)+QM19*(AnnualChurn*VLOOKUP(PZ55,ChurnSeasonTable,4,FALSE))*POWER(1-(AnnualChurn*VLOOKUP(PZ55,ChurnSeasonTable,4,FALSE)),2)+QM7*(AnnualChurn*VLOOKUP(PZ55,ChurnSeasonTable,4,FALSE))*POWER(1-(AnnualChurn*VLOOKUP(PZ55,ChurnSeasonTable,4,FALSE)),3)</f>
        <v/>
      </c>
      <c r="QR55" s="12">
        <f>QR54+QN55-QN43*(AnnualChurn*VLOOKUP(PZ55,ChurnSeasonTable,4,FALSE))*POWER(1-(AnnualChurn*VLOOKUP(PZ55,ChurnSeasonTable,4,FALSE)),0)+QN31*(AnnualChurn*VLOOKUP(PZ55,ChurnSeasonTable,4,FALSE))*POWER(1-(AnnualChurn*VLOOKUP(PZ55,ChurnSeasonTable,4,FALSE)),1)+QN19*(AnnualChurn*VLOOKUP(PZ55,ChurnSeasonTable,4,FALSE))*POWER(1-(AnnualChurn*VLOOKUP(PZ55,ChurnSeasonTable,4,FALSE)),2)+QN7*(AnnualChurn*VLOOKUP(PZ55,ChurnSeasonTable,4,FALSE))*POWER(1-(AnnualChurn*VLOOKUP(PZ55,ChurnSeasonTable,4,FALSE)),3)</f>
        <v/>
      </c>
      <c r="QS55" s="12">
        <f>QO55+QP55+QQ55+QR55</f>
        <v/>
      </c>
      <c r="QT55" s="9">
        <f>QO55*PriceEssMonthly*QC55+QP55*PricePremMonthly*QC55+QQ55*PriceEssAnnual*QC55/12+QR55*PricePremAnnual*QC55/12</f>
        <v/>
      </c>
      <c r="QU55" s="9">
        <f>QT55*12</f>
        <v/>
      </c>
      <c r="QV55" s="12">
        <f>QO55*PriceEssMonthly*QC55+QP55*PricePremMonthly*QC55</f>
        <v/>
      </c>
      <c r="QW55" s="12">
        <f>QM55*PriceEssAnnual*QC55+QN55*PricePremAnnual*QC55</f>
        <v/>
      </c>
      <c r="QX55" s="12">
        <f>QM43*POWER(1-(AnnualChurn*VLOOKUP(PZ55,ChurnSeasonTable,4,FALSE)),1)*PriceEssAnnual*QC55+QM31*POWER(1-(AnnualChurn*VLOOKUP(PZ55,ChurnSeasonTable,4,FALSE)),2)*PriceEssAnnual*QC55+QM19*POWER(1-(AnnualChurn*VLOOKUP(PZ55,ChurnSeasonTable,4,FALSE)),3)*PriceEssAnnual*QC55+QM7*POWER(1-(AnnualChurn*VLOOKUP(PZ55,ChurnSeasonTable,4,FALSE)),4)*PriceEssAnnual*QC55+QN43*POWER(1-(AnnualChurn*VLOOKUP(PZ55,ChurnSeasonTable,4,FALSE)),1)*PricePremAnnual*QC55+QN31*POWER(1-(AnnualChurn*VLOOKUP(PZ55,ChurnSeasonTable,4,FALSE)),2)*PricePremAnnual*QC55+QN19*POWER(1-(AnnualChurn*VLOOKUP(PZ55,ChurnSeasonTable,4,FALSE)),3)*PricePremAnnual*QC55+QN7*POWER(1-(AnnualChurn*VLOOKUP(PZ55,ChurnSeasonTable,4,FALSE)),4)*PricePremAnnual*QC55</f>
        <v/>
      </c>
      <c r="QY55" s="9">
        <f>QV55+QW55+QX55</f>
        <v/>
      </c>
      <c r="QZ55" s="12">
        <f>SUM(QY44:QY55)</f>
        <v/>
      </c>
      <c r="RA55" s="12">
        <f>OR(RA54,QZ55&gt;=VATThreshold)</f>
        <v/>
      </c>
      <c r="RB55" s="9">
        <f>IF(RA55,QY55/(1+VATRate),QY55)</f>
        <v/>
      </c>
      <c r="RC55" s="12">
        <f>QY55-RB55</f>
        <v/>
      </c>
      <c r="RD55" s="12">
        <f>IF(RA55=0,0,IF(PZ55=1,SUMPRODUCT(--(($QA$5:$QA55=$QA55-1)*($PZ$5:$PZ55&gt;=10)*($PZ$5:$PZ55&lt;=12)),$RC$5:$RC55),IF(PZ55=4,SUMPRODUCT(--(($QA$5:$QA55=$QA55)*($PZ$5:$PZ55&gt;=1)*($PZ$5:$PZ55&lt;=3)),$RC$5:$RC55),IF(PZ55=7,SUMPRODUCT(--(($QA$5:$QA55=$QA55)*($PZ$5:$PZ55&gt;=4)*($PZ$5:$PZ55&lt;=6)),$RC$5:$RC55),IF(PZ55=10,SUMPRODUCT(--(($QA$5:$QA55=$QA55)*($PZ$5:$PZ55&gt;=7)*($PZ$5:$PZ55&lt;=9)),$RC$5:$RC55),0)))))</f>
        <v/>
      </c>
      <c r="RE55" s="12">
        <f>RE54+RC55-RD55</f>
        <v/>
      </c>
      <c r="RF55" s="12">
        <f>IF(ProviderDelay&gt;=1,RB54*ProviderShare,RB55*ProviderShare)</f>
        <v/>
      </c>
      <c r="RG55" s="12">
        <f>QY55*PaymentFee</f>
        <v/>
      </c>
      <c r="RH55" s="12">
        <f>QS55*OpsAI</f>
        <v/>
      </c>
      <c r="RI55" s="12">
        <f>MonthlyFixed</f>
        <v/>
      </c>
      <c r="RJ55" s="12">
        <f>QG55*ReferralReward</f>
        <v/>
      </c>
      <c r="RK55" s="12">
        <f>QE55</f>
        <v/>
      </c>
      <c r="RL55" s="9">
        <f>RB55-RF55-RG55-RH55-RI55-RJ55-RK55</f>
        <v/>
      </c>
      <c r="RM55" s="9">
        <f>RM54+QY55-(RF55+RG55+RH55+RI55+RJ55+RK55+RD55)</f>
        <v/>
      </c>
      <c r="RN55" s="12">
        <f>IF(QS55&gt;0,QT55/QS55,0)</f>
        <v/>
      </c>
      <c r="RO55" s="11">
        <f>IF(QS54&gt;0,MAX(0,(QS54+QH55-QS55)/QS54),0)</f>
        <v/>
      </c>
      <c r="RQ55" s="12" t="n">
        <v>51</v>
      </c>
      <c r="RR55" s="12">
        <f>MOD(RQ55-1+LaunchMonth-1,12)+1</f>
        <v/>
      </c>
      <c r="RS55" s="12">
        <f>INT((RQ55-1+LaunchMonth-1)/12)+1</f>
        <v/>
      </c>
      <c r="RT55" s="12">
        <f>VLOOKUP(RR55,SeasonTable,2,FALSE)</f>
        <v/>
      </c>
      <c r="RU55" s="12">
        <f>(1+InflationRate)^INT((RQ55-1)/12)</f>
        <v/>
      </c>
      <c r="RV55" s="11">
        <f>'Sens - Churn'!$A$21*VLOOKUP(RR55,ChurnSeasonTable,4,FALSE)</f>
        <v/>
      </c>
      <c r="RW55" s="12">
        <f>MIN(MAX(MktMin19plus,SQ54*MktPct19plus),MAX(0,TE54-CashBuffer))</f>
        <v/>
      </c>
      <c r="RX55" s="12">
        <f>IF(RW55&gt;0,MAX(1,ROUND(RW55/CAC*RT55,0)),0)</f>
        <v/>
      </c>
      <c r="RY55" s="12">
        <f>IF(RX55&gt;0,ROUND(RX55*ReferralMix/(1-ReferralMix),0),0)</f>
        <v/>
      </c>
      <c r="RZ55" s="12">
        <f>RX55+RY55</f>
        <v/>
      </c>
      <c r="SA55" s="12">
        <f>ROUND(RZ55*(1-AnnualMix),0)</f>
        <v/>
      </c>
      <c r="SB55" s="12">
        <f>RZ55-SA55</f>
        <v/>
      </c>
      <c r="SC55" s="12">
        <f>ROUND(SA55*EssentialMix,0)</f>
        <v/>
      </c>
      <c r="SD55" s="12">
        <f>SA55-SC55</f>
        <v/>
      </c>
      <c r="SE55" s="12">
        <f>ROUND(SB55*EssentialMix,0)</f>
        <v/>
      </c>
      <c r="SF55" s="12">
        <f>SB55-SE55</f>
        <v/>
      </c>
      <c r="SG55" s="12">
        <f>SC55+SC54+SC53+MAX(0,SG54-SC54-SC53)*(1-RV55)</f>
        <v/>
      </c>
      <c r="SH55" s="12">
        <f>SD55+SD54+SD53+MAX(0,SH54-SD54-SD53)*(1-RV55)</f>
        <v/>
      </c>
      <c r="SI55" s="12">
        <f>SI54+SE55-SE43*(AnnualChurn*VLOOKUP(RR55,ChurnSeasonTable,4,FALSE))*POWER(1-(AnnualChurn*VLOOKUP(RR55,ChurnSeasonTable,4,FALSE)),0)+SE31*(AnnualChurn*VLOOKUP(RR55,ChurnSeasonTable,4,FALSE))*POWER(1-(AnnualChurn*VLOOKUP(RR55,ChurnSeasonTable,4,FALSE)),1)+SE19*(AnnualChurn*VLOOKUP(RR55,ChurnSeasonTable,4,FALSE))*POWER(1-(AnnualChurn*VLOOKUP(RR55,ChurnSeasonTable,4,FALSE)),2)+SE7*(AnnualChurn*VLOOKUP(RR55,ChurnSeasonTable,4,FALSE))*POWER(1-(AnnualChurn*VLOOKUP(RR55,ChurnSeasonTable,4,FALSE)),3)</f>
        <v/>
      </c>
      <c r="SJ55" s="12">
        <f>SJ54+SF55-SF43*(AnnualChurn*VLOOKUP(RR55,ChurnSeasonTable,4,FALSE))*POWER(1-(AnnualChurn*VLOOKUP(RR55,ChurnSeasonTable,4,FALSE)),0)+SF31*(AnnualChurn*VLOOKUP(RR55,ChurnSeasonTable,4,FALSE))*POWER(1-(AnnualChurn*VLOOKUP(RR55,ChurnSeasonTable,4,FALSE)),1)+SF19*(AnnualChurn*VLOOKUP(RR55,ChurnSeasonTable,4,FALSE))*POWER(1-(AnnualChurn*VLOOKUP(RR55,ChurnSeasonTable,4,FALSE)),2)+SF7*(AnnualChurn*VLOOKUP(RR55,ChurnSeasonTable,4,FALSE))*POWER(1-(AnnualChurn*VLOOKUP(RR55,ChurnSeasonTable,4,FALSE)),3)</f>
        <v/>
      </c>
      <c r="SK55" s="12">
        <f>SG55+SH55+SI55+SJ55</f>
        <v/>
      </c>
      <c r="SL55" s="9">
        <f>SG55*PriceEssMonthly*RU55+SH55*PricePremMonthly*RU55+SI55*PriceEssAnnual*RU55/12+SJ55*PricePremAnnual*RU55/12</f>
        <v/>
      </c>
      <c r="SM55" s="9">
        <f>SL55*12</f>
        <v/>
      </c>
      <c r="SN55" s="12">
        <f>SG55*PriceEssMonthly*RU55+SH55*PricePremMonthly*RU55</f>
        <v/>
      </c>
      <c r="SO55" s="12">
        <f>SE55*PriceEssAnnual*RU55+SF55*PricePremAnnual*RU55</f>
        <v/>
      </c>
      <c r="SP55" s="12">
        <f>SE43*POWER(1-(AnnualChurn*VLOOKUP(RR55,ChurnSeasonTable,4,FALSE)),1)*PriceEssAnnual*RU55+SE31*POWER(1-(AnnualChurn*VLOOKUP(RR55,ChurnSeasonTable,4,FALSE)),2)*PriceEssAnnual*RU55+SE19*POWER(1-(AnnualChurn*VLOOKUP(RR55,ChurnSeasonTable,4,FALSE)),3)*PriceEssAnnual*RU55+SE7*POWER(1-(AnnualChurn*VLOOKUP(RR55,ChurnSeasonTable,4,FALSE)),4)*PriceEssAnnual*RU55+SF43*POWER(1-(AnnualChurn*VLOOKUP(RR55,ChurnSeasonTable,4,FALSE)),1)*PricePremAnnual*RU55+SF31*POWER(1-(AnnualChurn*VLOOKUP(RR55,ChurnSeasonTable,4,FALSE)),2)*PricePremAnnual*RU55+SF19*POWER(1-(AnnualChurn*VLOOKUP(RR55,ChurnSeasonTable,4,FALSE)),3)*PricePremAnnual*RU55+SF7*POWER(1-(AnnualChurn*VLOOKUP(RR55,ChurnSeasonTable,4,FALSE)),4)*PricePremAnnual*RU55</f>
        <v/>
      </c>
      <c r="SQ55" s="9">
        <f>SN55+SO55+SP55</f>
        <v/>
      </c>
      <c r="SR55" s="12">
        <f>SUM(SQ44:SQ55)</f>
        <v/>
      </c>
      <c r="SS55" s="12">
        <f>OR(SS54,SR55&gt;=VATThreshold)</f>
        <v/>
      </c>
      <c r="ST55" s="9">
        <f>IF(SS55,SQ55/(1+VATRate),SQ55)</f>
        <v/>
      </c>
      <c r="SU55" s="12">
        <f>SQ55-ST55</f>
        <v/>
      </c>
      <c r="SV55" s="12">
        <f>IF(SS55=0,0,IF(RR55=1,SUMPRODUCT(--(($RS$5:$RS55=$RS55-1)*($RR$5:$RR55&gt;=10)*($RR$5:$RR55&lt;=12)),$SU$5:$SU55),IF(RR55=4,SUMPRODUCT(--(($RS$5:$RS55=$RS55)*($RR$5:$RR55&gt;=1)*($RR$5:$RR55&lt;=3)),$SU$5:$SU55),IF(RR55=7,SUMPRODUCT(--(($RS$5:$RS55=$RS55)*($RR$5:$RR55&gt;=4)*($RR$5:$RR55&lt;=6)),$SU$5:$SU55),IF(RR55=10,SUMPRODUCT(--(($RS$5:$RS55=$RS55)*($RR$5:$RR55&gt;=7)*($RR$5:$RR55&lt;=9)),$SU$5:$SU55),0)))))</f>
        <v/>
      </c>
      <c r="SW55" s="12">
        <f>SW54+SU55-SV55</f>
        <v/>
      </c>
      <c r="SX55" s="12">
        <f>IF(ProviderDelay&gt;=1,ST54*ProviderShare,ST55*ProviderShare)</f>
        <v/>
      </c>
      <c r="SY55" s="12">
        <f>SQ55*PaymentFee</f>
        <v/>
      </c>
      <c r="SZ55" s="12">
        <f>SK55*OpsAI</f>
        <v/>
      </c>
      <c r="TA55" s="12">
        <f>MonthlyFixed</f>
        <v/>
      </c>
      <c r="TB55" s="12">
        <f>RY55*ReferralReward</f>
        <v/>
      </c>
      <c r="TC55" s="12">
        <f>RW55</f>
        <v/>
      </c>
      <c r="TD55" s="9">
        <f>ST55-SX55-SY55-SZ55-TA55-TB55-TC55</f>
        <v/>
      </c>
      <c r="TE55" s="9">
        <f>TE54+SQ55-(SX55+SY55+SZ55+TA55+TB55+TC55+SV55)</f>
        <v/>
      </c>
      <c r="TF55" s="12">
        <f>IF(SK55&gt;0,SL55/SK55,0)</f>
        <v/>
      </c>
      <c r="TG55" s="11">
        <f>IF(SK54&gt;0,MAX(0,(SK54+RZ55-SK55)/SK54),0)</f>
        <v/>
      </c>
      <c r="TI55" s="12" t="n">
        <v>51</v>
      </c>
      <c r="TJ55" s="12">
        <f>MOD(TI55-1+LaunchMonth-1,12)+1</f>
        <v/>
      </c>
      <c r="TK55" s="12">
        <f>INT((TI55-1+LaunchMonth-1)/12)+1</f>
        <v/>
      </c>
      <c r="TL55" s="12">
        <f>VLOOKUP(TJ55,SeasonTable,2,FALSE)</f>
        <v/>
      </c>
      <c r="TM55" s="12">
        <f>(1+InflationRate)^INT((TI55-1)/12)</f>
        <v/>
      </c>
      <c r="TN55" s="11">
        <f>MonthlyChurn*VLOOKUP(TJ55,ChurnSeasonTable,4,FALSE)</f>
        <v/>
      </c>
      <c r="TO55" s="12">
        <f>MIN(MAX(MktMin19plus,UI54*MktPct19plus),MAX(0,UW54-CashBuffer))</f>
        <v/>
      </c>
      <c r="TP55" s="12">
        <f>IF(TO55&gt;0,MAX(1,ROUND(TO55/CAC*TL55,0)),0)</f>
        <v/>
      </c>
      <c r="TQ55" s="12">
        <f>IF(TP55&gt;0,ROUND(TP55*ReferralMix/(1-ReferralMix),0),0)</f>
        <v/>
      </c>
      <c r="TR55" s="12">
        <f>TP55+TQ55</f>
        <v/>
      </c>
      <c r="TS55" s="12">
        <f>ROUND(TR55*(1-'Sens - Annual Mix'!$A$9),0)</f>
        <v/>
      </c>
      <c r="TT55" s="12">
        <f>TR55-TS55</f>
        <v/>
      </c>
      <c r="TU55" s="12">
        <f>ROUND(TS55*EssentialMix,0)</f>
        <v/>
      </c>
      <c r="TV55" s="12">
        <f>TS55-TU55</f>
        <v/>
      </c>
      <c r="TW55" s="12">
        <f>ROUND(TT55*EssentialMix,0)</f>
        <v/>
      </c>
      <c r="TX55" s="12">
        <f>TT55-TW55</f>
        <v/>
      </c>
      <c r="TY55" s="12">
        <f>TU55+TU54+TU53+MAX(0,TY54-TU54-TU53)*(1-TN55)</f>
        <v/>
      </c>
      <c r="TZ55" s="12">
        <f>TV55+TV54+TV53+MAX(0,TZ54-TV54-TV53)*(1-TN55)</f>
        <v/>
      </c>
      <c r="UA55" s="12">
        <f>UA54+TW55-TW43*(AnnualChurn*VLOOKUP(TJ55,ChurnSeasonTable,4,FALSE))*POWER(1-(AnnualChurn*VLOOKUP(TJ55,ChurnSeasonTable,4,FALSE)),0)+TW31*(AnnualChurn*VLOOKUP(TJ55,ChurnSeasonTable,4,FALSE))*POWER(1-(AnnualChurn*VLOOKUP(TJ55,ChurnSeasonTable,4,FALSE)),1)+TW19*(AnnualChurn*VLOOKUP(TJ55,ChurnSeasonTable,4,FALSE))*POWER(1-(AnnualChurn*VLOOKUP(TJ55,ChurnSeasonTable,4,FALSE)),2)+TW7*(AnnualChurn*VLOOKUP(TJ55,ChurnSeasonTable,4,FALSE))*POWER(1-(AnnualChurn*VLOOKUP(TJ55,ChurnSeasonTable,4,FALSE)),3)</f>
        <v/>
      </c>
      <c r="UB55" s="12">
        <f>UB54+TX55-TX43*(AnnualChurn*VLOOKUP(TJ55,ChurnSeasonTable,4,FALSE))*POWER(1-(AnnualChurn*VLOOKUP(TJ55,ChurnSeasonTable,4,FALSE)),0)+TX31*(AnnualChurn*VLOOKUP(TJ55,ChurnSeasonTable,4,FALSE))*POWER(1-(AnnualChurn*VLOOKUP(TJ55,ChurnSeasonTable,4,FALSE)),1)+TX19*(AnnualChurn*VLOOKUP(TJ55,ChurnSeasonTable,4,FALSE))*POWER(1-(AnnualChurn*VLOOKUP(TJ55,ChurnSeasonTable,4,FALSE)),2)+TX7*(AnnualChurn*VLOOKUP(TJ55,ChurnSeasonTable,4,FALSE))*POWER(1-(AnnualChurn*VLOOKUP(TJ55,ChurnSeasonTable,4,FALSE)),3)</f>
        <v/>
      </c>
      <c r="UC55" s="12">
        <f>TY55+TZ55+UA55+UB55</f>
        <v/>
      </c>
      <c r="UD55" s="9">
        <f>TY55*PriceEssMonthly*TM55+TZ55*PricePremMonthly*TM55+UA55*PriceEssAnnual*TM55/12+UB55*PricePremAnnual*TM55/12</f>
        <v/>
      </c>
      <c r="UE55" s="9">
        <f>UD55*12</f>
        <v/>
      </c>
      <c r="UF55" s="12">
        <f>TY55*PriceEssMonthly*TM55+TZ55*PricePremMonthly*TM55</f>
        <v/>
      </c>
      <c r="UG55" s="12">
        <f>TW55*PriceEssAnnual*TM55+TX55*PricePremAnnual*TM55</f>
        <v/>
      </c>
      <c r="UH55" s="12">
        <f>TW43*POWER(1-(AnnualChurn*VLOOKUP(TJ55,ChurnSeasonTable,4,FALSE)),1)*PriceEssAnnual*TM55+TW31*POWER(1-(AnnualChurn*VLOOKUP(TJ55,ChurnSeasonTable,4,FALSE)),2)*PriceEssAnnual*TM55+TW19*POWER(1-(AnnualChurn*VLOOKUP(TJ55,ChurnSeasonTable,4,FALSE)),3)*PriceEssAnnual*TM55+TW7*POWER(1-(AnnualChurn*VLOOKUP(TJ55,ChurnSeasonTable,4,FALSE)),4)*PriceEssAnnual*TM55+TX43*POWER(1-(AnnualChurn*VLOOKUP(TJ55,ChurnSeasonTable,4,FALSE)),1)*PricePremAnnual*TM55+TX31*POWER(1-(AnnualChurn*VLOOKUP(TJ55,ChurnSeasonTable,4,FALSE)),2)*PricePremAnnual*TM55+TX19*POWER(1-(AnnualChurn*VLOOKUP(TJ55,ChurnSeasonTable,4,FALSE)),3)*PricePremAnnual*TM55+TX7*POWER(1-(AnnualChurn*VLOOKUP(TJ55,ChurnSeasonTable,4,FALSE)),4)*PricePremAnnual*TM55</f>
        <v/>
      </c>
      <c r="UI55" s="9">
        <f>UF55+UG55+UH55</f>
        <v/>
      </c>
      <c r="UJ55" s="12">
        <f>SUM(UI44:UI55)</f>
        <v/>
      </c>
      <c r="UK55" s="12">
        <f>OR(UK54,UJ55&gt;=VATThreshold)</f>
        <v/>
      </c>
      <c r="UL55" s="9">
        <f>IF(UK55,UI55/(1+VATRate),UI55)</f>
        <v/>
      </c>
      <c r="UM55" s="12">
        <f>UI55-UL55</f>
        <v/>
      </c>
      <c r="UN55" s="12">
        <f>IF(UK55=0,0,IF(TJ55=1,SUMPRODUCT(--(($TK$5:$TK55=$TK55-1)*($TJ$5:$TJ55&gt;=10)*($TJ$5:$TJ55&lt;=12)),$UM$5:$UM55),IF(TJ55=4,SUMPRODUCT(--(($TK$5:$TK55=$TK55)*($TJ$5:$TJ55&gt;=1)*($TJ$5:$TJ55&lt;=3)),$UM$5:$UM55),IF(TJ55=7,SUMPRODUCT(--(($TK$5:$TK55=$TK55)*($TJ$5:$TJ55&gt;=4)*($TJ$5:$TJ55&lt;=6)),$UM$5:$UM55),IF(TJ55=10,SUMPRODUCT(--(($TK$5:$TK55=$TK55)*($TJ$5:$TJ55&gt;=7)*($TJ$5:$TJ55&lt;=9)),$UM$5:$UM55),0)))))</f>
        <v/>
      </c>
      <c r="UO55" s="12">
        <f>UO54+UM55-UN55</f>
        <v/>
      </c>
      <c r="UP55" s="12">
        <f>IF(ProviderDelay&gt;=1,UL54*ProviderShare,UL55*ProviderShare)</f>
        <v/>
      </c>
      <c r="UQ55" s="12">
        <f>UI55*PaymentFee</f>
        <v/>
      </c>
      <c r="UR55" s="12">
        <f>UC55*OpsAI</f>
        <v/>
      </c>
      <c r="US55" s="12">
        <f>MonthlyFixed</f>
        <v/>
      </c>
      <c r="UT55" s="12">
        <f>TQ55*ReferralReward</f>
        <v/>
      </c>
      <c r="UU55" s="12">
        <f>TO55</f>
        <v/>
      </c>
      <c r="UV55" s="9">
        <f>UL55-UP55-UQ55-UR55-US55-UT55-UU55</f>
        <v/>
      </c>
      <c r="UW55" s="9">
        <f>UW54+UI55-(UP55+UQ55+UR55+US55+UT55+UU55+UN55)</f>
        <v/>
      </c>
      <c r="UX55" s="12">
        <f>IF(UC55&gt;0,UD55/UC55,0)</f>
        <v/>
      </c>
      <c r="UY55" s="11">
        <f>IF(UC54&gt;0,MAX(0,(UC54+TR55-UC55)/UC54),0)</f>
        <v/>
      </c>
      <c r="VA55" s="12" t="n">
        <v>51</v>
      </c>
      <c r="VB55" s="12">
        <f>MOD(VA55-1+LaunchMonth-1,12)+1</f>
        <v/>
      </c>
      <c r="VC55" s="12">
        <f>INT((VA55-1+LaunchMonth-1)/12)+1</f>
        <v/>
      </c>
      <c r="VD55" s="12">
        <f>VLOOKUP(VB55,SeasonTable,2,FALSE)</f>
        <v/>
      </c>
      <c r="VE55" s="12">
        <f>(1+InflationRate)^INT((VA55-1)/12)</f>
        <v/>
      </c>
      <c r="VF55" s="11">
        <f>MonthlyChurn*VLOOKUP(VB55,ChurnSeasonTable,4,FALSE)</f>
        <v/>
      </c>
      <c r="VG55" s="12">
        <f>MIN(MAX(MktMin19plus,WA54*MktPct19plus),MAX(0,WO54-CashBuffer))</f>
        <v/>
      </c>
      <c r="VH55" s="12">
        <f>IF(VG55&gt;0,MAX(1,ROUND(VG55/CAC*VD55,0)),0)</f>
        <v/>
      </c>
      <c r="VI55" s="12">
        <f>IF(VH55&gt;0,ROUND(VH55*ReferralMix/(1-ReferralMix),0),0)</f>
        <v/>
      </c>
      <c r="VJ55" s="12">
        <f>VH55+VI55</f>
        <v/>
      </c>
      <c r="VK55" s="12">
        <f>ROUND(VJ55*(1-'Sens - Annual Mix'!$A$10),0)</f>
        <v/>
      </c>
      <c r="VL55" s="12">
        <f>VJ55-VK55</f>
        <v/>
      </c>
      <c r="VM55" s="12">
        <f>ROUND(VK55*EssentialMix,0)</f>
        <v/>
      </c>
      <c r="VN55" s="12">
        <f>VK55-VM55</f>
        <v/>
      </c>
      <c r="VO55" s="12">
        <f>ROUND(VL55*EssentialMix,0)</f>
        <v/>
      </c>
      <c r="VP55" s="12">
        <f>VL55-VO55</f>
        <v/>
      </c>
      <c r="VQ55" s="12">
        <f>VM55+VM54+VM53+MAX(0,VQ54-VM54-VM53)*(1-VF55)</f>
        <v/>
      </c>
      <c r="VR55" s="12">
        <f>VN55+VN54+VN53+MAX(0,VR54-VN54-VN53)*(1-VF55)</f>
        <v/>
      </c>
      <c r="VS55" s="12">
        <f>VS54+VO55-VO43*(AnnualChurn*VLOOKUP(VB55,ChurnSeasonTable,4,FALSE))*POWER(1-(AnnualChurn*VLOOKUP(VB55,ChurnSeasonTable,4,FALSE)),0)+VO31*(AnnualChurn*VLOOKUP(VB55,ChurnSeasonTable,4,FALSE))*POWER(1-(AnnualChurn*VLOOKUP(VB55,ChurnSeasonTable,4,FALSE)),1)+VO19*(AnnualChurn*VLOOKUP(VB55,ChurnSeasonTable,4,FALSE))*POWER(1-(AnnualChurn*VLOOKUP(VB55,ChurnSeasonTable,4,FALSE)),2)+VO7*(AnnualChurn*VLOOKUP(VB55,ChurnSeasonTable,4,FALSE))*POWER(1-(AnnualChurn*VLOOKUP(VB55,ChurnSeasonTable,4,FALSE)),3)</f>
        <v/>
      </c>
      <c r="VT55" s="12">
        <f>VT54+VP55-VP43*(AnnualChurn*VLOOKUP(VB55,ChurnSeasonTable,4,FALSE))*POWER(1-(AnnualChurn*VLOOKUP(VB55,ChurnSeasonTable,4,FALSE)),0)+VP31*(AnnualChurn*VLOOKUP(VB55,ChurnSeasonTable,4,FALSE))*POWER(1-(AnnualChurn*VLOOKUP(VB55,ChurnSeasonTable,4,FALSE)),1)+VP19*(AnnualChurn*VLOOKUP(VB55,ChurnSeasonTable,4,FALSE))*POWER(1-(AnnualChurn*VLOOKUP(VB55,ChurnSeasonTable,4,FALSE)),2)+VP7*(AnnualChurn*VLOOKUP(VB55,ChurnSeasonTable,4,FALSE))*POWER(1-(AnnualChurn*VLOOKUP(VB55,ChurnSeasonTable,4,FALSE)),3)</f>
        <v/>
      </c>
      <c r="VU55" s="12">
        <f>VQ55+VR55+VS55+VT55</f>
        <v/>
      </c>
      <c r="VV55" s="9">
        <f>VQ55*PriceEssMonthly*VE55+VR55*PricePremMonthly*VE55+VS55*PriceEssAnnual*VE55/12+VT55*PricePremAnnual*VE55/12</f>
        <v/>
      </c>
      <c r="VW55" s="9">
        <f>VV55*12</f>
        <v/>
      </c>
      <c r="VX55" s="12">
        <f>VQ55*PriceEssMonthly*VE55+VR55*PricePremMonthly*VE55</f>
        <v/>
      </c>
      <c r="VY55" s="12">
        <f>VO55*PriceEssAnnual*VE55+VP55*PricePremAnnual*VE55</f>
        <v/>
      </c>
      <c r="VZ55" s="12">
        <f>VO43*POWER(1-(AnnualChurn*VLOOKUP(VB55,ChurnSeasonTable,4,FALSE)),1)*PriceEssAnnual*VE55+VO31*POWER(1-(AnnualChurn*VLOOKUP(VB55,ChurnSeasonTable,4,FALSE)),2)*PriceEssAnnual*VE55+VO19*POWER(1-(AnnualChurn*VLOOKUP(VB55,ChurnSeasonTable,4,FALSE)),3)*PriceEssAnnual*VE55+VO7*POWER(1-(AnnualChurn*VLOOKUP(VB55,ChurnSeasonTable,4,FALSE)),4)*PriceEssAnnual*VE55+VP43*POWER(1-(AnnualChurn*VLOOKUP(VB55,ChurnSeasonTable,4,FALSE)),1)*PricePremAnnual*VE55+VP31*POWER(1-(AnnualChurn*VLOOKUP(VB55,ChurnSeasonTable,4,FALSE)),2)*PricePremAnnual*VE55+VP19*POWER(1-(AnnualChurn*VLOOKUP(VB55,ChurnSeasonTable,4,FALSE)),3)*PricePremAnnual*VE55+VP7*POWER(1-(AnnualChurn*VLOOKUP(VB55,ChurnSeasonTable,4,FALSE)),4)*PricePremAnnual*VE55</f>
        <v/>
      </c>
      <c r="WA55" s="9">
        <f>VX55+VY55+VZ55</f>
        <v/>
      </c>
      <c r="WB55" s="12">
        <f>SUM(WA44:WA55)</f>
        <v/>
      </c>
      <c r="WC55" s="12">
        <f>OR(WC54,WB55&gt;=VATThreshold)</f>
        <v/>
      </c>
      <c r="WD55" s="9">
        <f>IF(WC55,WA55/(1+VATRate),WA55)</f>
        <v/>
      </c>
      <c r="WE55" s="12">
        <f>WA55-WD55</f>
        <v/>
      </c>
      <c r="WF55" s="12">
        <f>IF(WC55=0,0,IF(VB55=1,SUMPRODUCT(--(($VC$5:$VC55=$VC55-1)*($VB$5:$VB55&gt;=10)*($VB$5:$VB55&lt;=12)),$WE$5:$WE55),IF(VB55=4,SUMPRODUCT(--(($VC$5:$VC55=$VC55)*($VB$5:$VB55&gt;=1)*($VB$5:$VB55&lt;=3)),$WE$5:$WE55),IF(VB55=7,SUMPRODUCT(--(($VC$5:$VC55=$VC55)*($VB$5:$VB55&gt;=4)*($VB$5:$VB55&lt;=6)),$WE$5:$WE55),IF(VB55=10,SUMPRODUCT(--(($VC$5:$VC55=$VC55)*($VB$5:$VB55&gt;=7)*($VB$5:$VB55&lt;=9)),$WE$5:$WE55),0)))))</f>
        <v/>
      </c>
      <c r="WG55" s="12">
        <f>WG54+WE55-WF55</f>
        <v/>
      </c>
      <c r="WH55" s="12">
        <f>IF(ProviderDelay&gt;=1,WD54*ProviderShare,WD55*ProviderShare)</f>
        <v/>
      </c>
      <c r="WI55" s="12">
        <f>WA55*PaymentFee</f>
        <v/>
      </c>
      <c r="WJ55" s="12">
        <f>VU55*OpsAI</f>
        <v/>
      </c>
      <c r="WK55" s="12">
        <f>MonthlyFixed</f>
        <v/>
      </c>
      <c r="WL55" s="12">
        <f>VI55*ReferralReward</f>
        <v/>
      </c>
      <c r="WM55" s="12">
        <f>VG55</f>
        <v/>
      </c>
      <c r="WN55" s="9">
        <f>WD55-WH55-WI55-WJ55-WK55-WL55-WM55</f>
        <v/>
      </c>
      <c r="WO55" s="9">
        <f>WO54+WA55-(WH55+WI55+WJ55+WK55+WL55+WM55+WF55)</f>
        <v/>
      </c>
      <c r="WP55" s="12">
        <f>IF(VU55&gt;0,VV55/VU55,0)</f>
        <v/>
      </c>
      <c r="WQ55" s="11">
        <f>IF(VU54&gt;0,MAX(0,(VU54+VJ55-VU55)/VU54),0)</f>
        <v/>
      </c>
      <c r="WS55" s="12" t="n">
        <v>51</v>
      </c>
      <c r="WT55" s="12">
        <f>MOD(WS55-1+LaunchMonth-1,12)+1</f>
        <v/>
      </c>
      <c r="WU55" s="12">
        <f>INT((WS55-1+LaunchMonth-1)/12)+1</f>
        <v/>
      </c>
      <c r="WV55" s="12">
        <f>VLOOKUP(WT55,SeasonTable,2,FALSE)</f>
        <v/>
      </c>
      <c r="WW55" s="12">
        <f>(1+InflationRate)^INT((WS55-1)/12)</f>
        <v/>
      </c>
      <c r="WX55" s="11">
        <f>MonthlyChurn*VLOOKUP(WT55,ChurnSeasonTable,4,FALSE)</f>
        <v/>
      </c>
      <c r="WY55" s="12">
        <f>MIN(MAX(MktMin19plus,XS54*MktPct19plus),MAX(0,YG54-CashBuffer))</f>
        <v/>
      </c>
      <c r="WZ55" s="12">
        <f>IF(WY55&gt;0,MAX(1,ROUND(WY55/CAC*WV55,0)),0)</f>
        <v/>
      </c>
      <c r="XA55" s="12">
        <f>IF(WZ55&gt;0,ROUND(WZ55*ReferralMix/(1-ReferralMix),0),0)</f>
        <v/>
      </c>
      <c r="XB55" s="12">
        <f>WZ55+XA55</f>
        <v/>
      </c>
      <c r="XC55" s="12">
        <f>ROUND(XB55*(1-'Sens - Annual Mix'!$A$11),0)</f>
        <v/>
      </c>
      <c r="XD55" s="12">
        <f>XB55-XC55</f>
        <v/>
      </c>
      <c r="XE55" s="12">
        <f>ROUND(XC55*EssentialMix,0)</f>
        <v/>
      </c>
      <c r="XF55" s="12">
        <f>XC55-XE55</f>
        <v/>
      </c>
      <c r="XG55" s="12">
        <f>ROUND(XD55*EssentialMix,0)</f>
        <v/>
      </c>
      <c r="XH55" s="12">
        <f>XD55-XG55</f>
        <v/>
      </c>
      <c r="XI55" s="12">
        <f>XE55+XE54+XE53+MAX(0,XI54-XE54-XE53)*(1-WX55)</f>
        <v/>
      </c>
      <c r="XJ55" s="12">
        <f>XF55+XF54+XF53+MAX(0,XJ54-XF54-XF53)*(1-WX55)</f>
        <v/>
      </c>
      <c r="XK55" s="12">
        <f>XK54+XG55-XG43*(AnnualChurn*VLOOKUP(WT55,ChurnSeasonTable,4,FALSE))*POWER(1-(AnnualChurn*VLOOKUP(WT55,ChurnSeasonTable,4,FALSE)),0)+XG31*(AnnualChurn*VLOOKUP(WT55,ChurnSeasonTable,4,FALSE))*POWER(1-(AnnualChurn*VLOOKUP(WT55,ChurnSeasonTable,4,FALSE)),1)+XG19*(AnnualChurn*VLOOKUP(WT55,ChurnSeasonTable,4,FALSE))*POWER(1-(AnnualChurn*VLOOKUP(WT55,ChurnSeasonTable,4,FALSE)),2)+XG7*(AnnualChurn*VLOOKUP(WT55,ChurnSeasonTable,4,FALSE))*POWER(1-(AnnualChurn*VLOOKUP(WT55,ChurnSeasonTable,4,FALSE)),3)</f>
        <v/>
      </c>
      <c r="XL55" s="12">
        <f>XL54+XH55-XH43*(AnnualChurn*VLOOKUP(WT55,ChurnSeasonTable,4,FALSE))*POWER(1-(AnnualChurn*VLOOKUP(WT55,ChurnSeasonTable,4,FALSE)),0)+XH31*(AnnualChurn*VLOOKUP(WT55,ChurnSeasonTable,4,FALSE))*POWER(1-(AnnualChurn*VLOOKUP(WT55,ChurnSeasonTable,4,FALSE)),1)+XH19*(AnnualChurn*VLOOKUP(WT55,ChurnSeasonTable,4,FALSE))*POWER(1-(AnnualChurn*VLOOKUP(WT55,ChurnSeasonTable,4,FALSE)),2)+XH7*(AnnualChurn*VLOOKUP(WT55,ChurnSeasonTable,4,FALSE))*POWER(1-(AnnualChurn*VLOOKUP(WT55,ChurnSeasonTable,4,FALSE)),3)</f>
        <v/>
      </c>
      <c r="XM55" s="12">
        <f>XI55+XJ55+XK55+XL55</f>
        <v/>
      </c>
      <c r="XN55" s="9">
        <f>XI55*PriceEssMonthly*WW55+XJ55*PricePremMonthly*WW55+XK55*PriceEssAnnual*WW55/12+XL55*PricePremAnnual*WW55/12</f>
        <v/>
      </c>
      <c r="XO55" s="9">
        <f>XN55*12</f>
        <v/>
      </c>
      <c r="XP55" s="12">
        <f>XI55*PriceEssMonthly*WW55+XJ55*PricePremMonthly*WW55</f>
        <v/>
      </c>
      <c r="XQ55" s="12">
        <f>XG55*PriceEssAnnual*WW55+XH55*PricePremAnnual*WW55</f>
        <v/>
      </c>
      <c r="XR55" s="12">
        <f>XG43*POWER(1-(AnnualChurn*VLOOKUP(WT55,ChurnSeasonTable,4,FALSE)),1)*PriceEssAnnual*WW55+XG31*POWER(1-(AnnualChurn*VLOOKUP(WT55,ChurnSeasonTable,4,FALSE)),2)*PriceEssAnnual*WW55+XG19*POWER(1-(AnnualChurn*VLOOKUP(WT55,ChurnSeasonTable,4,FALSE)),3)*PriceEssAnnual*WW55+XG7*POWER(1-(AnnualChurn*VLOOKUP(WT55,ChurnSeasonTable,4,FALSE)),4)*PriceEssAnnual*WW55+XH43*POWER(1-(AnnualChurn*VLOOKUP(WT55,ChurnSeasonTable,4,FALSE)),1)*PricePremAnnual*WW55+XH31*POWER(1-(AnnualChurn*VLOOKUP(WT55,ChurnSeasonTable,4,FALSE)),2)*PricePremAnnual*WW55+XH19*POWER(1-(AnnualChurn*VLOOKUP(WT55,ChurnSeasonTable,4,FALSE)),3)*PricePremAnnual*WW55+XH7*POWER(1-(AnnualChurn*VLOOKUP(WT55,ChurnSeasonTable,4,FALSE)),4)*PricePremAnnual*WW55</f>
        <v/>
      </c>
      <c r="XS55" s="9">
        <f>XP55+XQ55+XR55</f>
        <v/>
      </c>
      <c r="XT55" s="12">
        <f>SUM(XS44:XS55)</f>
        <v/>
      </c>
      <c r="XU55" s="12">
        <f>OR(XU54,XT55&gt;=VATThreshold)</f>
        <v/>
      </c>
      <c r="XV55" s="9">
        <f>IF(XU55,XS55/(1+VATRate),XS55)</f>
        <v/>
      </c>
      <c r="XW55" s="12">
        <f>XS55-XV55</f>
        <v/>
      </c>
      <c r="XX55" s="12">
        <f>IF(XU55=0,0,IF(WT55=1,SUMPRODUCT(--(($WU$5:$WU55=$WU55-1)*($WT$5:$WT55&gt;=10)*($WT$5:$WT55&lt;=12)),$XW$5:$XW55),IF(WT55=4,SUMPRODUCT(--(($WU$5:$WU55=$WU55)*($WT$5:$WT55&gt;=1)*($WT$5:$WT55&lt;=3)),$XW$5:$XW55),IF(WT55=7,SUMPRODUCT(--(($WU$5:$WU55=$WU55)*($WT$5:$WT55&gt;=4)*($WT$5:$WT55&lt;=6)),$XW$5:$XW55),IF(WT55=10,SUMPRODUCT(--(($WU$5:$WU55=$WU55)*($WT$5:$WT55&gt;=7)*($WT$5:$WT55&lt;=9)),$XW$5:$XW55),0)))))</f>
        <v/>
      </c>
      <c r="XY55" s="12">
        <f>XY54+XW55-XX55</f>
        <v/>
      </c>
      <c r="XZ55" s="12">
        <f>IF(ProviderDelay&gt;=1,XV54*ProviderShare,XV55*ProviderShare)</f>
        <v/>
      </c>
      <c r="YA55" s="12">
        <f>XS55*PaymentFee</f>
        <v/>
      </c>
      <c r="YB55" s="12">
        <f>XM55*OpsAI</f>
        <v/>
      </c>
      <c r="YC55" s="12">
        <f>MonthlyFixed</f>
        <v/>
      </c>
      <c r="YD55" s="12">
        <f>XA55*ReferralReward</f>
        <v/>
      </c>
      <c r="YE55" s="12">
        <f>WY55</f>
        <v/>
      </c>
      <c r="YF55" s="9">
        <f>XV55-XZ55-YA55-YB55-YC55-YD55-YE55</f>
        <v/>
      </c>
      <c r="YG55" s="9">
        <f>YG54+XS55-(XZ55+YA55+YB55+YC55+YD55+YE55+XX55)</f>
        <v/>
      </c>
      <c r="YH55" s="12">
        <f>IF(XM55&gt;0,XN55/XM55,0)</f>
        <v/>
      </c>
      <c r="YI55" s="11">
        <f>IF(XM54&gt;0,MAX(0,(XM54+XB55-XM55)/XM54),0)</f>
        <v/>
      </c>
      <c r="YK55" s="12" t="n">
        <v>51</v>
      </c>
      <c r="YL55" s="12">
        <f>MOD(YK55-1+LaunchMonth-1,12)+1</f>
        <v/>
      </c>
      <c r="YM55" s="12">
        <f>INT((YK55-1+LaunchMonth-1)/12)+1</f>
        <v/>
      </c>
      <c r="YN55" s="12">
        <f>VLOOKUP(YL55,SeasonTable,2,FALSE)</f>
        <v/>
      </c>
      <c r="YO55" s="12">
        <f>(1+InflationRate)^INT((YK55-1)/12)</f>
        <v/>
      </c>
      <c r="YP55" s="11">
        <f>MonthlyChurn*VLOOKUP(YL55,ChurnSeasonTable,4,FALSE)</f>
        <v/>
      </c>
      <c r="YQ55" s="12">
        <f>MIN(MAX(MktMin19plus,ZK54*MktPct19plus),MAX(0,ZY54-CashBuffer))</f>
        <v/>
      </c>
      <c r="YR55" s="12">
        <f>IF(YQ55&gt;0,MAX(1,ROUND(YQ55/CAC*YN55,0)),0)</f>
        <v/>
      </c>
      <c r="YS55" s="12">
        <f>IF(YR55&gt;0,ROUND(YR55*ReferralMix/(1-ReferralMix),0),0)</f>
        <v/>
      </c>
      <c r="YT55" s="12">
        <f>YR55+YS55</f>
        <v/>
      </c>
      <c r="YU55" s="12">
        <f>ROUND(YT55*(1-'Sens - Annual Mix'!$A$12),0)</f>
        <v/>
      </c>
      <c r="YV55" s="12">
        <f>YT55-YU55</f>
        <v/>
      </c>
      <c r="YW55" s="12">
        <f>ROUND(YU55*EssentialMix,0)</f>
        <v/>
      </c>
      <c r="YX55" s="12">
        <f>YU55-YW55</f>
        <v/>
      </c>
      <c r="YY55" s="12">
        <f>ROUND(YV55*EssentialMix,0)</f>
        <v/>
      </c>
      <c r="YZ55" s="12">
        <f>YV55-YY55</f>
        <v/>
      </c>
      <c r="ZA55" s="12">
        <f>YW55+YW54+YW53+MAX(0,ZA54-YW54-YW53)*(1-YP55)</f>
        <v/>
      </c>
      <c r="ZB55" s="12">
        <f>YX55+YX54+YX53+MAX(0,ZB54-YX54-YX53)*(1-YP55)</f>
        <v/>
      </c>
      <c r="ZC55" s="12">
        <f>ZC54+YY55-YY43*(AnnualChurn*VLOOKUP(YL55,ChurnSeasonTable,4,FALSE))*POWER(1-(AnnualChurn*VLOOKUP(YL55,ChurnSeasonTable,4,FALSE)),0)+YY31*(AnnualChurn*VLOOKUP(YL55,ChurnSeasonTable,4,FALSE))*POWER(1-(AnnualChurn*VLOOKUP(YL55,ChurnSeasonTable,4,FALSE)),1)+YY19*(AnnualChurn*VLOOKUP(YL55,ChurnSeasonTable,4,FALSE))*POWER(1-(AnnualChurn*VLOOKUP(YL55,ChurnSeasonTable,4,FALSE)),2)+YY7*(AnnualChurn*VLOOKUP(YL55,ChurnSeasonTable,4,FALSE))*POWER(1-(AnnualChurn*VLOOKUP(YL55,ChurnSeasonTable,4,FALSE)),3)</f>
        <v/>
      </c>
      <c r="ZD55" s="12">
        <f>ZD54+YZ55-YZ43*(AnnualChurn*VLOOKUP(YL55,ChurnSeasonTable,4,FALSE))*POWER(1-(AnnualChurn*VLOOKUP(YL55,ChurnSeasonTable,4,FALSE)),0)+YZ31*(AnnualChurn*VLOOKUP(YL55,ChurnSeasonTable,4,FALSE))*POWER(1-(AnnualChurn*VLOOKUP(YL55,ChurnSeasonTable,4,FALSE)),1)+YZ19*(AnnualChurn*VLOOKUP(YL55,ChurnSeasonTable,4,FALSE))*POWER(1-(AnnualChurn*VLOOKUP(YL55,ChurnSeasonTable,4,FALSE)),2)+YZ7*(AnnualChurn*VLOOKUP(YL55,ChurnSeasonTable,4,FALSE))*POWER(1-(AnnualChurn*VLOOKUP(YL55,ChurnSeasonTable,4,FALSE)),3)</f>
        <v/>
      </c>
      <c r="ZE55" s="12">
        <f>ZA55+ZB55+ZC55+ZD55</f>
        <v/>
      </c>
      <c r="ZF55" s="9">
        <f>ZA55*PriceEssMonthly*YO55+ZB55*PricePremMonthly*YO55+ZC55*PriceEssAnnual*YO55/12+ZD55*PricePremAnnual*YO55/12</f>
        <v/>
      </c>
      <c r="ZG55" s="9">
        <f>ZF55*12</f>
        <v/>
      </c>
      <c r="ZH55" s="12">
        <f>ZA55*PriceEssMonthly*YO55+ZB55*PricePremMonthly*YO55</f>
        <v/>
      </c>
      <c r="ZI55" s="12">
        <f>YY55*PriceEssAnnual*YO55+YZ55*PricePremAnnual*YO55</f>
        <v/>
      </c>
      <c r="ZJ55" s="12">
        <f>YY43*POWER(1-(AnnualChurn*VLOOKUP(YL55,ChurnSeasonTable,4,FALSE)),1)*PriceEssAnnual*YO55+YY31*POWER(1-(AnnualChurn*VLOOKUP(YL55,ChurnSeasonTable,4,FALSE)),2)*PriceEssAnnual*YO55+YY19*POWER(1-(AnnualChurn*VLOOKUP(YL55,ChurnSeasonTable,4,FALSE)),3)*PriceEssAnnual*YO55+YY7*POWER(1-(AnnualChurn*VLOOKUP(YL55,ChurnSeasonTable,4,FALSE)),4)*PriceEssAnnual*YO55+YZ43*POWER(1-(AnnualChurn*VLOOKUP(YL55,ChurnSeasonTable,4,FALSE)),1)*PricePremAnnual*YO55+YZ31*POWER(1-(AnnualChurn*VLOOKUP(YL55,ChurnSeasonTable,4,FALSE)),2)*PricePremAnnual*YO55+YZ19*POWER(1-(AnnualChurn*VLOOKUP(YL55,ChurnSeasonTable,4,FALSE)),3)*PricePremAnnual*YO55+YZ7*POWER(1-(AnnualChurn*VLOOKUP(YL55,ChurnSeasonTable,4,FALSE)),4)*PricePremAnnual*YO55</f>
        <v/>
      </c>
      <c r="ZK55" s="9">
        <f>ZH55+ZI55+ZJ55</f>
        <v/>
      </c>
      <c r="ZL55" s="12">
        <f>SUM(ZK44:ZK55)</f>
        <v/>
      </c>
      <c r="ZM55" s="12">
        <f>OR(ZM54,ZL55&gt;=VATThreshold)</f>
        <v/>
      </c>
      <c r="ZN55" s="9">
        <f>IF(ZM55,ZK55/(1+VATRate),ZK55)</f>
        <v/>
      </c>
      <c r="ZO55" s="12">
        <f>ZK55-ZN55</f>
        <v/>
      </c>
      <c r="ZP55" s="12">
        <f>IF(ZM55=0,0,IF(YL55=1,SUMPRODUCT(--(($YM$5:$YM55=$YM55-1)*($YL$5:$YL55&gt;=10)*($YL$5:$YL55&lt;=12)),$ZO$5:$ZO55),IF(YL55=4,SUMPRODUCT(--(($YM$5:$YM55=$YM55)*($YL$5:$YL55&gt;=1)*($YL$5:$YL55&lt;=3)),$ZO$5:$ZO55),IF(YL55=7,SUMPRODUCT(--(($YM$5:$YM55=$YM55)*($YL$5:$YL55&gt;=4)*($YL$5:$YL55&lt;=6)),$ZO$5:$ZO55),IF(YL55=10,SUMPRODUCT(--(($YM$5:$YM55=$YM55)*($YL$5:$YL55&gt;=7)*($YL$5:$YL55&lt;=9)),$ZO$5:$ZO55),0)))))</f>
        <v/>
      </c>
      <c r="ZQ55" s="12">
        <f>ZQ54+ZO55-ZP55</f>
        <v/>
      </c>
      <c r="ZR55" s="12">
        <f>IF(ProviderDelay&gt;=1,ZN54*ProviderShare,ZN55*ProviderShare)</f>
        <v/>
      </c>
      <c r="ZS55" s="12">
        <f>ZK55*PaymentFee</f>
        <v/>
      </c>
      <c r="ZT55" s="12">
        <f>ZE55*OpsAI</f>
        <v/>
      </c>
      <c r="ZU55" s="12">
        <f>MonthlyFixed</f>
        <v/>
      </c>
      <c r="ZV55" s="12">
        <f>YS55*ReferralReward</f>
        <v/>
      </c>
      <c r="ZW55" s="12">
        <f>YQ55</f>
        <v/>
      </c>
      <c r="ZX55" s="9">
        <f>ZN55-ZR55-ZS55-ZT55-ZU55-ZV55-ZW55</f>
        <v/>
      </c>
      <c r="ZY55" s="9">
        <f>ZY54+ZK55-(ZR55+ZS55+ZT55+ZU55+ZV55+ZW55+ZP55)</f>
        <v/>
      </c>
      <c r="ZZ55" s="12">
        <f>IF(ZE55&gt;0,ZF55/ZE55,0)</f>
        <v/>
      </c>
      <c r="AAA55" s="11">
        <f>IF(ZE54&gt;0,MAX(0,(ZE54+YT55-ZE55)/ZE54),0)</f>
        <v/>
      </c>
      <c r="AAC55" s="12" t="n">
        <v>51</v>
      </c>
      <c r="AAD55" s="12">
        <f>MOD(AAC55-1+LaunchMonth-1,12)+1</f>
        <v/>
      </c>
      <c r="AAE55" s="12">
        <f>INT((AAC55-1+LaunchMonth-1)/12)+1</f>
        <v/>
      </c>
      <c r="AAF55" s="12">
        <f>VLOOKUP(AAD55,SeasonTable,2,FALSE)</f>
        <v/>
      </c>
      <c r="AAG55" s="12">
        <f>(1+InflationRate)^INT((AAC55-1)/12)</f>
        <v/>
      </c>
      <c r="AAH55" s="11">
        <f>MonthlyChurn*VLOOKUP(AAD55,ChurnSeasonTable,4,FALSE)</f>
        <v/>
      </c>
      <c r="AAI55" s="12">
        <f>MIN(MAX(MktMin19plus,ABC54*MktPct19plus),MAX(0,ABQ54-CashBuffer))</f>
        <v/>
      </c>
      <c r="AAJ55" s="12">
        <f>IF(AAI55&gt;0,MAX(1,ROUND(AAI55/CAC*AAF55,0)),0)</f>
        <v/>
      </c>
      <c r="AAK55" s="12">
        <f>IF(AAJ55&gt;0,ROUND(AAJ55*ReferralMix/(1-ReferralMix),0),0)</f>
        <v/>
      </c>
      <c r="AAL55" s="12">
        <f>AAJ55+AAK55</f>
        <v/>
      </c>
      <c r="AAM55" s="12">
        <f>ROUND(AAL55*(1-'Sens - Annual Mix'!$A$13),0)</f>
        <v/>
      </c>
      <c r="AAN55" s="12">
        <f>AAL55-AAM55</f>
        <v/>
      </c>
      <c r="AAO55" s="12">
        <f>ROUND(AAM55*EssentialMix,0)</f>
        <v/>
      </c>
      <c r="AAP55" s="12">
        <f>AAM55-AAO55</f>
        <v/>
      </c>
      <c r="AAQ55" s="12">
        <f>ROUND(AAN55*EssentialMix,0)</f>
        <v/>
      </c>
      <c r="AAR55" s="12">
        <f>AAN55-AAQ55</f>
        <v/>
      </c>
      <c r="AAS55" s="12">
        <f>AAO55+AAO54+AAO53+MAX(0,AAS54-AAO54-AAO53)*(1-AAH55)</f>
        <v/>
      </c>
      <c r="AAT55" s="12">
        <f>AAP55+AAP54+AAP53+MAX(0,AAT54-AAP54-AAP53)*(1-AAH55)</f>
        <v/>
      </c>
      <c r="AAU55" s="12">
        <f>AAU54+AAQ55-AAQ43*(AnnualChurn*VLOOKUP(AAD55,ChurnSeasonTable,4,FALSE))*POWER(1-(AnnualChurn*VLOOKUP(AAD55,ChurnSeasonTable,4,FALSE)),0)+AAQ31*(AnnualChurn*VLOOKUP(AAD55,ChurnSeasonTable,4,FALSE))*POWER(1-(AnnualChurn*VLOOKUP(AAD55,ChurnSeasonTable,4,FALSE)),1)+AAQ19*(AnnualChurn*VLOOKUP(AAD55,ChurnSeasonTable,4,FALSE))*POWER(1-(AnnualChurn*VLOOKUP(AAD55,ChurnSeasonTable,4,FALSE)),2)+AAQ7*(AnnualChurn*VLOOKUP(AAD55,ChurnSeasonTable,4,FALSE))*POWER(1-(AnnualChurn*VLOOKUP(AAD55,ChurnSeasonTable,4,FALSE)),3)</f>
        <v/>
      </c>
      <c r="AAV55" s="12">
        <f>AAV54+AAR55-AAR43*(AnnualChurn*VLOOKUP(AAD55,ChurnSeasonTable,4,FALSE))*POWER(1-(AnnualChurn*VLOOKUP(AAD55,ChurnSeasonTable,4,FALSE)),0)+AAR31*(AnnualChurn*VLOOKUP(AAD55,ChurnSeasonTable,4,FALSE))*POWER(1-(AnnualChurn*VLOOKUP(AAD55,ChurnSeasonTable,4,FALSE)),1)+AAR19*(AnnualChurn*VLOOKUP(AAD55,ChurnSeasonTable,4,FALSE))*POWER(1-(AnnualChurn*VLOOKUP(AAD55,ChurnSeasonTable,4,FALSE)),2)+AAR7*(AnnualChurn*VLOOKUP(AAD55,ChurnSeasonTable,4,FALSE))*POWER(1-(AnnualChurn*VLOOKUP(AAD55,ChurnSeasonTable,4,FALSE)),3)</f>
        <v/>
      </c>
      <c r="AAW55" s="12">
        <f>AAS55+AAT55+AAU55+AAV55</f>
        <v/>
      </c>
      <c r="AAX55" s="9">
        <f>AAS55*PriceEssMonthly*AAG55+AAT55*PricePremMonthly*AAG55+AAU55*PriceEssAnnual*AAG55/12+AAV55*PricePremAnnual*AAG55/12</f>
        <v/>
      </c>
      <c r="AAY55" s="9">
        <f>AAX55*12</f>
        <v/>
      </c>
      <c r="AAZ55" s="12">
        <f>AAS55*PriceEssMonthly*AAG55+AAT55*PricePremMonthly*AAG55</f>
        <v/>
      </c>
      <c r="ABA55" s="12">
        <f>AAQ55*PriceEssAnnual*AAG55+AAR55*PricePremAnnual*AAG55</f>
        <v/>
      </c>
      <c r="ABB55" s="12">
        <f>AAQ43*POWER(1-(AnnualChurn*VLOOKUP(AAD55,ChurnSeasonTable,4,FALSE)),1)*PriceEssAnnual*AAG55+AAQ31*POWER(1-(AnnualChurn*VLOOKUP(AAD55,ChurnSeasonTable,4,FALSE)),2)*PriceEssAnnual*AAG55+AAQ19*POWER(1-(AnnualChurn*VLOOKUP(AAD55,ChurnSeasonTable,4,FALSE)),3)*PriceEssAnnual*AAG55+AAQ7*POWER(1-(AnnualChurn*VLOOKUP(AAD55,ChurnSeasonTable,4,FALSE)),4)*PriceEssAnnual*AAG55+AAR43*POWER(1-(AnnualChurn*VLOOKUP(AAD55,ChurnSeasonTable,4,FALSE)),1)*PricePremAnnual*AAG55+AAR31*POWER(1-(AnnualChurn*VLOOKUP(AAD55,ChurnSeasonTable,4,FALSE)),2)*PricePremAnnual*AAG55+AAR19*POWER(1-(AnnualChurn*VLOOKUP(AAD55,ChurnSeasonTable,4,FALSE)),3)*PricePremAnnual*AAG55+AAR7*POWER(1-(AnnualChurn*VLOOKUP(AAD55,ChurnSeasonTable,4,FALSE)),4)*PricePremAnnual*AAG55</f>
        <v/>
      </c>
      <c r="ABC55" s="9">
        <f>AAZ55+ABA55+ABB55</f>
        <v/>
      </c>
      <c r="ABD55" s="12">
        <f>SUM(ABC44:ABC55)</f>
        <v/>
      </c>
      <c r="ABE55" s="12">
        <f>OR(ABE54,ABD55&gt;=VATThreshold)</f>
        <v/>
      </c>
      <c r="ABF55" s="9">
        <f>IF(ABE55,ABC55/(1+VATRate),ABC55)</f>
        <v/>
      </c>
      <c r="ABG55" s="12">
        <f>ABC55-ABF55</f>
        <v/>
      </c>
      <c r="ABH55" s="12">
        <f>IF(ABE55=0,0,IF(AAD55=1,SUMPRODUCT(--(($AAE$5:$AAE55=$AAE55-1)*($AAD$5:$AAD55&gt;=10)*($AAD$5:$AAD55&lt;=12)),$ABG$5:$ABG55),IF(AAD55=4,SUMPRODUCT(--(($AAE$5:$AAE55=$AAE55)*($AAD$5:$AAD55&gt;=1)*($AAD$5:$AAD55&lt;=3)),$ABG$5:$ABG55),IF(AAD55=7,SUMPRODUCT(--(($AAE$5:$AAE55=$AAE55)*($AAD$5:$AAD55&gt;=4)*($AAD$5:$AAD55&lt;=6)),$ABG$5:$ABG55),IF(AAD55=10,SUMPRODUCT(--(($AAE$5:$AAE55=$AAE55)*($AAD$5:$AAD55&gt;=7)*($AAD$5:$AAD55&lt;=9)),$ABG$5:$ABG55),0)))))</f>
        <v/>
      </c>
      <c r="ABI55" s="12">
        <f>ABI54+ABG55-ABH55</f>
        <v/>
      </c>
      <c r="ABJ55" s="12">
        <f>IF(ProviderDelay&gt;=1,ABF54*ProviderShare,ABF55*ProviderShare)</f>
        <v/>
      </c>
      <c r="ABK55" s="12">
        <f>ABC55*PaymentFee</f>
        <v/>
      </c>
      <c r="ABL55" s="12">
        <f>AAW55*OpsAI</f>
        <v/>
      </c>
      <c r="ABM55" s="12">
        <f>MonthlyFixed</f>
        <v/>
      </c>
      <c r="ABN55" s="12">
        <f>AAK55*ReferralReward</f>
        <v/>
      </c>
      <c r="ABO55" s="12">
        <f>AAI55</f>
        <v/>
      </c>
      <c r="ABP55" s="9">
        <f>ABF55-ABJ55-ABK55-ABL55-ABM55-ABN55-ABO55</f>
        <v/>
      </c>
      <c r="ABQ55" s="9">
        <f>ABQ54+ABC55-(ABJ55+ABK55+ABL55+ABM55+ABN55+ABO55+ABH55)</f>
        <v/>
      </c>
      <c r="ABR55" s="12">
        <f>IF(AAW55&gt;0,AAX55/AAW55,0)</f>
        <v/>
      </c>
      <c r="ABS55" s="11">
        <f>IF(AAW54&gt;0,MAX(0,(AAW54+AAL55-AAW55)/AAW54),0)</f>
        <v/>
      </c>
      <c r="ABU55" s="12" t="n">
        <v>51</v>
      </c>
      <c r="ABV55" s="12">
        <f>MOD(ABU55-1+LaunchMonth-1,12)+1</f>
        <v/>
      </c>
      <c r="ABW55" s="12">
        <f>INT((ABU55-1+LaunchMonth-1)/12)+1</f>
        <v/>
      </c>
      <c r="ABX55" s="12">
        <f>VLOOKUP(ABV55,SeasonTable,2,FALSE)</f>
        <v/>
      </c>
      <c r="ABY55" s="12">
        <f>(1+InflationRate)^INT((ABU55-1)/12)</f>
        <v/>
      </c>
      <c r="ABZ55" s="11">
        <f>MonthlyChurn*VLOOKUP(ABV55,ChurnSeasonTable,4,FALSE)</f>
        <v/>
      </c>
      <c r="ACA55" s="12">
        <f>MIN(MAX(MktMin19plus,ACU54*MktPct19plus),MAX(0,ADI54-CashBuffer))</f>
        <v/>
      </c>
      <c r="ACB55" s="12">
        <f>IF(ACA55&gt;0,MAX(1,ROUND(ACA55/CAC*ABX55,0)),0)</f>
        <v/>
      </c>
      <c r="ACC55" s="12">
        <f>IF(ACB55&gt;0,ROUND(ACB55*ReferralMix/(1-ReferralMix),0),0)</f>
        <v/>
      </c>
      <c r="ACD55" s="12">
        <f>ACB55+ACC55</f>
        <v/>
      </c>
      <c r="ACE55" s="12">
        <f>ROUND(ACD55*(1-'Sens - Annual Mix'!$A$14),0)</f>
        <v/>
      </c>
      <c r="ACF55" s="12">
        <f>ACD55-ACE55</f>
        <v/>
      </c>
      <c r="ACG55" s="12">
        <f>ROUND(ACE55*EssentialMix,0)</f>
        <v/>
      </c>
      <c r="ACH55" s="12">
        <f>ACE55-ACG55</f>
        <v/>
      </c>
      <c r="ACI55" s="12">
        <f>ROUND(ACF55*EssentialMix,0)</f>
        <v/>
      </c>
      <c r="ACJ55" s="12">
        <f>ACF55-ACI55</f>
        <v/>
      </c>
      <c r="ACK55" s="12">
        <f>ACG55+ACG54+ACG53+MAX(0,ACK54-ACG54-ACG53)*(1-ABZ55)</f>
        <v/>
      </c>
      <c r="ACL55" s="12">
        <f>ACH55+ACH54+ACH53+MAX(0,ACL54-ACH54-ACH53)*(1-ABZ55)</f>
        <v/>
      </c>
      <c r="ACM55" s="12">
        <f>ACM54+ACI55-ACI43*(AnnualChurn*VLOOKUP(ABV55,ChurnSeasonTable,4,FALSE))*POWER(1-(AnnualChurn*VLOOKUP(ABV55,ChurnSeasonTable,4,FALSE)),0)+ACI31*(AnnualChurn*VLOOKUP(ABV55,ChurnSeasonTable,4,FALSE))*POWER(1-(AnnualChurn*VLOOKUP(ABV55,ChurnSeasonTable,4,FALSE)),1)+ACI19*(AnnualChurn*VLOOKUP(ABV55,ChurnSeasonTable,4,FALSE))*POWER(1-(AnnualChurn*VLOOKUP(ABV55,ChurnSeasonTable,4,FALSE)),2)+ACI7*(AnnualChurn*VLOOKUP(ABV55,ChurnSeasonTable,4,FALSE))*POWER(1-(AnnualChurn*VLOOKUP(ABV55,ChurnSeasonTable,4,FALSE)),3)</f>
        <v/>
      </c>
      <c r="ACN55" s="12">
        <f>ACN54+ACJ55-ACJ43*(AnnualChurn*VLOOKUP(ABV55,ChurnSeasonTable,4,FALSE))*POWER(1-(AnnualChurn*VLOOKUP(ABV55,ChurnSeasonTable,4,FALSE)),0)+ACJ31*(AnnualChurn*VLOOKUP(ABV55,ChurnSeasonTable,4,FALSE))*POWER(1-(AnnualChurn*VLOOKUP(ABV55,ChurnSeasonTable,4,FALSE)),1)+ACJ19*(AnnualChurn*VLOOKUP(ABV55,ChurnSeasonTable,4,FALSE))*POWER(1-(AnnualChurn*VLOOKUP(ABV55,ChurnSeasonTable,4,FALSE)),2)+ACJ7*(AnnualChurn*VLOOKUP(ABV55,ChurnSeasonTable,4,FALSE))*POWER(1-(AnnualChurn*VLOOKUP(ABV55,ChurnSeasonTable,4,FALSE)),3)</f>
        <v/>
      </c>
      <c r="ACO55" s="12">
        <f>ACK55+ACL55+ACM55+ACN55</f>
        <v/>
      </c>
      <c r="ACP55" s="9">
        <f>ACK55*PriceEssMonthly*ABY55+ACL55*PricePremMonthly*ABY55+ACM55*PriceEssAnnual*ABY55/12+ACN55*PricePremAnnual*ABY55/12</f>
        <v/>
      </c>
      <c r="ACQ55" s="9">
        <f>ACP55*12</f>
        <v/>
      </c>
      <c r="ACR55" s="12">
        <f>ACK55*PriceEssMonthly*ABY55+ACL55*PricePremMonthly*ABY55</f>
        <v/>
      </c>
      <c r="ACS55" s="12">
        <f>ACI55*PriceEssAnnual*ABY55+ACJ55*PricePremAnnual*ABY55</f>
        <v/>
      </c>
      <c r="ACT55" s="12">
        <f>ACI43*POWER(1-(AnnualChurn*VLOOKUP(ABV55,ChurnSeasonTable,4,FALSE)),1)*PriceEssAnnual*ABY55+ACI31*POWER(1-(AnnualChurn*VLOOKUP(ABV55,ChurnSeasonTable,4,FALSE)),2)*PriceEssAnnual*ABY55+ACI19*POWER(1-(AnnualChurn*VLOOKUP(ABV55,ChurnSeasonTable,4,FALSE)),3)*PriceEssAnnual*ABY55+ACI7*POWER(1-(AnnualChurn*VLOOKUP(ABV55,ChurnSeasonTable,4,FALSE)),4)*PriceEssAnnual*ABY55+ACJ43*POWER(1-(AnnualChurn*VLOOKUP(ABV55,ChurnSeasonTable,4,FALSE)),1)*PricePremAnnual*ABY55+ACJ31*POWER(1-(AnnualChurn*VLOOKUP(ABV55,ChurnSeasonTable,4,FALSE)),2)*PricePremAnnual*ABY55+ACJ19*POWER(1-(AnnualChurn*VLOOKUP(ABV55,ChurnSeasonTable,4,FALSE)),3)*PricePremAnnual*ABY55+ACJ7*POWER(1-(AnnualChurn*VLOOKUP(ABV55,ChurnSeasonTable,4,FALSE)),4)*PricePremAnnual*ABY55</f>
        <v/>
      </c>
      <c r="ACU55" s="9">
        <f>ACR55+ACS55+ACT55</f>
        <v/>
      </c>
      <c r="ACV55" s="12">
        <f>SUM(ACU44:ACU55)</f>
        <v/>
      </c>
      <c r="ACW55" s="12">
        <f>OR(ACW54,ACV55&gt;=VATThreshold)</f>
        <v/>
      </c>
      <c r="ACX55" s="9">
        <f>IF(ACW55,ACU55/(1+VATRate),ACU55)</f>
        <v/>
      </c>
      <c r="ACY55" s="12">
        <f>ACU55-ACX55</f>
        <v/>
      </c>
      <c r="ACZ55" s="12">
        <f>IF(ACW55=0,0,IF(ABV55=1,SUMPRODUCT(--(($ABW$5:$ABW55=$ABW55-1)*($ABV$5:$ABV55&gt;=10)*($ABV$5:$ABV55&lt;=12)),$ACY$5:$ACY55),IF(ABV55=4,SUMPRODUCT(--(($ABW$5:$ABW55=$ABW55)*($ABV$5:$ABV55&gt;=1)*($ABV$5:$ABV55&lt;=3)),$ACY$5:$ACY55),IF(ABV55=7,SUMPRODUCT(--(($ABW$5:$ABW55=$ABW55)*($ABV$5:$ABV55&gt;=4)*($ABV$5:$ABV55&lt;=6)),$ACY$5:$ACY55),IF(ABV55=10,SUMPRODUCT(--(($ABW$5:$ABW55=$ABW55)*($ABV$5:$ABV55&gt;=7)*($ABV$5:$ABV55&lt;=9)),$ACY$5:$ACY55),0)))))</f>
        <v/>
      </c>
      <c r="ADA55" s="12">
        <f>ADA54+ACY55-ACZ55</f>
        <v/>
      </c>
      <c r="ADB55" s="12">
        <f>IF(ProviderDelay&gt;=1,ACX54*ProviderShare,ACX55*ProviderShare)</f>
        <v/>
      </c>
      <c r="ADC55" s="12">
        <f>ACU55*PaymentFee</f>
        <v/>
      </c>
      <c r="ADD55" s="12">
        <f>ACO55*OpsAI</f>
        <v/>
      </c>
      <c r="ADE55" s="12">
        <f>MonthlyFixed</f>
        <v/>
      </c>
      <c r="ADF55" s="12">
        <f>ACC55*ReferralReward</f>
        <v/>
      </c>
      <c r="ADG55" s="12">
        <f>ACA55</f>
        <v/>
      </c>
      <c r="ADH55" s="9">
        <f>ACX55-ADB55-ADC55-ADD55-ADE55-ADF55-ADG55</f>
        <v/>
      </c>
      <c r="ADI55" s="9">
        <f>ADI54+ACU55-(ADB55+ADC55+ADD55+ADE55+ADF55+ADG55+ACZ55)</f>
        <v/>
      </c>
      <c r="ADJ55" s="12">
        <f>IF(ACO55&gt;0,ACP55/ACO55,0)</f>
        <v/>
      </c>
      <c r="ADK55" s="11">
        <f>IF(ACO54&gt;0,MAX(0,(ACO54+ACD55-ACO55)/ACO54),0)</f>
        <v/>
      </c>
      <c r="ADM55" s="12" t="n">
        <v>51</v>
      </c>
      <c r="ADN55" s="12">
        <f>MOD(ADM55-1+LaunchMonth-1,12)+1</f>
        <v/>
      </c>
      <c r="ADO55" s="12">
        <f>INT((ADM55-1+LaunchMonth-1)/12)+1</f>
        <v/>
      </c>
      <c r="ADP55" s="12">
        <f>VLOOKUP(ADN55,SeasonTable,2,FALSE)</f>
        <v/>
      </c>
      <c r="ADQ55" s="12">
        <f>(1+InflationRate)^INT((ADM55-1)/12)</f>
        <v/>
      </c>
      <c r="ADR55" s="11">
        <f>MonthlyChurn*VLOOKUP(ADN55,ChurnSeasonTable,4,FALSE)</f>
        <v/>
      </c>
      <c r="ADS55" s="12">
        <f>MIN(MAX(MktMin19plus,AEM54*MktPct19plus),MAX(0,AFA54-CashBuffer))</f>
        <v/>
      </c>
      <c r="ADT55" s="12">
        <f>IF(ADS55&gt;0,MAX(1,ROUND(ADS55/CAC*ADP55,0)),0)</f>
        <v/>
      </c>
      <c r="ADU55" s="12">
        <f>IF(ADT55&gt;0,ROUND(ADT55*ReferralMix/(1-ReferralMix),0),0)</f>
        <v/>
      </c>
      <c r="ADV55" s="12">
        <f>ADT55+ADU55</f>
        <v/>
      </c>
      <c r="ADW55" s="12">
        <f>ROUND(ADV55*(1-'Sens - Annual Mix'!$A$15),0)</f>
        <v/>
      </c>
      <c r="ADX55" s="12">
        <f>ADV55-ADW55</f>
        <v/>
      </c>
      <c r="ADY55" s="12">
        <f>ROUND(ADW55*EssentialMix,0)</f>
        <v/>
      </c>
      <c r="ADZ55" s="12">
        <f>ADW55-ADY55</f>
        <v/>
      </c>
      <c r="AEA55" s="12">
        <f>ROUND(ADX55*EssentialMix,0)</f>
        <v/>
      </c>
      <c r="AEB55" s="12">
        <f>ADX55-AEA55</f>
        <v/>
      </c>
      <c r="AEC55" s="12">
        <f>ADY55+ADY54+ADY53+MAX(0,AEC54-ADY54-ADY53)*(1-ADR55)</f>
        <v/>
      </c>
      <c r="AED55" s="12">
        <f>ADZ55+ADZ54+ADZ53+MAX(0,AED54-ADZ54-ADZ53)*(1-ADR55)</f>
        <v/>
      </c>
      <c r="AEE55" s="12">
        <f>AEE54+AEA55-AEA43*(AnnualChurn*VLOOKUP(ADN55,ChurnSeasonTable,4,FALSE))*POWER(1-(AnnualChurn*VLOOKUP(ADN55,ChurnSeasonTable,4,FALSE)),0)+AEA31*(AnnualChurn*VLOOKUP(ADN55,ChurnSeasonTable,4,FALSE))*POWER(1-(AnnualChurn*VLOOKUP(ADN55,ChurnSeasonTable,4,FALSE)),1)+AEA19*(AnnualChurn*VLOOKUP(ADN55,ChurnSeasonTable,4,FALSE))*POWER(1-(AnnualChurn*VLOOKUP(ADN55,ChurnSeasonTable,4,FALSE)),2)+AEA7*(AnnualChurn*VLOOKUP(ADN55,ChurnSeasonTable,4,FALSE))*POWER(1-(AnnualChurn*VLOOKUP(ADN55,ChurnSeasonTable,4,FALSE)),3)</f>
        <v/>
      </c>
      <c r="AEF55" s="12">
        <f>AEF54+AEB55-AEB43*(AnnualChurn*VLOOKUP(ADN55,ChurnSeasonTable,4,FALSE))*POWER(1-(AnnualChurn*VLOOKUP(ADN55,ChurnSeasonTable,4,FALSE)),0)+AEB31*(AnnualChurn*VLOOKUP(ADN55,ChurnSeasonTable,4,FALSE))*POWER(1-(AnnualChurn*VLOOKUP(ADN55,ChurnSeasonTable,4,FALSE)),1)+AEB19*(AnnualChurn*VLOOKUP(ADN55,ChurnSeasonTable,4,FALSE))*POWER(1-(AnnualChurn*VLOOKUP(ADN55,ChurnSeasonTable,4,FALSE)),2)+AEB7*(AnnualChurn*VLOOKUP(ADN55,ChurnSeasonTable,4,FALSE))*POWER(1-(AnnualChurn*VLOOKUP(ADN55,ChurnSeasonTable,4,FALSE)),3)</f>
        <v/>
      </c>
      <c r="AEG55" s="12">
        <f>AEC55+AED55+AEE55+AEF55</f>
        <v/>
      </c>
      <c r="AEH55" s="9">
        <f>AEC55*PriceEssMonthly*ADQ55+AED55*PricePremMonthly*ADQ55+AEE55*PriceEssAnnual*ADQ55/12+AEF55*PricePremAnnual*ADQ55/12</f>
        <v/>
      </c>
      <c r="AEI55" s="9">
        <f>AEH55*12</f>
        <v/>
      </c>
      <c r="AEJ55" s="12">
        <f>AEC55*PriceEssMonthly*ADQ55+AED55*PricePremMonthly*ADQ55</f>
        <v/>
      </c>
      <c r="AEK55" s="12">
        <f>AEA55*PriceEssAnnual*ADQ55+AEB55*PricePremAnnual*ADQ55</f>
        <v/>
      </c>
      <c r="AEL55" s="12">
        <f>AEA43*POWER(1-(AnnualChurn*VLOOKUP(ADN55,ChurnSeasonTable,4,FALSE)),1)*PriceEssAnnual*ADQ55+AEA31*POWER(1-(AnnualChurn*VLOOKUP(ADN55,ChurnSeasonTable,4,FALSE)),2)*PriceEssAnnual*ADQ55+AEA19*POWER(1-(AnnualChurn*VLOOKUP(ADN55,ChurnSeasonTable,4,FALSE)),3)*PriceEssAnnual*ADQ55+AEA7*POWER(1-(AnnualChurn*VLOOKUP(ADN55,ChurnSeasonTable,4,FALSE)),4)*PriceEssAnnual*ADQ55+AEB43*POWER(1-(AnnualChurn*VLOOKUP(ADN55,ChurnSeasonTable,4,FALSE)),1)*PricePremAnnual*ADQ55+AEB31*POWER(1-(AnnualChurn*VLOOKUP(ADN55,ChurnSeasonTable,4,FALSE)),2)*PricePremAnnual*ADQ55+AEB19*POWER(1-(AnnualChurn*VLOOKUP(ADN55,ChurnSeasonTable,4,FALSE)),3)*PricePremAnnual*ADQ55+AEB7*POWER(1-(AnnualChurn*VLOOKUP(ADN55,ChurnSeasonTable,4,FALSE)),4)*PricePremAnnual*ADQ55</f>
        <v/>
      </c>
      <c r="AEM55" s="9">
        <f>AEJ55+AEK55+AEL55</f>
        <v/>
      </c>
      <c r="AEN55" s="12">
        <f>SUM(AEM44:AEM55)</f>
        <v/>
      </c>
      <c r="AEO55" s="12">
        <f>OR(AEO54,AEN55&gt;=VATThreshold)</f>
        <v/>
      </c>
      <c r="AEP55" s="9">
        <f>IF(AEO55,AEM55/(1+VATRate),AEM55)</f>
        <v/>
      </c>
      <c r="AEQ55" s="12">
        <f>AEM55-AEP55</f>
        <v/>
      </c>
      <c r="AER55" s="12">
        <f>IF(AEO55=0,0,IF(ADN55=1,SUMPRODUCT(--(($ADO$5:$ADO55=$ADO55-1)*($ADN$5:$ADN55&gt;=10)*($ADN$5:$ADN55&lt;=12)),$AEQ$5:$AEQ55),IF(ADN55=4,SUMPRODUCT(--(($ADO$5:$ADO55=$ADO55)*($ADN$5:$ADN55&gt;=1)*($ADN$5:$ADN55&lt;=3)),$AEQ$5:$AEQ55),IF(ADN55=7,SUMPRODUCT(--(($ADO$5:$ADO55=$ADO55)*($ADN$5:$ADN55&gt;=4)*($ADN$5:$ADN55&lt;=6)),$AEQ$5:$AEQ55),IF(ADN55=10,SUMPRODUCT(--(($ADO$5:$ADO55=$ADO55)*($ADN$5:$ADN55&gt;=7)*($ADN$5:$ADN55&lt;=9)),$AEQ$5:$AEQ55),0)))))</f>
        <v/>
      </c>
      <c r="AES55" s="12">
        <f>AES54+AEQ55-AER55</f>
        <v/>
      </c>
      <c r="AET55" s="12">
        <f>IF(ProviderDelay&gt;=1,AEP54*ProviderShare,AEP55*ProviderShare)</f>
        <v/>
      </c>
      <c r="AEU55" s="12">
        <f>AEM55*PaymentFee</f>
        <v/>
      </c>
      <c r="AEV55" s="12">
        <f>AEG55*OpsAI</f>
        <v/>
      </c>
      <c r="AEW55" s="12">
        <f>MonthlyFixed</f>
        <v/>
      </c>
      <c r="AEX55" s="12">
        <f>ADU55*ReferralReward</f>
        <v/>
      </c>
      <c r="AEY55" s="12">
        <f>ADS55</f>
        <v/>
      </c>
      <c r="AEZ55" s="9">
        <f>AEP55-AET55-AEU55-AEV55-AEW55-AEX55-AEY55</f>
        <v/>
      </c>
      <c r="AFA55" s="9">
        <f>AFA54+AEM55-(AET55+AEU55+AEV55+AEW55+AEX55+AEY55+AER55)</f>
        <v/>
      </c>
      <c r="AFB55" s="12">
        <f>IF(AEG55&gt;0,AEH55/AEG55,0)</f>
        <v/>
      </c>
      <c r="AFC55" s="11">
        <f>IF(AEG54&gt;0,MAX(0,(AEG54+ADV55-AEG55)/AEG54),0)</f>
        <v/>
      </c>
      <c r="AFE55" s="12" t="n">
        <v>51</v>
      </c>
      <c r="AFF55" s="12">
        <f>MOD(AFE55-1+LaunchMonth-1,12)+1</f>
        <v/>
      </c>
      <c r="AFG55" s="12">
        <f>INT((AFE55-1+LaunchMonth-1)/12)+1</f>
        <v/>
      </c>
      <c r="AFH55" s="12">
        <f>VLOOKUP(AFF55,SeasonTable,2,FALSE)</f>
        <v/>
      </c>
      <c r="AFI55" s="12">
        <f>(1+InflationRate)^INT((AFE55-1)/12)</f>
        <v/>
      </c>
      <c r="AFJ55" s="11">
        <f>MonthlyChurn*VLOOKUP(AFF55,ChurnSeasonTable,4,FALSE)</f>
        <v/>
      </c>
      <c r="AFK55" s="12">
        <f>MIN(MAX(MktMin19plus,AGE54*MktPct19plus),MAX(0,AGS54-CashBuffer))</f>
        <v/>
      </c>
      <c r="AFL55" s="12">
        <f>IF(AFK55&gt;0,MAX(1,ROUND(AFK55/'Sens - CAC &amp; Marketing'!$A$9*AFH55,0)),0)</f>
        <v/>
      </c>
      <c r="AFM55" s="12">
        <f>IF(AFL55&gt;0,ROUND(AFL55*ReferralMix/(1-ReferralMix),0),0)</f>
        <v/>
      </c>
      <c r="AFN55" s="12">
        <f>AFL55+AFM55</f>
        <v/>
      </c>
      <c r="AFO55" s="12">
        <f>ROUND(AFN55*(1-AnnualMix),0)</f>
        <v/>
      </c>
      <c r="AFP55" s="12">
        <f>AFN55-AFO55</f>
        <v/>
      </c>
      <c r="AFQ55" s="12">
        <f>ROUND(AFO55*EssentialMix,0)</f>
        <v/>
      </c>
      <c r="AFR55" s="12">
        <f>AFO55-AFQ55</f>
        <v/>
      </c>
      <c r="AFS55" s="12">
        <f>ROUND(AFP55*EssentialMix,0)</f>
        <v/>
      </c>
      <c r="AFT55" s="12">
        <f>AFP55-AFS55</f>
        <v/>
      </c>
      <c r="AFU55" s="12">
        <f>AFQ55+AFQ54+AFQ53+MAX(0,AFU54-AFQ54-AFQ53)*(1-AFJ55)</f>
        <v/>
      </c>
      <c r="AFV55" s="12">
        <f>AFR55+AFR54+AFR53+MAX(0,AFV54-AFR54-AFR53)*(1-AFJ55)</f>
        <v/>
      </c>
      <c r="AFW55" s="12">
        <f>AFW54+AFS55-AFS43*(AnnualChurn*VLOOKUP(AFF55,ChurnSeasonTable,4,FALSE))*POWER(1-(AnnualChurn*VLOOKUP(AFF55,ChurnSeasonTable,4,FALSE)),0)+AFS31*(AnnualChurn*VLOOKUP(AFF55,ChurnSeasonTable,4,FALSE))*POWER(1-(AnnualChurn*VLOOKUP(AFF55,ChurnSeasonTable,4,FALSE)),1)+AFS19*(AnnualChurn*VLOOKUP(AFF55,ChurnSeasonTable,4,FALSE))*POWER(1-(AnnualChurn*VLOOKUP(AFF55,ChurnSeasonTable,4,FALSE)),2)+AFS7*(AnnualChurn*VLOOKUP(AFF55,ChurnSeasonTable,4,FALSE))*POWER(1-(AnnualChurn*VLOOKUP(AFF55,ChurnSeasonTable,4,FALSE)),3)</f>
        <v/>
      </c>
      <c r="AFX55" s="12">
        <f>AFX54+AFT55-AFT43*(AnnualChurn*VLOOKUP(AFF55,ChurnSeasonTable,4,FALSE))*POWER(1-(AnnualChurn*VLOOKUP(AFF55,ChurnSeasonTable,4,FALSE)),0)+AFT31*(AnnualChurn*VLOOKUP(AFF55,ChurnSeasonTable,4,FALSE))*POWER(1-(AnnualChurn*VLOOKUP(AFF55,ChurnSeasonTable,4,FALSE)),1)+AFT19*(AnnualChurn*VLOOKUP(AFF55,ChurnSeasonTable,4,FALSE))*POWER(1-(AnnualChurn*VLOOKUP(AFF55,ChurnSeasonTable,4,FALSE)),2)+AFT7*(AnnualChurn*VLOOKUP(AFF55,ChurnSeasonTable,4,FALSE))*POWER(1-(AnnualChurn*VLOOKUP(AFF55,ChurnSeasonTable,4,FALSE)),3)</f>
        <v/>
      </c>
      <c r="AFY55" s="12">
        <f>AFU55+AFV55+AFW55+AFX55</f>
        <v/>
      </c>
      <c r="AFZ55" s="9">
        <f>AFU55*PriceEssMonthly*AFI55+AFV55*PricePremMonthly*AFI55+AFW55*PriceEssAnnual*AFI55/12+AFX55*PricePremAnnual*AFI55/12</f>
        <v/>
      </c>
      <c r="AGA55" s="9">
        <f>AFZ55*12</f>
        <v/>
      </c>
      <c r="AGB55" s="12">
        <f>AFU55*PriceEssMonthly*AFI55+AFV55*PricePremMonthly*AFI55</f>
        <v/>
      </c>
      <c r="AGC55" s="12">
        <f>AFS55*PriceEssAnnual*AFI55+AFT55*PricePremAnnual*AFI55</f>
        <v/>
      </c>
      <c r="AGD55" s="12">
        <f>AFS43*POWER(1-(AnnualChurn*VLOOKUP(AFF55,ChurnSeasonTable,4,FALSE)),1)*PriceEssAnnual*AFI55+AFS31*POWER(1-(AnnualChurn*VLOOKUP(AFF55,ChurnSeasonTable,4,FALSE)),2)*PriceEssAnnual*AFI55+AFS19*POWER(1-(AnnualChurn*VLOOKUP(AFF55,ChurnSeasonTable,4,FALSE)),3)*PriceEssAnnual*AFI55+AFS7*POWER(1-(AnnualChurn*VLOOKUP(AFF55,ChurnSeasonTable,4,FALSE)),4)*PriceEssAnnual*AFI55+AFT43*POWER(1-(AnnualChurn*VLOOKUP(AFF55,ChurnSeasonTable,4,FALSE)),1)*PricePremAnnual*AFI55+AFT31*POWER(1-(AnnualChurn*VLOOKUP(AFF55,ChurnSeasonTable,4,FALSE)),2)*PricePremAnnual*AFI55+AFT19*POWER(1-(AnnualChurn*VLOOKUP(AFF55,ChurnSeasonTable,4,FALSE)),3)*PricePremAnnual*AFI55+AFT7*POWER(1-(AnnualChurn*VLOOKUP(AFF55,ChurnSeasonTable,4,FALSE)),4)*PricePremAnnual*AFI55</f>
        <v/>
      </c>
      <c r="AGE55" s="9">
        <f>AGB55+AGC55+AGD55</f>
        <v/>
      </c>
      <c r="AGF55" s="12">
        <f>SUM(AGE44:AGE55)</f>
        <v/>
      </c>
      <c r="AGG55" s="12">
        <f>OR(AGG54,AGF55&gt;=VATThreshold)</f>
        <v/>
      </c>
      <c r="AGH55" s="9">
        <f>IF(AGG55,AGE55/(1+VATRate),AGE55)</f>
        <v/>
      </c>
      <c r="AGI55" s="12">
        <f>AGE55-AGH55</f>
        <v/>
      </c>
      <c r="AGJ55" s="12">
        <f>IF(AGG55=0,0,IF(AFF55=1,SUMPRODUCT(--(($AFG$5:$AFG55=$AFG55-1)*($AFF$5:$AFF55&gt;=10)*($AFF$5:$AFF55&lt;=12)),$AGI$5:$AGI55),IF(AFF55=4,SUMPRODUCT(--(($AFG$5:$AFG55=$AFG55)*($AFF$5:$AFF55&gt;=1)*($AFF$5:$AFF55&lt;=3)),$AGI$5:$AGI55),IF(AFF55=7,SUMPRODUCT(--(($AFG$5:$AFG55=$AFG55)*($AFF$5:$AFF55&gt;=4)*($AFF$5:$AFF55&lt;=6)),$AGI$5:$AGI55),IF(AFF55=10,SUMPRODUCT(--(($AFG$5:$AFG55=$AFG55)*($AFF$5:$AFF55&gt;=7)*($AFF$5:$AFF55&lt;=9)),$AGI$5:$AGI55),0)))))</f>
        <v/>
      </c>
      <c r="AGK55" s="12">
        <f>AGK54+AGI55-AGJ55</f>
        <v/>
      </c>
      <c r="AGL55" s="12">
        <f>IF(ProviderDelay&gt;=1,AGH54*ProviderShare,AGH55*ProviderShare)</f>
        <v/>
      </c>
      <c r="AGM55" s="12">
        <f>AGE55*PaymentFee</f>
        <v/>
      </c>
      <c r="AGN55" s="12">
        <f>AFY55*OpsAI</f>
        <v/>
      </c>
      <c r="AGO55" s="12">
        <f>MonthlyFixed</f>
        <v/>
      </c>
      <c r="AGP55" s="12">
        <f>AFM55*ReferralReward</f>
        <v/>
      </c>
      <c r="AGQ55" s="12">
        <f>AFK55</f>
        <v/>
      </c>
      <c r="AGR55" s="9">
        <f>AGH55-AGL55-AGM55-AGN55-AGO55-AGP55-AGQ55</f>
        <v/>
      </c>
      <c r="AGS55" s="9">
        <f>AGS54+AGE55-(AGL55+AGM55+AGN55+AGO55+AGP55+AGQ55+AGJ55)</f>
        <v/>
      </c>
      <c r="AGT55" s="12">
        <f>IF(AFY55&gt;0,AFZ55/AFY55,0)</f>
        <v/>
      </c>
      <c r="AGU55" s="11">
        <f>IF(AFY54&gt;0,MAX(0,(AFY54+AFN55-AFY55)/AFY54),0)</f>
        <v/>
      </c>
      <c r="AGW55" s="12" t="n">
        <v>51</v>
      </c>
      <c r="AGX55" s="12">
        <f>MOD(AGW55-1+LaunchMonth-1,12)+1</f>
        <v/>
      </c>
      <c r="AGY55" s="12">
        <f>INT((AGW55-1+LaunchMonth-1)/12)+1</f>
        <v/>
      </c>
      <c r="AGZ55" s="12">
        <f>VLOOKUP(AGX55,SeasonTable,2,FALSE)</f>
        <v/>
      </c>
      <c r="AHA55" s="12">
        <f>(1+InflationRate)^INT((AGW55-1)/12)</f>
        <v/>
      </c>
      <c r="AHB55" s="11">
        <f>MonthlyChurn*VLOOKUP(AGX55,ChurnSeasonTable,4,FALSE)</f>
        <v/>
      </c>
      <c r="AHC55" s="12">
        <f>MIN(MAX(MktMin19plus,AHW54*MktPct19plus),MAX(0,AIK54-CashBuffer))</f>
        <v/>
      </c>
      <c r="AHD55" s="12">
        <f>IF(AHC55&gt;0,MAX(1,ROUND(AHC55/'Sens - CAC &amp; Marketing'!$A$10*AGZ55,0)),0)</f>
        <v/>
      </c>
      <c r="AHE55" s="12">
        <f>IF(AHD55&gt;0,ROUND(AHD55*ReferralMix/(1-ReferralMix),0),0)</f>
        <v/>
      </c>
      <c r="AHF55" s="12">
        <f>AHD55+AHE55</f>
        <v/>
      </c>
      <c r="AHG55" s="12">
        <f>ROUND(AHF55*(1-AnnualMix),0)</f>
        <v/>
      </c>
      <c r="AHH55" s="12">
        <f>AHF55-AHG55</f>
        <v/>
      </c>
      <c r="AHI55" s="12">
        <f>ROUND(AHG55*EssentialMix,0)</f>
        <v/>
      </c>
      <c r="AHJ55" s="12">
        <f>AHG55-AHI55</f>
        <v/>
      </c>
      <c r="AHK55" s="12">
        <f>ROUND(AHH55*EssentialMix,0)</f>
        <v/>
      </c>
      <c r="AHL55" s="12">
        <f>AHH55-AHK55</f>
        <v/>
      </c>
      <c r="AHM55" s="12">
        <f>AHI55+AHI54+AHI53+MAX(0,AHM54-AHI54-AHI53)*(1-AHB55)</f>
        <v/>
      </c>
      <c r="AHN55" s="12">
        <f>AHJ55+AHJ54+AHJ53+MAX(0,AHN54-AHJ54-AHJ53)*(1-AHB55)</f>
        <v/>
      </c>
      <c r="AHO55" s="12">
        <f>AHO54+AHK55-AHK43*(AnnualChurn*VLOOKUP(AGX55,ChurnSeasonTable,4,FALSE))*POWER(1-(AnnualChurn*VLOOKUP(AGX55,ChurnSeasonTable,4,FALSE)),0)+AHK31*(AnnualChurn*VLOOKUP(AGX55,ChurnSeasonTable,4,FALSE))*POWER(1-(AnnualChurn*VLOOKUP(AGX55,ChurnSeasonTable,4,FALSE)),1)+AHK19*(AnnualChurn*VLOOKUP(AGX55,ChurnSeasonTable,4,FALSE))*POWER(1-(AnnualChurn*VLOOKUP(AGX55,ChurnSeasonTable,4,FALSE)),2)+AHK7*(AnnualChurn*VLOOKUP(AGX55,ChurnSeasonTable,4,FALSE))*POWER(1-(AnnualChurn*VLOOKUP(AGX55,ChurnSeasonTable,4,FALSE)),3)</f>
        <v/>
      </c>
      <c r="AHP55" s="12">
        <f>AHP54+AHL55-AHL43*(AnnualChurn*VLOOKUP(AGX55,ChurnSeasonTable,4,FALSE))*POWER(1-(AnnualChurn*VLOOKUP(AGX55,ChurnSeasonTable,4,FALSE)),0)+AHL31*(AnnualChurn*VLOOKUP(AGX55,ChurnSeasonTable,4,FALSE))*POWER(1-(AnnualChurn*VLOOKUP(AGX55,ChurnSeasonTable,4,FALSE)),1)+AHL19*(AnnualChurn*VLOOKUP(AGX55,ChurnSeasonTable,4,FALSE))*POWER(1-(AnnualChurn*VLOOKUP(AGX55,ChurnSeasonTable,4,FALSE)),2)+AHL7*(AnnualChurn*VLOOKUP(AGX55,ChurnSeasonTable,4,FALSE))*POWER(1-(AnnualChurn*VLOOKUP(AGX55,ChurnSeasonTable,4,FALSE)),3)</f>
        <v/>
      </c>
      <c r="AHQ55" s="12">
        <f>AHM55+AHN55+AHO55+AHP55</f>
        <v/>
      </c>
      <c r="AHR55" s="9">
        <f>AHM55*PriceEssMonthly*AHA55+AHN55*PricePremMonthly*AHA55+AHO55*PriceEssAnnual*AHA55/12+AHP55*PricePremAnnual*AHA55/12</f>
        <v/>
      </c>
      <c r="AHS55" s="9">
        <f>AHR55*12</f>
        <v/>
      </c>
      <c r="AHT55" s="12">
        <f>AHM55*PriceEssMonthly*AHA55+AHN55*PricePremMonthly*AHA55</f>
        <v/>
      </c>
      <c r="AHU55" s="12">
        <f>AHK55*PriceEssAnnual*AHA55+AHL55*PricePremAnnual*AHA55</f>
        <v/>
      </c>
      <c r="AHV55" s="12">
        <f>AHK43*POWER(1-(AnnualChurn*VLOOKUP(AGX55,ChurnSeasonTable,4,FALSE)),1)*PriceEssAnnual*AHA55+AHK31*POWER(1-(AnnualChurn*VLOOKUP(AGX55,ChurnSeasonTable,4,FALSE)),2)*PriceEssAnnual*AHA55+AHK19*POWER(1-(AnnualChurn*VLOOKUP(AGX55,ChurnSeasonTable,4,FALSE)),3)*PriceEssAnnual*AHA55+AHK7*POWER(1-(AnnualChurn*VLOOKUP(AGX55,ChurnSeasonTable,4,FALSE)),4)*PriceEssAnnual*AHA55+AHL43*POWER(1-(AnnualChurn*VLOOKUP(AGX55,ChurnSeasonTable,4,FALSE)),1)*PricePremAnnual*AHA55+AHL31*POWER(1-(AnnualChurn*VLOOKUP(AGX55,ChurnSeasonTable,4,FALSE)),2)*PricePremAnnual*AHA55+AHL19*POWER(1-(AnnualChurn*VLOOKUP(AGX55,ChurnSeasonTable,4,FALSE)),3)*PricePremAnnual*AHA55+AHL7*POWER(1-(AnnualChurn*VLOOKUP(AGX55,ChurnSeasonTable,4,FALSE)),4)*PricePremAnnual*AHA55</f>
        <v/>
      </c>
      <c r="AHW55" s="9">
        <f>AHT55+AHU55+AHV55</f>
        <v/>
      </c>
      <c r="AHX55" s="12">
        <f>SUM(AHW44:AHW55)</f>
        <v/>
      </c>
      <c r="AHY55" s="12">
        <f>OR(AHY54,AHX55&gt;=VATThreshold)</f>
        <v/>
      </c>
      <c r="AHZ55" s="9">
        <f>IF(AHY55,AHW55/(1+VATRate),AHW55)</f>
        <v/>
      </c>
      <c r="AIA55" s="12">
        <f>AHW55-AHZ55</f>
        <v/>
      </c>
      <c r="AIB55" s="12">
        <f>IF(AHY55=0,0,IF(AGX55=1,SUMPRODUCT(--(($AGY$5:$AGY55=$AGY55-1)*($AGX$5:$AGX55&gt;=10)*($AGX$5:$AGX55&lt;=12)),$AIA$5:$AIA55),IF(AGX55=4,SUMPRODUCT(--(($AGY$5:$AGY55=$AGY55)*($AGX$5:$AGX55&gt;=1)*($AGX$5:$AGX55&lt;=3)),$AIA$5:$AIA55),IF(AGX55=7,SUMPRODUCT(--(($AGY$5:$AGY55=$AGY55)*($AGX$5:$AGX55&gt;=4)*($AGX$5:$AGX55&lt;=6)),$AIA$5:$AIA55),IF(AGX55=10,SUMPRODUCT(--(($AGY$5:$AGY55=$AGY55)*($AGX$5:$AGX55&gt;=7)*($AGX$5:$AGX55&lt;=9)),$AIA$5:$AIA55),0)))))</f>
        <v/>
      </c>
      <c r="AIC55" s="12">
        <f>AIC54+AIA55-AIB55</f>
        <v/>
      </c>
      <c r="AID55" s="12">
        <f>IF(ProviderDelay&gt;=1,AHZ54*ProviderShare,AHZ55*ProviderShare)</f>
        <v/>
      </c>
      <c r="AIE55" s="12">
        <f>AHW55*PaymentFee</f>
        <v/>
      </c>
      <c r="AIF55" s="12">
        <f>AHQ55*OpsAI</f>
        <v/>
      </c>
      <c r="AIG55" s="12">
        <f>MonthlyFixed</f>
        <v/>
      </c>
      <c r="AIH55" s="12">
        <f>AHE55*ReferralReward</f>
        <v/>
      </c>
      <c r="AII55" s="12">
        <f>AHC55</f>
        <v/>
      </c>
      <c r="AIJ55" s="9">
        <f>AHZ55-AID55-AIE55-AIF55-AIG55-AIH55-AII55</f>
        <v/>
      </c>
      <c r="AIK55" s="9">
        <f>AIK54+AHW55-(AID55+AIE55+AIF55+AIG55+AIH55+AII55+AIB55)</f>
        <v/>
      </c>
      <c r="AIL55" s="12">
        <f>IF(AHQ55&gt;0,AHR55/AHQ55,0)</f>
        <v/>
      </c>
      <c r="AIM55" s="11">
        <f>IF(AHQ54&gt;0,MAX(0,(AHQ54+AHF55-AHQ55)/AHQ54),0)</f>
        <v/>
      </c>
      <c r="AIO55" s="12" t="n">
        <v>51</v>
      </c>
      <c r="AIP55" s="12">
        <f>MOD(AIO55-1+LaunchMonth-1,12)+1</f>
        <v/>
      </c>
      <c r="AIQ55" s="12">
        <f>INT((AIO55-1+LaunchMonth-1)/12)+1</f>
        <v/>
      </c>
      <c r="AIR55" s="12">
        <f>VLOOKUP(AIP55,SeasonTable,2,FALSE)</f>
        <v/>
      </c>
      <c r="AIS55" s="12">
        <f>(1+InflationRate)^INT((AIO55-1)/12)</f>
        <v/>
      </c>
      <c r="AIT55" s="11">
        <f>MonthlyChurn*VLOOKUP(AIP55,ChurnSeasonTable,4,FALSE)</f>
        <v/>
      </c>
      <c r="AIU55" s="12">
        <f>MIN(MAX(MktMin19plus,AJO54*MktPct19plus),MAX(0,AKC54-CashBuffer))</f>
        <v/>
      </c>
      <c r="AIV55" s="12">
        <f>IF(AIU55&gt;0,MAX(1,ROUND(AIU55/'Sens - CAC &amp; Marketing'!$A$11*AIR55,0)),0)</f>
        <v/>
      </c>
      <c r="AIW55" s="12">
        <f>IF(AIV55&gt;0,ROUND(AIV55*ReferralMix/(1-ReferralMix),0),0)</f>
        <v/>
      </c>
      <c r="AIX55" s="12">
        <f>AIV55+AIW55</f>
        <v/>
      </c>
      <c r="AIY55" s="12">
        <f>ROUND(AIX55*(1-AnnualMix),0)</f>
        <v/>
      </c>
      <c r="AIZ55" s="12">
        <f>AIX55-AIY55</f>
        <v/>
      </c>
      <c r="AJA55" s="12">
        <f>ROUND(AIY55*EssentialMix,0)</f>
        <v/>
      </c>
      <c r="AJB55" s="12">
        <f>AIY55-AJA55</f>
        <v/>
      </c>
      <c r="AJC55" s="12">
        <f>ROUND(AIZ55*EssentialMix,0)</f>
        <v/>
      </c>
      <c r="AJD55" s="12">
        <f>AIZ55-AJC55</f>
        <v/>
      </c>
      <c r="AJE55" s="12">
        <f>AJA55+AJA54+AJA53+MAX(0,AJE54-AJA54-AJA53)*(1-AIT55)</f>
        <v/>
      </c>
      <c r="AJF55" s="12">
        <f>AJB55+AJB54+AJB53+MAX(0,AJF54-AJB54-AJB53)*(1-AIT55)</f>
        <v/>
      </c>
      <c r="AJG55" s="12">
        <f>AJG54+AJC55-AJC43*(AnnualChurn*VLOOKUP(AIP55,ChurnSeasonTable,4,FALSE))*POWER(1-(AnnualChurn*VLOOKUP(AIP55,ChurnSeasonTable,4,FALSE)),0)+AJC31*(AnnualChurn*VLOOKUP(AIP55,ChurnSeasonTable,4,FALSE))*POWER(1-(AnnualChurn*VLOOKUP(AIP55,ChurnSeasonTable,4,FALSE)),1)+AJC19*(AnnualChurn*VLOOKUP(AIP55,ChurnSeasonTable,4,FALSE))*POWER(1-(AnnualChurn*VLOOKUP(AIP55,ChurnSeasonTable,4,FALSE)),2)+AJC7*(AnnualChurn*VLOOKUP(AIP55,ChurnSeasonTable,4,FALSE))*POWER(1-(AnnualChurn*VLOOKUP(AIP55,ChurnSeasonTable,4,FALSE)),3)</f>
        <v/>
      </c>
      <c r="AJH55" s="12">
        <f>AJH54+AJD55-AJD43*(AnnualChurn*VLOOKUP(AIP55,ChurnSeasonTable,4,FALSE))*POWER(1-(AnnualChurn*VLOOKUP(AIP55,ChurnSeasonTable,4,FALSE)),0)+AJD31*(AnnualChurn*VLOOKUP(AIP55,ChurnSeasonTable,4,FALSE))*POWER(1-(AnnualChurn*VLOOKUP(AIP55,ChurnSeasonTable,4,FALSE)),1)+AJD19*(AnnualChurn*VLOOKUP(AIP55,ChurnSeasonTable,4,FALSE))*POWER(1-(AnnualChurn*VLOOKUP(AIP55,ChurnSeasonTable,4,FALSE)),2)+AJD7*(AnnualChurn*VLOOKUP(AIP55,ChurnSeasonTable,4,FALSE))*POWER(1-(AnnualChurn*VLOOKUP(AIP55,ChurnSeasonTable,4,FALSE)),3)</f>
        <v/>
      </c>
      <c r="AJI55" s="12">
        <f>AJE55+AJF55+AJG55+AJH55</f>
        <v/>
      </c>
      <c r="AJJ55" s="9">
        <f>AJE55*PriceEssMonthly*AIS55+AJF55*PricePremMonthly*AIS55+AJG55*PriceEssAnnual*AIS55/12+AJH55*PricePremAnnual*AIS55/12</f>
        <v/>
      </c>
      <c r="AJK55" s="9">
        <f>AJJ55*12</f>
        <v/>
      </c>
      <c r="AJL55" s="12">
        <f>AJE55*PriceEssMonthly*AIS55+AJF55*PricePremMonthly*AIS55</f>
        <v/>
      </c>
      <c r="AJM55" s="12">
        <f>AJC55*PriceEssAnnual*AIS55+AJD55*PricePremAnnual*AIS55</f>
        <v/>
      </c>
      <c r="AJN55" s="12">
        <f>AJC43*POWER(1-(AnnualChurn*VLOOKUP(AIP55,ChurnSeasonTable,4,FALSE)),1)*PriceEssAnnual*AIS55+AJC31*POWER(1-(AnnualChurn*VLOOKUP(AIP55,ChurnSeasonTable,4,FALSE)),2)*PriceEssAnnual*AIS55+AJC19*POWER(1-(AnnualChurn*VLOOKUP(AIP55,ChurnSeasonTable,4,FALSE)),3)*PriceEssAnnual*AIS55+AJC7*POWER(1-(AnnualChurn*VLOOKUP(AIP55,ChurnSeasonTable,4,FALSE)),4)*PriceEssAnnual*AIS55+AJD43*POWER(1-(AnnualChurn*VLOOKUP(AIP55,ChurnSeasonTable,4,FALSE)),1)*PricePremAnnual*AIS55+AJD31*POWER(1-(AnnualChurn*VLOOKUP(AIP55,ChurnSeasonTable,4,FALSE)),2)*PricePremAnnual*AIS55+AJD19*POWER(1-(AnnualChurn*VLOOKUP(AIP55,ChurnSeasonTable,4,FALSE)),3)*PricePremAnnual*AIS55+AJD7*POWER(1-(AnnualChurn*VLOOKUP(AIP55,ChurnSeasonTable,4,FALSE)),4)*PricePremAnnual*AIS55</f>
        <v/>
      </c>
      <c r="AJO55" s="9">
        <f>AJL55+AJM55+AJN55</f>
        <v/>
      </c>
      <c r="AJP55" s="12">
        <f>SUM(AJO44:AJO55)</f>
        <v/>
      </c>
      <c r="AJQ55" s="12">
        <f>OR(AJQ54,AJP55&gt;=VATThreshold)</f>
        <v/>
      </c>
      <c r="AJR55" s="9">
        <f>IF(AJQ55,AJO55/(1+VATRate),AJO55)</f>
        <v/>
      </c>
      <c r="AJS55" s="12">
        <f>AJO55-AJR55</f>
        <v/>
      </c>
      <c r="AJT55" s="12">
        <f>IF(AJQ55=0,0,IF(AIP55=1,SUMPRODUCT(--(($AIQ$5:$AIQ55=$AIQ55-1)*($AIP$5:$AIP55&gt;=10)*($AIP$5:$AIP55&lt;=12)),$AJS$5:$AJS55),IF(AIP55=4,SUMPRODUCT(--(($AIQ$5:$AIQ55=$AIQ55)*($AIP$5:$AIP55&gt;=1)*($AIP$5:$AIP55&lt;=3)),$AJS$5:$AJS55),IF(AIP55=7,SUMPRODUCT(--(($AIQ$5:$AIQ55=$AIQ55)*($AIP$5:$AIP55&gt;=4)*($AIP$5:$AIP55&lt;=6)),$AJS$5:$AJS55),IF(AIP55=10,SUMPRODUCT(--(($AIQ$5:$AIQ55=$AIQ55)*($AIP$5:$AIP55&gt;=7)*($AIP$5:$AIP55&lt;=9)),$AJS$5:$AJS55),0)))))</f>
        <v/>
      </c>
      <c r="AJU55" s="12">
        <f>AJU54+AJS55-AJT55</f>
        <v/>
      </c>
      <c r="AJV55" s="12">
        <f>IF(ProviderDelay&gt;=1,AJR54*ProviderShare,AJR55*ProviderShare)</f>
        <v/>
      </c>
      <c r="AJW55" s="12">
        <f>AJO55*PaymentFee</f>
        <v/>
      </c>
      <c r="AJX55" s="12">
        <f>AJI55*OpsAI</f>
        <v/>
      </c>
      <c r="AJY55" s="12">
        <f>MonthlyFixed</f>
        <v/>
      </c>
      <c r="AJZ55" s="12">
        <f>AIW55*ReferralReward</f>
        <v/>
      </c>
      <c r="AKA55" s="12">
        <f>AIU55</f>
        <v/>
      </c>
      <c r="AKB55" s="9">
        <f>AJR55-AJV55-AJW55-AJX55-AJY55-AJZ55-AKA55</f>
        <v/>
      </c>
      <c r="AKC55" s="9">
        <f>AKC54+AJO55-(AJV55+AJW55+AJX55+AJY55+AJZ55+AKA55+AJT55)</f>
        <v/>
      </c>
      <c r="AKD55" s="12">
        <f>IF(AJI55&gt;0,AJJ55/AJI55,0)</f>
        <v/>
      </c>
      <c r="AKE55" s="11">
        <f>IF(AJI54&gt;0,MAX(0,(AJI54+AIX55-AJI55)/AJI54),0)</f>
        <v/>
      </c>
      <c r="AKG55" s="12" t="n">
        <v>51</v>
      </c>
      <c r="AKH55" s="12">
        <f>MOD(AKG55-1+LaunchMonth-1,12)+1</f>
        <v/>
      </c>
      <c r="AKI55" s="12">
        <f>INT((AKG55-1+LaunchMonth-1)/12)+1</f>
        <v/>
      </c>
      <c r="AKJ55" s="12">
        <f>VLOOKUP(AKH55,SeasonTable,2,FALSE)</f>
        <v/>
      </c>
      <c r="AKK55" s="12">
        <f>(1+InflationRate)^INT((AKG55-1)/12)</f>
        <v/>
      </c>
      <c r="AKL55" s="11">
        <f>MonthlyChurn*VLOOKUP(AKH55,ChurnSeasonTable,4,FALSE)</f>
        <v/>
      </c>
      <c r="AKM55" s="12">
        <f>MIN(MAX(MktMin19plus,ALG54*MktPct19plus),MAX(0,ALU54-CashBuffer))</f>
        <v/>
      </c>
      <c r="AKN55" s="12">
        <f>IF(AKM55&gt;0,MAX(1,ROUND(AKM55/'Sens - CAC &amp; Marketing'!$A$12*AKJ55,0)),0)</f>
        <v/>
      </c>
      <c r="AKO55" s="12">
        <f>IF(AKN55&gt;0,ROUND(AKN55*ReferralMix/(1-ReferralMix),0),0)</f>
        <v/>
      </c>
      <c r="AKP55" s="12">
        <f>AKN55+AKO55</f>
        <v/>
      </c>
      <c r="AKQ55" s="12">
        <f>ROUND(AKP55*(1-AnnualMix),0)</f>
        <v/>
      </c>
      <c r="AKR55" s="12">
        <f>AKP55-AKQ55</f>
        <v/>
      </c>
      <c r="AKS55" s="12">
        <f>ROUND(AKQ55*EssentialMix,0)</f>
        <v/>
      </c>
      <c r="AKT55" s="12">
        <f>AKQ55-AKS55</f>
        <v/>
      </c>
      <c r="AKU55" s="12">
        <f>ROUND(AKR55*EssentialMix,0)</f>
        <v/>
      </c>
      <c r="AKV55" s="12">
        <f>AKR55-AKU55</f>
        <v/>
      </c>
      <c r="AKW55" s="12">
        <f>AKS55+AKS54+AKS53+MAX(0,AKW54-AKS54-AKS53)*(1-AKL55)</f>
        <v/>
      </c>
      <c r="AKX55" s="12">
        <f>AKT55+AKT54+AKT53+MAX(0,AKX54-AKT54-AKT53)*(1-AKL55)</f>
        <v/>
      </c>
      <c r="AKY55" s="12">
        <f>AKY54+AKU55-AKU43*(AnnualChurn*VLOOKUP(AKH55,ChurnSeasonTable,4,FALSE))*POWER(1-(AnnualChurn*VLOOKUP(AKH55,ChurnSeasonTable,4,FALSE)),0)+AKU31*(AnnualChurn*VLOOKUP(AKH55,ChurnSeasonTable,4,FALSE))*POWER(1-(AnnualChurn*VLOOKUP(AKH55,ChurnSeasonTable,4,FALSE)),1)+AKU19*(AnnualChurn*VLOOKUP(AKH55,ChurnSeasonTable,4,FALSE))*POWER(1-(AnnualChurn*VLOOKUP(AKH55,ChurnSeasonTable,4,FALSE)),2)+AKU7*(AnnualChurn*VLOOKUP(AKH55,ChurnSeasonTable,4,FALSE))*POWER(1-(AnnualChurn*VLOOKUP(AKH55,ChurnSeasonTable,4,FALSE)),3)</f>
        <v/>
      </c>
      <c r="AKZ55" s="12">
        <f>AKZ54+AKV55-AKV43*(AnnualChurn*VLOOKUP(AKH55,ChurnSeasonTable,4,FALSE))*POWER(1-(AnnualChurn*VLOOKUP(AKH55,ChurnSeasonTable,4,FALSE)),0)+AKV31*(AnnualChurn*VLOOKUP(AKH55,ChurnSeasonTable,4,FALSE))*POWER(1-(AnnualChurn*VLOOKUP(AKH55,ChurnSeasonTable,4,FALSE)),1)+AKV19*(AnnualChurn*VLOOKUP(AKH55,ChurnSeasonTable,4,FALSE))*POWER(1-(AnnualChurn*VLOOKUP(AKH55,ChurnSeasonTable,4,FALSE)),2)+AKV7*(AnnualChurn*VLOOKUP(AKH55,ChurnSeasonTable,4,FALSE))*POWER(1-(AnnualChurn*VLOOKUP(AKH55,ChurnSeasonTable,4,FALSE)),3)</f>
        <v/>
      </c>
      <c r="ALA55" s="12">
        <f>AKW55+AKX55+AKY55+AKZ55</f>
        <v/>
      </c>
      <c r="ALB55" s="9">
        <f>AKW55*PriceEssMonthly*AKK55+AKX55*PricePremMonthly*AKK55+AKY55*PriceEssAnnual*AKK55/12+AKZ55*PricePremAnnual*AKK55/12</f>
        <v/>
      </c>
      <c r="ALC55" s="9">
        <f>ALB55*12</f>
        <v/>
      </c>
      <c r="ALD55" s="12">
        <f>AKW55*PriceEssMonthly*AKK55+AKX55*PricePremMonthly*AKK55</f>
        <v/>
      </c>
      <c r="ALE55" s="12">
        <f>AKU55*PriceEssAnnual*AKK55+AKV55*PricePremAnnual*AKK55</f>
        <v/>
      </c>
      <c r="ALF55" s="12">
        <f>AKU43*POWER(1-(AnnualChurn*VLOOKUP(AKH55,ChurnSeasonTable,4,FALSE)),1)*PriceEssAnnual*AKK55+AKU31*POWER(1-(AnnualChurn*VLOOKUP(AKH55,ChurnSeasonTable,4,FALSE)),2)*PriceEssAnnual*AKK55+AKU19*POWER(1-(AnnualChurn*VLOOKUP(AKH55,ChurnSeasonTable,4,FALSE)),3)*PriceEssAnnual*AKK55+AKU7*POWER(1-(AnnualChurn*VLOOKUP(AKH55,ChurnSeasonTable,4,FALSE)),4)*PriceEssAnnual*AKK55+AKV43*POWER(1-(AnnualChurn*VLOOKUP(AKH55,ChurnSeasonTable,4,FALSE)),1)*PricePremAnnual*AKK55+AKV31*POWER(1-(AnnualChurn*VLOOKUP(AKH55,ChurnSeasonTable,4,FALSE)),2)*PricePremAnnual*AKK55+AKV19*POWER(1-(AnnualChurn*VLOOKUP(AKH55,ChurnSeasonTable,4,FALSE)),3)*PricePremAnnual*AKK55+AKV7*POWER(1-(AnnualChurn*VLOOKUP(AKH55,ChurnSeasonTable,4,FALSE)),4)*PricePremAnnual*AKK55</f>
        <v/>
      </c>
      <c r="ALG55" s="9">
        <f>ALD55+ALE55+ALF55</f>
        <v/>
      </c>
      <c r="ALH55" s="12">
        <f>SUM(ALG44:ALG55)</f>
        <v/>
      </c>
      <c r="ALI55" s="12">
        <f>OR(ALI54,ALH55&gt;=VATThreshold)</f>
        <v/>
      </c>
      <c r="ALJ55" s="9">
        <f>IF(ALI55,ALG55/(1+VATRate),ALG55)</f>
        <v/>
      </c>
      <c r="ALK55" s="12">
        <f>ALG55-ALJ55</f>
        <v/>
      </c>
      <c r="ALL55" s="12">
        <f>IF(ALI55=0,0,IF(AKH55=1,SUMPRODUCT(--(($AKI$5:$AKI55=$AKI55-1)*($AKH$5:$AKH55&gt;=10)*($AKH$5:$AKH55&lt;=12)),$ALK$5:$ALK55),IF(AKH55=4,SUMPRODUCT(--(($AKI$5:$AKI55=$AKI55)*($AKH$5:$AKH55&gt;=1)*($AKH$5:$AKH55&lt;=3)),$ALK$5:$ALK55),IF(AKH55=7,SUMPRODUCT(--(($AKI$5:$AKI55=$AKI55)*($AKH$5:$AKH55&gt;=4)*($AKH$5:$AKH55&lt;=6)),$ALK$5:$ALK55),IF(AKH55=10,SUMPRODUCT(--(($AKI$5:$AKI55=$AKI55)*($AKH$5:$AKH55&gt;=7)*($AKH$5:$AKH55&lt;=9)),$ALK$5:$ALK55),0)))))</f>
        <v/>
      </c>
      <c r="ALM55" s="12">
        <f>ALM54+ALK55-ALL55</f>
        <v/>
      </c>
      <c r="ALN55" s="12">
        <f>IF(ProviderDelay&gt;=1,ALJ54*ProviderShare,ALJ55*ProviderShare)</f>
        <v/>
      </c>
      <c r="ALO55" s="12">
        <f>ALG55*PaymentFee</f>
        <v/>
      </c>
      <c r="ALP55" s="12">
        <f>ALA55*OpsAI</f>
        <v/>
      </c>
      <c r="ALQ55" s="12">
        <f>MonthlyFixed</f>
        <v/>
      </c>
      <c r="ALR55" s="12">
        <f>AKO55*ReferralReward</f>
        <v/>
      </c>
      <c r="ALS55" s="12">
        <f>AKM55</f>
        <v/>
      </c>
      <c r="ALT55" s="9">
        <f>ALJ55-ALN55-ALO55-ALP55-ALQ55-ALR55-ALS55</f>
        <v/>
      </c>
      <c r="ALU55" s="9">
        <f>ALU54+ALG55-(ALN55+ALO55+ALP55+ALQ55+ALR55+ALS55+ALL55)</f>
        <v/>
      </c>
      <c r="ALV55" s="12">
        <f>IF(ALA55&gt;0,ALB55/ALA55,0)</f>
        <v/>
      </c>
      <c r="ALW55" s="11">
        <f>IF(ALA54&gt;0,MAX(0,(ALA54+AKP55-ALA55)/ALA54),0)</f>
        <v/>
      </c>
      <c r="ALY55" s="12" t="n">
        <v>51</v>
      </c>
      <c r="ALZ55" s="12">
        <f>MOD(ALY55-1+LaunchMonth-1,12)+1</f>
        <v/>
      </c>
      <c r="AMA55" s="12">
        <f>INT((ALY55-1+LaunchMonth-1)/12)+1</f>
        <v/>
      </c>
      <c r="AMB55" s="12">
        <f>VLOOKUP(ALZ55,SeasonTable,2,FALSE)</f>
        <v/>
      </c>
      <c r="AMC55" s="12">
        <f>(1+InflationRate)^INT((ALY55-1)/12)</f>
        <v/>
      </c>
      <c r="AMD55" s="11">
        <f>MonthlyChurn*VLOOKUP(ALZ55,ChurnSeasonTable,4,FALSE)</f>
        <v/>
      </c>
      <c r="AME55" s="12">
        <f>MIN(MAX(MktMin19plus,AMY54*MktPct19plus),MAX(0,ANM54-CashBuffer))</f>
        <v/>
      </c>
      <c r="AMF55" s="12">
        <f>IF(AME55&gt;0,MAX(1,ROUND(AME55/'Sens - CAC &amp; Marketing'!$A$13*AMB55,0)),0)</f>
        <v/>
      </c>
      <c r="AMG55" s="12">
        <f>IF(AMF55&gt;0,ROUND(AMF55*ReferralMix/(1-ReferralMix),0),0)</f>
        <v/>
      </c>
      <c r="AMH55" s="12">
        <f>AMF55+AMG55</f>
        <v/>
      </c>
      <c r="AMI55" s="12">
        <f>ROUND(AMH55*(1-AnnualMix),0)</f>
        <v/>
      </c>
      <c r="AMJ55" s="12">
        <f>AMH55-AMI55</f>
        <v/>
      </c>
      <c r="AMK55" s="12">
        <f>ROUND(AMI55*EssentialMix,0)</f>
        <v/>
      </c>
      <c r="AML55" s="12">
        <f>AMI55-AMK55</f>
        <v/>
      </c>
      <c r="AMM55" s="12">
        <f>ROUND(AMJ55*EssentialMix,0)</f>
        <v/>
      </c>
      <c r="AMN55" s="12">
        <f>AMJ55-AMM55</f>
        <v/>
      </c>
      <c r="AMO55" s="12">
        <f>AMK55+AMK54+AMK53+MAX(0,AMO54-AMK54-AMK53)*(1-AMD55)</f>
        <v/>
      </c>
      <c r="AMP55" s="12">
        <f>AML55+AML54+AML53+MAX(0,AMP54-AML54-AML53)*(1-AMD55)</f>
        <v/>
      </c>
      <c r="AMQ55" s="12">
        <f>AMQ54+AMM55-AMM43*(AnnualChurn*VLOOKUP(ALZ55,ChurnSeasonTable,4,FALSE))*POWER(1-(AnnualChurn*VLOOKUP(ALZ55,ChurnSeasonTable,4,FALSE)),0)+AMM31*(AnnualChurn*VLOOKUP(ALZ55,ChurnSeasonTable,4,FALSE))*POWER(1-(AnnualChurn*VLOOKUP(ALZ55,ChurnSeasonTable,4,FALSE)),1)+AMM19*(AnnualChurn*VLOOKUP(ALZ55,ChurnSeasonTable,4,FALSE))*POWER(1-(AnnualChurn*VLOOKUP(ALZ55,ChurnSeasonTable,4,FALSE)),2)+AMM7*(AnnualChurn*VLOOKUP(ALZ55,ChurnSeasonTable,4,FALSE))*POWER(1-(AnnualChurn*VLOOKUP(ALZ55,ChurnSeasonTable,4,FALSE)),3)</f>
        <v/>
      </c>
      <c r="AMR55" s="12">
        <f>AMR54+AMN55-AMN43*(AnnualChurn*VLOOKUP(ALZ55,ChurnSeasonTable,4,FALSE))*POWER(1-(AnnualChurn*VLOOKUP(ALZ55,ChurnSeasonTable,4,FALSE)),0)+AMN31*(AnnualChurn*VLOOKUP(ALZ55,ChurnSeasonTable,4,FALSE))*POWER(1-(AnnualChurn*VLOOKUP(ALZ55,ChurnSeasonTable,4,FALSE)),1)+AMN19*(AnnualChurn*VLOOKUP(ALZ55,ChurnSeasonTable,4,FALSE))*POWER(1-(AnnualChurn*VLOOKUP(ALZ55,ChurnSeasonTable,4,FALSE)),2)+AMN7*(AnnualChurn*VLOOKUP(ALZ55,ChurnSeasonTable,4,FALSE))*POWER(1-(AnnualChurn*VLOOKUP(ALZ55,ChurnSeasonTable,4,FALSE)),3)</f>
        <v/>
      </c>
      <c r="AMS55" s="12">
        <f>AMO55+AMP55+AMQ55+AMR55</f>
        <v/>
      </c>
      <c r="AMT55" s="9">
        <f>AMO55*PriceEssMonthly*AMC55+AMP55*PricePremMonthly*AMC55+AMQ55*PriceEssAnnual*AMC55/12+AMR55*PricePremAnnual*AMC55/12</f>
        <v/>
      </c>
      <c r="AMU55" s="9">
        <f>AMT55*12</f>
        <v/>
      </c>
      <c r="AMV55" s="12">
        <f>AMO55*PriceEssMonthly*AMC55+AMP55*PricePremMonthly*AMC55</f>
        <v/>
      </c>
      <c r="AMW55" s="12">
        <f>AMM55*PriceEssAnnual*AMC55+AMN55*PricePremAnnual*AMC55</f>
        <v/>
      </c>
      <c r="AMX55" s="12">
        <f>AMM43*POWER(1-(AnnualChurn*VLOOKUP(ALZ55,ChurnSeasonTable,4,FALSE)),1)*PriceEssAnnual*AMC55+AMM31*POWER(1-(AnnualChurn*VLOOKUP(ALZ55,ChurnSeasonTable,4,FALSE)),2)*PriceEssAnnual*AMC55+AMM19*POWER(1-(AnnualChurn*VLOOKUP(ALZ55,ChurnSeasonTable,4,FALSE)),3)*PriceEssAnnual*AMC55+AMM7*POWER(1-(AnnualChurn*VLOOKUP(ALZ55,ChurnSeasonTable,4,FALSE)),4)*PriceEssAnnual*AMC55+AMN43*POWER(1-(AnnualChurn*VLOOKUP(ALZ55,ChurnSeasonTable,4,FALSE)),1)*PricePremAnnual*AMC55+AMN31*POWER(1-(AnnualChurn*VLOOKUP(ALZ55,ChurnSeasonTable,4,FALSE)),2)*PricePremAnnual*AMC55+AMN19*POWER(1-(AnnualChurn*VLOOKUP(ALZ55,ChurnSeasonTable,4,FALSE)),3)*PricePremAnnual*AMC55+AMN7*POWER(1-(AnnualChurn*VLOOKUP(ALZ55,ChurnSeasonTable,4,FALSE)),4)*PricePremAnnual*AMC55</f>
        <v/>
      </c>
      <c r="AMY55" s="9">
        <f>AMV55+AMW55+AMX55</f>
        <v/>
      </c>
      <c r="AMZ55" s="12">
        <f>SUM(AMY44:AMY55)</f>
        <v/>
      </c>
      <c r="ANA55" s="12">
        <f>OR(ANA54,AMZ55&gt;=VATThreshold)</f>
        <v/>
      </c>
      <c r="ANB55" s="9">
        <f>IF(ANA55,AMY55/(1+VATRate),AMY55)</f>
        <v/>
      </c>
      <c r="ANC55" s="12">
        <f>AMY55-ANB55</f>
        <v/>
      </c>
      <c r="AND55" s="12">
        <f>IF(ANA55=0,0,IF(ALZ55=1,SUMPRODUCT(--(($AMA$5:$AMA55=$AMA55-1)*($ALZ$5:$ALZ55&gt;=10)*($ALZ$5:$ALZ55&lt;=12)),$ANC$5:$ANC55),IF(ALZ55=4,SUMPRODUCT(--(($AMA$5:$AMA55=$AMA55)*($ALZ$5:$ALZ55&gt;=1)*($ALZ$5:$ALZ55&lt;=3)),$ANC$5:$ANC55),IF(ALZ55=7,SUMPRODUCT(--(($AMA$5:$AMA55=$AMA55)*($ALZ$5:$ALZ55&gt;=4)*($ALZ$5:$ALZ55&lt;=6)),$ANC$5:$ANC55),IF(ALZ55=10,SUMPRODUCT(--(($AMA$5:$AMA55=$AMA55)*($ALZ$5:$ALZ55&gt;=7)*($ALZ$5:$ALZ55&lt;=9)),$ANC$5:$ANC55),0)))))</f>
        <v/>
      </c>
      <c r="ANE55" s="12">
        <f>ANE54+ANC55-AND55</f>
        <v/>
      </c>
      <c r="ANF55" s="12">
        <f>IF(ProviderDelay&gt;=1,ANB54*ProviderShare,ANB55*ProviderShare)</f>
        <v/>
      </c>
      <c r="ANG55" s="12">
        <f>AMY55*PaymentFee</f>
        <v/>
      </c>
      <c r="ANH55" s="12">
        <f>AMS55*OpsAI</f>
        <v/>
      </c>
      <c r="ANI55" s="12">
        <f>MonthlyFixed</f>
        <v/>
      </c>
      <c r="ANJ55" s="12">
        <f>AMG55*ReferralReward</f>
        <v/>
      </c>
      <c r="ANK55" s="12">
        <f>AME55</f>
        <v/>
      </c>
      <c r="ANL55" s="9">
        <f>ANB55-ANF55-ANG55-ANH55-ANI55-ANJ55-ANK55</f>
        <v/>
      </c>
      <c r="ANM55" s="9">
        <f>ANM54+AMY55-(ANF55+ANG55+ANH55+ANI55+ANJ55+ANK55+AND55)</f>
        <v/>
      </c>
      <c r="ANN55" s="12">
        <f>IF(AMS55&gt;0,AMT55/AMS55,0)</f>
        <v/>
      </c>
      <c r="ANO55" s="11">
        <f>IF(AMS54&gt;0,MAX(0,(AMS54+AMH55-AMS55)/AMS54),0)</f>
        <v/>
      </c>
      <c r="ANQ55" s="12" t="n">
        <v>51</v>
      </c>
      <c r="ANR55" s="12">
        <f>MOD(ANQ55-1+LaunchMonth-1,12)+1</f>
        <v/>
      </c>
      <c r="ANS55" s="12">
        <f>INT((ANQ55-1+LaunchMonth-1)/12)+1</f>
        <v/>
      </c>
      <c r="ANT55" s="12">
        <f>VLOOKUP(ANR55,SeasonTable,2,FALSE)</f>
        <v/>
      </c>
      <c r="ANU55" s="12">
        <f>(1+InflationRate)^INT((ANQ55-1)/12)</f>
        <v/>
      </c>
      <c r="ANV55" s="11">
        <f>MonthlyChurn*VLOOKUP(ANR55,ChurnSeasonTable,4,FALSE)</f>
        <v/>
      </c>
      <c r="ANW55" s="12">
        <f>MIN(MAX(MktMin19plus,AOQ54*MktPct19plus),MAX(0,APE54-CashBuffer))</f>
        <v/>
      </c>
      <c r="ANX55" s="12">
        <f>IF(ANW55&gt;0,MAX(1,ROUND(ANW55/'Sens - CAC &amp; Marketing'!$A$14*ANT55,0)),0)</f>
        <v/>
      </c>
      <c r="ANY55" s="12">
        <f>IF(ANX55&gt;0,ROUND(ANX55*ReferralMix/(1-ReferralMix),0),0)</f>
        <v/>
      </c>
      <c r="ANZ55" s="12">
        <f>ANX55+ANY55</f>
        <v/>
      </c>
      <c r="AOA55" s="12">
        <f>ROUND(ANZ55*(1-AnnualMix),0)</f>
        <v/>
      </c>
      <c r="AOB55" s="12">
        <f>ANZ55-AOA55</f>
        <v/>
      </c>
      <c r="AOC55" s="12">
        <f>ROUND(AOA55*EssentialMix,0)</f>
        <v/>
      </c>
      <c r="AOD55" s="12">
        <f>AOA55-AOC55</f>
        <v/>
      </c>
      <c r="AOE55" s="12">
        <f>ROUND(AOB55*EssentialMix,0)</f>
        <v/>
      </c>
      <c r="AOF55" s="12">
        <f>AOB55-AOE55</f>
        <v/>
      </c>
      <c r="AOG55" s="12">
        <f>AOC55+AOC54+AOC53+MAX(0,AOG54-AOC54-AOC53)*(1-ANV55)</f>
        <v/>
      </c>
      <c r="AOH55" s="12">
        <f>AOD55+AOD54+AOD53+MAX(0,AOH54-AOD54-AOD53)*(1-ANV55)</f>
        <v/>
      </c>
      <c r="AOI55" s="12">
        <f>AOI54+AOE55-AOE43*(AnnualChurn*VLOOKUP(ANR55,ChurnSeasonTable,4,FALSE))*POWER(1-(AnnualChurn*VLOOKUP(ANR55,ChurnSeasonTable,4,FALSE)),0)+AOE31*(AnnualChurn*VLOOKUP(ANR55,ChurnSeasonTable,4,FALSE))*POWER(1-(AnnualChurn*VLOOKUP(ANR55,ChurnSeasonTable,4,FALSE)),1)+AOE19*(AnnualChurn*VLOOKUP(ANR55,ChurnSeasonTable,4,FALSE))*POWER(1-(AnnualChurn*VLOOKUP(ANR55,ChurnSeasonTable,4,FALSE)),2)+AOE7*(AnnualChurn*VLOOKUP(ANR55,ChurnSeasonTable,4,FALSE))*POWER(1-(AnnualChurn*VLOOKUP(ANR55,ChurnSeasonTable,4,FALSE)),3)</f>
        <v/>
      </c>
      <c r="AOJ55" s="12">
        <f>AOJ54+AOF55-AOF43*(AnnualChurn*VLOOKUP(ANR55,ChurnSeasonTable,4,FALSE))*POWER(1-(AnnualChurn*VLOOKUP(ANR55,ChurnSeasonTable,4,FALSE)),0)+AOF31*(AnnualChurn*VLOOKUP(ANR55,ChurnSeasonTable,4,FALSE))*POWER(1-(AnnualChurn*VLOOKUP(ANR55,ChurnSeasonTable,4,FALSE)),1)+AOF19*(AnnualChurn*VLOOKUP(ANR55,ChurnSeasonTable,4,FALSE))*POWER(1-(AnnualChurn*VLOOKUP(ANR55,ChurnSeasonTable,4,FALSE)),2)+AOF7*(AnnualChurn*VLOOKUP(ANR55,ChurnSeasonTable,4,FALSE))*POWER(1-(AnnualChurn*VLOOKUP(ANR55,ChurnSeasonTable,4,FALSE)),3)</f>
        <v/>
      </c>
      <c r="AOK55" s="12">
        <f>AOG55+AOH55+AOI55+AOJ55</f>
        <v/>
      </c>
      <c r="AOL55" s="9">
        <f>AOG55*PriceEssMonthly*ANU55+AOH55*PricePremMonthly*ANU55+AOI55*PriceEssAnnual*ANU55/12+AOJ55*PricePremAnnual*ANU55/12</f>
        <v/>
      </c>
      <c r="AOM55" s="9">
        <f>AOL55*12</f>
        <v/>
      </c>
      <c r="AON55" s="12">
        <f>AOG55*PriceEssMonthly*ANU55+AOH55*PricePremMonthly*ANU55</f>
        <v/>
      </c>
      <c r="AOO55" s="12">
        <f>AOE55*PriceEssAnnual*ANU55+AOF55*PricePremAnnual*ANU55</f>
        <v/>
      </c>
      <c r="AOP55" s="12">
        <f>AOE43*POWER(1-(AnnualChurn*VLOOKUP(ANR55,ChurnSeasonTable,4,FALSE)),1)*PriceEssAnnual*ANU55+AOE31*POWER(1-(AnnualChurn*VLOOKUP(ANR55,ChurnSeasonTable,4,FALSE)),2)*PriceEssAnnual*ANU55+AOE19*POWER(1-(AnnualChurn*VLOOKUP(ANR55,ChurnSeasonTable,4,FALSE)),3)*PriceEssAnnual*ANU55+AOE7*POWER(1-(AnnualChurn*VLOOKUP(ANR55,ChurnSeasonTable,4,FALSE)),4)*PriceEssAnnual*ANU55+AOF43*POWER(1-(AnnualChurn*VLOOKUP(ANR55,ChurnSeasonTable,4,FALSE)),1)*PricePremAnnual*ANU55+AOF31*POWER(1-(AnnualChurn*VLOOKUP(ANR55,ChurnSeasonTable,4,FALSE)),2)*PricePremAnnual*ANU55+AOF19*POWER(1-(AnnualChurn*VLOOKUP(ANR55,ChurnSeasonTable,4,FALSE)),3)*PricePremAnnual*ANU55+AOF7*POWER(1-(AnnualChurn*VLOOKUP(ANR55,ChurnSeasonTable,4,FALSE)),4)*PricePremAnnual*ANU55</f>
        <v/>
      </c>
      <c r="AOQ55" s="9">
        <f>AON55+AOO55+AOP55</f>
        <v/>
      </c>
      <c r="AOR55" s="12">
        <f>SUM(AOQ44:AOQ55)</f>
        <v/>
      </c>
      <c r="AOS55" s="12">
        <f>OR(AOS54,AOR55&gt;=VATThreshold)</f>
        <v/>
      </c>
      <c r="AOT55" s="9">
        <f>IF(AOS55,AOQ55/(1+VATRate),AOQ55)</f>
        <v/>
      </c>
      <c r="AOU55" s="12">
        <f>AOQ55-AOT55</f>
        <v/>
      </c>
      <c r="AOV55" s="12">
        <f>IF(AOS55=0,0,IF(ANR55=1,SUMPRODUCT(--(($ANS$5:$ANS55=$ANS55-1)*($ANR$5:$ANR55&gt;=10)*($ANR$5:$ANR55&lt;=12)),$AOU$5:$AOU55),IF(ANR55=4,SUMPRODUCT(--(($ANS$5:$ANS55=$ANS55)*($ANR$5:$ANR55&gt;=1)*($ANR$5:$ANR55&lt;=3)),$AOU$5:$AOU55),IF(ANR55=7,SUMPRODUCT(--(($ANS$5:$ANS55=$ANS55)*($ANR$5:$ANR55&gt;=4)*($ANR$5:$ANR55&lt;=6)),$AOU$5:$AOU55),IF(ANR55=10,SUMPRODUCT(--(($ANS$5:$ANS55=$ANS55)*($ANR$5:$ANR55&gt;=7)*($ANR$5:$ANR55&lt;=9)),$AOU$5:$AOU55),0)))))</f>
        <v/>
      </c>
      <c r="AOW55" s="12">
        <f>AOW54+AOU55-AOV55</f>
        <v/>
      </c>
      <c r="AOX55" s="12">
        <f>IF(ProviderDelay&gt;=1,AOT54*ProviderShare,AOT55*ProviderShare)</f>
        <v/>
      </c>
      <c r="AOY55" s="12">
        <f>AOQ55*PaymentFee</f>
        <v/>
      </c>
      <c r="AOZ55" s="12">
        <f>AOK55*OpsAI</f>
        <v/>
      </c>
      <c r="APA55" s="12">
        <f>MonthlyFixed</f>
        <v/>
      </c>
      <c r="APB55" s="12">
        <f>ANY55*ReferralReward</f>
        <v/>
      </c>
      <c r="APC55" s="12">
        <f>ANW55</f>
        <v/>
      </c>
      <c r="APD55" s="9">
        <f>AOT55-AOX55-AOY55-AOZ55-APA55-APB55-APC55</f>
        <v/>
      </c>
      <c r="APE55" s="9">
        <f>APE54+AOQ55-(AOX55+AOY55+AOZ55+APA55+APB55+APC55+AOV55)</f>
        <v/>
      </c>
      <c r="APF55" s="12">
        <f>IF(AOK55&gt;0,AOL55/AOK55,0)</f>
        <v/>
      </c>
      <c r="APG55" s="11">
        <f>IF(AOK54&gt;0,MAX(0,(AOK54+ANZ55-AOK55)/AOK54),0)</f>
        <v/>
      </c>
      <c r="API55" s="12" t="n">
        <v>51</v>
      </c>
      <c r="APJ55" s="12">
        <f>MOD(API55-1+LaunchMonth-1,12)+1</f>
        <v/>
      </c>
      <c r="APK55" s="12">
        <f>INT((API55-1+LaunchMonth-1)/12)+1</f>
        <v/>
      </c>
      <c r="APL55" s="12">
        <f>VLOOKUP(APJ55,SeasonTable,2,FALSE)</f>
        <v/>
      </c>
      <c r="APM55" s="12">
        <f>(1+InflationRate)^INT((API55-1)/12)</f>
        <v/>
      </c>
      <c r="APN55" s="11">
        <f>MonthlyChurn*VLOOKUP(APJ55,ChurnSeasonTable,4,FALSE)</f>
        <v/>
      </c>
      <c r="APO55" s="12">
        <f>MIN(MAX(MktMin19plus,AQI54*MktPct19plus),MAX(0,AQW54-CashBuffer))</f>
        <v/>
      </c>
      <c r="APP55" s="12">
        <f>IF(APO55&gt;0,MAX(1,ROUND(APO55/'Sens - CAC &amp; Marketing'!$A$15*APL55,0)),0)</f>
        <v/>
      </c>
      <c r="APQ55" s="12">
        <f>IF(APP55&gt;0,ROUND(APP55*ReferralMix/(1-ReferralMix),0),0)</f>
        <v/>
      </c>
      <c r="APR55" s="12">
        <f>APP55+APQ55</f>
        <v/>
      </c>
      <c r="APS55" s="12">
        <f>ROUND(APR55*(1-AnnualMix),0)</f>
        <v/>
      </c>
      <c r="APT55" s="12">
        <f>APR55-APS55</f>
        <v/>
      </c>
      <c r="APU55" s="12">
        <f>ROUND(APS55*EssentialMix,0)</f>
        <v/>
      </c>
      <c r="APV55" s="12">
        <f>APS55-APU55</f>
        <v/>
      </c>
      <c r="APW55" s="12">
        <f>ROUND(APT55*EssentialMix,0)</f>
        <v/>
      </c>
      <c r="APX55" s="12">
        <f>APT55-APW55</f>
        <v/>
      </c>
      <c r="APY55" s="12">
        <f>APU55+APU54+APU53+MAX(0,APY54-APU54-APU53)*(1-APN55)</f>
        <v/>
      </c>
      <c r="APZ55" s="12">
        <f>APV55+APV54+APV53+MAX(0,APZ54-APV54-APV53)*(1-APN55)</f>
        <v/>
      </c>
      <c r="AQA55" s="12">
        <f>AQA54+APW55-APW43*(AnnualChurn*VLOOKUP(APJ55,ChurnSeasonTable,4,FALSE))*POWER(1-(AnnualChurn*VLOOKUP(APJ55,ChurnSeasonTable,4,FALSE)),0)+APW31*(AnnualChurn*VLOOKUP(APJ55,ChurnSeasonTable,4,FALSE))*POWER(1-(AnnualChurn*VLOOKUP(APJ55,ChurnSeasonTable,4,FALSE)),1)+APW19*(AnnualChurn*VLOOKUP(APJ55,ChurnSeasonTable,4,FALSE))*POWER(1-(AnnualChurn*VLOOKUP(APJ55,ChurnSeasonTable,4,FALSE)),2)+APW7*(AnnualChurn*VLOOKUP(APJ55,ChurnSeasonTable,4,FALSE))*POWER(1-(AnnualChurn*VLOOKUP(APJ55,ChurnSeasonTable,4,FALSE)),3)</f>
        <v/>
      </c>
      <c r="AQB55" s="12">
        <f>AQB54+APX55-APX43*(AnnualChurn*VLOOKUP(APJ55,ChurnSeasonTable,4,FALSE))*POWER(1-(AnnualChurn*VLOOKUP(APJ55,ChurnSeasonTable,4,FALSE)),0)+APX31*(AnnualChurn*VLOOKUP(APJ55,ChurnSeasonTable,4,FALSE))*POWER(1-(AnnualChurn*VLOOKUP(APJ55,ChurnSeasonTable,4,FALSE)),1)+APX19*(AnnualChurn*VLOOKUP(APJ55,ChurnSeasonTable,4,FALSE))*POWER(1-(AnnualChurn*VLOOKUP(APJ55,ChurnSeasonTable,4,FALSE)),2)+APX7*(AnnualChurn*VLOOKUP(APJ55,ChurnSeasonTable,4,FALSE))*POWER(1-(AnnualChurn*VLOOKUP(APJ55,ChurnSeasonTable,4,FALSE)),3)</f>
        <v/>
      </c>
      <c r="AQC55" s="12">
        <f>APY55+APZ55+AQA55+AQB55</f>
        <v/>
      </c>
      <c r="AQD55" s="9">
        <f>APY55*PriceEssMonthly*APM55+APZ55*PricePremMonthly*APM55+AQA55*PriceEssAnnual*APM55/12+AQB55*PricePremAnnual*APM55/12</f>
        <v/>
      </c>
      <c r="AQE55" s="9">
        <f>AQD55*12</f>
        <v/>
      </c>
      <c r="AQF55" s="12">
        <f>APY55*PriceEssMonthly*APM55+APZ55*PricePremMonthly*APM55</f>
        <v/>
      </c>
      <c r="AQG55" s="12">
        <f>APW55*PriceEssAnnual*APM55+APX55*PricePremAnnual*APM55</f>
        <v/>
      </c>
      <c r="AQH55" s="12">
        <f>APW43*POWER(1-(AnnualChurn*VLOOKUP(APJ55,ChurnSeasonTable,4,FALSE)),1)*PriceEssAnnual*APM55+APW31*POWER(1-(AnnualChurn*VLOOKUP(APJ55,ChurnSeasonTable,4,FALSE)),2)*PriceEssAnnual*APM55+APW19*POWER(1-(AnnualChurn*VLOOKUP(APJ55,ChurnSeasonTable,4,FALSE)),3)*PriceEssAnnual*APM55+APW7*POWER(1-(AnnualChurn*VLOOKUP(APJ55,ChurnSeasonTable,4,FALSE)),4)*PriceEssAnnual*APM55+APX43*POWER(1-(AnnualChurn*VLOOKUP(APJ55,ChurnSeasonTable,4,FALSE)),1)*PricePremAnnual*APM55+APX31*POWER(1-(AnnualChurn*VLOOKUP(APJ55,ChurnSeasonTable,4,FALSE)),2)*PricePremAnnual*APM55+APX19*POWER(1-(AnnualChurn*VLOOKUP(APJ55,ChurnSeasonTable,4,FALSE)),3)*PricePremAnnual*APM55+APX7*POWER(1-(AnnualChurn*VLOOKUP(APJ55,ChurnSeasonTable,4,FALSE)),4)*PricePremAnnual*APM55</f>
        <v/>
      </c>
      <c r="AQI55" s="9">
        <f>AQF55+AQG55+AQH55</f>
        <v/>
      </c>
      <c r="AQJ55" s="12">
        <f>SUM(AQI44:AQI55)</f>
        <v/>
      </c>
      <c r="AQK55" s="12">
        <f>OR(AQK54,AQJ55&gt;=VATThreshold)</f>
        <v/>
      </c>
      <c r="AQL55" s="9">
        <f>IF(AQK55,AQI55/(1+VATRate),AQI55)</f>
        <v/>
      </c>
      <c r="AQM55" s="12">
        <f>AQI55-AQL55</f>
        <v/>
      </c>
      <c r="AQN55" s="12">
        <f>IF(AQK55=0,0,IF(APJ55=1,SUMPRODUCT(--(($APK$5:$APK55=$APK55-1)*($APJ$5:$APJ55&gt;=10)*($APJ$5:$APJ55&lt;=12)),$AQM$5:$AQM55),IF(APJ55=4,SUMPRODUCT(--(($APK$5:$APK55=$APK55)*($APJ$5:$APJ55&gt;=1)*($APJ$5:$APJ55&lt;=3)),$AQM$5:$AQM55),IF(APJ55=7,SUMPRODUCT(--(($APK$5:$APK55=$APK55)*($APJ$5:$APJ55&gt;=4)*($APJ$5:$APJ55&lt;=6)),$AQM$5:$AQM55),IF(APJ55=10,SUMPRODUCT(--(($APK$5:$APK55=$APK55)*($APJ$5:$APJ55&gt;=7)*($APJ$5:$APJ55&lt;=9)),$AQM$5:$AQM55),0)))))</f>
        <v/>
      </c>
      <c r="AQO55" s="12">
        <f>AQO54+AQM55-AQN55</f>
        <v/>
      </c>
      <c r="AQP55" s="12">
        <f>IF(ProviderDelay&gt;=1,AQL54*ProviderShare,AQL55*ProviderShare)</f>
        <v/>
      </c>
      <c r="AQQ55" s="12">
        <f>AQI55*PaymentFee</f>
        <v/>
      </c>
      <c r="AQR55" s="12">
        <f>AQC55*OpsAI</f>
        <v/>
      </c>
      <c r="AQS55" s="12">
        <f>MonthlyFixed</f>
        <v/>
      </c>
      <c r="AQT55" s="12">
        <f>APQ55*ReferralReward</f>
        <v/>
      </c>
      <c r="AQU55" s="12">
        <f>APO55</f>
        <v/>
      </c>
      <c r="AQV55" s="9">
        <f>AQL55-AQP55-AQQ55-AQR55-AQS55-AQT55-AQU55</f>
        <v/>
      </c>
      <c r="AQW55" s="9">
        <f>AQW54+AQI55-(AQP55+AQQ55+AQR55+AQS55+AQT55+AQU55+AQN55)</f>
        <v/>
      </c>
      <c r="AQX55" s="12">
        <f>IF(AQC55&gt;0,AQD55/AQC55,0)</f>
        <v/>
      </c>
      <c r="AQY55" s="11">
        <f>IF(AQC54&gt;0,MAX(0,(AQC54+APR55-AQC55)/AQC54),0)</f>
        <v/>
      </c>
      <c r="ARA55" s="12" t="n">
        <v>51</v>
      </c>
      <c r="ARB55" s="12">
        <f>MOD(ARA55-1+LaunchMonth-1,12)+1</f>
        <v/>
      </c>
      <c r="ARC55" s="12">
        <f>INT((ARA55-1+LaunchMonth-1)/12)+1</f>
        <v/>
      </c>
      <c r="ARD55" s="12">
        <f>VLOOKUP(ARB55,WinterPivotSeasonTable,5,FALSE)</f>
        <v/>
      </c>
      <c r="ARE55" s="12">
        <f>(1+InflationRate)^INT((ARA55-1)/12)</f>
        <v/>
      </c>
      <c r="ARF55" s="11">
        <f>MonthlyChurn*VLOOKUP(ARB55,WinterPivotChurnTable,6,FALSE)</f>
        <v/>
      </c>
      <c r="ARG55" s="12">
        <f>MIN(MAX(MktMin19plus,ASA54*MktPct19plus),MAX(0,ASO54-CashBuffer))</f>
        <v/>
      </c>
      <c r="ARH55" s="12">
        <f>IF(ARG55&gt;0,MAX(1,ROUND(ARG55/CAC*ARD55,0)),0)</f>
        <v/>
      </c>
      <c r="ARI55" s="12">
        <f>IF(ARH55&gt;0,ROUND(ARH55*ReferralMix/(1-ReferralMix),0),0)</f>
        <v/>
      </c>
      <c r="ARJ55" s="12">
        <f>ARH55+ARI55</f>
        <v/>
      </c>
      <c r="ARK55" s="12">
        <f>ROUND(ARJ55*(1-AnnualMix),0)</f>
        <v/>
      </c>
      <c r="ARL55" s="12">
        <f>ARJ55-ARK55</f>
        <v/>
      </c>
      <c r="ARM55" s="12">
        <f>ROUND(ARK55*'Sens - Winter Pivot'!$B$6,0)</f>
        <v/>
      </c>
      <c r="ARN55" s="12">
        <f>ARK55-ARM55</f>
        <v/>
      </c>
      <c r="ARO55" s="12">
        <f>ROUND(ARL55*'Sens - Winter Pivot'!$B$6,0)</f>
        <v/>
      </c>
      <c r="ARP55" s="12">
        <f>ARL55-ARO55</f>
        <v/>
      </c>
      <c r="ARQ55" s="12">
        <f>ARM55+ARM54+ARM53+MAX(0,ARQ54-ARM54-ARM53)*(1-ARF55)</f>
        <v/>
      </c>
      <c r="ARR55" s="12">
        <f>ARN55+ARN54+ARN53+MAX(0,ARR54-ARN54-ARN53)*(1-ARF55)</f>
        <v/>
      </c>
      <c r="ARS55" s="12">
        <f>ARS54+ARO55-ARO43*(AnnualChurn*VLOOKUP(ARB55,WinterPivotChurnTable,6,FALSE))*POWER(1-(AnnualChurn*VLOOKUP(ARB55,WinterPivotChurnTable,6,FALSE)),0)+ARO31*(AnnualChurn*VLOOKUP(ARB55,WinterPivotChurnTable,6,FALSE))*POWER(1-(AnnualChurn*VLOOKUP(ARB55,WinterPivotChurnTable,6,FALSE)),1)+ARO19*(AnnualChurn*VLOOKUP(ARB55,WinterPivotChurnTable,6,FALSE))*POWER(1-(AnnualChurn*VLOOKUP(ARB55,WinterPivotChurnTable,6,FALSE)),2)+ARO7*(AnnualChurn*VLOOKUP(ARB55,WinterPivotChurnTable,6,FALSE))*POWER(1-(AnnualChurn*VLOOKUP(ARB55,WinterPivotChurnTable,6,FALSE)),3)</f>
        <v/>
      </c>
      <c r="ART55" s="12">
        <f>ART54+ARP55-ARP43*(AnnualChurn*VLOOKUP(ARB55,WinterPivotChurnTable,6,FALSE))*POWER(1-(AnnualChurn*VLOOKUP(ARB55,WinterPivotChurnTable,6,FALSE)),0)+ARP31*(AnnualChurn*VLOOKUP(ARB55,WinterPivotChurnTable,6,FALSE))*POWER(1-(AnnualChurn*VLOOKUP(ARB55,WinterPivotChurnTable,6,FALSE)),1)+ARP19*(AnnualChurn*VLOOKUP(ARB55,WinterPivotChurnTable,6,FALSE))*POWER(1-(AnnualChurn*VLOOKUP(ARB55,WinterPivotChurnTable,6,FALSE)),2)+ARP7*(AnnualChurn*VLOOKUP(ARB55,WinterPivotChurnTable,6,FALSE))*POWER(1-(AnnualChurn*VLOOKUP(ARB55,WinterPivotChurnTable,6,FALSE)),3)</f>
        <v/>
      </c>
      <c r="ARU55" s="12">
        <f>ARQ55+ARR55+ARS55+ART55</f>
        <v/>
      </c>
      <c r="ARV55" s="9">
        <f>ARQ55*PriceEssMonthly*ARE55+ARR55*(PricePremMonthly+'Sens - Winter Pivot'!$B$7)*ARE55+ARS55*PriceEssAnnual*ARE55/12+ART55*(PricePremAnnual+'Sens - Winter Pivot'!$B$7*12)*ARE55/12</f>
        <v/>
      </c>
      <c r="ARW55" s="9">
        <f>ARV55*12</f>
        <v/>
      </c>
      <c r="ARX55" s="12">
        <f>ARQ55*PriceEssMonthly*ARE55+ARR55*(PricePremMonthly+'Sens - Winter Pivot'!$B$7)*ARE55</f>
        <v/>
      </c>
      <c r="ARY55" s="12">
        <f>ARO55*PriceEssAnnual*ARE55+ARP55*(PricePremAnnual+'Sens - Winter Pivot'!$B$7*12)*ARE55</f>
        <v/>
      </c>
      <c r="ARZ55" s="12">
        <f>ARO43*POWER(1-(AnnualChurn*VLOOKUP(ARB55,WinterPivotChurnTable,6,FALSE)),1)*PriceEssAnnual*ARE55+ARO31*POWER(1-(AnnualChurn*VLOOKUP(ARB55,WinterPivotChurnTable,6,FALSE)),2)*PriceEssAnnual*ARE55+ARO19*POWER(1-(AnnualChurn*VLOOKUP(ARB55,WinterPivotChurnTable,6,FALSE)),3)*PriceEssAnnual*ARE55+ARO7*POWER(1-(AnnualChurn*VLOOKUP(ARB55,WinterPivotChurnTable,6,FALSE)),4)*PriceEssAnnual*ARE55+ARP43*POWER(1-(AnnualChurn*VLOOKUP(ARB55,WinterPivotChurnTable,6,FALSE)),1)*PricePremAnnual*ARE55+ARP31*POWER(1-(AnnualChurn*VLOOKUP(ARB55,WinterPivotChurnTable,6,FALSE)),2)*PricePremAnnual*ARE55+ARP19*POWER(1-(AnnualChurn*VLOOKUP(ARB55,WinterPivotChurnTable,6,FALSE)),3)*PricePremAnnual*ARE55+ARP7*POWER(1-(AnnualChurn*VLOOKUP(ARB55,WinterPivotChurnTable,6,FALSE)),4)*PricePremAnnual*ARE55</f>
        <v/>
      </c>
      <c r="ASA55" s="9">
        <f>ARX55+ARY55+ARZ55</f>
        <v/>
      </c>
      <c r="ASB55" s="12">
        <f>SUM(ASA44:ASA55)</f>
        <v/>
      </c>
      <c r="ASC55" s="12">
        <f>OR(ASC54,ASB55&gt;=VATThreshold)</f>
        <v/>
      </c>
      <c r="ASD55" s="9">
        <f>IF(ASC55,ASA55/(1+VATRate),ASA55)</f>
        <v/>
      </c>
      <c r="ASE55" s="12">
        <f>ASA55-ASD55</f>
        <v/>
      </c>
      <c r="ASF55" s="12">
        <f>IF(ASC55=0,0,IF(ARB55=1,SUMPRODUCT(--(($ARC$5:$ARC55=$ARC55-1)*($ARB$5:$ARB55&gt;=10)*($ARB$5:$ARB55&lt;=12)),$ASE$5:$ASE55),IF(ARB55=4,SUMPRODUCT(--(($ARC$5:$ARC55=$ARC55)*($ARB$5:$ARB55&gt;=1)*($ARB$5:$ARB55&lt;=3)),$ASE$5:$ASE55),IF(ARB55=7,SUMPRODUCT(--(($ARC$5:$ARC55=$ARC55)*($ARB$5:$ARB55&gt;=4)*($ARB$5:$ARB55&lt;=6)),$ASE$5:$ASE55),IF(ARB55=10,SUMPRODUCT(--(($ARC$5:$ARC55=$ARC55)*($ARB$5:$ARB55&gt;=7)*($ARB$5:$ARB55&lt;=9)),$ASE$5:$ASE55),0)))))</f>
        <v/>
      </c>
      <c r="ASG55" s="12">
        <f>ASG54+ASE55-ASF55</f>
        <v/>
      </c>
      <c r="ASH55" s="12">
        <f>IF(ProviderDelay&gt;=1,ASD54*ProviderShare,ASD55*ProviderShare)</f>
        <v/>
      </c>
      <c r="ASI55" s="12">
        <f>ASA55*PaymentFee</f>
        <v/>
      </c>
      <c r="ASJ55" s="12">
        <f>ARU55*OpsAI</f>
        <v/>
      </c>
      <c r="ASK55" s="12">
        <f>MonthlyFixed</f>
        <v/>
      </c>
      <c r="ASL55" s="12">
        <f>ARI55*ReferralReward</f>
        <v/>
      </c>
      <c r="ASM55" s="12">
        <f>ARG55</f>
        <v/>
      </c>
      <c r="ASN55" s="9">
        <f>ASD55-ASH55-ASI55-ASJ55-ASK55-ASL55-ASM55</f>
        <v/>
      </c>
      <c r="ASO55" s="9">
        <f>ASO54+ASA55-(ASH55+ASI55+ASJ55+ASK55+ASL55+ASM55+ASF55)</f>
        <v/>
      </c>
      <c r="ASP55" s="12">
        <f>IF(ARU55&gt;0,ARV55/ARU55,0)</f>
        <v/>
      </c>
      <c r="ASQ55" s="11">
        <f>IF(ARU54&gt;0,MAX(0,(ARU54+ARJ55-ARU55)/ARU54),0)</f>
        <v/>
      </c>
    </row>
    <row r="56">
      <c r="A56" s="12" t="n">
        <v>52</v>
      </c>
      <c r="B56" s="12">
        <f>MOD(A56-1+LaunchMonth-1,12)+1</f>
        <v/>
      </c>
      <c r="C56" s="12">
        <f>INT((A56-1+LaunchMonth-1)/12)+1</f>
        <v/>
      </c>
      <c r="D56" s="12">
        <f>VLOOKUP(B56,SeasonTable,2,FALSE)</f>
        <v/>
      </c>
      <c r="E56" s="12">
        <f>(1+InflationRate)^INT((A56-1)/12)</f>
        <v/>
      </c>
      <c r="F56" s="11">
        <f>'Sens - Scenarios'!$B$5*VLOOKUP(B56,ChurnSeasonTable,4,FALSE)</f>
        <v/>
      </c>
      <c r="G56" s="12">
        <f>MIN(MAX(MktMin19plus,AA55*MktPct19plus),MAX(0,AO55-CashBuffer))</f>
        <v/>
      </c>
      <c r="H56" s="12">
        <f>IF(G56&gt;0,MAX(1,ROUND(G56/'Sens - Scenarios'!$B$8*D56,0)),0)</f>
        <v/>
      </c>
      <c r="I56" s="12">
        <f>IF(H56&gt;0,ROUND(H56*ReferralMix/(1-ReferralMix),0),0)</f>
        <v/>
      </c>
      <c r="J56" s="12">
        <f>H56+I56</f>
        <v/>
      </c>
      <c r="K56" s="12">
        <f>ROUND(J56*(1-'Sens - Scenarios'!$B$7),0)</f>
        <v/>
      </c>
      <c r="L56" s="12">
        <f>J56-K56</f>
        <v/>
      </c>
      <c r="M56" s="12">
        <f>ROUND(K56*EssentialMix,0)</f>
        <v/>
      </c>
      <c r="N56" s="12">
        <f>K56-M56</f>
        <v/>
      </c>
      <c r="O56" s="12">
        <f>ROUND(L56*EssentialMix,0)</f>
        <v/>
      </c>
      <c r="P56" s="12">
        <f>L56-O56</f>
        <v/>
      </c>
      <c r="Q56" s="12">
        <f>M56+M55+M54+MAX(0,Q55-M55-M54)*(1-F56)</f>
        <v/>
      </c>
      <c r="R56" s="12">
        <f>N56+N55+N54+MAX(0,R55-N55-N54)*(1-F56)</f>
        <v/>
      </c>
      <c r="S56" s="12">
        <f>S55+O56-O44*('Sens - Scenarios'!$B$6*VLOOKUP(B56,ChurnSeasonTable,4,FALSE))*POWER(1-('Sens - Scenarios'!$B$6*VLOOKUP(B56,ChurnSeasonTable,4,FALSE)),0)+O32*('Sens - Scenarios'!$B$6*VLOOKUP(B56,ChurnSeasonTable,4,FALSE))*POWER(1-('Sens - Scenarios'!$B$6*VLOOKUP(B56,ChurnSeasonTable,4,FALSE)),1)+O20*('Sens - Scenarios'!$B$6*VLOOKUP(B56,ChurnSeasonTable,4,FALSE))*POWER(1-('Sens - Scenarios'!$B$6*VLOOKUP(B56,ChurnSeasonTable,4,FALSE)),2)+O8*('Sens - Scenarios'!$B$6*VLOOKUP(B56,ChurnSeasonTable,4,FALSE))*POWER(1-('Sens - Scenarios'!$B$6*VLOOKUP(B56,ChurnSeasonTable,4,FALSE)),3)</f>
        <v/>
      </c>
      <c r="T56" s="12">
        <f>T55+P56-P44*('Sens - Scenarios'!$B$6*VLOOKUP(B56,ChurnSeasonTable,4,FALSE))*POWER(1-('Sens - Scenarios'!$B$6*VLOOKUP(B56,ChurnSeasonTable,4,FALSE)),0)+P32*('Sens - Scenarios'!$B$6*VLOOKUP(B56,ChurnSeasonTable,4,FALSE))*POWER(1-('Sens - Scenarios'!$B$6*VLOOKUP(B56,ChurnSeasonTable,4,FALSE)),1)+P20*('Sens - Scenarios'!$B$6*VLOOKUP(B56,ChurnSeasonTable,4,FALSE))*POWER(1-('Sens - Scenarios'!$B$6*VLOOKUP(B56,ChurnSeasonTable,4,FALSE)),2)+P8*('Sens - Scenarios'!$B$6*VLOOKUP(B56,ChurnSeasonTable,4,FALSE))*POWER(1-('Sens - Scenarios'!$B$6*VLOOKUP(B56,ChurnSeasonTable,4,FALSE)),3)</f>
        <v/>
      </c>
      <c r="U56" s="12">
        <f>Q56+R56+S56+T56</f>
        <v/>
      </c>
      <c r="V56" s="9">
        <f>Q56*PriceEssMonthly*E56+R56*PricePremMonthly*E56+S56*PriceEssAnnual*E56/12+T56*PricePremAnnual*E56/12</f>
        <v/>
      </c>
      <c r="W56" s="9">
        <f>V56*12</f>
        <v/>
      </c>
      <c r="X56" s="12">
        <f>Q56*PriceEssMonthly*E56+R56*PricePremMonthly*E56</f>
        <v/>
      </c>
      <c r="Y56" s="12">
        <f>O56*PriceEssAnnual*E56+P56*PricePremAnnual*E56</f>
        <v/>
      </c>
      <c r="Z56" s="12">
        <f>O44*POWER(1-('Sens - Scenarios'!$B$6*VLOOKUP(B56,ChurnSeasonTable,4,FALSE)),1)*PriceEssAnnual*E56+O32*POWER(1-('Sens - Scenarios'!$B$6*VLOOKUP(B56,ChurnSeasonTable,4,FALSE)),2)*PriceEssAnnual*E56+O20*POWER(1-('Sens - Scenarios'!$B$6*VLOOKUP(B56,ChurnSeasonTable,4,FALSE)),3)*PriceEssAnnual*E56+O8*POWER(1-('Sens - Scenarios'!$B$6*VLOOKUP(B56,ChurnSeasonTable,4,FALSE)),4)*PriceEssAnnual*E56+P44*POWER(1-('Sens - Scenarios'!$B$6*VLOOKUP(B56,ChurnSeasonTable,4,FALSE)),1)*PricePremAnnual*E56+P32*POWER(1-('Sens - Scenarios'!$B$6*VLOOKUP(B56,ChurnSeasonTable,4,FALSE)),2)*PricePremAnnual*E56+P20*POWER(1-('Sens - Scenarios'!$B$6*VLOOKUP(B56,ChurnSeasonTable,4,FALSE)),3)*PricePremAnnual*E56+P8*POWER(1-('Sens - Scenarios'!$B$6*VLOOKUP(B56,ChurnSeasonTable,4,FALSE)),4)*PricePremAnnual*E56</f>
        <v/>
      </c>
      <c r="AA56" s="9">
        <f>X56+Y56+Z56</f>
        <v/>
      </c>
      <c r="AB56" s="12">
        <f>SUM(AA45:AA56)</f>
        <v/>
      </c>
      <c r="AC56" s="12">
        <f>OR(AC55,AB56&gt;=VATThreshold)</f>
        <v/>
      </c>
      <c r="AD56" s="9">
        <f>IF(AC56,AA56/(1+VATRate),AA56)</f>
        <v/>
      </c>
      <c r="AE56" s="12">
        <f>AA56-AD56</f>
        <v/>
      </c>
      <c r="AF56" s="12">
        <f>IF(AC56=0,0,IF(B56=1,SUMPRODUCT(--(($C$5:$C56=$C56-1)*($B$5:$B56&gt;=10)*($B$5:$B56&lt;=12)),$AE$5:$AE56),IF(B56=4,SUMPRODUCT(--(($C$5:$C56=$C56)*($B$5:$B56&gt;=1)*($B$5:$B56&lt;=3)),$AE$5:$AE56),IF(B56=7,SUMPRODUCT(--(($C$5:$C56=$C56)*($B$5:$B56&gt;=4)*($B$5:$B56&lt;=6)),$AE$5:$AE56),IF(B56=10,SUMPRODUCT(--(($C$5:$C56=$C56)*($B$5:$B56&gt;=7)*($B$5:$B56&lt;=9)),$AE$5:$AE56),0)))))</f>
        <v/>
      </c>
      <c r="AG56" s="12">
        <f>AG55+AE56-AF56</f>
        <v/>
      </c>
      <c r="AH56" s="12">
        <f>IF(ProviderDelay&gt;=1,AD55*ProviderShare,AD56*ProviderShare)</f>
        <v/>
      </c>
      <c r="AI56" s="12">
        <f>AA56*PaymentFee</f>
        <v/>
      </c>
      <c r="AJ56" s="12">
        <f>U56*OpsAI</f>
        <v/>
      </c>
      <c r="AK56" s="12">
        <f>MonthlyFixed</f>
        <v/>
      </c>
      <c r="AL56" s="12">
        <f>I56*ReferralReward</f>
        <v/>
      </c>
      <c r="AM56" s="12">
        <f>G56</f>
        <v/>
      </c>
      <c r="AN56" s="9">
        <f>AD56-AH56-AI56-AJ56-AK56-AL56-AM56</f>
        <v/>
      </c>
      <c r="AO56" s="9">
        <f>AO55+AA56-(AH56+AI56+AJ56+AK56+AL56+AM56+AF56)</f>
        <v/>
      </c>
      <c r="AP56" s="12">
        <f>IF(U56&gt;0,V56/U56,0)</f>
        <v/>
      </c>
      <c r="AQ56" s="11">
        <f>IF(U55&gt;0,MAX(0,(U55+J56-U56)/U55),0)</f>
        <v/>
      </c>
      <c r="AS56" s="12" t="n">
        <v>52</v>
      </c>
      <c r="AT56" s="12">
        <f>MOD(AS56-1+LaunchMonth-1,12)+1</f>
        <v/>
      </c>
      <c r="AU56" s="12">
        <f>INT((AS56-1+LaunchMonth-1)/12)+1</f>
        <v/>
      </c>
      <c r="AV56" s="12">
        <f>VLOOKUP(AT56,SeasonTable,2,FALSE)</f>
        <v/>
      </c>
      <c r="AW56" s="12">
        <f>(1+InflationRate)^INT((AS56-1)/12)</f>
        <v/>
      </c>
      <c r="AX56" s="11">
        <f>MonthlyChurn*VLOOKUP(AT56,ChurnSeasonTable,4,FALSE)</f>
        <v/>
      </c>
      <c r="AY56" s="12">
        <f>MIN(MAX(MktMin19plus,BS55*MktPct19plus),MAX(0,CG55-CashBuffer))</f>
        <v/>
      </c>
      <c r="AZ56" s="12">
        <f>IF(AY56&gt;0,MAX(1,ROUND(AY56/CAC*AV56,0)),0)</f>
        <v/>
      </c>
      <c r="BA56" s="12">
        <f>IF(AZ56&gt;0,ROUND(AZ56*ReferralMix/(1-ReferralMix),0),0)</f>
        <v/>
      </c>
      <c r="BB56" s="12">
        <f>AZ56+BA56</f>
        <v/>
      </c>
      <c r="BC56" s="12">
        <f>ROUND(BB56*(1-AnnualMix),0)</f>
        <v/>
      </c>
      <c r="BD56" s="12">
        <f>BB56-BC56</f>
        <v/>
      </c>
      <c r="BE56" s="12">
        <f>ROUND(BC56*EssentialMix,0)</f>
        <v/>
      </c>
      <c r="BF56" s="12">
        <f>BC56-BE56</f>
        <v/>
      </c>
      <c r="BG56" s="12">
        <f>ROUND(BD56*EssentialMix,0)</f>
        <v/>
      </c>
      <c r="BH56" s="12">
        <f>BD56-BG56</f>
        <v/>
      </c>
      <c r="BI56" s="12">
        <f>BE56+BE55+BE54+MAX(0,BI55-BE55-BE54)*(1-AX56)</f>
        <v/>
      </c>
      <c r="BJ56" s="12">
        <f>BF56+BF55+BF54+MAX(0,BJ55-BF55-BF54)*(1-AX56)</f>
        <v/>
      </c>
      <c r="BK56" s="12">
        <f>BK55+BG56-BG44*(AnnualChurn*VLOOKUP(AT56,ChurnSeasonTable,4,FALSE))*POWER(1-(AnnualChurn*VLOOKUP(AT56,ChurnSeasonTable,4,FALSE)),0)+BG32*(AnnualChurn*VLOOKUP(AT56,ChurnSeasonTable,4,FALSE))*POWER(1-(AnnualChurn*VLOOKUP(AT56,ChurnSeasonTable,4,FALSE)),1)+BG20*(AnnualChurn*VLOOKUP(AT56,ChurnSeasonTable,4,FALSE))*POWER(1-(AnnualChurn*VLOOKUP(AT56,ChurnSeasonTable,4,FALSE)),2)+BG8*(AnnualChurn*VLOOKUP(AT56,ChurnSeasonTable,4,FALSE))*POWER(1-(AnnualChurn*VLOOKUP(AT56,ChurnSeasonTable,4,FALSE)),3)</f>
        <v/>
      </c>
      <c r="BL56" s="12">
        <f>BL55+BH56-BH44*(AnnualChurn*VLOOKUP(AT56,ChurnSeasonTable,4,FALSE))*POWER(1-(AnnualChurn*VLOOKUP(AT56,ChurnSeasonTable,4,FALSE)),0)+BH32*(AnnualChurn*VLOOKUP(AT56,ChurnSeasonTable,4,FALSE))*POWER(1-(AnnualChurn*VLOOKUP(AT56,ChurnSeasonTable,4,FALSE)),1)+BH20*(AnnualChurn*VLOOKUP(AT56,ChurnSeasonTable,4,FALSE))*POWER(1-(AnnualChurn*VLOOKUP(AT56,ChurnSeasonTable,4,FALSE)),2)+BH8*(AnnualChurn*VLOOKUP(AT56,ChurnSeasonTable,4,FALSE))*POWER(1-(AnnualChurn*VLOOKUP(AT56,ChurnSeasonTable,4,FALSE)),3)</f>
        <v/>
      </c>
      <c r="BM56" s="12">
        <f>BI56+BJ56+BK56+BL56</f>
        <v/>
      </c>
      <c r="BN56" s="9">
        <f>BI56*PriceEssMonthly*AW56+BJ56*PricePremMonthly*AW56+BK56*PriceEssAnnual*AW56/12+BL56*PricePremAnnual*AW56/12</f>
        <v/>
      </c>
      <c r="BO56" s="9">
        <f>BN56*12</f>
        <v/>
      </c>
      <c r="BP56" s="12">
        <f>BI56*PriceEssMonthly*AW56+BJ56*PricePremMonthly*AW56</f>
        <v/>
      </c>
      <c r="BQ56" s="12">
        <f>BG56*PriceEssAnnual*AW56+BH56*PricePremAnnual*AW56</f>
        <v/>
      </c>
      <c r="BR56" s="12">
        <f>BG44*POWER(1-(AnnualChurn*VLOOKUP(AT56,ChurnSeasonTable,4,FALSE)),1)*PriceEssAnnual*AW56+BG32*POWER(1-(AnnualChurn*VLOOKUP(AT56,ChurnSeasonTable,4,FALSE)),2)*PriceEssAnnual*AW56+BG20*POWER(1-(AnnualChurn*VLOOKUP(AT56,ChurnSeasonTable,4,FALSE)),3)*PriceEssAnnual*AW56+BG8*POWER(1-(AnnualChurn*VLOOKUP(AT56,ChurnSeasonTable,4,FALSE)),4)*PriceEssAnnual*AW56+BH44*POWER(1-(AnnualChurn*VLOOKUP(AT56,ChurnSeasonTable,4,FALSE)),1)*PricePremAnnual*AW56+BH32*POWER(1-(AnnualChurn*VLOOKUP(AT56,ChurnSeasonTable,4,FALSE)),2)*PricePremAnnual*AW56+BH20*POWER(1-(AnnualChurn*VLOOKUP(AT56,ChurnSeasonTable,4,FALSE)),3)*PricePremAnnual*AW56+BH8*POWER(1-(AnnualChurn*VLOOKUP(AT56,ChurnSeasonTable,4,FALSE)),4)*PricePremAnnual*AW56</f>
        <v/>
      </c>
      <c r="BS56" s="9">
        <f>BP56+BQ56+BR56</f>
        <v/>
      </c>
      <c r="BT56" s="12">
        <f>SUM(BS45:BS56)</f>
        <v/>
      </c>
      <c r="BU56" s="12">
        <f>OR(BU55,BT56&gt;=VATThreshold)</f>
        <v/>
      </c>
      <c r="BV56" s="9">
        <f>IF(BU56,BS56/(1+VATRate),BS56)</f>
        <v/>
      </c>
      <c r="BW56" s="12">
        <f>BS56-BV56</f>
        <v/>
      </c>
      <c r="BX56" s="12">
        <f>IF(BU56=0,0,IF(AT56=1,SUMPRODUCT(--(($AU$5:$AU56=$AU56-1)*($AT$5:$AT56&gt;=10)*($AT$5:$AT56&lt;=12)),$BW$5:$BW56),IF(AT56=4,SUMPRODUCT(--(($AU$5:$AU56=$AU56)*($AT$5:$AT56&gt;=1)*($AT$5:$AT56&lt;=3)),$BW$5:$BW56),IF(AT56=7,SUMPRODUCT(--(($AU$5:$AU56=$AU56)*($AT$5:$AT56&gt;=4)*($AT$5:$AT56&lt;=6)),$BW$5:$BW56),IF(AT56=10,SUMPRODUCT(--(($AU$5:$AU56=$AU56)*($AT$5:$AT56&gt;=7)*($AT$5:$AT56&lt;=9)),$BW$5:$BW56),0)))))</f>
        <v/>
      </c>
      <c r="BY56" s="12">
        <f>BY55+BW56-BX56</f>
        <v/>
      </c>
      <c r="BZ56" s="12">
        <f>IF(ProviderDelay&gt;=1,BV55*ProviderShare,BV56*ProviderShare)</f>
        <v/>
      </c>
      <c r="CA56" s="12">
        <f>BS56*PaymentFee</f>
        <v/>
      </c>
      <c r="CB56" s="12">
        <f>BM56*OpsAI</f>
        <v/>
      </c>
      <c r="CC56" s="12">
        <f>MonthlyFixed</f>
        <v/>
      </c>
      <c r="CD56" s="12">
        <f>BA56*ReferralReward</f>
        <v/>
      </c>
      <c r="CE56" s="12">
        <f>AY56</f>
        <v/>
      </c>
      <c r="CF56" s="9">
        <f>BV56-BZ56-CA56-CB56-CC56-CD56-CE56</f>
        <v/>
      </c>
      <c r="CG56" s="9">
        <f>CG55+BS56-(BZ56+CA56+CB56+CC56+CD56+CE56+BX56)</f>
        <v/>
      </c>
      <c r="CH56" s="12">
        <f>IF(BM56&gt;0,BN56/BM56,0)</f>
        <v/>
      </c>
      <c r="CI56" s="11">
        <f>IF(BM55&gt;0,MAX(0,(BM55+BB56-BM56)/BM55),0)</f>
        <v/>
      </c>
      <c r="CK56" s="12" t="n">
        <v>52</v>
      </c>
      <c r="CL56" s="12">
        <f>MOD(CK56-1+LaunchMonth-1,12)+1</f>
        <v/>
      </c>
      <c r="CM56" s="12">
        <f>INT((CK56-1+LaunchMonth-1)/12)+1</f>
        <v/>
      </c>
      <c r="CN56" s="12">
        <f>VLOOKUP(CL56,SeasonTable,2,FALSE)</f>
        <v/>
      </c>
      <c r="CO56" s="12">
        <f>(1+InflationRate)^INT((CK56-1)/12)</f>
        <v/>
      </c>
      <c r="CP56" s="11">
        <f>'Sens - Scenarios'!$D$5*VLOOKUP(CL56,ChurnSeasonTable,4,FALSE)</f>
        <v/>
      </c>
      <c r="CQ56" s="12">
        <f>MIN(MAX(MktMin19plus,DK55*MktPct19plus),MAX(0,DY55-CashBuffer))</f>
        <v/>
      </c>
      <c r="CR56" s="12">
        <f>IF(CQ56&gt;0,MAX(1,ROUND(CQ56/'Sens - Scenarios'!$D$8*CN56,0)),0)</f>
        <v/>
      </c>
      <c r="CS56" s="12">
        <f>IF(CR56&gt;0,ROUND(CR56*ReferralMix/(1-ReferralMix),0),0)</f>
        <v/>
      </c>
      <c r="CT56" s="12">
        <f>CR56+CS56</f>
        <v/>
      </c>
      <c r="CU56" s="12">
        <f>ROUND(CT56*(1-'Sens - Scenarios'!$D$7),0)</f>
        <v/>
      </c>
      <c r="CV56" s="12">
        <f>CT56-CU56</f>
        <v/>
      </c>
      <c r="CW56" s="12">
        <f>ROUND(CU56*EssentialMix,0)</f>
        <v/>
      </c>
      <c r="CX56" s="12">
        <f>CU56-CW56</f>
        <v/>
      </c>
      <c r="CY56" s="12">
        <f>ROUND(CV56*EssentialMix,0)</f>
        <v/>
      </c>
      <c r="CZ56" s="12">
        <f>CV56-CY56</f>
        <v/>
      </c>
      <c r="DA56" s="12">
        <f>CW56+CW55+CW54+MAX(0,DA55-CW55-CW54)*(1-CP56)</f>
        <v/>
      </c>
      <c r="DB56" s="12">
        <f>CX56+CX55+CX54+MAX(0,DB55-CX55-CX54)*(1-CP56)</f>
        <v/>
      </c>
      <c r="DC56" s="12">
        <f>DC55+CY56-CY44*('Sens - Scenarios'!$D$6*VLOOKUP(CL56,ChurnSeasonTable,4,FALSE))*POWER(1-('Sens - Scenarios'!$D$6*VLOOKUP(CL56,ChurnSeasonTable,4,FALSE)),0)+CY32*('Sens - Scenarios'!$D$6*VLOOKUP(CL56,ChurnSeasonTable,4,FALSE))*POWER(1-('Sens - Scenarios'!$D$6*VLOOKUP(CL56,ChurnSeasonTable,4,FALSE)),1)+CY20*('Sens - Scenarios'!$D$6*VLOOKUP(CL56,ChurnSeasonTable,4,FALSE))*POWER(1-('Sens - Scenarios'!$D$6*VLOOKUP(CL56,ChurnSeasonTable,4,FALSE)),2)+CY8*('Sens - Scenarios'!$D$6*VLOOKUP(CL56,ChurnSeasonTable,4,FALSE))*POWER(1-('Sens - Scenarios'!$D$6*VLOOKUP(CL56,ChurnSeasonTable,4,FALSE)),3)</f>
        <v/>
      </c>
      <c r="DD56" s="12">
        <f>DD55+CZ56-CZ44*('Sens - Scenarios'!$D$6*VLOOKUP(CL56,ChurnSeasonTable,4,FALSE))*POWER(1-('Sens - Scenarios'!$D$6*VLOOKUP(CL56,ChurnSeasonTable,4,FALSE)),0)+CZ32*('Sens - Scenarios'!$D$6*VLOOKUP(CL56,ChurnSeasonTable,4,FALSE))*POWER(1-('Sens - Scenarios'!$D$6*VLOOKUP(CL56,ChurnSeasonTable,4,FALSE)),1)+CZ20*('Sens - Scenarios'!$D$6*VLOOKUP(CL56,ChurnSeasonTable,4,FALSE))*POWER(1-('Sens - Scenarios'!$D$6*VLOOKUP(CL56,ChurnSeasonTable,4,FALSE)),2)+CZ8*('Sens - Scenarios'!$D$6*VLOOKUP(CL56,ChurnSeasonTable,4,FALSE))*POWER(1-('Sens - Scenarios'!$D$6*VLOOKUP(CL56,ChurnSeasonTable,4,FALSE)),3)</f>
        <v/>
      </c>
      <c r="DE56" s="12">
        <f>DA56+DB56+DC56+DD56</f>
        <v/>
      </c>
      <c r="DF56" s="9">
        <f>DA56*PriceEssMonthly*CO56+DB56*PricePremMonthly*CO56+DC56*PriceEssAnnual*CO56/12+DD56*PricePremAnnual*CO56/12</f>
        <v/>
      </c>
      <c r="DG56" s="9">
        <f>DF56*12</f>
        <v/>
      </c>
      <c r="DH56" s="12">
        <f>DA56*PriceEssMonthly*CO56+DB56*PricePremMonthly*CO56</f>
        <v/>
      </c>
      <c r="DI56" s="12">
        <f>CY56*PriceEssAnnual*CO56+CZ56*PricePremAnnual*CO56</f>
        <v/>
      </c>
      <c r="DJ56" s="12">
        <f>CY44*POWER(1-('Sens - Scenarios'!$D$6*VLOOKUP(CL56,ChurnSeasonTable,4,FALSE)),1)*PriceEssAnnual*CO56+CY32*POWER(1-('Sens - Scenarios'!$D$6*VLOOKUP(CL56,ChurnSeasonTable,4,FALSE)),2)*PriceEssAnnual*CO56+CY20*POWER(1-('Sens - Scenarios'!$D$6*VLOOKUP(CL56,ChurnSeasonTable,4,FALSE)),3)*PriceEssAnnual*CO56+CY8*POWER(1-('Sens - Scenarios'!$D$6*VLOOKUP(CL56,ChurnSeasonTable,4,FALSE)),4)*PriceEssAnnual*CO56+CZ44*POWER(1-('Sens - Scenarios'!$D$6*VLOOKUP(CL56,ChurnSeasonTable,4,FALSE)),1)*PricePremAnnual*CO56+CZ32*POWER(1-('Sens - Scenarios'!$D$6*VLOOKUP(CL56,ChurnSeasonTable,4,FALSE)),2)*PricePremAnnual*CO56+CZ20*POWER(1-('Sens - Scenarios'!$D$6*VLOOKUP(CL56,ChurnSeasonTable,4,FALSE)),3)*PricePremAnnual*CO56+CZ8*POWER(1-('Sens - Scenarios'!$D$6*VLOOKUP(CL56,ChurnSeasonTable,4,FALSE)),4)*PricePremAnnual*CO56</f>
        <v/>
      </c>
      <c r="DK56" s="9">
        <f>DH56+DI56+DJ56</f>
        <v/>
      </c>
      <c r="DL56" s="12">
        <f>SUM(DK45:DK56)</f>
        <v/>
      </c>
      <c r="DM56" s="12">
        <f>OR(DM55,DL56&gt;=VATThreshold)</f>
        <v/>
      </c>
      <c r="DN56" s="9">
        <f>IF(DM56,DK56/(1+VATRate),DK56)</f>
        <v/>
      </c>
      <c r="DO56" s="12">
        <f>DK56-DN56</f>
        <v/>
      </c>
      <c r="DP56" s="12">
        <f>IF(DM56=0,0,IF(CL56=1,SUMPRODUCT(--(($CM$5:$CM56=$CM56-1)*($CL$5:$CL56&gt;=10)*($CL$5:$CL56&lt;=12)),$DO$5:$DO56),IF(CL56=4,SUMPRODUCT(--(($CM$5:$CM56=$CM56)*($CL$5:$CL56&gt;=1)*($CL$5:$CL56&lt;=3)),$DO$5:$DO56),IF(CL56=7,SUMPRODUCT(--(($CM$5:$CM56=$CM56)*($CL$5:$CL56&gt;=4)*($CL$5:$CL56&lt;=6)),$DO$5:$DO56),IF(CL56=10,SUMPRODUCT(--(($CM$5:$CM56=$CM56)*($CL$5:$CL56&gt;=7)*($CL$5:$CL56&lt;=9)),$DO$5:$DO56),0)))))</f>
        <v/>
      </c>
      <c r="DQ56" s="12">
        <f>DQ55+DO56-DP56</f>
        <v/>
      </c>
      <c r="DR56" s="12">
        <f>IF(ProviderDelay&gt;=1,DN55*ProviderShare,DN56*ProviderShare)</f>
        <v/>
      </c>
      <c r="DS56" s="12">
        <f>DK56*PaymentFee</f>
        <v/>
      </c>
      <c r="DT56" s="12">
        <f>DE56*OpsAI</f>
        <v/>
      </c>
      <c r="DU56" s="12">
        <f>MonthlyFixed</f>
        <v/>
      </c>
      <c r="DV56" s="12">
        <f>CS56*ReferralReward</f>
        <v/>
      </c>
      <c r="DW56" s="12">
        <f>CQ56</f>
        <v/>
      </c>
      <c r="DX56" s="9">
        <f>DN56-DR56-DS56-DT56-DU56-DV56-DW56</f>
        <v/>
      </c>
      <c r="DY56" s="9">
        <f>DY55+DK56-(DR56+DS56+DT56+DU56+DV56+DW56+DP56)</f>
        <v/>
      </c>
      <c r="DZ56" s="12">
        <f>IF(DE56&gt;0,DF56/DE56,0)</f>
        <v/>
      </c>
      <c r="EA56" s="11">
        <f>IF(DE55&gt;0,MAX(0,(DE55+CT56-DE56)/DE55),0)</f>
        <v/>
      </c>
      <c r="EC56" s="12" t="n">
        <v>52</v>
      </c>
      <c r="ED56" s="12">
        <f>MOD(EC56-1+LaunchMonth-1,12)+1</f>
        <v/>
      </c>
      <c r="EE56" s="12">
        <f>INT((EC56-1+LaunchMonth-1)/12)+1</f>
        <v/>
      </c>
      <c r="EF56" s="12">
        <f>VLOOKUP(ED56,SeasonTable,2,FALSE)</f>
        <v/>
      </c>
      <c r="EG56" s="12">
        <f>(1+InflationRate)^INT((EC56-1)/12)</f>
        <v/>
      </c>
      <c r="EH56" s="11">
        <f>'Sens - Churn'!$A$13*VLOOKUP(ED56,ChurnSeasonTable,4,FALSE)</f>
        <v/>
      </c>
      <c r="EI56" s="12">
        <f>MIN(MAX(MktMin19plus,FC55*MktPct19plus),MAX(0,FQ55-CashBuffer))</f>
        <v/>
      </c>
      <c r="EJ56" s="12">
        <f>IF(EI56&gt;0,MAX(1,ROUND(EI56/CAC*EF56,0)),0)</f>
        <v/>
      </c>
      <c r="EK56" s="12">
        <f>IF(EJ56&gt;0,ROUND(EJ56*ReferralMix/(1-ReferralMix),0),0)</f>
        <v/>
      </c>
      <c r="EL56" s="12">
        <f>EJ56+EK56</f>
        <v/>
      </c>
      <c r="EM56" s="12">
        <f>ROUND(EL56*(1-AnnualMix),0)</f>
        <v/>
      </c>
      <c r="EN56" s="12">
        <f>EL56-EM56</f>
        <v/>
      </c>
      <c r="EO56" s="12">
        <f>ROUND(EM56*EssentialMix,0)</f>
        <v/>
      </c>
      <c r="EP56" s="12">
        <f>EM56-EO56</f>
        <v/>
      </c>
      <c r="EQ56" s="12">
        <f>ROUND(EN56*EssentialMix,0)</f>
        <v/>
      </c>
      <c r="ER56" s="12">
        <f>EN56-EQ56</f>
        <v/>
      </c>
      <c r="ES56" s="12">
        <f>EO56+EO55+EO54+MAX(0,ES55-EO55-EO54)*(1-EH56)</f>
        <v/>
      </c>
      <c r="ET56" s="12">
        <f>EP56+EP55+EP54+MAX(0,ET55-EP55-EP54)*(1-EH56)</f>
        <v/>
      </c>
      <c r="EU56" s="12">
        <f>EU55+EQ56-EQ44*(AnnualChurn*VLOOKUP(ED56,ChurnSeasonTable,4,FALSE))*POWER(1-(AnnualChurn*VLOOKUP(ED56,ChurnSeasonTable,4,FALSE)),0)+EQ32*(AnnualChurn*VLOOKUP(ED56,ChurnSeasonTable,4,FALSE))*POWER(1-(AnnualChurn*VLOOKUP(ED56,ChurnSeasonTable,4,FALSE)),1)+EQ20*(AnnualChurn*VLOOKUP(ED56,ChurnSeasonTable,4,FALSE))*POWER(1-(AnnualChurn*VLOOKUP(ED56,ChurnSeasonTable,4,FALSE)),2)+EQ8*(AnnualChurn*VLOOKUP(ED56,ChurnSeasonTable,4,FALSE))*POWER(1-(AnnualChurn*VLOOKUP(ED56,ChurnSeasonTable,4,FALSE)),3)</f>
        <v/>
      </c>
      <c r="EV56" s="12">
        <f>EV55+ER56-ER44*(AnnualChurn*VLOOKUP(ED56,ChurnSeasonTable,4,FALSE))*POWER(1-(AnnualChurn*VLOOKUP(ED56,ChurnSeasonTable,4,FALSE)),0)+ER32*(AnnualChurn*VLOOKUP(ED56,ChurnSeasonTable,4,FALSE))*POWER(1-(AnnualChurn*VLOOKUP(ED56,ChurnSeasonTable,4,FALSE)),1)+ER20*(AnnualChurn*VLOOKUP(ED56,ChurnSeasonTable,4,FALSE))*POWER(1-(AnnualChurn*VLOOKUP(ED56,ChurnSeasonTable,4,FALSE)),2)+ER8*(AnnualChurn*VLOOKUP(ED56,ChurnSeasonTable,4,FALSE))*POWER(1-(AnnualChurn*VLOOKUP(ED56,ChurnSeasonTable,4,FALSE)),3)</f>
        <v/>
      </c>
      <c r="EW56" s="12">
        <f>ES56+ET56+EU56+EV56</f>
        <v/>
      </c>
      <c r="EX56" s="9">
        <f>ES56*PriceEssMonthly*EG56+ET56*PricePremMonthly*EG56+EU56*PriceEssAnnual*EG56/12+EV56*PricePremAnnual*EG56/12</f>
        <v/>
      </c>
      <c r="EY56" s="9">
        <f>EX56*12</f>
        <v/>
      </c>
      <c r="EZ56" s="12">
        <f>ES56*PriceEssMonthly*EG56+ET56*PricePremMonthly*EG56</f>
        <v/>
      </c>
      <c r="FA56" s="12">
        <f>EQ56*PriceEssAnnual*EG56+ER56*PricePremAnnual*EG56</f>
        <v/>
      </c>
      <c r="FB56" s="12">
        <f>EQ44*POWER(1-(AnnualChurn*VLOOKUP(ED56,ChurnSeasonTable,4,FALSE)),1)*PriceEssAnnual*EG56+EQ32*POWER(1-(AnnualChurn*VLOOKUP(ED56,ChurnSeasonTable,4,FALSE)),2)*PriceEssAnnual*EG56+EQ20*POWER(1-(AnnualChurn*VLOOKUP(ED56,ChurnSeasonTable,4,FALSE)),3)*PriceEssAnnual*EG56+EQ8*POWER(1-(AnnualChurn*VLOOKUP(ED56,ChurnSeasonTable,4,FALSE)),4)*PriceEssAnnual*EG56+ER44*POWER(1-(AnnualChurn*VLOOKUP(ED56,ChurnSeasonTable,4,FALSE)),1)*PricePremAnnual*EG56+ER32*POWER(1-(AnnualChurn*VLOOKUP(ED56,ChurnSeasonTable,4,FALSE)),2)*PricePremAnnual*EG56+ER20*POWER(1-(AnnualChurn*VLOOKUP(ED56,ChurnSeasonTable,4,FALSE)),3)*PricePremAnnual*EG56+ER8*POWER(1-(AnnualChurn*VLOOKUP(ED56,ChurnSeasonTable,4,FALSE)),4)*PricePremAnnual*EG56</f>
        <v/>
      </c>
      <c r="FC56" s="9">
        <f>EZ56+FA56+FB56</f>
        <v/>
      </c>
      <c r="FD56" s="12">
        <f>SUM(FC45:FC56)</f>
        <v/>
      </c>
      <c r="FE56" s="12">
        <f>OR(FE55,FD56&gt;=VATThreshold)</f>
        <v/>
      </c>
      <c r="FF56" s="9">
        <f>IF(FE56,FC56/(1+VATRate),FC56)</f>
        <v/>
      </c>
      <c r="FG56" s="12">
        <f>FC56-FF56</f>
        <v/>
      </c>
      <c r="FH56" s="12">
        <f>IF(FE56=0,0,IF(ED56=1,SUMPRODUCT(--(($EE$5:$EE56=$EE56-1)*($ED$5:$ED56&gt;=10)*($ED$5:$ED56&lt;=12)),$FG$5:$FG56),IF(ED56=4,SUMPRODUCT(--(($EE$5:$EE56=$EE56)*($ED$5:$ED56&gt;=1)*($ED$5:$ED56&lt;=3)),$FG$5:$FG56),IF(ED56=7,SUMPRODUCT(--(($EE$5:$EE56=$EE56)*($ED$5:$ED56&gt;=4)*($ED$5:$ED56&lt;=6)),$FG$5:$FG56),IF(ED56=10,SUMPRODUCT(--(($EE$5:$EE56=$EE56)*($ED$5:$ED56&gt;=7)*($ED$5:$ED56&lt;=9)),$FG$5:$FG56),0)))))</f>
        <v/>
      </c>
      <c r="FI56" s="12">
        <f>FI55+FG56-FH56</f>
        <v/>
      </c>
      <c r="FJ56" s="12">
        <f>IF(ProviderDelay&gt;=1,FF55*ProviderShare,FF56*ProviderShare)</f>
        <v/>
      </c>
      <c r="FK56" s="12">
        <f>FC56*PaymentFee</f>
        <v/>
      </c>
      <c r="FL56" s="12">
        <f>EW56*OpsAI</f>
        <v/>
      </c>
      <c r="FM56" s="12">
        <f>MonthlyFixed</f>
        <v/>
      </c>
      <c r="FN56" s="12">
        <f>EK56*ReferralReward</f>
        <v/>
      </c>
      <c r="FO56" s="12">
        <f>EI56</f>
        <v/>
      </c>
      <c r="FP56" s="9">
        <f>FF56-FJ56-FK56-FL56-FM56-FN56-FO56</f>
        <v/>
      </c>
      <c r="FQ56" s="9">
        <f>FQ55+FC56-(FJ56+FK56+FL56+FM56+FN56+FO56+FH56)</f>
        <v/>
      </c>
      <c r="FR56" s="12">
        <f>IF(EW56&gt;0,EX56/EW56,0)</f>
        <v/>
      </c>
      <c r="FS56" s="11">
        <f>IF(EW55&gt;0,MAX(0,(EW55+EL56-EW56)/EW55),0)</f>
        <v/>
      </c>
      <c r="FU56" s="12" t="n">
        <v>52</v>
      </c>
      <c r="FV56" s="12">
        <f>MOD(FU56-1+LaunchMonth-1,12)+1</f>
        <v/>
      </c>
      <c r="FW56" s="12">
        <f>INT((FU56-1+LaunchMonth-1)/12)+1</f>
        <v/>
      </c>
      <c r="FX56" s="12">
        <f>VLOOKUP(FV56,SeasonTable,2,FALSE)</f>
        <v/>
      </c>
      <c r="FY56" s="12">
        <f>(1+InflationRate)^INT((FU56-1)/12)</f>
        <v/>
      </c>
      <c r="FZ56" s="11">
        <f>'Sens - Churn'!$A$14*VLOOKUP(FV56,ChurnSeasonTable,4,FALSE)</f>
        <v/>
      </c>
      <c r="GA56" s="12">
        <f>MIN(MAX(MktMin19plus,GU55*MktPct19plus),MAX(0,HI55-CashBuffer))</f>
        <v/>
      </c>
      <c r="GB56" s="12">
        <f>IF(GA56&gt;0,MAX(1,ROUND(GA56/CAC*FX56,0)),0)</f>
        <v/>
      </c>
      <c r="GC56" s="12">
        <f>IF(GB56&gt;0,ROUND(GB56*ReferralMix/(1-ReferralMix),0),0)</f>
        <v/>
      </c>
      <c r="GD56" s="12">
        <f>GB56+GC56</f>
        <v/>
      </c>
      <c r="GE56" s="12">
        <f>ROUND(GD56*(1-AnnualMix),0)</f>
        <v/>
      </c>
      <c r="GF56" s="12">
        <f>GD56-GE56</f>
        <v/>
      </c>
      <c r="GG56" s="12">
        <f>ROUND(GE56*EssentialMix,0)</f>
        <v/>
      </c>
      <c r="GH56" s="12">
        <f>GE56-GG56</f>
        <v/>
      </c>
      <c r="GI56" s="12">
        <f>ROUND(GF56*EssentialMix,0)</f>
        <v/>
      </c>
      <c r="GJ56" s="12">
        <f>GF56-GI56</f>
        <v/>
      </c>
      <c r="GK56" s="12">
        <f>GG56+GG55+GG54+MAX(0,GK55-GG55-GG54)*(1-FZ56)</f>
        <v/>
      </c>
      <c r="GL56" s="12">
        <f>GH56+GH55+GH54+MAX(0,GL55-GH55-GH54)*(1-FZ56)</f>
        <v/>
      </c>
      <c r="GM56" s="12">
        <f>GM55+GI56-GI44*(AnnualChurn*VLOOKUP(FV56,ChurnSeasonTable,4,FALSE))*POWER(1-(AnnualChurn*VLOOKUP(FV56,ChurnSeasonTable,4,FALSE)),0)+GI32*(AnnualChurn*VLOOKUP(FV56,ChurnSeasonTable,4,FALSE))*POWER(1-(AnnualChurn*VLOOKUP(FV56,ChurnSeasonTable,4,FALSE)),1)+GI20*(AnnualChurn*VLOOKUP(FV56,ChurnSeasonTable,4,FALSE))*POWER(1-(AnnualChurn*VLOOKUP(FV56,ChurnSeasonTable,4,FALSE)),2)+GI8*(AnnualChurn*VLOOKUP(FV56,ChurnSeasonTable,4,FALSE))*POWER(1-(AnnualChurn*VLOOKUP(FV56,ChurnSeasonTable,4,FALSE)),3)</f>
        <v/>
      </c>
      <c r="GN56" s="12">
        <f>GN55+GJ56-GJ44*(AnnualChurn*VLOOKUP(FV56,ChurnSeasonTable,4,FALSE))*POWER(1-(AnnualChurn*VLOOKUP(FV56,ChurnSeasonTable,4,FALSE)),0)+GJ32*(AnnualChurn*VLOOKUP(FV56,ChurnSeasonTable,4,FALSE))*POWER(1-(AnnualChurn*VLOOKUP(FV56,ChurnSeasonTable,4,FALSE)),1)+GJ20*(AnnualChurn*VLOOKUP(FV56,ChurnSeasonTable,4,FALSE))*POWER(1-(AnnualChurn*VLOOKUP(FV56,ChurnSeasonTable,4,FALSE)),2)+GJ8*(AnnualChurn*VLOOKUP(FV56,ChurnSeasonTable,4,FALSE))*POWER(1-(AnnualChurn*VLOOKUP(FV56,ChurnSeasonTable,4,FALSE)),3)</f>
        <v/>
      </c>
      <c r="GO56" s="12">
        <f>GK56+GL56+GM56+GN56</f>
        <v/>
      </c>
      <c r="GP56" s="9">
        <f>GK56*PriceEssMonthly*FY56+GL56*PricePremMonthly*FY56+GM56*PriceEssAnnual*FY56/12+GN56*PricePremAnnual*FY56/12</f>
        <v/>
      </c>
      <c r="GQ56" s="9">
        <f>GP56*12</f>
        <v/>
      </c>
      <c r="GR56" s="12">
        <f>GK56*PriceEssMonthly*FY56+GL56*PricePremMonthly*FY56</f>
        <v/>
      </c>
      <c r="GS56" s="12">
        <f>GI56*PriceEssAnnual*FY56+GJ56*PricePremAnnual*FY56</f>
        <v/>
      </c>
      <c r="GT56" s="12">
        <f>GI44*POWER(1-(AnnualChurn*VLOOKUP(FV56,ChurnSeasonTable,4,FALSE)),1)*PriceEssAnnual*FY56+GI32*POWER(1-(AnnualChurn*VLOOKUP(FV56,ChurnSeasonTable,4,FALSE)),2)*PriceEssAnnual*FY56+GI20*POWER(1-(AnnualChurn*VLOOKUP(FV56,ChurnSeasonTable,4,FALSE)),3)*PriceEssAnnual*FY56+GI8*POWER(1-(AnnualChurn*VLOOKUP(FV56,ChurnSeasonTable,4,FALSE)),4)*PriceEssAnnual*FY56+GJ44*POWER(1-(AnnualChurn*VLOOKUP(FV56,ChurnSeasonTable,4,FALSE)),1)*PricePremAnnual*FY56+GJ32*POWER(1-(AnnualChurn*VLOOKUP(FV56,ChurnSeasonTable,4,FALSE)),2)*PricePremAnnual*FY56+GJ20*POWER(1-(AnnualChurn*VLOOKUP(FV56,ChurnSeasonTable,4,FALSE)),3)*PricePremAnnual*FY56+GJ8*POWER(1-(AnnualChurn*VLOOKUP(FV56,ChurnSeasonTable,4,FALSE)),4)*PricePremAnnual*FY56</f>
        <v/>
      </c>
      <c r="GU56" s="9">
        <f>GR56+GS56+GT56</f>
        <v/>
      </c>
      <c r="GV56" s="12">
        <f>SUM(GU45:GU56)</f>
        <v/>
      </c>
      <c r="GW56" s="12">
        <f>OR(GW55,GV56&gt;=VATThreshold)</f>
        <v/>
      </c>
      <c r="GX56" s="9">
        <f>IF(GW56,GU56/(1+VATRate),GU56)</f>
        <v/>
      </c>
      <c r="GY56" s="12">
        <f>GU56-GX56</f>
        <v/>
      </c>
      <c r="GZ56" s="12">
        <f>IF(GW56=0,0,IF(FV56=1,SUMPRODUCT(--(($FW$5:$FW56=$FW56-1)*($FV$5:$FV56&gt;=10)*($FV$5:$FV56&lt;=12)),$GY$5:$GY56),IF(FV56=4,SUMPRODUCT(--(($FW$5:$FW56=$FW56)*($FV$5:$FV56&gt;=1)*($FV$5:$FV56&lt;=3)),$GY$5:$GY56),IF(FV56=7,SUMPRODUCT(--(($FW$5:$FW56=$FW56)*($FV$5:$FV56&gt;=4)*($FV$5:$FV56&lt;=6)),$GY$5:$GY56),IF(FV56=10,SUMPRODUCT(--(($FW$5:$FW56=$FW56)*($FV$5:$FV56&gt;=7)*($FV$5:$FV56&lt;=9)),$GY$5:$GY56),0)))))</f>
        <v/>
      </c>
      <c r="HA56" s="12">
        <f>HA55+GY56-GZ56</f>
        <v/>
      </c>
      <c r="HB56" s="12">
        <f>IF(ProviderDelay&gt;=1,GX55*ProviderShare,GX56*ProviderShare)</f>
        <v/>
      </c>
      <c r="HC56" s="12">
        <f>GU56*PaymentFee</f>
        <v/>
      </c>
      <c r="HD56" s="12">
        <f>GO56*OpsAI</f>
        <v/>
      </c>
      <c r="HE56" s="12">
        <f>MonthlyFixed</f>
        <v/>
      </c>
      <c r="HF56" s="12">
        <f>GC56*ReferralReward</f>
        <v/>
      </c>
      <c r="HG56" s="12">
        <f>GA56</f>
        <v/>
      </c>
      <c r="HH56" s="9">
        <f>GX56-HB56-HC56-HD56-HE56-HF56-HG56</f>
        <v/>
      </c>
      <c r="HI56" s="9">
        <f>HI55+GU56-(HB56+HC56+HD56+HE56+HF56+HG56+GZ56)</f>
        <v/>
      </c>
      <c r="HJ56" s="12">
        <f>IF(GO56&gt;0,GP56/GO56,0)</f>
        <v/>
      </c>
      <c r="HK56" s="11">
        <f>IF(GO55&gt;0,MAX(0,(GO55+GD56-GO56)/GO55),0)</f>
        <v/>
      </c>
      <c r="HM56" s="12" t="n">
        <v>52</v>
      </c>
      <c r="HN56" s="12">
        <f>MOD(HM56-1+LaunchMonth-1,12)+1</f>
        <v/>
      </c>
      <c r="HO56" s="12">
        <f>INT((HM56-1+LaunchMonth-1)/12)+1</f>
        <v/>
      </c>
      <c r="HP56" s="12">
        <f>VLOOKUP(HN56,SeasonTable,2,FALSE)</f>
        <v/>
      </c>
      <c r="HQ56" s="12">
        <f>(1+InflationRate)^INT((HM56-1)/12)</f>
        <v/>
      </c>
      <c r="HR56" s="11">
        <f>'Sens - Churn'!$A$15*VLOOKUP(HN56,ChurnSeasonTable,4,FALSE)</f>
        <v/>
      </c>
      <c r="HS56" s="12">
        <f>MIN(MAX(MktMin19plus,IM55*MktPct19plus),MAX(0,JA55-CashBuffer))</f>
        <v/>
      </c>
      <c r="HT56" s="12">
        <f>IF(HS56&gt;0,MAX(1,ROUND(HS56/CAC*HP56,0)),0)</f>
        <v/>
      </c>
      <c r="HU56" s="12">
        <f>IF(HT56&gt;0,ROUND(HT56*ReferralMix/(1-ReferralMix),0),0)</f>
        <v/>
      </c>
      <c r="HV56" s="12">
        <f>HT56+HU56</f>
        <v/>
      </c>
      <c r="HW56" s="12">
        <f>ROUND(HV56*(1-AnnualMix),0)</f>
        <v/>
      </c>
      <c r="HX56" s="12">
        <f>HV56-HW56</f>
        <v/>
      </c>
      <c r="HY56" s="12">
        <f>ROUND(HW56*EssentialMix,0)</f>
        <v/>
      </c>
      <c r="HZ56" s="12">
        <f>HW56-HY56</f>
        <v/>
      </c>
      <c r="IA56" s="12">
        <f>ROUND(HX56*EssentialMix,0)</f>
        <v/>
      </c>
      <c r="IB56" s="12">
        <f>HX56-IA56</f>
        <v/>
      </c>
      <c r="IC56" s="12">
        <f>HY56+HY55+HY54+MAX(0,IC55-HY55-HY54)*(1-HR56)</f>
        <v/>
      </c>
      <c r="ID56" s="12">
        <f>HZ56+HZ55+HZ54+MAX(0,ID55-HZ55-HZ54)*(1-HR56)</f>
        <v/>
      </c>
      <c r="IE56" s="12">
        <f>IE55+IA56-IA44*(AnnualChurn*VLOOKUP(HN56,ChurnSeasonTable,4,FALSE))*POWER(1-(AnnualChurn*VLOOKUP(HN56,ChurnSeasonTable,4,FALSE)),0)+IA32*(AnnualChurn*VLOOKUP(HN56,ChurnSeasonTable,4,FALSE))*POWER(1-(AnnualChurn*VLOOKUP(HN56,ChurnSeasonTable,4,FALSE)),1)+IA20*(AnnualChurn*VLOOKUP(HN56,ChurnSeasonTable,4,FALSE))*POWER(1-(AnnualChurn*VLOOKUP(HN56,ChurnSeasonTable,4,FALSE)),2)+IA8*(AnnualChurn*VLOOKUP(HN56,ChurnSeasonTable,4,FALSE))*POWER(1-(AnnualChurn*VLOOKUP(HN56,ChurnSeasonTable,4,FALSE)),3)</f>
        <v/>
      </c>
      <c r="IF56" s="12">
        <f>IF55+IB56-IB44*(AnnualChurn*VLOOKUP(HN56,ChurnSeasonTable,4,FALSE))*POWER(1-(AnnualChurn*VLOOKUP(HN56,ChurnSeasonTable,4,FALSE)),0)+IB32*(AnnualChurn*VLOOKUP(HN56,ChurnSeasonTable,4,FALSE))*POWER(1-(AnnualChurn*VLOOKUP(HN56,ChurnSeasonTable,4,FALSE)),1)+IB20*(AnnualChurn*VLOOKUP(HN56,ChurnSeasonTable,4,FALSE))*POWER(1-(AnnualChurn*VLOOKUP(HN56,ChurnSeasonTable,4,FALSE)),2)+IB8*(AnnualChurn*VLOOKUP(HN56,ChurnSeasonTable,4,FALSE))*POWER(1-(AnnualChurn*VLOOKUP(HN56,ChurnSeasonTable,4,FALSE)),3)</f>
        <v/>
      </c>
      <c r="IG56" s="12">
        <f>IC56+ID56+IE56+IF56</f>
        <v/>
      </c>
      <c r="IH56" s="9">
        <f>IC56*PriceEssMonthly*HQ56+ID56*PricePremMonthly*HQ56+IE56*PriceEssAnnual*HQ56/12+IF56*PricePremAnnual*HQ56/12</f>
        <v/>
      </c>
      <c r="II56" s="9">
        <f>IH56*12</f>
        <v/>
      </c>
      <c r="IJ56" s="12">
        <f>IC56*PriceEssMonthly*HQ56+ID56*PricePremMonthly*HQ56</f>
        <v/>
      </c>
      <c r="IK56" s="12">
        <f>IA56*PriceEssAnnual*HQ56+IB56*PricePremAnnual*HQ56</f>
        <v/>
      </c>
      <c r="IL56" s="12">
        <f>IA44*POWER(1-(AnnualChurn*VLOOKUP(HN56,ChurnSeasonTable,4,FALSE)),1)*PriceEssAnnual*HQ56+IA32*POWER(1-(AnnualChurn*VLOOKUP(HN56,ChurnSeasonTable,4,FALSE)),2)*PriceEssAnnual*HQ56+IA20*POWER(1-(AnnualChurn*VLOOKUP(HN56,ChurnSeasonTable,4,FALSE)),3)*PriceEssAnnual*HQ56+IA8*POWER(1-(AnnualChurn*VLOOKUP(HN56,ChurnSeasonTable,4,FALSE)),4)*PriceEssAnnual*HQ56+IB44*POWER(1-(AnnualChurn*VLOOKUP(HN56,ChurnSeasonTable,4,FALSE)),1)*PricePremAnnual*HQ56+IB32*POWER(1-(AnnualChurn*VLOOKUP(HN56,ChurnSeasonTable,4,FALSE)),2)*PricePremAnnual*HQ56+IB20*POWER(1-(AnnualChurn*VLOOKUP(HN56,ChurnSeasonTable,4,FALSE)),3)*PricePremAnnual*HQ56+IB8*POWER(1-(AnnualChurn*VLOOKUP(HN56,ChurnSeasonTable,4,FALSE)),4)*PricePremAnnual*HQ56</f>
        <v/>
      </c>
      <c r="IM56" s="9">
        <f>IJ56+IK56+IL56</f>
        <v/>
      </c>
      <c r="IN56" s="12">
        <f>SUM(IM45:IM56)</f>
        <v/>
      </c>
      <c r="IO56" s="12">
        <f>OR(IO55,IN56&gt;=VATThreshold)</f>
        <v/>
      </c>
      <c r="IP56" s="9">
        <f>IF(IO56,IM56/(1+VATRate),IM56)</f>
        <v/>
      </c>
      <c r="IQ56" s="12">
        <f>IM56-IP56</f>
        <v/>
      </c>
      <c r="IR56" s="12">
        <f>IF(IO56=0,0,IF(HN56=1,SUMPRODUCT(--(($HO$5:$HO56=$HO56-1)*($HN$5:$HN56&gt;=10)*($HN$5:$HN56&lt;=12)),$IQ$5:$IQ56),IF(HN56=4,SUMPRODUCT(--(($HO$5:$HO56=$HO56)*($HN$5:$HN56&gt;=1)*($HN$5:$HN56&lt;=3)),$IQ$5:$IQ56),IF(HN56=7,SUMPRODUCT(--(($HO$5:$HO56=$HO56)*($HN$5:$HN56&gt;=4)*($HN$5:$HN56&lt;=6)),$IQ$5:$IQ56),IF(HN56=10,SUMPRODUCT(--(($HO$5:$HO56=$HO56)*($HN$5:$HN56&gt;=7)*($HN$5:$HN56&lt;=9)),$IQ$5:$IQ56),0)))))</f>
        <v/>
      </c>
      <c r="IS56" s="12">
        <f>IS55+IQ56-IR56</f>
        <v/>
      </c>
      <c r="IT56" s="12">
        <f>IF(ProviderDelay&gt;=1,IP55*ProviderShare,IP56*ProviderShare)</f>
        <v/>
      </c>
      <c r="IU56" s="12">
        <f>IM56*PaymentFee</f>
        <v/>
      </c>
      <c r="IV56" s="12">
        <f>IG56*OpsAI</f>
        <v/>
      </c>
      <c r="IW56" s="12">
        <f>MonthlyFixed</f>
        <v/>
      </c>
      <c r="IX56" s="12">
        <f>HU56*ReferralReward</f>
        <v/>
      </c>
      <c r="IY56" s="12">
        <f>HS56</f>
        <v/>
      </c>
      <c r="IZ56" s="9">
        <f>IP56-IT56-IU56-IV56-IW56-IX56-IY56</f>
        <v/>
      </c>
      <c r="JA56" s="9">
        <f>JA55+IM56-(IT56+IU56+IV56+IW56+IX56+IY56+IR56)</f>
        <v/>
      </c>
      <c r="JB56" s="12">
        <f>IF(IG56&gt;0,IH56/IG56,0)</f>
        <v/>
      </c>
      <c r="JC56" s="11">
        <f>IF(IG55&gt;0,MAX(0,(IG55+HV56-IG56)/IG55),0)</f>
        <v/>
      </c>
      <c r="JE56" s="12" t="n">
        <v>52</v>
      </c>
      <c r="JF56" s="12">
        <f>MOD(JE56-1+LaunchMonth-1,12)+1</f>
        <v/>
      </c>
      <c r="JG56" s="12">
        <f>INT((JE56-1+LaunchMonth-1)/12)+1</f>
        <v/>
      </c>
      <c r="JH56" s="12">
        <f>VLOOKUP(JF56,SeasonTable,2,FALSE)</f>
        <v/>
      </c>
      <c r="JI56" s="12">
        <f>(1+InflationRate)^INT((JE56-1)/12)</f>
        <v/>
      </c>
      <c r="JJ56" s="11">
        <f>'Sens - Churn'!$A$16*VLOOKUP(JF56,ChurnSeasonTable,4,FALSE)</f>
        <v/>
      </c>
      <c r="JK56" s="12">
        <f>MIN(MAX(MktMin19plus,KE55*MktPct19plus),MAX(0,KS55-CashBuffer))</f>
        <v/>
      </c>
      <c r="JL56" s="12">
        <f>IF(JK56&gt;0,MAX(1,ROUND(JK56/CAC*JH56,0)),0)</f>
        <v/>
      </c>
      <c r="JM56" s="12">
        <f>IF(JL56&gt;0,ROUND(JL56*ReferralMix/(1-ReferralMix),0),0)</f>
        <v/>
      </c>
      <c r="JN56" s="12">
        <f>JL56+JM56</f>
        <v/>
      </c>
      <c r="JO56" s="12">
        <f>ROUND(JN56*(1-AnnualMix),0)</f>
        <v/>
      </c>
      <c r="JP56" s="12">
        <f>JN56-JO56</f>
        <v/>
      </c>
      <c r="JQ56" s="12">
        <f>ROUND(JO56*EssentialMix,0)</f>
        <v/>
      </c>
      <c r="JR56" s="12">
        <f>JO56-JQ56</f>
        <v/>
      </c>
      <c r="JS56" s="12">
        <f>ROUND(JP56*EssentialMix,0)</f>
        <v/>
      </c>
      <c r="JT56" s="12">
        <f>JP56-JS56</f>
        <v/>
      </c>
      <c r="JU56" s="12">
        <f>JQ56+JQ55+JQ54+MAX(0,JU55-JQ55-JQ54)*(1-JJ56)</f>
        <v/>
      </c>
      <c r="JV56" s="12">
        <f>JR56+JR55+JR54+MAX(0,JV55-JR55-JR54)*(1-JJ56)</f>
        <v/>
      </c>
      <c r="JW56" s="12">
        <f>JW55+JS56-JS44*(AnnualChurn*VLOOKUP(JF56,ChurnSeasonTable,4,FALSE))*POWER(1-(AnnualChurn*VLOOKUP(JF56,ChurnSeasonTable,4,FALSE)),0)+JS32*(AnnualChurn*VLOOKUP(JF56,ChurnSeasonTable,4,FALSE))*POWER(1-(AnnualChurn*VLOOKUP(JF56,ChurnSeasonTable,4,FALSE)),1)+JS20*(AnnualChurn*VLOOKUP(JF56,ChurnSeasonTable,4,FALSE))*POWER(1-(AnnualChurn*VLOOKUP(JF56,ChurnSeasonTable,4,FALSE)),2)+JS8*(AnnualChurn*VLOOKUP(JF56,ChurnSeasonTable,4,FALSE))*POWER(1-(AnnualChurn*VLOOKUP(JF56,ChurnSeasonTable,4,FALSE)),3)</f>
        <v/>
      </c>
      <c r="JX56" s="12">
        <f>JX55+JT56-JT44*(AnnualChurn*VLOOKUP(JF56,ChurnSeasonTable,4,FALSE))*POWER(1-(AnnualChurn*VLOOKUP(JF56,ChurnSeasonTable,4,FALSE)),0)+JT32*(AnnualChurn*VLOOKUP(JF56,ChurnSeasonTable,4,FALSE))*POWER(1-(AnnualChurn*VLOOKUP(JF56,ChurnSeasonTable,4,FALSE)),1)+JT20*(AnnualChurn*VLOOKUP(JF56,ChurnSeasonTable,4,FALSE))*POWER(1-(AnnualChurn*VLOOKUP(JF56,ChurnSeasonTable,4,FALSE)),2)+JT8*(AnnualChurn*VLOOKUP(JF56,ChurnSeasonTable,4,FALSE))*POWER(1-(AnnualChurn*VLOOKUP(JF56,ChurnSeasonTable,4,FALSE)),3)</f>
        <v/>
      </c>
      <c r="JY56" s="12">
        <f>JU56+JV56+JW56+JX56</f>
        <v/>
      </c>
      <c r="JZ56" s="9">
        <f>JU56*PriceEssMonthly*JI56+JV56*PricePremMonthly*JI56+JW56*PriceEssAnnual*JI56/12+JX56*PricePremAnnual*JI56/12</f>
        <v/>
      </c>
      <c r="KA56" s="9">
        <f>JZ56*12</f>
        <v/>
      </c>
      <c r="KB56" s="12">
        <f>JU56*PriceEssMonthly*JI56+JV56*PricePremMonthly*JI56</f>
        <v/>
      </c>
      <c r="KC56" s="12">
        <f>JS56*PriceEssAnnual*JI56+JT56*PricePremAnnual*JI56</f>
        <v/>
      </c>
      <c r="KD56" s="12">
        <f>JS44*POWER(1-(AnnualChurn*VLOOKUP(JF56,ChurnSeasonTable,4,FALSE)),1)*PriceEssAnnual*JI56+JS32*POWER(1-(AnnualChurn*VLOOKUP(JF56,ChurnSeasonTable,4,FALSE)),2)*PriceEssAnnual*JI56+JS20*POWER(1-(AnnualChurn*VLOOKUP(JF56,ChurnSeasonTable,4,FALSE)),3)*PriceEssAnnual*JI56+JS8*POWER(1-(AnnualChurn*VLOOKUP(JF56,ChurnSeasonTable,4,FALSE)),4)*PriceEssAnnual*JI56+JT44*POWER(1-(AnnualChurn*VLOOKUP(JF56,ChurnSeasonTable,4,FALSE)),1)*PricePremAnnual*JI56+JT32*POWER(1-(AnnualChurn*VLOOKUP(JF56,ChurnSeasonTable,4,FALSE)),2)*PricePremAnnual*JI56+JT20*POWER(1-(AnnualChurn*VLOOKUP(JF56,ChurnSeasonTable,4,FALSE)),3)*PricePremAnnual*JI56+JT8*POWER(1-(AnnualChurn*VLOOKUP(JF56,ChurnSeasonTable,4,FALSE)),4)*PricePremAnnual*JI56</f>
        <v/>
      </c>
      <c r="KE56" s="9">
        <f>KB56+KC56+KD56</f>
        <v/>
      </c>
      <c r="KF56" s="12">
        <f>SUM(KE45:KE56)</f>
        <v/>
      </c>
      <c r="KG56" s="12">
        <f>OR(KG55,KF56&gt;=VATThreshold)</f>
        <v/>
      </c>
      <c r="KH56" s="9">
        <f>IF(KG56,KE56/(1+VATRate),KE56)</f>
        <v/>
      </c>
      <c r="KI56" s="12">
        <f>KE56-KH56</f>
        <v/>
      </c>
      <c r="KJ56" s="12">
        <f>IF(KG56=0,0,IF(JF56=1,SUMPRODUCT(--(($JG$5:$JG56=$JG56-1)*($JF$5:$JF56&gt;=10)*($JF$5:$JF56&lt;=12)),$KI$5:$KI56),IF(JF56=4,SUMPRODUCT(--(($JG$5:$JG56=$JG56)*($JF$5:$JF56&gt;=1)*($JF$5:$JF56&lt;=3)),$KI$5:$KI56),IF(JF56=7,SUMPRODUCT(--(($JG$5:$JG56=$JG56)*($JF$5:$JF56&gt;=4)*($JF$5:$JF56&lt;=6)),$KI$5:$KI56),IF(JF56=10,SUMPRODUCT(--(($JG$5:$JG56=$JG56)*($JF$5:$JF56&gt;=7)*($JF$5:$JF56&lt;=9)),$KI$5:$KI56),0)))))</f>
        <v/>
      </c>
      <c r="KK56" s="12">
        <f>KK55+KI56-KJ56</f>
        <v/>
      </c>
      <c r="KL56" s="12">
        <f>IF(ProviderDelay&gt;=1,KH55*ProviderShare,KH56*ProviderShare)</f>
        <v/>
      </c>
      <c r="KM56" s="12">
        <f>KE56*PaymentFee</f>
        <v/>
      </c>
      <c r="KN56" s="12">
        <f>JY56*OpsAI</f>
        <v/>
      </c>
      <c r="KO56" s="12">
        <f>MonthlyFixed</f>
        <v/>
      </c>
      <c r="KP56" s="12">
        <f>JM56*ReferralReward</f>
        <v/>
      </c>
      <c r="KQ56" s="12">
        <f>JK56</f>
        <v/>
      </c>
      <c r="KR56" s="9">
        <f>KH56-KL56-KM56-KN56-KO56-KP56-KQ56</f>
        <v/>
      </c>
      <c r="KS56" s="9">
        <f>KS55+KE56-(KL56+KM56+KN56+KO56+KP56+KQ56+KJ56)</f>
        <v/>
      </c>
      <c r="KT56" s="12">
        <f>IF(JY56&gt;0,JZ56/JY56,0)</f>
        <v/>
      </c>
      <c r="KU56" s="11">
        <f>IF(JY55&gt;0,MAX(0,(JY55+JN56-JY56)/JY55),0)</f>
        <v/>
      </c>
      <c r="KW56" s="12" t="n">
        <v>52</v>
      </c>
      <c r="KX56" s="12">
        <f>MOD(KW56-1+LaunchMonth-1,12)+1</f>
        <v/>
      </c>
      <c r="KY56" s="12">
        <f>INT((KW56-1+LaunchMonth-1)/12)+1</f>
        <v/>
      </c>
      <c r="KZ56" s="12">
        <f>VLOOKUP(KX56,SeasonTable,2,FALSE)</f>
        <v/>
      </c>
      <c r="LA56" s="12">
        <f>(1+InflationRate)^INT((KW56-1)/12)</f>
        <v/>
      </c>
      <c r="LB56" s="11">
        <f>'Sens - Churn'!$A$17*VLOOKUP(KX56,ChurnSeasonTable,4,FALSE)</f>
        <v/>
      </c>
      <c r="LC56" s="12">
        <f>MIN(MAX(MktMin19plus,LW55*MktPct19plus),MAX(0,MK55-CashBuffer))</f>
        <v/>
      </c>
      <c r="LD56" s="12">
        <f>IF(LC56&gt;0,MAX(1,ROUND(LC56/CAC*KZ56,0)),0)</f>
        <v/>
      </c>
      <c r="LE56" s="12">
        <f>IF(LD56&gt;0,ROUND(LD56*ReferralMix/(1-ReferralMix),0),0)</f>
        <v/>
      </c>
      <c r="LF56" s="12">
        <f>LD56+LE56</f>
        <v/>
      </c>
      <c r="LG56" s="12">
        <f>ROUND(LF56*(1-AnnualMix),0)</f>
        <v/>
      </c>
      <c r="LH56" s="12">
        <f>LF56-LG56</f>
        <v/>
      </c>
      <c r="LI56" s="12">
        <f>ROUND(LG56*EssentialMix,0)</f>
        <v/>
      </c>
      <c r="LJ56" s="12">
        <f>LG56-LI56</f>
        <v/>
      </c>
      <c r="LK56" s="12">
        <f>ROUND(LH56*EssentialMix,0)</f>
        <v/>
      </c>
      <c r="LL56" s="12">
        <f>LH56-LK56</f>
        <v/>
      </c>
      <c r="LM56" s="12">
        <f>LI56+LI55+LI54+MAX(0,LM55-LI55-LI54)*(1-LB56)</f>
        <v/>
      </c>
      <c r="LN56" s="12">
        <f>LJ56+LJ55+LJ54+MAX(0,LN55-LJ55-LJ54)*(1-LB56)</f>
        <v/>
      </c>
      <c r="LO56" s="12">
        <f>LO55+LK56-LK44*(AnnualChurn*VLOOKUP(KX56,ChurnSeasonTable,4,FALSE))*POWER(1-(AnnualChurn*VLOOKUP(KX56,ChurnSeasonTable,4,FALSE)),0)+LK32*(AnnualChurn*VLOOKUP(KX56,ChurnSeasonTable,4,FALSE))*POWER(1-(AnnualChurn*VLOOKUP(KX56,ChurnSeasonTable,4,FALSE)),1)+LK20*(AnnualChurn*VLOOKUP(KX56,ChurnSeasonTable,4,FALSE))*POWER(1-(AnnualChurn*VLOOKUP(KX56,ChurnSeasonTable,4,FALSE)),2)+LK8*(AnnualChurn*VLOOKUP(KX56,ChurnSeasonTable,4,FALSE))*POWER(1-(AnnualChurn*VLOOKUP(KX56,ChurnSeasonTable,4,FALSE)),3)</f>
        <v/>
      </c>
      <c r="LP56" s="12">
        <f>LP55+LL56-LL44*(AnnualChurn*VLOOKUP(KX56,ChurnSeasonTable,4,FALSE))*POWER(1-(AnnualChurn*VLOOKUP(KX56,ChurnSeasonTable,4,FALSE)),0)+LL32*(AnnualChurn*VLOOKUP(KX56,ChurnSeasonTable,4,FALSE))*POWER(1-(AnnualChurn*VLOOKUP(KX56,ChurnSeasonTable,4,FALSE)),1)+LL20*(AnnualChurn*VLOOKUP(KX56,ChurnSeasonTable,4,FALSE))*POWER(1-(AnnualChurn*VLOOKUP(KX56,ChurnSeasonTable,4,FALSE)),2)+LL8*(AnnualChurn*VLOOKUP(KX56,ChurnSeasonTable,4,FALSE))*POWER(1-(AnnualChurn*VLOOKUP(KX56,ChurnSeasonTable,4,FALSE)),3)</f>
        <v/>
      </c>
      <c r="LQ56" s="12">
        <f>LM56+LN56+LO56+LP56</f>
        <v/>
      </c>
      <c r="LR56" s="9">
        <f>LM56*PriceEssMonthly*LA56+LN56*PricePremMonthly*LA56+LO56*PriceEssAnnual*LA56/12+LP56*PricePremAnnual*LA56/12</f>
        <v/>
      </c>
      <c r="LS56" s="9">
        <f>LR56*12</f>
        <v/>
      </c>
      <c r="LT56" s="12">
        <f>LM56*PriceEssMonthly*LA56+LN56*PricePremMonthly*LA56</f>
        <v/>
      </c>
      <c r="LU56" s="12">
        <f>LK56*PriceEssAnnual*LA56+LL56*PricePremAnnual*LA56</f>
        <v/>
      </c>
      <c r="LV56" s="12">
        <f>LK44*POWER(1-(AnnualChurn*VLOOKUP(KX56,ChurnSeasonTable,4,FALSE)),1)*PriceEssAnnual*LA56+LK32*POWER(1-(AnnualChurn*VLOOKUP(KX56,ChurnSeasonTable,4,FALSE)),2)*PriceEssAnnual*LA56+LK20*POWER(1-(AnnualChurn*VLOOKUP(KX56,ChurnSeasonTable,4,FALSE)),3)*PriceEssAnnual*LA56+LK8*POWER(1-(AnnualChurn*VLOOKUP(KX56,ChurnSeasonTable,4,FALSE)),4)*PriceEssAnnual*LA56+LL44*POWER(1-(AnnualChurn*VLOOKUP(KX56,ChurnSeasonTable,4,FALSE)),1)*PricePremAnnual*LA56+LL32*POWER(1-(AnnualChurn*VLOOKUP(KX56,ChurnSeasonTable,4,FALSE)),2)*PricePremAnnual*LA56+LL20*POWER(1-(AnnualChurn*VLOOKUP(KX56,ChurnSeasonTable,4,FALSE)),3)*PricePremAnnual*LA56+LL8*POWER(1-(AnnualChurn*VLOOKUP(KX56,ChurnSeasonTable,4,FALSE)),4)*PricePremAnnual*LA56</f>
        <v/>
      </c>
      <c r="LW56" s="9">
        <f>LT56+LU56+LV56</f>
        <v/>
      </c>
      <c r="LX56" s="12">
        <f>SUM(LW45:LW56)</f>
        <v/>
      </c>
      <c r="LY56" s="12">
        <f>OR(LY55,LX56&gt;=VATThreshold)</f>
        <v/>
      </c>
      <c r="LZ56" s="9">
        <f>IF(LY56,LW56/(1+VATRate),LW56)</f>
        <v/>
      </c>
      <c r="MA56" s="12">
        <f>LW56-LZ56</f>
        <v/>
      </c>
      <c r="MB56" s="12">
        <f>IF(LY56=0,0,IF(KX56=1,SUMPRODUCT(--(($KY$5:$KY56=$KY56-1)*($KX$5:$KX56&gt;=10)*($KX$5:$KX56&lt;=12)),$MA$5:$MA56),IF(KX56=4,SUMPRODUCT(--(($KY$5:$KY56=$KY56)*($KX$5:$KX56&gt;=1)*($KX$5:$KX56&lt;=3)),$MA$5:$MA56),IF(KX56=7,SUMPRODUCT(--(($KY$5:$KY56=$KY56)*($KX$5:$KX56&gt;=4)*($KX$5:$KX56&lt;=6)),$MA$5:$MA56),IF(KX56=10,SUMPRODUCT(--(($KY$5:$KY56=$KY56)*($KX$5:$KX56&gt;=7)*($KX$5:$KX56&lt;=9)),$MA$5:$MA56),0)))))</f>
        <v/>
      </c>
      <c r="MC56" s="12">
        <f>MC55+MA56-MB56</f>
        <v/>
      </c>
      <c r="MD56" s="12">
        <f>IF(ProviderDelay&gt;=1,LZ55*ProviderShare,LZ56*ProviderShare)</f>
        <v/>
      </c>
      <c r="ME56" s="12">
        <f>LW56*PaymentFee</f>
        <v/>
      </c>
      <c r="MF56" s="12">
        <f>LQ56*OpsAI</f>
        <v/>
      </c>
      <c r="MG56" s="12">
        <f>MonthlyFixed</f>
        <v/>
      </c>
      <c r="MH56" s="12">
        <f>LE56*ReferralReward</f>
        <v/>
      </c>
      <c r="MI56" s="12">
        <f>LC56</f>
        <v/>
      </c>
      <c r="MJ56" s="9">
        <f>LZ56-MD56-ME56-MF56-MG56-MH56-MI56</f>
        <v/>
      </c>
      <c r="MK56" s="9">
        <f>MK55+LW56-(MD56+ME56+MF56+MG56+MH56+MI56+MB56)</f>
        <v/>
      </c>
      <c r="ML56" s="12">
        <f>IF(LQ56&gt;0,LR56/LQ56,0)</f>
        <v/>
      </c>
      <c r="MM56" s="11">
        <f>IF(LQ55&gt;0,MAX(0,(LQ55+LF56-LQ56)/LQ55),0)</f>
        <v/>
      </c>
      <c r="MO56" s="12" t="n">
        <v>52</v>
      </c>
      <c r="MP56" s="12">
        <f>MOD(MO56-1+LaunchMonth-1,12)+1</f>
        <v/>
      </c>
      <c r="MQ56" s="12">
        <f>INT((MO56-1+LaunchMonth-1)/12)+1</f>
        <v/>
      </c>
      <c r="MR56" s="12">
        <f>VLOOKUP(MP56,SeasonTable,2,FALSE)</f>
        <v/>
      </c>
      <c r="MS56" s="12">
        <f>(1+InflationRate)^INT((MO56-1)/12)</f>
        <v/>
      </c>
      <c r="MT56" s="11">
        <f>'Sens - Churn'!$A$18*VLOOKUP(MP56,ChurnSeasonTable,4,FALSE)</f>
        <v/>
      </c>
      <c r="MU56" s="12">
        <f>MIN(MAX(MktMin19plus,NO55*MktPct19plus),MAX(0,OC55-CashBuffer))</f>
        <v/>
      </c>
      <c r="MV56" s="12">
        <f>IF(MU56&gt;0,MAX(1,ROUND(MU56/CAC*MR56,0)),0)</f>
        <v/>
      </c>
      <c r="MW56" s="12">
        <f>IF(MV56&gt;0,ROUND(MV56*ReferralMix/(1-ReferralMix),0),0)</f>
        <v/>
      </c>
      <c r="MX56" s="12">
        <f>MV56+MW56</f>
        <v/>
      </c>
      <c r="MY56" s="12">
        <f>ROUND(MX56*(1-AnnualMix),0)</f>
        <v/>
      </c>
      <c r="MZ56" s="12">
        <f>MX56-MY56</f>
        <v/>
      </c>
      <c r="NA56" s="12">
        <f>ROUND(MY56*EssentialMix,0)</f>
        <v/>
      </c>
      <c r="NB56" s="12">
        <f>MY56-NA56</f>
        <v/>
      </c>
      <c r="NC56" s="12">
        <f>ROUND(MZ56*EssentialMix,0)</f>
        <v/>
      </c>
      <c r="ND56" s="12">
        <f>MZ56-NC56</f>
        <v/>
      </c>
      <c r="NE56" s="12">
        <f>NA56+NA55+NA54+MAX(0,NE55-NA55-NA54)*(1-MT56)</f>
        <v/>
      </c>
      <c r="NF56" s="12">
        <f>NB56+NB55+NB54+MAX(0,NF55-NB55-NB54)*(1-MT56)</f>
        <v/>
      </c>
      <c r="NG56" s="12">
        <f>NG55+NC56-NC44*(AnnualChurn*VLOOKUP(MP56,ChurnSeasonTable,4,FALSE))*POWER(1-(AnnualChurn*VLOOKUP(MP56,ChurnSeasonTable,4,FALSE)),0)+NC32*(AnnualChurn*VLOOKUP(MP56,ChurnSeasonTable,4,FALSE))*POWER(1-(AnnualChurn*VLOOKUP(MP56,ChurnSeasonTable,4,FALSE)),1)+NC20*(AnnualChurn*VLOOKUP(MP56,ChurnSeasonTable,4,FALSE))*POWER(1-(AnnualChurn*VLOOKUP(MP56,ChurnSeasonTable,4,FALSE)),2)+NC8*(AnnualChurn*VLOOKUP(MP56,ChurnSeasonTable,4,FALSE))*POWER(1-(AnnualChurn*VLOOKUP(MP56,ChurnSeasonTable,4,FALSE)),3)</f>
        <v/>
      </c>
      <c r="NH56" s="12">
        <f>NH55+ND56-ND44*(AnnualChurn*VLOOKUP(MP56,ChurnSeasonTable,4,FALSE))*POWER(1-(AnnualChurn*VLOOKUP(MP56,ChurnSeasonTable,4,FALSE)),0)+ND32*(AnnualChurn*VLOOKUP(MP56,ChurnSeasonTable,4,FALSE))*POWER(1-(AnnualChurn*VLOOKUP(MP56,ChurnSeasonTable,4,FALSE)),1)+ND20*(AnnualChurn*VLOOKUP(MP56,ChurnSeasonTable,4,FALSE))*POWER(1-(AnnualChurn*VLOOKUP(MP56,ChurnSeasonTable,4,FALSE)),2)+ND8*(AnnualChurn*VLOOKUP(MP56,ChurnSeasonTable,4,FALSE))*POWER(1-(AnnualChurn*VLOOKUP(MP56,ChurnSeasonTable,4,FALSE)),3)</f>
        <v/>
      </c>
      <c r="NI56" s="12">
        <f>NE56+NF56+NG56+NH56</f>
        <v/>
      </c>
      <c r="NJ56" s="9">
        <f>NE56*PriceEssMonthly*MS56+NF56*PricePremMonthly*MS56+NG56*PriceEssAnnual*MS56/12+NH56*PricePremAnnual*MS56/12</f>
        <v/>
      </c>
      <c r="NK56" s="9">
        <f>NJ56*12</f>
        <v/>
      </c>
      <c r="NL56" s="12">
        <f>NE56*PriceEssMonthly*MS56+NF56*PricePremMonthly*MS56</f>
        <v/>
      </c>
      <c r="NM56" s="12">
        <f>NC56*PriceEssAnnual*MS56+ND56*PricePremAnnual*MS56</f>
        <v/>
      </c>
      <c r="NN56" s="12">
        <f>NC44*POWER(1-(AnnualChurn*VLOOKUP(MP56,ChurnSeasonTable,4,FALSE)),1)*PriceEssAnnual*MS56+NC32*POWER(1-(AnnualChurn*VLOOKUP(MP56,ChurnSeasonTable,4,FALSE)),2)*PriceEssAnnual*MS56+NC20*POWER(1-(AnnualChurn*VLOOKUP(MP56,ChurnSeasonTable,4,FALSE)),3)*PriceEssAnnual*MS56+NC8*POWER(1-(AnnualChurn*VLOOKUP(MP56,ChurnSeasonTable,4,FALSE)),4)*PriceEssAnnual*MS56+ND44*POWER(1-(AnnualChurn*VLOOKUP(MP56,ChurnSeasonTable,4,FALSE)),1)*PricePremAnnual*MS56+ND32*POWER(1-(AnnualChurn*VLOOKUP(MP56,ChurnSeasonTable,4,FALSE)),2)*PricePremAnnual*MS56+ND20*POWER(1-(AnnualChurn*VLOOKUP(MP56,ChurnSeasonTable,4,FALSE)),3)*PricePremAnnual*MS56+ND8*POWER(1-(AnnualChurn*VLOOKUP(MP56,ChurnSeasonTable,4,FALSE)),4)*PricePremAnnual*MS56</f>
        <v/>
      </c>
      <c r="NO56" s="9">
        <f>NL56+NM56+NN56</f>
        <v/>
      </c>
      <c r="NP56" s="12">
        <f>SUM(NO45:NO56)</f>
        <v/>
      </c>
      <c r="NQ56" s="12">
        <f>OR(NQ55,NP56&gt;=VATThreshold)</f>
        <v/>
      </c>
      <c r="NR56" s="9">
        <f>IF(NQ56,NO56/(1+VATRate),NO56)</f>
        <v/>
      </c>
      <c r="NS56" s="12">
        <f>NO56-NR56</f>
        <v/>
      </c>
      <c r="NT56" s="12">
        <f>IF(NQ56=0,0,IF(MP56=1,SUMPRODUCT(--(($MQ$5:$MQ56=$MQ56-1)*($MP$5:$MP56&gt;=10)*($MP$5:$MP56&lt;=12)),$NS$5:$NS56),IF(MP56=4,SUMPRODUCT(--(($MQ$5:$MQ56=$MQ56)*($MP$5:$MP56&gt;=1)*($MP$5:$MP56&lt;=3)),$NS$5:$NS56),IF(MP56=7,SUMPRODUCT(--(($MQ$5:$MQ56=$MQ56)*($MP$5:$MP56&gt;=4)*($MP$5:$MP56&lt;=6)),$NS$5:$NS56),IF(MP56=10,SUMPRODUCT(--(($MQ$5:$MQ56=$MQ56)*($MP$5:$MP56&gt;=7)*($MP$5:$MP56&lt;=9)),$NS$5:$NS56),0)))))</f>
        <v/>
      </c>
      <c r="NU56" s="12">
        <f>NU55+NS56-NT56</f>
        <v/>
      </c>
      <c r="NV56" s="12">
        <f>IF(ProviderDelay&gt;=1,NR55*ProviderShare,NR56*ProviderShare)</f>
        <v/>
      </c>
      <c r="NW56" s="12">
        <f>NO56*PaymentFee</f>
        <v/>
      </c>
      <c r="NX56" s="12">
        <f>NI56*OpsAI</f>
        <v/>
      </c>
      <c r="NY56" s="12">
        <f>MonthlyFixed</f>
        <v/>
      </c>
      <c r="NZ56" s="12">
        <f>MW56*ReferralReward</f>
        <v/>
      </c>
      <c r="OA56" s="12">
        <f>MU56</f>
        <v/>
      </c>
      <c r="OB56" s="9">
        <f>NR56-NV56-NW56-NX56-NY56-NZ56-OA56</f>
        <v/>
      </c>
      <c r="OC56" s="9">
        <f>OC55+NO56-(NV56+NW56+NX56+NY56+NZ56+OA56+NT56)</f>
        <v/>
      </c>
      <c r="OD56" s="12">
        <f>IF(NI56&gt;0,NJ56/NI56,0)</f>
        <v/>
      </c>
      <c r="OE56" s="11">
        <f>IF(NI55&gt;0,MAX(0,(NI55+MX56-NI56)/NI55),0)</f>
        <v/>
      </c>
      <c r="OG56" s="12" t="n">
        <v>52</v>
      </c>
      <c r="OH56" s="12">
        <f>MOD(OG56-1+LaunchMonth-1,12)+1</f>
        <v/>
      </c>
      <c r="OI56" s="12">
        <f>INT((OG56-1+LaunchMonth-1)/12)+1</f>
        <v/>
      </c>
      <c r="OJ56" s="12">
        <f>VLOOKUP(OH56,SeasonTable,2,FALSE)</f>
        <v/>
      </c>
      <c r="OK56" s="12">
        <f>(1+InflationRate)^INT((OG56-1)/12)</f>
        <v/>
      </c>
      <c r="OL56" s="11">
        <f>'Sens - Churn'!$A$19*VLOOKUP(OH56,ChurnSeasonTable,4,FALSE)</f>
        <v/>
      </c>
      <c r="OM56" s="12">
        <f>MIN(MAX(MktMin19plus,PG55*MktPct19plus),MAX(0,PU55-CashBuffer))</f>
        <v/>
      </c>
      <c r="ON56" s="12">
        <f>IF(OM56&gt;0,MAX(1,ROUND(OM56/CAC*OJ56,0)),0)</f>
        <v/>
      </c>
      <c r="OO56" s="12">
        <f>IF(ON56&gt;0,ROUND(ON56*ReferralMix/(1-ReferralMix),0),0)</f>
        <v/>
      </c>
      <c r="OP56" s="12">
        <f>ON56+OO56</f>
        <v/>
      </c>
      <c r="OQ56" s="12">
        <f>ROUND(OP56*(1-AnnualMix),0)</f>
        <v/>
      </c>
      <c r="OR56" s="12">
        <f>OP56-OQ56</f>
        <v/>
      </c>
      <c r="OS56" s="12">
        <f>ROUND(OQ56*EssentialMix,0)</f>
        <v/>
      </c>
      <c r="OT56" s="12">
        <f>OQ56-OS56</f>
        <v/>
      </c>
      <c r="OU56" s="12">
        <f>ROUND(OR56*EssentialMix,0)</f>
        <v/>
      </c>
      <c r="OV56" s="12">
        <f>OR56-OU56</f>
        <v/>
      </c>
      <c r="OW56" s="12">
        <f>OS56+OS55+OS54+MAX(0,OW55-OS55-OS54)*(1-OL56)</f>
        <v/>
      </c>
      <c r="OX56" s="12">
        <f>OT56+OT55+OT54+MAX(0,OX55-OT55-OT54)*(1-OL56)</f>
        <v/>
      </c>
      <c r="OY56" s="12">
        <f>OY55+OU56-OU44*(AnnualChurn*VLOOKUP(OH56,ChurnSeasonTable,4,FALSE))*POWER(1-(AnnualChurn*VLOOKUP(OH56,ChurnSeasonTable,4,FALSE)),0)+OU32*(AnnualChurn*VLOOKUP(OH56,ChurnSeasonTable,4,FALSE))*POWER(1-(AnnualChurn*VLOOKUP(OH56,ChurnSeasonTable,4,FALSE)),1)+OU20*(AnnualChurn*VLOOKUP(OH56,ChurnSeasonTable,4,FALSE))*POWER(1-(AnnualChurn*VLOOKUP(OH56,ChurnSeasonTable,4,FALSE)),2)+OU8*(AnnualChurn*VLOOKUP(OH56,ChurnSeasonTable,4,FALSE))*POWER(1-(AnnualChurn*VLOOKUP(OH56,ChurnSeasonTable,4,FALSE)),3)</f>
        <v/>
      </c>
      <c r="OZ56" s="12">
        <f>OZ55+OV56-OV44*(AnnualChurn*VLOOKUP(OH56,ChurnSeasonTable,4,FALSE))*POWER(1-(AnnualChurn*VLOOKUP(OH56,ChurnSeasonTable,4,FALSE)),0)+OV32*(AnnualChurn*VLOOKUP(OH56,ChurnSeasonTable,4,FALSE))*POWER(1-(AnnualChurn*VLOOKUP(OH56,ChurnSeasonTable,4,FALSE)),1)+OV20*(AnnualChurn*VLOOKUP(OH56,ChurnSeasonTable,4,FALSE))*POWER(1-(AnnualChurn*VLOOKUP(OH56,ChurnSeasonTable,4,FALSE)),2)+OV8*(AnnualChurn*VLOOKUP(OH56,ChurnSeasonTable,4,FALSE))*POWER(1-(AnnualChurn*VLOOKUP(OH56,ChurnSeasonTable,4,FALSE)),3)</f>
        <v/>
      </c>
      <c r="PA56" s="12">
        <f>OW56+OX56+OY56+OZ56</f>
        <v/>
      </c>
      <c r="PB56" s="9">
        <f>OW56*PriceEssMonthly*OK56+OX56*PricePremMonthly*OK56+OY56*PriceEssAnnual*OK56/12+OZ56*PricePremAnnual*OK56/12</f>
        <v/>
      </c>
      <c r="PC56" s="9">
        <f>PB56*12</f>
        <v/>
      </c>
      <c r="PD56" s="12">
        <f>OW56*PriceEssMonthly*OK56+OX56*PricePremMonthly*OK56</f>
        <v/>
      </c>
      <c r="PE56" s="12">
        <f>OU56*PriceEssAnnual*OK56+OV56*PricePremAnnual*OK56</f>
        <v/>
      </c>
      <c r="PF56" s="12">
        <f>OU44*POWER(1-(AnnualChurn*VLOOKUP(OH56,ChurnSeasonTable,4,FALSE)),1)*PriceEssAnnual*OK56+OU32*POWER(1-(AnnualChurn*VLOOKUP(OH56,ChurnSeasonTable,4,FALSE)),2)*PriceEssAnnual*OK56+OU20*POWER(1-(AnnualChurn*VLOOKUP(OH56,ChurnSeasonTable,4,FALSE)),3)*PriceEssAnnual*OK56+OU8*POWER(1-(AnnualChurn*VLOOKUP(OH56,ChurnSeasonTable,4,FALSE)),4)*PriceEssAnnual*OK56+OV44*POWER(1-(AnnualChurn*VLOOKUP(OH56,ChurnSeasonTable,4,FALSE)),1)*PricePremAnnual*OK56+OV32*POWER(1-(AnnualChurn*VLOOKUP(OH56,ChurnSeasonTable,4,FALSE)),2)*PricePremAnnual*OK56+OV20*POWER(1-(AnnualChurn*VLOOKUP(OH56,ChurnSeasonTable,4,FALSE)),3)*PricePremAnnual*OK56+OV8*POWER(1-(AnnualChurn*VLOOKUP(OH56,ChurnSeasonTable,4,FALSE)),4)*PricePremAnnual*OK56</f>
        <v/>
      </c>
      <c r="PG56" s="9">
        <f>PD56+PE56+PF56</f>
        <v/>
      </c>
      <c r="PH56" s="12">
        <f>SUM(PG45:PG56)</f>
        <v/>
      </c>
      <c r="PI56" s="12">
        <f>OR(PI55,PH56&gt;=VATThreshold)</f>
        <v/>
      </c>
      <c r="PJ56" s="9">
        <f>IF(PI56,PG56/(1+VATRate),PG56)</f>
        <v/>
      </c>
      <c r="PK56" s="12">
        <f>PG56-PJ56</f>
        <v/>
      </c>
      <c r="PL56" s="12">
        <f>IF(PI56=0,0,IF(OH56=1,SUMPRODUCT(--(($OI$5:$OI56=$OI56-1)*($OH$5:$OH56&gt;=10)*($OH$5:$OH56&lt;=12)),$PK$5:$PK56),IF(OH56=4,SUMPRODUCT(--(($OI$5:$OI56=$OI56)*($OH$5:$OH56&gt;=1)*($OH$5:$OH56&lt;=3)),$PK$5:$PK56),IF(OH56=7,SUMPRODUCT(--(($OI$5:$OI56=$OI56)*($OH$5:$OH56&gt;=4)*($OH$5:$OH56&lt;=6)),$PK$5:$PK56),IF(OH56=10,SUMPRODUCT(--(($OI$5:$OI56=$OI56)*($OH$5:$OH56&gt;=7)*($OH$5:$OH56&lt;=9)),$PK$5:$PK56),0)))))</f>
        <v/>
      </c>
      <c r="PM56" s="12">
        <f>PM55+PK56-PL56</f>
        <v/>
      </c>
      <c r="PN56" s="12">
        <f>IF(ProviderDelay&gt;=1,PJ55*ProviderShare,PJ56*ProviderShare)</f>
        <v/>
      </c>
      <c r="PO56" s="12">
        <f>PG56*PaymentFee</f>
        <v/>
      </c>
      <c r="PP56" s="12">
        <f>PA56*OpsAI</f>
        <v/>
      </c>
      <c r="PQ56" s="12">
        <f>MonthlyFixed</f>
        <v/>
      </c>
      <c r="PR56" s="12">
        <f>OO56*ReferralReward</f>
        <v/>
      </c>
      <c r="PS56" s="12">
        <f>OM56</f>
        <v/>
      </c>
      <c r="PT56" s="9">
        <f>PJ56-PN56-PO56-PP56-PQ56-PR56-PS56</f>
        <v/>
      </c>
      <c r="PU56" s="9">
        <f>PU55+PG56-(PN56+PO56+PP56+PQ56+PR56+PS56+PL56)</f>
        <v/>
      </c>
      <c r="PV56" s="12">
        <f>IF(PA56&gt;0,PB56/PA56,0)</f>
        <v/>
      </c>
      <c r="PW56" s="11">
        <f>IF(PA55&gt;0,MAX(0,(PA55+OP56-PA56)/PA55),0)</f>
        <v/>
      </c>
      <c r="PY56" s="12" t="n">
        <v>52</v>
      </c>
      <c r="PZ56" s="12">
        <f>MOD(PY56-1+LaunchMonth-1,12)+1</f>
        <v/>
      </c>
      <c r="QA56" s="12">
        <f>INT((PY56-1+LaunchMonth-1)/12)+1</f>
        <v/>
      </c>
      <c r="QB56" s="12">
        <f>VLOOKUP(PZ56,SeasonTable,2,FALSE)</f>
        <v/>
      </c>
      <c r="QC56" s="12">
        <f>(1+InflationRate)^INT((PY56-1)/12)</f>
        <v/>
      </c>
      <c r="QD56" s="11">
        <f>'Sens - Churn'!$A$20*VLOOKUP(PZ56,ChurnSeasonTable,4,FALSE)</f>
        <v/>
      </c>
      <c r="QE56" s="12">
        <f>MIN(MAX(MktMin19plus,QY55*MktPct19plus),MAX(0,RM55-CashBuffer))</f>
        <v/>
      </c>
      <c r="QF56" s="12">
        <f>IF(QE56&gt;0,MAX(1,ROUND(QE56/CAC*QB56,0)),0)</f>
        <v/>
      </c>
      <c r="QG56" s="12">
        <f>IF(QF56&gt;0,ROUND(QF56*ReferralMix/(1-ReferralMix),0),0)</f>
        <v/>
      </c>
      <c r="QH56" s="12">
        <f>QF56+QG56</f>
        <v/>
      </c>
      <c r="QI56" s="12">
        <f>ROUND(QH56*(1-AnnualMix),0)</f>
        <v/>
      </c>
      <c r="QJ56" s="12">
        <f>QH56-QI56</f>
        <v/>
      </c>
      <c r="QK56" s="12">
        <f>ROUND(QI56*EssentialMix,0)</f>
        <v/>
      </c>
      <c r="QL56" s="12">
        <f>QI56-QK56</f>
        <v/>
      </c>
      <c r="QM56" s="12">
        <f>ROUND(QJ56*EssentialMix,0)</f>
        <v/>
      </c>
      <c r="QN56" s="12">
        <f>QJ56-QM56</f>
        <v/>
      </c>
      <c r="QO56" s="12">
        <f>QK56+QK55+QK54+MAX(0,QO55-QK55-QK54)*(1-QD56)</f>
        <v/>
      </c>
      <c r="QP56" s="12">
        <f>QL56+QL55+QL54+MAX(0,QP55-QL55-QL54)*(1-QD56)</f>
        <v/>
      </c>
      <c r="QQ56" s="12">
        <f>QQ55+QM56-QM44*(AnnualChurn*VLOOKUP(PZ56,ChurnSeasonTable,4,FALSE))*POWER(1-(AnnualChurn*VLOOKUP(PZ56,ChurnSeasonTable,4,FALSE)),0)+QM32*(AnnualChurn*VLOOKUP(PZ56,ChurnSeasonTable,4,FALSE))*POWER(1-(AnnualChurn*VLOOKUP(PZ56,ChurnSeasonTable,4,FALSE)),1)+QM20*(AnnualChurn*VLOOKUP(PZ56,ChurnSeasonTable,4,FALSE))*POWER(1-(AnnualChurn*VLOOKUP(PZ56,ChurnSeasonTable,4,FALSE)),2)+QM8*(AnnualChurn*VLOOKUP(PZ56,ChurnSeasonTable,4,FALSE))*POWER(1-(AnnualChurn*VLOOKUP(PZ56,ChurnSeasonTable,4,FALSE)),3)</f>
        <v/>
      </c>
      <c r="QR56" s="12">
        <f>QR55+QN56-QN44*(AnnualChurn*VLOOKUP(PZ56,ChurnSeasonTable,4,FALSE))*POWER(1-(AnnualChurn*VLOOKUP(PZ56,ChurnSeasonTable,4,FALSE)),0)+QN32*(AnnualChurn*VLOOKUP(PZ56,ChurnSeasonTable,4,FALSE))*POWER(1-(AnnualChurn*VLOOKUP(PZ56,ChurnSeasonTable,4,FALSE)),1)+QN20*(AnnualChurn*VLOOKUP(PZ56,ChurnSeasonTable,4,FALSE))*POWER(1-(AnnualChurn*VLOOKUP(PZ56,ChurnSeasonTable,4,FALSE)),2)+QN8*(AnnualChurn*VLOOKUP(PZ56,ChurnSeasonTable,4,FALSE))*POWER(1-(AnnualChurn*VLOOKUP(PZ56,ChurnSeasonTable,4,FALSE)),3)</f>
        <v/>
      </c>
      <c r="QS56" s="12">
        <f>QO56+QP56+QQ56+QR56</f>
        <v/>
      </c>
      <c r="QT56" s="9">
        <f>QO56*PriceEssMonthly*QC56+QP56*PricePremMonthly*QC56+QQ56*PriceEssAnnual*QC56/12+QR56*PricePremAnnual*QC56/12</f>
        <v/>
      </c>
      <c r="QU56" s="9">
        <f>QT56*12</f>
        <v/>
      </c>
      <c r="QV56" s="12">
        <f>QO56*PriceEssMonthly*QC56+QP56*PricePremMonthly*QC56</f>
        <v/>
      </c>
      <c r="QW56" s="12">
        <f>QM56*PriceEssAnnual*QC56+QN56*PricePremAnnual*QC56</f>
        <v/>
      </c>
      <c r="QX56" s="12">
        <f>QM44*POWER(1-(AnnualChurn*VLOOKUP(PZ56,ChurnSeasonTable,4,FALSE)),1)*PriceEssAnnual*QC56+QM32*POWER(1-(AnnualChurn*VLOOKUP(PZ56,ChurnSeasonTable,4,FALSE)),2)*PriceEssAnnual*QC56+QM20*POWER(1-(AnnualChurn*VLOOKUP(PZ56,ChurnSeasonTable,4,FALSE)),3)*PriceEssAnnual*QC56+QM8*POWER(1-(AnnualChurn*VLOOKUP(PZ56,ChurnSeasonTable,4,FALSE)),4)*PriceEssAnnual*QC56+QN44*POWER(1-(AnnualChurn*VLOOKUP(PZ56,ChurnSeasonTable,4,FALSE)),1)*PricePremAnnual*QC56+QN32*POWER(1-(AnnualChurn*VLOOKUP(PZ56,ChurnSeasonTable,4,FALSE)),2)*PricePremAnnual*QC56+QN20*POWER(1-(AnnualChurn*VLOOKUP(PZ56,ChurnSeasonTable,4,FALSE)),3)*PricePremAnnual*QC56+QN8*POWER(1-(AnnualChurn*VLOOKUP(PZ56,ChurnSeasonTable,4,FALSE)),4)*PricePremAnnual*QC56</f>
        <v/>
      </c>
      <c r="QY56" s="9">
        <f>QV56+QW56+QX56</f>
        <v/>
      </c>
      <c r="QZ56" s="12">
        <f>SUM(QY45:QY56)</f>
        <v/>
      </c>
      <c r="RA56" s="12">
        <f>OR(RA55,QZ56&gt;=VATThreshold)</f>
        <v/>
      </c>
      <c r="RB56" s="9">
        <f>IF(RA56,QY56/(1+VATRate),QY56)</f>
        <v/>
      </c>
      <c r="RC56" s="12">
        <f>QY56-RB56</f>
        <v/>
      </c>
      <c r="RD56" s="12">
        <f>IF(RA56=0,0,IF(PZ56=1,SUMPRODUCT(--(($QA$5:$QA56=$QA56-1)*($PZ$5:$PZ56&gt;=10)*($PZ$5:$PZ56&lt;=12)),$RC$5:$RC56),IF(PZ56=4,SUMPRODUCT(--(($QA$5:$QA56=$QA56)*($PZ$5:$PZ56&gt;=1)*($PZ$5:$PZ56&lt;=3)),$RC$5:$RC56),IF(PZ56=7,SUMPRODUCT(--(($QA$5:$QA56=$QA56)*($PZ$5:$PZ56&gt;=4)*($PZ$5:$PZ56&lt;=6)),$RC$5:$RC56),IF(PZ56=10,SUMPRODUCT(--(($QA$5:$QA56=$QA56)*($PZ$5:$PZ56&gt;=7)*($PZ$5:$PZ56&lt;=9)),$RC$5:$RC56),0)))))</f>
        <v/>
      </c>
      <c r="RE56" s="12">
        <f>RE55+RC56-RD56</f>
        <v/>
      </c>
      <c r="RF56" s="12">
        <f>IF(ProviderDelay&gt;=1,RB55*ProviderShare,RB56*ProviderShare)</f>
        <v/>
      </c>
      <c r="RG56" s="12">
        <f>QY56*PaymentFee</f>
        <v/>
      </c>
      <c r="RH56" s="12">
        <f>QS56*OpsAI</f>
        <v/>
      </c>
      <c r="RI56" s="12">
        <f>MonthlyFixed</f>
        <v/>
      </c>
      <c r="RJ56" s="12">
        <f>QG56*ReferralReward</f>
        <v/>
      </c>
      <c r="RK56" s="12">
        <f>QE56</f>
        <v/>
      </c>
      <c r="RL56" s="9">
        <f>RB56-RF56-RG56-RH56-RI56-RJ56-RK56</f>
        <v/>
      </c>
      <c r="RM56" s="9">
        <f>RM55+QY56-(RF56+RG56+RH56+RI56+RJ56+RK56+RD56)</f>
        <v/>
      </c>
      <c r="RN56" s="12">
        <f>IF(QS56&gt;0,QT56/QS56,0)</f>
        <v/>
      </c>
      <c r="RO56" s="11">
        <f>IF(QS55&gt;0,MAX(0,(QS55+QH56-QS56)/QS55),0)</f>
        <v/>
      </c>
      <c r="RQ56" s="12" t="n">
        <v>52</v>
      </c>
      <c r="RR56" s="12">
        <f>MOD(RQ56-1+LaunchMonth-1,12)+1</f>
        <v/>
      </c>
      <c r="RS56" s="12">
        <f>INT((RQ56-1+LaunchMonth-1)/12)+1</f>
        <v/>
      </c>
      <c r="RT56" s="12">
        <f>VLOOKUP(RR56,SeasonTable,2,FALSE)</f>
        <v/>
      </c>
      <c r="RU56" s="12">
        <f>(1+InflationRate)^INT((RQ56-1)/12)</f>
        <v/>
      </c>
      <c r="RV56" s="11">
        <f>'Sens - Churn'!$A$21*VLOOKUP(RR56,ChurnSeasonTable,4,FALSE)</f>
        <v/>
      </c>
      <c r="RW56" s="12">
        <f>MIN(MAX(MktMin19plus,SQ55*MktPct19plus),MAX(0,TE55-CashBuffer))</f>
        <v/>
      </c>
      <c r="RX56" s="12">
        <f>IF(RW56&gt;0,MAX(1,ROUND(RW56/CAC*RT56,0)),0)</f>
        <v/>
      </c>
      <c r="RY56" s="12">
        <f>IF(RX56&gt;0,ROUND(RX56*ReferralMix/(1-ReferralMix),0),0)</f>
        <v/>
      </c>
      <c r="RZ56" s="12">
        <f>RX56+RY56</f>
        <v/>
      </c>
      <c r="SA56" s="12">
        <f>ROUND(RZ56*(1-AnnualMix),0)</f>
        <v/>
      </c>
      <c r="SB56" s="12">
        <f>RZ56-SA56</f>
        <v/>
      </c>
      <c r="SC56" s="12">
        <f>ROUND(SA56*EssentialMix,0)</f>
        <v/>
      </c>
      <c r="SD56" s="12">
        <f>SA56-SC56</f>
        <v/>
      </c>
      <c r="SE56" s="12">
        <f>ROUND(SB56*EssentialMix,0)</f>
        <v/>
      </c>
      <c r="SF56" s="12">
        <f>SB56-SE56</f>
        <v/>
      </c>
      <c r="SG56" s="12">
        <f>SC56+SC55+SC54+MAX(0,SG55-SC55-SC54)*(1-RV56)</f>
        <v/>
      </c>
      <c r="SH56" s="12">
        <f>SD56+SD55+SD54+MAX(0,SH55-SD55-SD54)*(1-RV56)</f>
        <v/>
      </c>
      <c r="SI56" s="12">
        <f>SI55+SE56-SE44*(AnnualChurn*VLOOKUP(RR56,ChurnSeasonTable,4,FALSE))*POWER(1-(AnnualChurn*VLOOKUP(RR56,ChurnSeasonTable,4,FALSE)),0)+SE32*(AnnualChurn*VLOOKUP(RR56,ChurnSeasonTable,4,FALSE))*POWER(1-(AnnualChurn*VLOOKUP(RR56,ChurnSeasonTable,4,FALSE)),1)+SE20*(AnnualChurn*VLOOKUP(RR56,ChurnSeasonTable,4,FALSE))*POWER(1-(AnnualChurn*VLOOKUP(RR56,ChurnSeasonTable,4,FALSE)),2)+SE8*(AnnualChurn*VLOOKUP(RR56,ChurnSeasonTable,4,FALSE))*POWER(1-(AnnualChurn*VLOOKUP(RR56,ChurnSeasonTable,4,FALSE)),3)</f>
        <v/>
      </c>
      <c r="SJ56" s="12">
        <f>SJ55+SF56-SF44*(AnnualChurn*VLOOKUP(RR56,ChurnSeasonTable,4,FALSE))*POWER(1-(AnnualChurn*VLOOKUP(RR56,ChurnSeasonTable,4,FALSE)),0)+SF32*(AnnualChurn*VLOOKUP(RR56,ChurnSeasonTable,4,FALSE))*POWER(1-(AnnualChurn*VLOOKUP(RR56,ChurnSeasonTable,4,FALSE)),1)+SF20*(AnnualChurn*VLOOKUP(RR56,ChurnSeasonTable,4,FALSE))*POWER(1-(AnnualChurn*VLOOKUP(RR56,ChurnSeasonTable,4,FALSE)),2)+SF8*(AnnualChurn*VLOOKUP(RR56,ChurnSeasonTable,4,FALSE))*POWER(1-(AnnualChurn*VLOOKUP(RR56,ChurnSeasonTable,4,FALSE)),3)</f>
        <v/>
      </c>
      <c r="SK56" s="12">
        <f>SG56+SH56+SI56+SJ56</f>
        <v/>
      </c>
      <c r="SL56" s="9">
        <f>SG56*PriceEssMonthly*RU56+SH56*PricePremMonthly*RU56+SI56*PriceEssAnnual*RU56/12+SJ56*PricePremAnnual*RU56/12</f>
        <v/>
      </c>
      <c r="SM56" s="9">
        <f>SL56*12</f>
        <v/>
      </c>
      <c r="SN56" s="12">
        <f>SG56*PriceEssMonthly*RU56+SH56*PricePremMonthly*RU56</f>
        <v/>
      </c>
      <c r="SO56" s="12">
        <f>SE56*PriceEssAnnual*RU56+SF56*PricePremAnnual*RU56</f>
        <v/>
      </c>
      <c r="SP56" s="12">
        <f>SE44*POWER(1-(AnnualChurn*VLOOKUP(RR56,ChurnSeasonTable,4,FALSE)),1)*PriceEssAnnual*RU56+SE32*POWER(1-(AnnualChurn*VLOOKUP(RR56,ChurnSeasonTable,4,FALSE)),2)*PriceEssAnnual*RU56+SE20*POWER(1-(AnnualChurn*VLOOKUP(RR56,ChurnSeasonTable,4,FALSE)),3)*PriceEssAnnual*RU56+SE8*POWER(1-(AnnualChurn*VLOOKUP(RR56,ChurnSeasonTable,4,FALSE)),4)*PriceEssAnnual*RU56+SF44*POWER(1-(AnnualChurn*VLOOKUP(RR56,ChurnSeasonTable,4,FALSE)),1)*PricePremAnnual*RU56+SF32*POWER(1-(AnnualChurn*VLOOKUP(RR56,ChurnSeasonTable,4,FALSE)),2)*PricePremAnnual*RU56+SF20*POWER(1-(AnnualChurn*VLOOKUP(RR56,ChurnSeasonTable,4,FALSE)),3)*PricePremAnnual*RU56+SF8*POWER(1-(AnnualChurn*VLOOKUP(RR56,ChurnSeasonTable,4,FALSE)),4)*PricePremAnnual*RU56</f>
        <v/>
      </c>
      <c r="SQ56" s="9">
        <f>SN56+SO56+SP56</f>
        <v/>
      </c>
      <c r="SR56" s="12">
        <f>SUM(SQ45:SQ56)</f>
        <v/>
      </c>
      <c r="SS56" s="12">
        <f>OR(SS55,SR56&gt;=VATThreshold)</f>
        <v/>
      </c>
      <c r="ST56" s="9">
        <f>IF(SS56,SQ56/(1+VATRate),SQ56)</f>
        <v/>
      </c>
      <c r="SU56" s="12">
        <f>SQ56-ST56</f>
        <v/>
      </c>
      <c r="SV56" s="12">
        <f>IF(SS56=0,0,IF(RR56=1,SUMPRODUCT(--(($RS$5:$RS56=$RS56-1)*($RR$5:$RR56&gt;=10)*($RR$5:$RR56&lt;=12)),$SU$5:$SU56),IF(RR56=4,SUMPRODUCT(--(($RS$5:$RS56=$RS56)*($RR$5:$RR56&gt;=1)*($RR$5:$RR56&lt;=3)),$SU$5:$SU56),IF(RR56=7,SUMPRODUCT(--(($RS$5:$RS56=$RS56)*($RR$5:$RR56&gt;=4)*($RR$5:$RR56&lt;=6)),$SU$5:$SU56),IF(RR56=10,SUMPRODUCT(--(($RS$5:$RS56=$RS56)*($RR$5:$RR56&gt;=7)*($RR$5:$RR56&lt;=9)),$SU$5:$SU56),0)))))</f>
        <v/>
      </c>
      <c r="SW56" s="12">
        <f>SW55+SU56-SV56</f>
        <v/>
      </c>
      <c r="SX56" s="12">
        <f>IF(ProviderDelay&gt;=1,ST55*ProviderShare,ST56*ProviderShare)</f>
        <v/>
      </c>
      <c r="SY56" s="12">
        <f>SQ56*PaymentFee</f>
        <v/>
      </c>
      <c r="SZ56" s="12">
        <f>SK56*OpsAI</f>
        <v/>
      </c>
      <c r="TA56" s="12">
        <f>MonthlyFixed</f>
        <v/>
      </c>
      <c r="TB56" s="12">
        <f>RY56*ReferralReward</f>
        <v/>
      </c>
      <c r="TC56" s="12">
        <f>RW56</f>
        <v/>
      </c>
      <c r="TD56" s="9">
        <f>ST56-SX56-SY56-SZ56-TA56-TB56-TC56</f>
        <v/>
      </c>
      <c r="TE56" s="9">
        <f>TE55+SQ56-(SX56+SY56+SZ56+TA56+TB56+TC56+SV56)</f>
        <v/>
      </c>
      <c r="TF56" s="12">
        <f>IF(SK56&gt;0,SL56/SK56,0)</f>
        <v/>
      </c>
      <c r="TG56" s="11">
        <f>IF(SK55&gt;0,MAX(0,(SK55+RZ56-SK56)/SK55),0)</f>
        <v/>
      </c>
      <c r="TI56" s="12" t="n">
        <v>52</v>
      </c>
      <c r="TJ56" s="12">
        <f>MOD(TI56-1+LaunchMonth-1,12)+1</f>
        <v/>
      </c>
      <c r="TK56" s="12">
        <f>INT((TI56-1+LaunchMonth-1)/12)+1</f>
        <v/>
      </c>
      <c r="TL56" s="12">
        <f>VLOOKUP(TJ56,SeasonTable,2,FALSE)</f>
        <v/>
      </c>
      <c r="TM56" s="12">
        <f>(1+InflationRate)^INT((TI56-1)/12)</f>
        <v/>
      </c>
      <c r="TN56" s="11">
        <f>MonthlyChurn*VLOOKUP(TJ56,ChurnSeasonTable,4,FALSE)</f>
        <v/>
      </c>
      <c r="TO56" s="12">
        <f>MIN(MAX(MktMin19plus,UI55*MktPct19plus),MAX(0,UW55-CashBuffer))</f>
        <v/>
      </c>
      <c r="TP56" s="12">
        <f>IF(TO56&gt;0,MAX(1,ROUND(TO56/CAC*TL56,0)),0)</f>
        <v/>
      </c>
      <c r="TQ56" s="12">
        <f>IF(TP56&gt;0,ROUND(TP56*ReferralMix/(1-ReferralMix),0),0)</f>
        <v/>
      </c>
      <c r="TR56" s="12">
        <f>TP56+TQ56</f>
        <v/>
      </c>
      <c r="TS56" s="12">
        <f>ROUND(TR56*(1-'Sens - Annual Mix'!$A$9),0)</f>
        <v/>
      </c>
      <c r="TT56" s="12">
        <f>TR56-TS56</f>
        <v/>
      </c>
      <c r="TU56" s="12">
        <f>ROUND(TS56*EssentialMix,0)</f>
        <v/>
      </c>
      <c r="TV56" s="12">
        <f>TS56-TU56</f>
        <v/>
      </c>
      <c r="TW56" s="12">
        <f>ROUND(TT56*EssentialMix,0)</f>
        <v/>
      </c>
      <c r="TX56" s="12">
        <f>TT56-TW56</f>
        <v/>
      </c>
      <c r="TY56" s="12">
        <f>TU56+TU55+TU54+MAX(0,TY55-TU55-TU54)*(1-TN56)</f>
        <v/>
      </c>
      <c r="TZ56" s="12">
        <f>TV56+TV55+TV54+MAX(0,TZ55-TV55-TV54)*(1-TN56)</f>
        <v/>
      </c>
      <c r="UA56" s="12">
        <f>UA55+TW56-TW44*(AnnualChurn*VLOOKUP(TJ56,ChurnSeasonTable,4,FALSE))*POWER(1-(AnnualChurn*VLOOKUP(TJ56,ChurnSeasonTable,4,FALSE)),0)+TW32*(AnnualChurn*VLOOKUP(TJ56,ChurnSeasonTable,4,FALSE))*POWER(1-(AnnualChurn*VLOOKUP(TJ56,ChurnSeasonTable,4,FALSE)),1)+TW20*(AnnualChurn*VLOOKUP(TJ56,ChurnSeasonTable,4,FALSE))*POWER(1-(AnnualChurn*VLOOKUP(TJ56,ChurnSeasonTable,4,FALSE)),2)+TW8*(AnnualChurn*VLOOKUP(TJ56,ChurnSeasonTable,4,FALSE))*POWER(1-(AnnualChurn*VLOOKUP(TJ56,ChurnSeasonTable,4,FALSE)),3)</f>
        <v/>
      </c>
      <c r="UB56" s="12">
        <f>UB55+TX56-TX44*(AnnualChurn*VLOOKUP(TJ56,ChurnSeasonTable,4,FALSE))*POWER(1-(AnnualChurn*VLOOKUP(TJ56,ChurnSeasonTable,4,FALSE)),0)+TX32*(AnnualChurn*VLOOKUP(TJ56,ChurnSeasonTable,4,FALSE))*POWER(1-(AnnualChurn*VLOOKUP(TJ56,ChurnSeasonTable,4,FALSE)),1)+TX20*(AnnualChurn*VLOOKUP(TJ56,ChurnSeasonTable,4,FALSE))*POWER(1-(AnnualChurn*VLOOKUP(TJ56,ChurnSeasonTable,4,FALSE)),2)+TX8*(AnnualChurn*VLOOKUP(TJ56,ChurnSeasonTable,4,FALSE))*POWER(1-(AnnualChurn*VLOOKUP(TJ56,ChurnSeasonTable,4,FALSE)),3)</f>
        <v/>
      </c>
      <c r="UC56" s="12">
        <f>TY56+TZ56+UA56+UB56</f>
        <v/>
      </c>
      <c r="UD56" s="9">
        <f>TY56*PriceEssMonthly*TM56+TZ56*PricePremMonthly*TM56+UA56*PriceEssAnnual*TM56/12+UB56*PricePremAnnual*TM56/12</f>
        <v/>
      </c>
      <c r="UE56" s="9">
        <f>UD56*12</f>
        <v/>
      </c>
      <c r="UF56" s="12">
        <f>TY56*PriceEssMonthly*TM56+TZ56*PricePremMonthly*TM56</f>
        <v/>
      </c>
      <c r="UG56" s="12">
        <f>TW56*PriceEssAnnual*TM56+TX56*PricePremAnnual*TM56</f>
        <v/>
      </c>
      <c r="UH56" s="12">
        <f>TW44*POWER(1-(AnnualChurn*VLOOKUP(TJ56,ChurnSeasonTable,4,FALSE)),1)*PriceEssAnnual*TM56+TW32*POWER(1-(AnnualChurn*VLOOKUP(TJ56,ChurnSeasonTable,4,FALSE)),2)*PriceEssAnnual*TM56+TW20*POWER(1-(AnnualChurn*VLOOKUP(TJ56,ChurnSeasonTable,4,FALSE)),3)*PriceEssAnnual*TM56+TW8*POWER(1-(AnnualChurn*VLOOKUP(TJ56,ChurnSeasonTable,4,FALSE)),4)*PriceEssAnnual*TM56+TX44*POWER(1-(AnnualChurn*VLOOKUP(TJ56,ChurnSeasonTable,4,FALSE)),1)*PricePremAnnual*TM56+TX32*POWER(1-(AnnualChurn*VLOOKUP(TJ56,ChurnSeasonTable,4,FALSE)),2)*PricePremAnnual*TM56+TX20*POWER(1-(AnnualChurn*VLOOKUP(TJ56,ChurnSeasonTable,4,FALSE)),3)*PricePremAnnual*TM56+TX8*POWER(1-(AnnualChurn*VLOOKUP(TJ56,ChurnSeasonTable,4,FALSE)),4)*PricePremAnnual*TM56</f>
        <v/>
      </c>
      <c r="UI56" s="9">
        <f>UF56+UG56+UH56</f>
        <v/>
      </c>
      <c r="UJ56" s="12">
        <f>SUM(UI45:UI56)</f>
        <v/>
      </c>
      <c r="UK56" s="12">
        <f>OR(UK55,UJ56&gt;=VATThreshold)</f>
        <v/>
      </c>
      <c r="UL56" s="9">
        <f>IF(UK56,UI56/(1+VATRate),UI56)</f>
        <v/>
      </c>
      <c r="UM56" s="12">
        <f>UI56-UL56</f>
        <v/>
      </c>
      <c r="UN56" s="12">
        <f>IF(UK56=0,0,IF(TJ56=1,SUMPRODUCT(--(($TK$5:$TK56=$TK56-1)*($TJ$5:$TJ56&gt;=10)*($TJ$5:$TJ56&lt;=12)),$UM$5:$UM56),IF(TJ56=4,SUMPRODUCT(--(($TK$5:$TK56=$TK56)*($TJ$5:$TJ56&gt;=1)*($TJ$5:$TJ56&lt;=3)),$UM$5:$UM56),IF(TJ56=7,SUMPRODUCT(--(($TK$5:$TK56=$TK56)*($TJ$5:$TJ56&gt;=4)*($TJ$5:$TJ56&lt;=6)),$UM$5:$UM56),IF(TJ56=10,SUMPRODUCT(--(($TK$5:$TK56=$TK56)*($TJ$5:$TJ56&gt;=7)*($TJ$5:$TJ56&lt;=9)),$UM$5:$UM56),0)))))</f>
        <v/>
      </c>
      <c r="UO56" s="12">
        <f>UO55+UM56-UN56</f>
        <v/>
      </c>
      <c r="UP56" s="12">
        <f>IF(ProviderDelay&gt;=1,UL55*ProviderShare,UL56*ProviderShare)</f>
        <v/>
      </c>
      <c r="UQ56" s="12">
        <f>UI56*PaymentFee</f>
        <v/>
      </c>
      <c r="UR56" s="12">
        <f>UC56*OpsAI</f>
        <v/>
      </c>
      <c r="US56" s="12">
        <f>MonthlyFixed</f>
        <v/>
      </c>
      <c r="UT56" s="12">
        <f>TQ56*ReferralReward</f>
        <v/>
      </c>
      <c r="UU56" s="12">
        <f>TO56</f>
        <v/>
      </c>
      <c r="UV56" s="9">
        <f>UL56-UP56-UQ56-UR56-US56-UT56-UU56</f>
        <v/>
      </c>
      <c r="UW56" s="9">
        <f>UW55+UI56-(UP56+UQ56+UR56+US56+UT56+UU56+UN56)</f>
        <v/>
      </c>
      <c r="UX56" s="12">
        <f>IF(UC56&gt;0,UD56/UC56,0)</f>
        <v/>
      </c>
      <c r="UY56" s="11">
        <f>IF(UC55&gt;0,MAX(0,(UC55+TR56-UC56)/UC55),0)</f>
        <v/>
      </c>
      <c r="VA56" s="12" t="n">
        <v>52</v>
      </c>
      <c r="VB56" s="12">
        <f>MOD(VA56-1+LaunchMonth-1,12)+1</f>
        <v/>
      </c>
      <c r="VC56" s="12">
        <f>INT((VA56-1+LaunchMonth-1)/12)+1</f>
        <v/>
      </c>
      <c r="VD56" s="12">
        <f>VLOOKUP(VB56,SeasonTable,2,FALSE)</f>
        <v/>
      </c>
      <c r="VE56" s="12">
        <f>(1+InflationRate)^INT((VA56-1)/12)</f>
        <v/>
      </c>
      <c r="VF56" s="11">
        <f>MonthlyChurn*VLOOKUP(VB56,ChurnSeasonTable,4,FALSE)</f>
        <v/>
      </c>
      <c r="VG56" s="12">
        <f>MIN(MAX(MktMin19plus,WA55*MktPct19plus),MAX(0,WO55-CashBuffer))</f>
        <v/>
      </c>
      <c r="VH56" s="12">
        <f>IF(VG56&gt;0,MAX(1,ROUND(VG56/CAC*VD56,0)),0)</f>
        <v/>
      </c>
      <c r="VI56" s="12">
        <f>IF(VH56&gt;0,ROUND(VH56*ReferralMix/(1-ReferralMix),0),0)</f>
        <v/>
      </c>
      <c r="VJ56" s="12">
        <f>VH56+VI56</f>
        <v/>
      </c>
      <c r="VK56" s="12">
        <f>ROUND(VJ56*(1-'Sens - Annual Mix'!$A$10),0)</f>
        <v/>
      </c>
      <c r="VL56" s="12">
        <f>VJ56-VK56</f>
        <v/>
      </c>
      <c r="VM56" s="12">
        <f>ROUND(VK56*EssentialMix,0)</f>
        <v/>
      </c>
      <c r="VN56" s="12">
        <f>VK56-VM56</f>
        <v/>
      </c>
      <c r="VO56" s="12">
        <f>ROUND(VL56*EssentialMix,0)</f>
        <v/>
      </c>
      <c r="VP56" s="12">
        <f>VL56-VO56</f>
        <v/>
      </c>
      <c r="VQ56" s="12">
        <f>VM56+VM55+VM54+MAX(0,VQ55-VM55-VM54)*(1-VF56)</f>
        <v/>
      </c>
      <c r="VR56" s="12">
        <f>VN56+VN55+VN54+MAX(0,VR55-VN55-VN54)*(1-VF56)</f>
        <v/>
      </c>
      <c r="VS56" s="12">
        <f>VS55+VO56-VO44*(AnnualChurn*VLOOKUP(VB56,ChurnSeasonTable,4,FALSE))*POWER(1-(AnnualChurn*VLOOKUP(VB56,ChurnSeasonTable,4,FALSE)),0)+VO32*(AnnualChurn*VLOOKUP(VB56,ChurnSeasonTable,4,FALSE))*POWER(1-(AnnualChurn*VLOOKUP(VB56,ChurnSeasonTable,4,FALSE)),1)+VO20*(AnnualChurn*VLOOKUP(VB56,ChurnSeasonTable,4,FALSE))*POWER(1-(AnnualChurn*VLOOKUP(VB56,ChurnSeasonTable,4,FALSE)),2)+VO8*(AnnualChurn*VLOOKUP(VB56,ChurnSeasonTable,4,FALSE))*POWER(1-(AnnualChurn*VLOOKUP(VB56,ChurnSeasonTable,4,FALSE)),3)</f>
        <v/>
      </c>
      <c r="VT56" s="12">
        <f>VT55+VP56-VP44*(AnnualChurn*VLOOKUP(VB56,ChurnSeasonTable,4,FALSE))*POWER(1-(AnnualChurn*VLOOKUP(VB56,ChurnSeasonTable,4,FALSE)),0)+VP32*(AnnualChurn*VLOOKUP(VB56,ChurnSeasonTable,4,FALSE))*POWER(1-(AnnualChurn*VLOOKUP(VB56,ChurnSeasonTable,4,FALSE)),1)+VP20*(AnnualChurn*VLOOKUP(VB56,ChurnSeasonTable,4,FALSE))*POWER(1-(AnnualChurn*VLOOKUP(VB56,ChurnSeasonTable,4,FALSE)),2)+VP8*(AnnualChurn*VLOOKUP(VB56,ChurnSeasonTable,4,FALSE))*POWER(1-(AnnualChurn*VLOOKUP(VB56,ChurnSeasonTable,4,FALSE)),3)</f>
        <v/>
      </c>
      <c r="VU56" s="12">
        <f>VQ56+VR56+VS56+VT56</f>
        <v/>
      </c>
      <c r="VV56" s="9">
        <f>VQ56*PriceEssMonthly*VE56+VR56*PricePremMonthly*VE56+VS56*PriceEssAnnual*VE56/12+VT56*PricePremAnnual*VE56/12</f>
        <v/>
      </c>
      <c r="VW56" s="9">
        <f>VV56*12</f>
        <v/>
      </c>
      <c r="VX56" s="12">
        <f>VQ56*PriceEssMonthly*VE56+VR56*PricePremMonthly*VE56</f>
        <v/>
      </c>
      <c r="VY56" s="12">
        <f>VO56*PriceEssAnnual*VE56+VP56*PricePremAnnual*VE56</f>
        <v/>
      </c>
      <c r="VZ56" s="12">
        <f>VO44*POWER(1-(AnnualChurn*VLOOKUP(VB56,ChurnSeasonTable,4,FALSE)),1)*PriceEssAnnual*VE56+VO32*POWER(1-(AnnualChurn*VLOOKUP(VB56,ChurnSeasonTable,4,FALSE)),2)*PriceEssAnnual*VE56+VO20*POWER(1-(AnnualChurn*VLOOKUP(VB56,ChurnSeasonTable,4,FALSE)),3)*PriceEssAnnual*VE56+VO8*POWER(1-(AnnualChurn*VLOOKUP(VB56,ChurnSeasonTable,4,FALSE)),4)*PriceEssAnnual*VE56+VP44*POWER(1-(AnnualChurn*VLOOKUP(VB56,ChurnSeasonTable,4,FALSE)),1)*PricePremAnnual*VE56+VP32*POWER(1-(AnnualChurn*VLOOKUP(VB56,ChurnSeasonTable,4,FALSE)),2)*PricePremAnnual*VE56+VP20*POWER(1-(AnnualChurn*VLOOKUP(VB56,ChurnSeasonTable,4,FALSE)),3)*PricePremAnnual*VE56+VP8*POWER(1-(AnnualChurn*VLOOKUP(VB56,ChurnSeasonTable,4,FALSE)),4)*PricePremAnnual*VE56</f>
        <v/>
      </c>
      <c r="WA56" s="9">
        <f>VX56+VY56+VZ56</f>
        <v/>
      </c>
      <c r="WB56" s="12">
        <f>SUM(WA45:WA56)</f>
        <v/>
      </c>
      <c r="WC56" s="12">
        <f>OR(WC55,WB56&gt;=VATThreshold)</f>
        <v/>
      </c>
      <c r="WD56" s="9">
        <f>IF(WC56,WA56/(1+VATRate),WA56)</f>
        <v/>
      </c>
      <c r="WE56" s="12">
        <f>WA56-WD56</f>
        <v/>
      </c>
      <c r="WF56" s="12">
        <f>IF(WC56=0,0,IF(VB56=1,SUMPRODUCT(--(($VC$5:$VC56=$VC56-1)*($VB$5:$VB56&gt;=10)*($VB$5:$VB56&lt;=12)),$WE$5:$WE56),IF(VB56=4,SUMPRODUCT(--(($VC$5:$VC56=$VC56)*($VB$5:$VB56&gt;=1)*($VB$5:$VB56&lt;=3)),$WE$5:$WE56),IF(VB56=7,SUMPRODUCT(--(($VC$5:$VC56=$VC56)*($VB$5:$VB56&gt;=4)*($VB$5:$VB56&lt;=6)),$WE$5:$WE56),IF(VB56=10,SUMPRODUCT(--(($VC$5:$VC56=$VC56)*($VB$5:$VB56&gt;=7)*($VB$5:$VB56&lt;=9)),$WE$5:$WE56),0)))))</f>
        <v/>
      </c>
      <c r="WG56" s="12">
        <f>WG55+WE56-WF56</f>
        <v/>
      </c>
      <c r="WH56" s="12">
        <f>IF(ProviderDelay&gt;=1,WD55*ProviderShare,WD56*ProviderShare)</f>
        <v/>
      </c>
      <c r="WI56" s="12">
        <f>WA56*PaymentFee</f>
        <v/>
      </c>
      <c r="WJ56" s="12">
        <f>VU56*OpsAI</f>
        <v/>
      </c>
      <c r="WK56" s="12">
        <f>MonthlyFixed</f>
        <v/>
      </c>
      <c r="WL56" s="12">
        <f>VI56*ReferralReward</f>
        <v/>
      </c>
      <c r="WM56" s="12">
        <f>VG56</f>
        <v/>
      </c>
      <c r="WN56" s="9">
        <f>WD56-WH56-WI56-WJ56-WK56-WL56-WM56</f>
        <v/>
      </c>
      <c r="WO56" s="9">
        <f>WO55+WA56-(WH56+WI56+WJ56+WK56+WL56+WM56+WF56)</f>
        <v/>
      </c>
      <c r="WP56" s="12">
        <f>IF(VU56&gt;0,VV56/VU56,0)</f>
        <v/>
      </c>
      <c r="WQ56" s="11">
        <f>IF(VU55&gt;0,MAX(0,(VU55+VJ56-VU56)/VU55),0)</f>
        <v/>
      </c>
      <c r="WS56" s="12" t="n">
        <v>52</v>
      </c>
      <c r="WT56" s="12">
        <f>MOD(WS56-1+LaunchMonth-1,12)+1</f>
        <v/>
      </c>
      <c r="WU56" s="12">
        <f>INT((WS56-1+LaunchMonth-1)/12)+1</f>
        <v/>
      </c>
      <c r="WV56" s="12">
        <f>VLOOKUP(WT56,SeasonTable,2,FALSE)</f>
        <v/>
      </c>
      <c r="WW56" s="12">
        <f>(1+InflationRate)^INT((WS56-1)/12)</f>
        <v/>
      </c>
      <c r="WX56" s="11">
        <f>MonthlyChurn*VLOOKUP(WT56,ChurnSeasonTable,4,FALSE)</f>
        <v/>
      </c>
      <c r="WY56" s="12">
        <f>MIN(MAX(MktMin19plus,XS55*MktPct19plus),MAX(0,YG55-CashBuffer))</f>
        <v/>
      </c>
      <c r="WZ56" s="12">
        <f>IF(WY56&gt;0,MAX(1,ROUND(WY56/CAC*WV56,0)),0)</f>
        <v/>
      </c>
      <c r="XA56" s="12">
        <f>IF(WZ56&gt;0,ROUND(WZ56*ReferralMix/(1-ReferralMix),0),0)</f>
        <v/>
      </c>
      <c r="XB56" s="12">
        <f>WZ56+XA56</f>
        <v/>
      </c>
      <c r="XC56" s="12">
        <f>ROUND(XB56*(1-'Sens - Annual Mix'!$A$11),0)</f>
        <v/>
      </c>
      <c r="XD56" s="12">
        <f>XB56-XC56</f>
        <v/>
      </c>
      <c r="XE56" s="12">
        <f>ROUND(XC56*EssentialMix,0)</f>
        <v/>
      </c>
      <c r="XF56" s="12">
        <f>XC56-XE56</f>
        <v/>
      </c>
      <c r="XG56" s="12">
        <f>ROUND(XD56*EssentialMix,0)</f>
        <v/>
      </c>
      <c r="XH56" s="12">
        <f>XD56-XG56</f>
        <v/>
      </c>
      <c r="XI56" s="12">
        <f>XE56+XE55+XE54+MAX(0,XI55-XE55-XE54)*(1-WX56)</f>
        <v/>
      </c>
      <c r="XJ56" s="12">
        <f>XF56+XF55+XF54+MAX(0,XJ55-XF55-XF54)*(1-WX56)</f>
        <v/>
      </c>
      <c r="XK56" s="12">
        <f>XK55+XG56-XG44*(AnnualChurn*VLOOKUP(WT56,ChurnSeasonTable,4,FALSE))*POWER(1-(AnnualChurn*VLOOKUP(WT56,ChurnSeasonTable,4,FALSE)),0)+XG32*(AnnualChurn*VLOOKUP(WT56,ChurnSeasonTable,4,FALSE))*POWER(1-(AnnualChurn*VLOOKUP(WT56,ChurnSeasonTable,4,FALSE)),1)+XG20*(AnnualChurn*VLOOKUP(WT56,ChurnSeasonTable,4,FALSE))*POWER(1-(AnnualChurn*VLOOKUP(WT56,ChurnSeasonTable,4,FALSE)),2)+XG8*(AnnualChurn*VLOOKUP(WT56,ChurnSeasonTable,4,FALSE))*POWER(1-(AnnualChurn*VLOOKUP(WT56,ChurnSeasonTable,4,FALSE)),3)</f>
        <v/>
      </c>
      <c r="XL56" s="12">
        <f>XL55+XH56-XH44*(AnnualChurn*VLOOKUP(WT56,ChurnSeasonTable,4,FALSE))*POWER(1-(AnnualChurn*VLOOKUP(WT56,ChurnSeasonTable,4,FALSE)),0)+XH32*(AnnualChurn*VLOOKUP(WT56,ChurnSeasonTable,4,FALSE))*POWER(1-(AnnualChurn*VLOOKUP(WT56,ChurnSeasonTable,4,FALSE)),1)+XH20*(AnnualChurn*VLOOKUP(WT56,ChurnSeasonTable,4,FALSE))*POWER(1-(AnnualChurn*VLOOKUP(WT56,ChurnSeasonTable,4,FALSE)),2)+XH8*(AnnualChurn*VLOOKUP(WT56,ChurnSeasonTable,4,FALSE))*POWER(1-(AnnualChurn*VLOOKUP(WT56,ChurnSeasonTable,4,FALSE)),3)</f>
        <v/>
      </c>
      <c r="XM56" s="12">
        <f>XI56+XJ56+XK56+XL56</f>
        <v/>
      </c>
      <c r="XN56" s="9">
        <f>XI56*PriceEssMonthly*WW56+XJ56*PricePremMonthly*WW56+XK56*PriceEssAnnual*WW56/12+XL56*PricePremAnnual*WW56/12</f>
        <v/>
      </c>
      <c r="XO56" s="9">
        <f>XN56*12</f>
        <v/>
      </c>
      <c r="XP56" s="12">
        <f>XI56*PriceEssMonthly*WW56+XJ56*PricePremMonthly*WW56</f>
        <v/>
      </c>
      <c r="XQ56" s="12">
        <f>XG56*PriceEssAnnual*WW56+XH56*PricePremAnnual*WW56</f>
        <v/>
      </c>
      <c r="XR56" s="12">
        <f>XG44*POWER(1-(AnnualChurn*VLOOKUP(WT56,ChurnSeasonTable,4,FALSE)),1)*PriceEssAnnual*WW56+XG32*POWER(1-(AnnualChurn*VLOOKUP(WT56,ChurnSeasonTable,4,FALSE)),2)*PriceEssAnnual*WW56+XG20*POWER(1-(AnnualChurn*VLOOKUP(WT56,ChurnSeasonTable,4,FALSE)),3)*PriceEssAnnual*WW56+XG8*POWER(1-(AnnualChurn*VLOOKUP(WT56,ChurnSeasonTable,4,FALSE)),4)*PriceEssAnnual*WW56+XH44*POWER(1-(AnnualChurn*VLOOKUP(WT56,ChurnSeasonTable,4,FALSE)),1)*PricePremAnnual*WW56+XH32*POWER(1-(AnnualChurn*VLOOKUP(WT56,ChurnSeasonTable,4,FALSE)),2)*PricePremAnnual*WW56+XH20*POWER(1-(AnnualChurn*VLOOKUP(WT56,ChurnSeasonTable,4,FALSE)),3)*PricePremAnnual*WW56+XH8*POWER(1-(AnnualChurn*VLOOKUP(WT56,ChurnSeasonTable,4,FALSE)),4)*PricePremAnnual*WW56</f>
        <v/>
      </c>
      <c r="XS56" s="9">
        <f>XP56+XQ56+XR56</f>
        <v/>
      </c>
      <c r="XT56" s="12">
        <f>SUM(XS45:XS56)</f>
        <v/>
      </c>
      <c r="XU56" s="12">
        <f>OR(XU55,XT56&gt;=VATThreshold)</f>
        <v/>
      </c>
      <c r="XV56" s="9">
        <f>IF(XU56,XS56/(1+VATRate),XS56)</f>
        <v/>
      </c>
      <c r="XW56" s="12">
        <f>XS56-XV56</f>
        <v/>
      </c>
      <c r="XX56" s="12">
        <f>IF(XU56=0,0,IF(WT56=1,SUMPRODUCT(--(($WU$5:$WU56=$WU56-1)*($WT$5:$WT56&gt;=10)*($WT$5:$WT56&lt;=12)),$XW$5:$XW56),IF(WT56=4,SUMPRODUCT(--(($WU$5:$WU56=$WU56)*($WT$5:$WT56&gt;=1)*($WT$5:$WT56&lt;=3)),$XW$5:$XW56),IF(WT56=7,SUMPRODUCT(--(($WU$5:$WU56=$WU56)*($WT$5:$WT56&gt;=4)*($WT$5:$WT56&lt;=6)),$XW$5:$XW56),IF(WT56=10,SUMPRODUCT(--(($WU$5:$WU56=$WU56)*($WT$5:$WT56&gt;=7)*($WT$5:$WT56&lt;=9)),$XW$5:$XW56),0)))))</f>
        <v/>
      </c>
      <c r="XY56" s="12">
        <f>XY55+XW56-XX56</f>
        <v/>
      </c>
      <c r="XZ56" s="12">
        <f>IF(ProviderDelay&gt;=1,XV55*ProviderShare,XV56*ProviderShare)</f>
        <v/>
      </c>
      <c r="YA56" s="12">
        <f>XS56*PaymentFee</f>
        <v/>
      </c>
      <c r="YB56" s="12">
        <f>XM56*OpsAI</f>
        <v/>
      </c>
      <c r="YC56" s="12">
        <f>MonthlyFixed</f>
        <v/>
      </c>
      <c r="YD56" s="12">
        <f>XA56*ReferralReward</f>
        <v/>
      </c>
      <c r="YE56" s="12">
        <f>WY56</f>
        <v/>
      </c>
      <c r="YF56" s="9">
        <f>XV56-XZ56-YA56-YB56-YC56-YD56-YE56</f>
        <v/>
      </c>
      <c r="YG56" s="9">
        <f>YG55+XS56-(XZ56+YA56+YB56+YC56+YD56+YE56+XX56)</f>
        <v/>
      </c>
      <c r="YH56" s="12">
        <f>IF(XM56&gt;0,XN56/XM56,0)</f>
        <v/>
      </c>
      <c r="YI56" s="11">
        <f>IF(XM55&gt;0,MAX(0,(XM55+XB56-XM56)/XM55),0)</f>
        <v/>
      </c>
      <c r="YK56" s="12" t="n">
        <v>52</v>
      </c>
      <c r="YL56" s="12">
        <f>MOD(YK56-1+LaunchMonth-1,12)+1</f>
        <v/>
      </c>
      <c r="YM56" s="12">
        <f>INT((YK56-1+LaunchMonth-1)/12)+1</f>
        <v/>
      </c>
      <c r="YN56" s="12">
        <f>VLOOKUP(YL56,SeasonTable,2,FALSE)</f>
        <v/>
      </c>
      <c r="YO56" s="12">
        <f>(1+InflationRate)^INT((YK56-1)/12)</f>
        <v/>
      </c>
      <c r="YP56" s="11">
        <f>MonthlyChurn*VLOOKUP(YL56,ChurnSeasonTable,4,FALSE)</f>
        <v/>
      </c>
      <c r="YQ56" s="12">
        <f>MIN(MAX(MktMin19plus,ZK55*MktPct19plus),MAX(0,ZY55-CashBuffer))</f>
        <v/>
      </c>
      <c r="YR56" s="12">
        <f>IF(YQ56&gt;0,MAX(1,ROUND(YQ56/CAC*YN56,0)),0)</f>
        <v/>
      </c>
      <c r="YS56" s="12">
        <f>IF(YR56&gt;0,ROUND(YR56*ReferralMix/(1-ReferralMix),0),0)</f>
        <v/>
      </c>
      <c r="YT56" s="12">
        <f>YR56+YS56</f>
        <v/>
      </c>
      <c r="YU56" s="12">
        <f>ROUND(YT56*(1-'Sens - Annual Mix'!$A$12),0)</f>
        <v/>
      </c>
      <c r="YV56" s="12">
        <f>YT56-YU56</f>
        <v/>
      </c>
      <c r="YW56" s="12">
        <f>ROUND(YU56*EssentialMix,0)</f>
        <v/>
      </c>
      <c r="YX56" s="12">
        <f>YU56-YW56</f>
        <v/>
      </c>
      <c r="YY56" s="12">
        <f>ROUND(YV56*EssentialMix,0)</f>
        <v/>
      </c>
      <c r="YZ56" s="12">
        <f>YV56-YY56</f>
        <v/>
      </c>
      <c r="ZA56" s="12">
        <f>YW56+YW55+YW54+MAX(0,ZA55-YW55-YW54)*(1-YP56)</f>
        <v/>
      </c>
      <c r="ZB56" s="12">
        <f>YX56+YX55+YX54+MAX(0,ZB55-YX55-YX54)*(1-YP56)</f>
        <v/>
      </c>
      <c r="ZC56" s="12">
        <f>ZC55+YY56-YY44*(AnnualChurn*VLOOKUP(YL56,ChurnSeasonTable,4,FALSE))*POWER(1-(AnnualChurn*VLOOKUP(YL56,ChurnSeasonTable,4,FALSE)),0)+YY32*(AnnualChurn*VLOOKUP(YL56,ChurnSeasonTable,4,FALSE))*POWER(1-(AnnualChurn*VLOOKUP(YL56,ChurnSeasonTable,4,FALSE)),1)+YY20*(AnnualChurn*VLOOKUP(YL56,ChurnSeasonTable,4,FALSE))*POWER(1-(AnnualChurn*VLOOKUP(YL56,ChurnSeasonTable,4,FALSE)),2)+YY8*(AnnualChurn*VLOOKUP(YL56,ChurnSeasonTable,4,FALSE))*POWER(1-(AnnualChurn*VLOOKUP(YL56,ChurnSeasonTable,4,FALSE)),3)</f>
        <v/>
      </c>
      <c r="ZD56" s="12">
        <f>ZD55+YZ56-YZ44*(AnnualChurn*VLOOKUP(YL56,ChurnSeasonTable,4,FALSE))*POWER(1-(AnnualChurn*VLOOKUP(YL56,ChurnSeasonTable,4,FALSE)),0)+YZ32*(AnnualChurn*VLOOKUP(YL56,ChurnSeasonTable,4,FALSE))*POWER(1-(AnnualChurn*VLOOKUP(YL56,ChurnSeasonTable,4,FALSE)),1)+YZ20*(AnnualChurn*VLOOKUP(YL56,ChurnSeasonTable,4,FALSE))*POWER(1-(AnnualChurn*VLOOKUP(YL56,ChurnSeasonTable,4,FALSE)),2)+YZ8*(AnnualChurn*VLOOKUP(YL56,ChurnSeasonTable,4,FALSE))*POWER(1-(AnnualChurn*VLOOKUP(YL56,ChurnSeasonTable,4,FALSE)),3)</f>
        <v/>
      </c>
      <c r="ZE56" s="12">
        <f>ZA56+ZB56+ZC56+ZD56</f>
        <v/>
      </c>
      <c r="ZF56" s="9">
        <f>ZA56*PriceEssMonthly*YO56+ZB56*PricePremMonthly*YO56+ZC56*PriceEssAnnual*YO56/12+ZD56*PricePremAnnual*YO56/12</f>
        <v/>
      </c>
      <c r="ZG56" s="9">
        <f>ZF56*12</f>
        <v/>
      </c>
      <c r="ZH56" s="12">
        <f>ZA56*PriceEssMonthly*YO56+ZB56*PricePremMonthly*YO56</f>
        <v/>
      </c>
      <c r="ZI56" s="12">
        <f>YY56*PriceEssAnnual*YO56+YZ56*PricePremAnnual*YO56</f>
        <v/>
      </c>
      <c r="ZJ56" s="12">
        <f>YY44*POWER(1-(AnnualChurn*VLOOKUP(YL56,ChurnSeasonTable,4,FALSE)),1)*PriceEssAnnual*YO56+YY32*POWER(1-(AnnualChurn*VLOOKUP(YL56,ChurnSeasonTable,4,FALSE)),2)*PriceEssAnnual*YO56+YY20*POWER(1-(AnnualChurn*VLOOKUP(YL56,ChurnSeasonTable,4,FALSE)),3)*PriceEssAnnual*YO56+YY8*POWER(1-(AnnualChurn*VLOOKUP(YL56,ChurnSeasonTable,4,FALSE)),4)*PriceEssAnnual*YO56+YZ44*POWER(1-(AnnualChurn*VLOOKUP(YL56,ChurnSeasonTable,4,FALSE)),1)*PricePremAnnual*YO56+YZ32*POWER(1-(AnnualChurn*VLOOKUP(YL56,ChurnSeasonTable,4,FALSE)),2)*PricePremAnnual*YO56+YZ20*POWER(1-(AnnualChurn*VLOOKUP(YL56,ChurnSeasonTable,4,FALSE)),3)*PricePremAnnual*YO56+YZ8*POWER(1-(AnnualChurn*VLOOKUP(YL56,ChurnSeasonTable,4,FALSE)),4)*PricePremAnnual*YO56</f>
        <v/>
      </c>
      <c r="ZK56" s="9">
        <f>ZH56+ZI56+ZJ56</f>
        <v/>
      </c>
      <c r="ZL56" s="12">
        <f>SUM(ZK45:ZK56)</f>
        <v/>
      </c>
      <c r="ZM56" s="12">
        <f>OR(ZM55,ZL56&gt;=VATThreshold)</f>
        <v/>
      </c>
      <c r="ZN56" s="9">
        <f>IF(ZM56,ZK56/(1+VATRate),ZK56)</f>
        <v/>
      </c>
      <c r="ZO56" s="12">
        <f>ZK56-ZN56</f>
        <v/>
      </c>
      <c r="ZP56" s="12">
        <f>IF(ZM56=0,0,IF(YL56=1,SUMPRODUCT(--(($YM$5:$YM56=$YM56-1)*($YL$5:$YL56&gt;=10)*($YL$5:$YL56&lt;=12)),$ZO$5:$ZO56),IF(YL56=4,SUMPRODUCT(--(($YM$5:$YM56=$YM56)*($YL$5:$YL56&gt;=1)*($YL$5:$YL56&lt;=3)),$ZO$5:$ZO56),IF(YL56=7,SUMPRODUCT(--(($YM$5:$YM56=$YM56)*($YL$5:$YL56&gt;=4)*($YL$5:$YL56&lt;=6)),$ZO$5:$ZO56),IF(YL56=10,SUMPRODUCT(--(($YM$5:$YM56=$YM56)*($YL$5:$YL56&gt;=7)*($YL$5:$YL56&lt;=9)),$ZO$5:$ZO56),0)))))</f>
        <v/>
      </c>
      <c r="ZQ56" s="12">
        <f>ZQ55+ZO56-ZP56</f>
        <v/>
      </c>
      <c r="ZR56" s="12">
        <f>IF(ProviderDelay&gt;=1,ZN55*ProviderShare,ZN56*ProviderShare)</f>
        <v/>
      </c>
      <c r="ZS56" s="12">
        <f>ZK56*PaymentFee</f>
        <v/>
      </c>
      <c r="ZT56" s="12">
        <f>ZE56*OpsAI</f>
        <v/>
      </c>
      <c r="ZU56" s="12">
        <f>MonthlyFixed</f>
        <v/>
      </c>
      <c r="ZV56" s="12">
        <f>YS56*ReferralReward</f>
        <v/>
      </c>
      <c r="ZW56" s="12">
        <f>YQ56</f>
        <v/>
      </c>
      <c r="ZX56" s="9">
        <f>ZN56-ZR56-ZS56-ZT56-ZU56-ZV56-ZW56</f>
        <v/>
      </c>
      <c r="ZY56" s="9">
        <f>ZY55+ZK56-(ZR56+ZS56+ZT56+ZU56+ZV56+ZW56+ZP56)</f>
        <v/>
      </c>
      <c r="ZZ56" s="12">
        <f>IF(ZE56&gt;0,ZF56/ZE56,0)</f>
        <v/>
      </c>
      <c r="AAA56" s="11">
        <f>IF(ZE55&gt;0,MAX(0,(ZE55+YT56-ZE56)/ZE55),0)</f>
        <v/>
      </c>
      <c r="AAC56" s="12" t="n">
        <v>52</v>
      </c>
      <c r="AAD56" s="12">
        <f>MOD(AAC56-1+LaunchMonth-1,12)+1</f>
        <v/>
      </c>
      <c r="AAE56" s="12">
        <f>INT((AAC56-1+LaunchMonth-1)/12)+1</f>
        <v/>
      </c>
      <c r="AAF56" s="12">
        <f>VLOOKUP(AAD56,SeasonTable,2,FALSE)</f>
        <v/>
      </c>
      <c r="AAG56" s="12">
        <f>(1+InflationRate)^INT((AAC56-1)/12)</f>
        <v/>
      </c>
      <c r="AAH56" s="11">
        <f>MonthlyChurn*VLOOKUP(AAD56,ChurnSeasonTable,4,FALSE)</f>
        <v/>
      </c>
      <c r="AAI56" s="12">
        <f>MIN(MAX(MktMin19plus,ABC55*MktPct19plus),MAX(0,ABQ55-CashBuffer))</f>
        <v/>
      </c>
      <c r="AAJ56" s="12">
        <f>IF(AAI56&gt;0,MAX(1,ROUND(AAI56/CAC*AAF56,0)),0)</f>
        <v/>
      </c>
      <c r="AAK56" s="12">
        <f>IF(AAJ56&gt;0,ROUND(AAJ56*ReferralMix/(1-ReferralMix),0),0)</f>
        <v/>
      </c>
      <c r="AAL56" s="12">
        <f>AAJ56+AAK56</f>
        <v/>
      </c>
      <c r="AAM56" s="12">
        <f>ROUND(AAL56*(1-'Sens - Annual Mix'!$A$13),0)</f>
        <v/>
      </c>
      <c r="AAN56" s="12">
        <f>AAL56-AAM56</f>
        <v/>
      </c>
      <c r="AAO56" s="12">
        <f>ROUND(AAM56*EssentialMix,0)</f>
        <v/>
      </c>
      <c r="AAP56" s="12">
        <f>AAM56-AAO56</f>
        <v/>
      </c>
      <c r="AAQ56" s="12">
        <f>ROUND(AAN56*EssentialMix,0)</f>
        <v/>
      </c>
      <c r="AAR56" s="12">
        <f>AAN56-AAQ56</f>
        <v/>
      </c>
      <c r="AAS56" s="12">
        <f>AAO56+AAO55+AAO54+MAX(0,AAS55-AAO55-AAO54)*(1-AAH56)</f>
        <v/>
      </c>
      <c r="AAT56" s="12">
        <f>AAP56+AAP55+AAP54+MAX(0,AAT55-AAP55-AAP54)*(1-AAH56)</f>
        <v/>
      </c>
      <c r="AAU56" s="12">
        <f>AAU55+AAQ56-AAQ44*(AnnualChurn*VLOOKUP(AAD56,ChurnSeasonTable,4,FALSE))*POWER(1-(AnnualChurn*VLOOKUP(AAD56,ChurnSeasonTable,4,FALSE)),0)+AAQ32*(AnnualChurn*VLOOKUP(AAD56,ChurnSeasonTable,4,FALSE))*POWER(1-(AnnualChurn*VLOOKUP(AAD56,ChurnSeasonTable,4,FALSE)),1)+AAQ20*(AnnualChurn*VLOOKUP(AAD56,ChurnSeasonTable,4,FALSE))*POWER(1-(AnnualChurn*VLOOKUP(AAD56,ChurnSeasonTable,4,FALSE)),2)+AAQ8*(AnnualChurn*VLOOKUP(AAD56,ChurnSeasonTable,4,FALSE))*POWER(1-(AnnualChurn*VLOOKUP(AAD56,ChurnSeasonTable,4,FALSE)),3)</f>
        <v/>
      </c>
      <c r="AAV56" s="12">
        <f>AAV55+AAR56-AAR44*(AnnualChurn*VLOOKUP(AAD56,ChurnSeasonTable,4,FALSE))*POWER(1-(AnnualChurn*VLOOKUP(AAD56,ChurnSeasonTable,4,FALSE)),0)+AAR32*(AnnualChurn*VLOOKUP(AAD56,ChurnSeasonTable,4,FALSE))*POWER(1-(AnnualChurn*VLOOKUP(AAD56,ChurnSeasonTable,4,FALSE)),1)+AAR20*(AnnualChurn*VLOOKUP(AAD56,ChurnSeasonTable,4,FALSE))*POWER(1-(AnnualChurn*VLOOKUP(AAD56,ChurnSeasonTable,4,FALSE)),2)+AAR8*(AnnualChurn*VLOOKUP(AAD56,ChurnSeasonTable,4,FALSE))*POWER(1-(AnnualChurn*VLOOKUP(AAD56,ChurnSeasonTable,4,FALSE)),3)</f>
        <v/>
      </c>
      <c r="AAW56" s="12">
        <f>AAS56+AAT56+AAU56+AAV56</f>
        <v/>
      </c>
      <c r="AAX56" s="9">
        <f>AAS56*PriceEssMonthly*AAG56+AAT56*PricePremMonthly*AAG56+AAU56*PriceEssAnnual*AAG56/12+AAV56*PricePremAnnual*AAG56/12</f>
        <v/>
      </c>
      <c r="AAY56" s="9">
        <f>AAX56*12</f>
        <v/>
      </c>
      <c r="AAZ56" s="12">
        <f>AAS56*PriceEssMonthly*AAG56+AAT56*PricePremMonthly*AAG56</f>
        <v/>
      </c>
      <c r="ABA56" s="12">
        <f>AAQ56*PriceEssAnnual*AAG56+AAR56*PricePremAnnual*AAG56</f>
        <v/>
      </c>
      <c r="ABB56" s="12">
        <f>AAQ44*POWER(1-(AnnualChurn*VLOOKUP(AAD56,ChurnSeasonTable,4,FALSE)),1)*PriceEssAnnual*AAG56+AAQ32*POWER(1-(AnnualChurn*VLOOKUP(AAD56,ChurnSeasonTable,4,FALSE)),2)*PriceEssAnnual*AAG56+AAQ20*POWER(1-(AnnualChurn*VLOOKUP(AAD56,ChurnSeasonTable,4,FALSE)),3)*PriceEssAnnual*AAG56+AAQ8*POWER(1-(AnnualChurn*VLOOKUP(AAD56,ChurnSeasonTable,4,FALSE)),4)*PriceEssAnnual*AAG56+AAR44*POWER(1-(AnnualChurn*VLOOKUP(AAD56,ChurnSeasonTable,4,FALSE)),1)*PricePremAnnual*AAG56+AAR32*POWER(1-(AnnualChurn*VLOOKUP(AAD56,ChurnSeasonTable,4,FALSE)),2)*PricePremAnnual*AAG56+AAR20*POWER(1-(AnnualChurn*VLOOKUP(AAD56,ChurnSeasonTable,4,FALSE)),3)*PricePremAnnual*AAG56+AAR8*POWER(1-(AnnualChurn*VLOOKUP(AAD56,ChurnSeasonTable,4,FALSE)),4)*PricePremAnnual*AAG56</f>
        <v/>
      </c>
      <c r="ABC56" s="9">
        <f>AAZ56+ABA56+ABB56</f>
        <v/>
      </c>
      <c r="ABD56" s="12">
        <f>SUM(ABC45:ABC56)</f>
        <v/>
      </c>
      <c r="ABE56" s="12">
        <f>OR(ABE55,ABD56&gt;=VATThreshold)</f>
        <v/>
      </c>
      <c r="ABF56" s="9">
        <f>IF(ABE56,ABC56/(1+VATRate),ABC56)</f>
        <v/>
      </c>
      <c r="ABG56" s="12">
        <f>ABC56-ABF56</f>
        <v/>
      </c>
      <c r="ABH56" s="12">
        <f>IF(ABE56=0,0,IF(AAD56=1,SUMPRODUCT(--(($AAE$5:$AAE56=$AAE56-1)*($AAD$5:$AAD56&gt;=10)*($AAD$5:$AAD56&lt;=12)),$ABG$5:$ABG56),IF(AAD56=4,SUMPRODUCT(--(($AAE$5:$AAE56=$AAE56)*($AAD$5:$AAD56&gt;=1)*($AAD$5:$AAD56&lt;=3)),$ABG$5:$ABG56),IF(AAD56=7,SUMPRODUCT(--(($AAE$5:$AAE56=$AAE56)*($AAD$5:$AAD56&gt;=4)*($AAD$5:$AAD56&lt;=6)),$ABG$5:$ABG56),IF(AAD56=10,SUMPRODUCT(--(($AAE$5:$AAE56=$AAE56)*($AAD$5:$AAD56&gt;=7)*($AAD$5:$AAD56&lt;=9)),$ABG$5:$ABG56),0)))))</f>
        <v/>
      </c>
      <c r="ABI56" s="12">
        <f>ABI55+ABG56-ABH56</f>
        <v/>
      </c>
      <c r="ABJ56" s="12">
        <f>IF(ProviderDelay&gt;=1,ABF55*ProviderShare,ABF56*ProviderShare)</f>
        <v/>
      </c>
      <c r="ABK56" s="12">
        <f>ABC56*PaymentFee</f>
        <v/>
      </c>
      <c r="ABL56" s="12">
        <f>AAW56*OpsAI</f>
        <v/>
      </c>
      <c r="ABM56" s="12">
        <f>MonthlyFixed</f>
        <v/>
      </c>
      <c r="ABN56" s="12">
        <f>AAK56*ReferralReward</f>
        <v/>
      </c>
      <c r="ABO56" s="12">
        <f>AAI56</f>
        <v/>
      </c>
      <c r="ABP56" s="9">
        <f>ABF56-ABJ56-ABK56-ABL56-ABM56-ABN56-ABO56</f>
        <v/>
      </c>
      <c r="ABQ56" s="9">
        <f>ABQ55+ABC56-(ABJ56+ABK56+ABL56+ABM56+ABN56+ABO56+ABH56)</f>
        <v/>
      </c>
      <c r="ABR56" s="12">
        <f>IF(AAW56&gt;0,AAX56/AAW56,0)</f>
        <v/>
      </c>
      <c r="ABS56" s="11">
        <f>IF(AAW55&gt;0,MAX(0,(AAW55+AAL56-AAW56)/AAW55),0)</f>
        <v/>
      </c>
      <c r="ABU56" s="12" t="n">
        <v>52</v>
      </c>
      <c r="ABV56" s="12">
        <f>MOD(ABU56-1+LaunchMonth-1,12)+1</f>
        <v/>
      </c>
      <c r="ABW56" s="12">
        <f>INT((ABU56-1+LaunchMonth-1)/12)+1</f>
        <v/>
      </c>
      <c r="ABX56" s="12">
        <f>VLOOKUP(ABV56,SeasonTable,2,FALSE)</f>
        <v/>
      </c>
      <c r="ABY56" s="12">
        <f>(1+InflationRate)^INT((ABU56-1)/12)</f>
        <v/>
      </c>
      <c r="ABZ56" s="11">
        <f>MonthlyChurn*VLOOKUP(ABV56,ChurnSeasonTable,4,FALSE)</f>
        <v/>
      </c>
      <c r="ACA56" s="12">
        <f>MIN(MAX(MktMin19plus,ACU55*MktPct19plus),MAX(0,ADI55-CashBuffer))</f>
        <v/>
      </c>
      <c r="ACB56" s="12">
        <f>IF(ACA56&gt;0,MAX(1,ROUND(ACA56/CAC*ABX56,0)),0)</f>
        <v/>
      </c>
      <c r="ACC56" s="12">
        <f>IF(ACB56&gt;0,ROUND(ACB56*ReferralMix/(1-ReferralMix),0),0)</f>
        <v/>
      </c>
      <c r="ACD56" s="12">
        <f>ACB56+ACC56</f>
        <v/>
      </c>
      <c r="ACE56" s="12">
        <f>ROUND(ACD56*(1-'Sens - Annual Mix'!$A$14),0)</f>
        <v/>
      </c>
      <c r="ACF56" s="12">
        <f>ACD56-ACE56</f>
        <v/>
      </c>
      <c r="ACG56" s="12">
        <f>ROUND(ACE56*EssentialMix,0)</f>
        <v/>
      </c>
      <c r="ACH56" s="12">
        <f>ACE56-ACG56</f>
        <v/>
      </c>
      <c r="ACI56" s="12">
        <f>ROUND(ACF56*EssentialMix,0)</f>
        <v/>
      </c>
      <c r="ACJ56" s="12">
        <f>ACF56-ACI56</f>
        <v/>
      </c>
      <c r="ACK56" s="12">
        <f>ACG56+ACG55+ACG54+MAX(0,ACK55-ACG55-ACG54)*(1-ABZ56)</f>
        <v/>
      </c>
      <c r="ACL56" s="12">
        <f>ACH56+ACH55+ACH54+MAX(0,ACL55-ACH55-ACH54)*(1-ABZ56)</f>
        <v/>
      </c>
      <c r="ACM56" s="12">
        <f>ACM55+ACI56-ACI44*(AnnualChurn*VLOOKUP(ABV56,ChurnSeasonTable,4,FALSE))*POWER(1-(AnnualChurn*VLOOKUP(ABV56,ChurnSeasonTable,4,FALSE)),0)+ACI32*(AnnualChurn*VLOOKUP(ABV56,ChurnSeasonTable,4,FALSE))*POWER(1-(AnnualChurn*VLOOKUP(ABV56,ChurnSeasonTable,4,FALSE)),1)+ACI20*(AnnualChurn*VLOOKUP(ABV56,ChurnSeasonTable,4,FALSE))*POWER(1-(AnnualChurn*VLOOKUP(ABV56,ChurnSeasonTable,4,FALSE)),2)+ACI8*(AnnualChurn*VLOOKUP(ABV56,ChurnSeasonTable,4,FALSE))*POWER(1-(AnnualChurn*VLOOKUP(ABV56,ChurnSeasonTable,4,FALSE)),3)</f>
        <v/>
      </c>
      <c r="ACN56" s="12">
        <f>ACN55+ACJ56-ACJ44*(AnnualChurn*VLOOKUP(ABV56,ChurnSeasonTable,4,FALSE))*POWER(1-(AnnualChurn*VLOOKUP(ABV56,ChurnSeasonTable,4,FALSE)),0)+ACJ32*(AnnualChurn*VLOOKUP(ABV56,ChurnSeasonTable,4,FALSE))*POWER(1-(AnnualChurn*VLOOKUP(ABV56,ChurnSeasonTable,4,FALSE)),1)+ACJ20*(AnnualChurn*VLOOKUP(ABV56,ChurnSeasonTable,4,FALSE))*POWER(1-(AnnualChurn*VLOOKUP(ABV56,ChurnSeasonTable,4,FALSE)),2)+ACJ8*(AnnualChurn*VLOOKUP(ABV56,ChurnSeasonTable,4,FALSE))*POWER(1-(AnnualChurn*VLOOKUP(ABV56,ChurnSeasonTable,4,FALSE)),3)</f>
        <v/>
      </c>
      <c r="ACO56" s="12">
        <f>ACK56+ACL56+ACM56+ACN56</f>
        <v/>
      </c>
      <c r="ACP56" s="9">
        <f>ACK56*PriceEssMonthly*ABY56+ACL56*PricePremMonthly*ABY56+ACM56*PriceEssAnnual*ABY56/12+ACN56*PricePremAnnual*ABY56/12</f>
        <v/>
      </c>
      <c r="ACQ56" s="9">
        <f>ACP56*12</f>
        <v/>
      </c>
      <c r="ACR56" s="12">
        <f>ACK56*PriceEssMonthly*ABY56+ACL56*PricePremMonthly*ABY56</f>
        <v/>
      </c>
      <c r="ACS56" s="12">
        <f>ACI56*PriceEssAnnual*ABY56+ACJ56*PricePremAnnual*ABY56</f>
        <v/>
      </c>
      <c r="ACT56" s="12">
        <f>ACI44*POWER(1-(AnnualChurn*VLOOKUP(ABV56,ChurnSeasonTable,4,FALSE)),1)*PriceEssAnnual*ABY56+ACI32*POWER(1-(AnnualChurn*VLOOKUP(ABV56,ChurnSeasonTable,4,FALSE)),2)*PriceEssAnnual*ABY56+ACI20*POWER(1-(AnnualChurn*VLOOKUP(ABV56,ChurnSeasonTable,4,FALSE)),3)*PriceEssAnnual*ABY56+ACI8*POWER(1-(AnnualChurn*VLOOKUP(ABV56,ChurnSeasonTable,4,FALSE)),4)*PriceEssAnnual*ABY56+ACJ44*POWER(1-(AnnualChurn*VLOOKUP(ABV56,ChurnSeasonTable,4,FALSE)),1)*PricePremAnnual*ABY56+ACJ32*POWER(1-(AnnualChurn*VLOOKUP(ABV56,ChurnSeasonTable,4,FALSE)),2)*PricePremAnnual*ABY56+ACJ20*POWER(1-(AnnualChurn*VLOOKUP(ABV56,ChurnSeasonTable,4,FALSE)),3)*PricePremAnnual*ABY56+ACJ8*POWER(1-(AnnualChurn*VLOOKUP(ABV56,ChurnSeasonTable,4,FALSE)),4)*PricePremAnnual*ABY56</f>
        <v/>
      </c>
      <c r="ACU56" s="9">
        <f>ACR56+ACS56+ACT56</f>
        <v/>
      </c>
      <c r="ACV56" s="12">
        <f>SUM(ACU45:ACU56)</f>
        <v/>
      </c>
      <c r="ACW56" s="12">
        <f>OR(ACW55,ACV56&gt;=VATThreshold)</f>
        <v/>
      </c>
      <c r="ACX56" s="9">
        <f>IF(ACW56,ACU56/(1+VATRate),ACU56)</f>
        <v/>
      </c>
      <c r="ACY56" s="12">
        <f>ACU56-ACX56</f>
        <v/>
      </c>
      <c r="ACZ56" s="12">
        <f>IF(ACW56=0,0,IF(ABV56=1,SUMPRODUCT(--(($ABW$5:$ABW56=$ABW56-1)*($ABV$5:$ABV56&gt;=10)*($ABV$5:$ABV56&lt;=12)),$ACY$5:$ACY56),IF(ABV56=4,SUMPRODUCT(--(($ABW$5:$ABW56=$ABW56)*($ABV$5:$ABV56&gt;=1)*($ABV$5:$ABV56&lt;=3)),$ACY$5:$ACY56),IF(ABV56=7,SUMPRODUCT(--(($ABW$5:$ABW56=$ABW56)*($ABV$5:$ABV56&gt;=4)*($ABV$5:$ABV56&lt;=6)),$ACY$5:$ACY56),IF(ABV56=10,SUMPRODUCT(--(($ABW$5:$ABW56=$ABW56)*($ABV$5:$ABV56&gt;=7)*($ABV$5:$ABV56&lt;=9)),$ACY$5:$ACY56),0)))))</f>
        <v/>
      </c>
      <c r="ADA56" s="12">
        <f>ADA55+ACY56-ACZ56</f>
        <v/>
      </c>
      <c r="ADB56" s="12">
        <f>IF(ProviderDelay&gt;=1,ACX55*ProviderShare,ACX56*ProviderShare)</f>
        <v/>
      </c>
      <c r="ADC56" s="12">
        <f>ACU56*PaymentFee</f>
        <v/>
      </c>
      <c r="ADD56" s="12">
        <f>ACO56*OpsAI</f>
        <v/>
      </c>
      <c r="ADE56" s="12">
        <f>MonthlyFixed</f>
        <v/>
      </c>
      <c r="ADF56" s="12">
        <f>ACC56*ReferralReward</f>
        <v/>
      </c>
      <c r="ADG56" s="12">
        <f>ACA56</f>
        <v/>
      </c>
      <c r="ADH56" s="9">
        <f>ACX56-ADB56-ADC56-ADD56-ADE56-ADF56-ADG56</f>
        <v/>
      </c>
      <c r="ADI56" s="9">
        <f>ADI55+ACU56-(ADB56+ADC56+ADD56+ADE56+ADF56+ADG56+ACZ56)</f>
        <v/>
      </c>
      <c r="ADJ56" s="12">
        <f>IF(ACO56&gt;0,ACP56/ACO56,0)</f>
        <v/>
      </c>
      <c r="ADK56" s="11">
        <f>IF(ACO55&gt;0,MAX(0,(ACO55+ACD56-ACO56)/ACO55),0)</f>
        <v/>
      </c>
      <c r="ADM56" s="12" t="n">
        <v>52</v>
      </c>
      <c r="ADN56" s="12">
        <f>MOD(ADM56-1+LaunchMonth-1,12)+1</f>
        <v/>
      </c>
      <c r="ADO56" s="12">
        <f>INT((ADM56-1+LaunchMonth-1)/12)+1</f>
        <v/>
      </c>
      <c r="ADP56" s="12">
        <f>VLOOKUP(ADN56,SeasonTable,2,FALSE)</f>
        <v/>
      </c>
      <c r="ADQ56" s="12">
        <f>(1+InflationRate)^INT((ADM56-1)/12)</f>
        <v/>
      </c>
      <c r="ADR56" s="11">
        <f>MonthlyChurn*VLOOKUP(ADN56,ChurnSeasonTable,4,FALSE)</f>
        <v/>
      </c>
      <c r="ADS56" s="12">
        <f>MIN(MAX(MktMin19plus,AEM55*MktPct19plus),MAX(0,AFA55-CashBuffer))</f>
        <v/>
      </c>
      <c r="ADT56" s="12">
        <f>IF(ADS56&gt;0,MAX(1,ROUND(ADS56/CAC*ADP56,0)),0)</f>
        <v/>
      </c>
      <c r="ADU56" s="12">
        <f>IF(ADT56&gt;0,ROUND(ADT56*ReferralMix/(1-ReferralMix),0),0)</f>
        <v/>
      </c>
      <c r="ADV56" s="12">
        <f>ADT56+ADU56</f>
        <v/>
      </c>
      <c r="ADW56" s="12">
        <f>ROUND(ADV56*(1-'Sens - Annual Mix'!$A$15),0)</f>
        <v/>
      </c>
      <c r="ADX56" s="12">
        <f>ADV56-ADW56</f>
        <v/>
      </c>
      <c r="ADY56" s="12">
        <f>ROUND(ADW56*EssentialMix,0)</f>
        <v/>
      </c>
      <c r="ADZ56" s="12">
        <f>ADW56-ADY56</f>
        <v/>
      </c>
      <c r="AEA56" s="12">
        <f>ROUND(ADX56*EssentialMix,0)</f>
        <v/>
      </c>
      <c r="AEB56" s="12">
        <f>ADX56-AEA56</f>
        <v/>
      </c>
      <c r="AEC56" s="12">
        <f>ADY56+ADY55+ADY54+MAX(0,AEC55-ADY55-ADY54)*(1-ADR56)</f>
        <v/>
      </c>
      <c r="AED56" s="12">
        <f>ADZ56+ADZ55+ADZ54+MAX(0,AED55-ADZ55-ADZ54)*(1-ADR56)</f>
        <v/>
      </c>
      <c r="AEE56" s="12">
        <f>AEE55+AEA56-AEA44*(AnnualChurn*VLOOKUP(ADN56,ChurnSeasonTable,4,FALSE))*POWER(1-(AnnualChurn*VLOOKUP(ADN56,ChurnSeasonTable,4,FALSE)),0)+AEA32*(AnnualChurn*VLOOKUP(ADN56,ChurnSeasonTable,4,FALSE))*POWER(1-(AnnualChurn*VLOOKUP(ADN56,ChurnSeasonTable,4,FALSE)),1)+AEA20*(AnnualChurn*VLOOKUP(ADN56,ChurnSeasonTable,4,FALSE))*POWER(1-(AnnualChurn*VLOOKUP(ADN56,ChurnSeasonTable,4,FALSE)),2)+AEA8*(AnnualChurn*VLOOKUP(ADN56,ChurnSeasonTable,4,FALSE))*POWER(1-(AnnualChurn*VLOOKUP(ADN56,ChurnSeasonTable,4,FALSE)),3)</f>
        <v/>
      </c>
      <c r="AEF56" s="12">
        <f>AEF55+AEB56-AEB44*(AnnualChurn*VLOOKUP(ADN56,ChurnSeasonTable,4,FALSE))*POWER(1-(AnnualChurn*VLOOKUP(ADN56,ChurnSeasonTable,4,FALSE)),0)+AEB32*(AnnualChurn*VLOOKUP(ADN56,ChurnSeasonTable,4,FALSE))*POWER(1-(AnnualChurn*VLOOKUP(ADN56,ChurnSeasonTable,4,FALSE)),1)+AEB20*(AnnualChurn*VLOOKUP(ADN56,ChurnSeasonTable,4,FALSE))*POWER(1-(AnnualChurn*VLOOKUP(ADN56,ChurnSeasonTable,4,FALSE)),2)+AEB8*(AnnualChurn*VLOOKUP(ADN56,ChurnSeasonTable,4,FALSE))*POWER(1-(AnnualChurn*VLOOKUP(ADN56,ChurnSeasonTable,4,FALSE)),3)</f>
        <v/>
      </c>
      <c r="AEG56" s="12">
        <f>AEC56+AED56+AEE56+AEF56</f>
        <v/>
      </c>
      <c r="AEH56" s="9">
        <f>AEC56*PriceEssMonthly*ADQ56+AED56*PricePremMonthly*ADQ56+AEE56*PriceEssAnnual*ADQ56/12+AEF56*PricePremAnnual*ADQ56/12</f>
        <v/>
      </c>
      <c r="AEI56" s="9">
        <f>AEH56*12</f>
        <v/>
      </c>
      <c r="AEJ56" s="12">
        <f>AEC56*PriceEssMonthly*ADQ56+AED56*PricePremMonthly*ADQ56</f>
        <v/>
      </c>
      <c r="AEK56" s="12">
        <f>AEA56*PriceEssAnnual*ADQ56+AEB56*PricePremAnnual*ADQ56</f>
        <v/>
      </c>
      <c r="AEL56" s="12">
        <f>AEA44*POWER(1-(AnnualChurn*VLOOKUP(ADN56,ChurnSeasonTable,4,FALSE)),1)*PriceEssAnnual*ADQ56+AEA32*POWER(1-(AnnualChurn*VLOOKUP(ADN56,ChurnSeasonTable,4,FALSE)),2)*PriceEssAnnual*ADQ56+AEA20*POWER(1-(AnnualChurn*VLOOKUP(ADN56,ChurnSeasonTable,4,FALSE)),3)*PriceEssAnnual*ADQ56+AEA8*POWER(1-(AnnualChurn*VLOOKUP(ADN56,ChurnSeasonTable,4,FALSE)),4)*PriceEssAnnual*ADQ56+AEB44*POWER(1-(AnnualChurn*VLOOKUP(ADN56,ChurnSeasonTable,4,FALSE)),1)*PricePremAnnual*ADQ56+AEB32*POWER(1-(AnnualChurn*VLOOKUP(ADN56,ChurnSeasonTable,4,FALSE)),2)*PricePremAnnual*ADQ56+AEB20*POWER(1-(AnnualChurn*VLOOKUP(ADN56,ChurnSeasonTable,4,FALSE)),3)*PricePremAnnual*ADQ56+AEB8*POWER(1-(AnnualChurn*VLOOKUP(ADN56,ChurnSeasonTable,4,FALSE)),4)*PricePremAnnual*ADQ56</f>
        <v/>
      </c>
      <c r="AEM56" s="9">
        <f>AEJ56+AEK56+AEL56</f>
        <v/>
      </c>
      <c r="AEN56" s="12">
        <f>SUM(AEM45:AEM56)</f>
        <v/>
      </c>
      <c r="AEO56" s="12">
        <f>OR(AEO55,AEN56&gt;=VATThreshold)</f>
        <v/>
      </c>
      <c r="AEP56" s="9">
        <f>IF(AEO56,AEM56/(1+VATRate),AEM56)</f>
        <v/>
      </c>
      <c r="AEQ56" s="12">
        <f>AEM56-AEP56</f>
        <v/>
      </c>
      <c r="AER56" s="12">
        <f>IF(AEO56=0,0,IF(ADN56=1,SUMPRODUCT(--(($ADO$5:$ADO56=$ADO56-1)*($ADN$5:$ADN56&gt;=10)*($ADN$5:$ADN56&lt;=12)),$AEQ$5:$AEQ56),IF(ADN56=4,SUMPRODUCT(--(($ADO$5:$ADO56=$ADO56)*($ADN$5:$ADN56&gt;=1)*($ADN$5:$ADN56&lt;=3)),$AEQ$5:$AEQ56),IF(ADN56=7,SUMPRODUCT(--(($ADO$5:$ADO56=$ADO56)*($ADN$5:$ADN56&gt;=4)*($ADN$5:$ADN56&lt;=6)),$AEQ$5:$AEQ56),IF(ADN56=10,SUMPRODUCT(--(($ADO$5:$ADO56=$ADO56)*($ADN$5:$ADN56&gt;=7)*($ADN$5:$ADN56&lt;=9)),$AEQ$5:$AEQ56),0)))))</f>
        <v/>
      </c>
      <c r="AES56" s="12">
        <f>AES55+AEQ56-AER56</f>
        <v/>
      </c>
      <c r="AET56" s="12">
        <f>IF(ProviderDelay&gt;=1,AEP55*ProviderShare,AEP56*ProviderShare)</f>
        <v/>
      </c>
      <c r="AEU56" s="12">
        <f>AEM56*PaymentFee</f>
        <v/>
      </c>
      <c r="AEV56" s="12">
        <f>AEG56*OpsAI</f>
        <v/>
      </c>
      <c r="AEW56" s="12">
        <f>MonthlyFixed</f>
        <v/>
      </c>
      <c r="AEX56" s="12">
        <f>ADU56*ReferralReward</f>
        <v/>
      </c>
      <c r="AEY56" s="12">
        <f>ADS56</f>
        <v/>
      </c>
      <c r="AEZ56" s="9">
        <f>AEP56-AET56-AEU56-AEV56-AEW56-AEX56-AEY56</f>
        <v/>
      </c>
      <c r="AFA56" s="9">
        <f>AFA55+AEM56-(AET56+AEU56+AEV56+AEW56+AEX56+AEY56+AER56)</f>
        <v/>
      </c>
      <c r="AFB56" s="12">
        <f>IF(AEG56&gt;0,AEH56/AEG56,0)</f>
        <v/>
      </c>
      <c r="AFC56" s="11">
        <f>IF(AEG55&gt;0,MAX(0,(AEG55+ADV56-AEG56)/AEG55),0)</f>
        <v/>
      </c>
      <c r="AFE56" s="12" t="n">
        <v>52</v>
      </c>
      <c r="AFF56" s="12">
        <f>MOD(AFE56-1+LaunchMonth-1,12)+1</f>
        <v/>
      </c>
      <c r="AFG56" s="12">
        <f>INT((AFE56-1+LaunchMonth-1)/12)+1</f>
        <v/>
      </c>
      <c r="AFH56" s="12">
        <f>VLOOKUP(AFF56,SeasonTable,2,FALSE)</f>
        <v/>
      </c>
      <c r="AFI56" s="12">
        <f>(1+InflationRate)^INT((AFE56-1)/12)</f>
        <v/>
      </c>
      <c r="AFJ56" s="11">
        <f>MonthlyChurn*VLOOKUP(AFF56,ChurnSeasonTable,4,FALSE)</f>
        <v/>
      </c>
      <c r="AFK56" s="12">
        <f>MIN(MAX(MktMin19plus,AGE55*MktPct19plus),MAX(0,AGS55-CashBuffer))</f>
        <v/>
      </c>
      <c r="AFL56" s="12">
        <f>IF(AFK56&gt;0,MAX(1,ROUND(AFK56/'Sens - CAC &amp; Marketing'!$A$9*AFH56,0)),0)</f>
        <v/>
      </c>
      <c r="AFM56" s="12">
        <f>IF(AFL56&gt;0,ROUND(AFL56*ReferralMix/(1-ReferralMix),0),0)</f>
        <v/>
      </c>
      <c r="AFN56" s="12">
        <f>AFL56+AFM56</f>
        <v/>
      </c>
      <c r="AFO56" s="12">
        <f>ROUND(AFN56*(1-AnnualMix),0)</f>
        <v/>
      </c>
      <c r="AFP56" s="12">
        <f>AFN56-AFO56</f>
        <v/>
      </c>
      <c r="AFQ56" s="12">
        <f>ROUND(AFO56*EssentialMix,0)</f>
        <v/>
      </c>
      <c r="AFR56" s="12">
        <f>AFO56-AFQ56</f>
        <v/>
      </c>
      <c r="AFS56" s="12">
        <f>ROUND(AFP56*EssentialMix,0)</f>
        <v/>
      </c>
      <c r="AFT56" s="12">
        <f>AFP56-AFS56</f>
        <v/>
      </c>
      <c r="AFU56" s="12">
        <f>AFQ56+AFQ55+AFQ54+MAX(0,AFU55-AFQ55-AFQ54)*(1-AFJ56)</f>
        <v/>
      </c>
      <c r="AFV56" s="12">
        <f>AFR56+AFR55+AFR54+MAX(0,AFV55-AFR55-AFR54)*(1-AFJ56)</f>
        <v/>
      </c>
      <c r="AFW56" s="12">
        <f>AFW55+AFS56-AFS44*(AnnualChurn*VLOOKUP(AFF56,ChurnSeasonTable,4,FALSE))*POWER(1-(AnnualChurn*VLOOKUP(AFF56,ChurnSeasonTable,4,FALSE)),0)+AFS32*(AnnualChurn*VLOOKUP(AFF56,ChurnSeasonTable,4,FALSE))*POWER(1-(AnnualChurn*VLOOKUP(AFF56,ChurnSeasonTable,4,FALSE)),1)+AFS20*(AnnualChurn*VLOOKUP(AFF56,ChurnSeasonTable,4,FALSE))*POWER(1-(AnnualChurn*VLOOKUP(AFF56,ChurnSeasonTable,4,FALSE)),2)+AFS8*(AnnualChurn*VLOOKUP(AFF56,ChurnSeasonTable,4,FALSE))*POWER(1-(AnnualChurn*VLOOKUP(AFF56,ChurnSeasonTable,4,FALSE)),3)</f>
        <v/>
      </c>
      <c r="AFX56" s="12">
        <f>AFX55+AFT56-AFT44*(AnnualChurn*VLOOKUP(AFF56,ChurnSeasonTable,4,FALSE))*POWER(1-(AnnualChurn*VLOOKUP(AFF56,ChurnSeasonTable,4,FALSE)),0)+AFT32*(AnnualChurn*VLOOKUP(AFF56,ChurnSeasonTable,4,FALSE))*POWER(1-(AnnualChurn*VLOOKUP(AFF56,ChurnSeasonTable,4,FALSE)),1)+AFT20*(AnnualChurn*VLOOKUP(AFF56,ChurnSeasonTable,4,FALSE))*POWER(1-(AnnualChurn*VLOOKUP(AFF56,ChurnSeasonTable,4,FALSE)),2)+AFT8*(AnnualChurn*VLOOKUP(AFF56,ChurnSeasonTable,4,FALSE))*POWER(1-(AnnualChurn*VLOOKUP(AFF56,ChurnSeasonTable,4,FALSE)),3)</f>
        <v/>
      </c>
      <c r="AFY56" s="12">
        <f>AFU56+AFV56+AFW56+AFX56</f>
        <v/>
      </c>
      <c r="AFZ56" s="9">
        <f>AFU56*PriceEssMonthly*AFI56+AFV56*PricePremMonthly*AFI56+AFW56*PriceEssAnnual*AFI56/12+AFX56*PricePremAnnual*AFI56/12</f>
        <v/>
      </c>
      <c r="AGA56" s="9">
        <f>AFZ56*12</f>
        <v/>
      </c>
      <c r="AGB56" s="12">
        <f>AFU56*PriceEssMonthly*AFI56+AFV56*PricePremMonthly*AFI56</f>
        <v/>
      </c>
      <c r="AGC56" s="12">
        <f>AFS56*PriceEssAnnual*AFI56+AFT56*PricePremAnnual*AFI56</f>
        <v/>
      </c>
      <c r="AGD56" s="12">
        <f>AFS44*POWER(1-(AnnualChurn*VLOOKUP(AFF56,ChurnSeasonTable,4,FALSE)),1)*PriceEssAnnual*AFI56+AFS32*POWER(1-(AnnualChurn*VLOOKUP(AFF56,ChurnSeasonTable,4,FALSE)),2)*PriceEssAnnual*AFI56+AFS20*POWER(1-(AnnualChurn*VLOOKUP(AFF56,ChurnSeasonTable,4,FALSE)),3)*PriceEssAnnual*AFI56+AFS8*POWER(1-(AnnualChurn*VLOOKUP(AFF56,ChurnSeasonTable,4,FALSE)),4)*PriceEssAnnual*AFI56+AFT44*POWER(1-(AnnualChurn*VLOOKUP(AFF56,ChurnSeasonTable,4,FALSE)),1)*PricePremAnnual*AFI56+AFT32*POWER(1-(AnnualChurn*VLOOKUP(AFF56,ChurnSeasonTable,4,FALSE)),2)*PricePremAnnual*AFI56+AFT20*POWER(1-(AnnualChurn*VLOOKUP(AFF56,ChurnSeasonTable,4,FALSE)),3)*PricePremAnnual*AFI56+AFT8*POWER(1-(AnnualChurn*VLOOKUP(AFF56,ChurnSeasonTable,4,FALSE)),4)*PricePremAnnual*AFI56</f>
        <v/>
      </c>
      <c r="AGE56" s="9">
        <f>AGB56+AGC56+AGD56</f>
        <v/>
      </c>
      <c r="AGF56" s="12">
        <f>SUM(AGE45:AGE56)</f>
        <v/>
      </c>
      <c r="AGG56" s="12">
        <f>OR(AGG55,AGF56&gt;=VATThreshold)</f>
        <v/>
      </c>
      <c r="AGH56" s="9">
        <f>IF(AGG56,AGE56/(1+VATRate),AGE56)</f>
        <v/>
      </c>
      <c r="AGI56" s="12">
        <f>AGE56-AGH56</f>
        <v/>
      </c>
      <c r="AGJ56" s="12">
        <f>IF(AGG56=0,0,IF(AFF56=1,SUMPRODUCT(--(($AFG$5:$AFG56=$AFG56-1)*($AFF$5:$AFF56&gt;=10)*($AFF$5:$AFF56&lt;=12)),$AGI$5:$AGI56),IF(AFF56=4,SUMPRODUCT(--(($AFG$5:$AFG56=$AFG56)*($AFF$5:$AFF56&gt;=1)*($AFF$5:$AFF56&lt;=3)),$AGI$5:$AGI56),IF(AFF56=7,SUMPRODUCT(--(($AFG$5:$AFG56=$AFG56)*($AFF$5:$AFF56&gt;=4)*($AFF$5:$AFF56&lt;=6)),$AGI$5:$AGI56),IF(AFF56=10,SUMPRODUCT(--(($AFG$5:$AFG56=$AFG56)*($AFF$5:$AFF56&gt;=7)*($AFF$5:$AFF56&lt;=9)),$AGI$5:$AGI56),0)))))</f>
        <v/>
      </c>
      <c r="AGK56" s="12">
        <f>AGK55+AGI56-AGJ56</f>
        <v/>
      </c>
      <c r="AGL56" s="12">
        <f>IF(ProviderDelay&gt;=1,AGH55*ProviderShare,AGH56*ProviderShare)</f>
        <v/>
      </c>
      <c r="AGM56" s="12">
        <f>AGE56*PaymentFee</f>
        <v/>
      </c>
      <c r="AGN56" s="12">
        <f>AFY56*OpsAI</f>
        <v/>
      </c>
      <c r="AGO56" s="12">
        <f>MonthlyFixed</f>
        <v/>
      </c>
      <c r="AGP56" s="12">
        <f>AFM56*ReferralReward</f>
        <v/>
      </c>
      <c r="AGQ56" s="12">
        <f>AFK56</f>
        <v/>
      </c>
      <c r="AGR56" s="9">
        <f>AGH56-AGL56-AGM56-AGN56-AGO56-AGP56-AGQ56</f>
        <v/>
      </c>
      <c r="AGS56" s="9">
        <f>AGS55+AGE56-(AGL56+AGM56+AGN56+AGO56+AGP56+AGQ56+AGJ56)</f>
        <v/>
      </c>
      <c r="AGT56" s="12">
        <f>IF(AFY56&gt;0,AFZ56/AFY56,0)</f>
        <v/>
      </c>
      <c r="AGU56" s="11">
        <f>IF(AFY55&gt;0,MAX(0,(AFY55+AFN56-AFY56)/AFY55),0)</f>
        <v/>
      </c>
      <c r="AGW56" s="12" t="n">
        <v>52</v>
      </c>
      <c r="AGX56" s="12">
        <f>MOD(AGW56-1+LaunchMonth-1,12)+1</f>
        <v/>
      </c>
      <c r="AGY56" s="12">
        <f>INT((AGW56-1+LaunchMonth-1)/12)+1</f>
        <v/>
      </c>
      <c r="AGZ56" s="12">
        <f>VLOOKUP(AGX56,SeasonTable,2,FALSE)</f>
        <v/>
      </c>
      <c r="AHA56" s="12">
        <f>(1+InflationRate)^INT((AGW56-1)/12)</f>
        <v/>
      </c>
      <c r="AHB56" s="11">
        <f>MonthlyChurn*VLOOKUP(AGX56,ChurnSeasonTable,4,FALSE)</f>
        <v/>
      </c>
      <c r="AHC56" s="12">
        <f>MIN(MAX(MktMin19plus,AHW55*MktPct19plus),MAX(0,AIK55-CashBuffer))</f>
        <v/>
      </c>
      <c r="AHD56" s="12">
        <f>IF(AHC56&gt;0,MAX(1,ROUND(AHC56/'Sens - CAC &amp; Marketing'!$A$10*AGZ56,0)),0)</f>
        <v/>
      </c>
      <c r="AHE56" s="12">
        <f>IF(AHD56&gt;0,ROUND(AHD56*ReferralMix/(1-ReferralMix),0),0)</f>
        <v/>
      </c>
      <c r="AHF56" s="12">
        <f>AHD56+AHE56</f>
        <v/>
      </c>
      <c r="AHG56" s="12">
        <f>ROUND(AHF56*(1-AnnualMix),0)</f>
        <v/>
      </c>
      <c r="AHH56" s="12">
        <f>AHF56-AHG56</f>
        <v/>
      </c>
      <c r="AHI56" s="12">
        <f>ROUND(AHG56*EssentialMix,0)</f>
        <v/>
      </c>
      <c r="AHJ56" s="12">
        <f>AHG56-AHI56</f>
        <v/>
      </c>
      <c r="AHK56" s="12">
        <f>ROUND(AHH56*EssentialMix,0)</f>
        <v/>
      </c>
      <c r="AHL56" s="12">
        <f>AHH56-AHK56</f>
        <v/>
      </c>
      <c r="AHM56" s="12">
        <f>AHI56+AHI55+AHI54+MAX(0,AHM55-AHI55-AHI54)*(1-AHB56)</f>
        <v/>
      </c>
      <c r="AHN56" s="12">
        <f>AHJ56+AHJ55+AHJ54+MAX(0,AHN55-AHJ55-AHJ54)*(1-AHB56)</f>
        <v/>
      </c>
      <c r="AHO56" s="12">
        <f>AHO55+AHK56-AHK44*(AnnualChurn*VLOOKUP(AGX56,ChurnSeasonTable,4,FALSE))*POWER(1-(AnnualChurn*VLOOKUP(AGX56,ChurnSeasonTable,4,FALSE)),0)+AHK32*(AnnualChurn*VLOOKUP(AGX56,ChurnSeasonTable,4,FALSE))*POWER(1-(AnnualChurn*VLOOKUP(AGX56,ChurnSeasonTable,4,FALSE)),1)+AHK20*(AnnualChurn*VLOOKUP(AGX56,ChurnSeasonTable,4,FALSE))*POWER(1-(AnnualChurn*VLOOKUP(AGX56,ChurnSeasonTable,4,FALSE)),2)+AHK8*(AnnualChurn*VLOOKUP(AGX56,ChurnSeasonTable,4,FALSE))*POWER(1-(AnnualChurn*VLOOKUP(AGX56,ChurnSeasonTable,4,FALSE)),3)</f>
        <v/>
      </c>
      <c r="AHP56" s="12">
        <f>AHP55+AHL56-AHL44*(AnnualChurn*VLOOKUP(AGX56,ChurnSeasonTable,4,FALSE))*POWER(1-(AnnualChurn*VLOOKUP(AGX56,ChurnSeasonTable,4,FALSE)),0)+AHL32*(AnnualChurn*VLOOKUP(AGX56,ChurnSeasonTable,4,FALSE))*POWER(1-(AnnualChurn*VLOOKUP(AGX56,ChurnSeasonTable,4,FALSE)),1)+AHL20*(AnnualChurn*VLOOKUP(AGX56,ChurnSeasonTable,4,FALSE))*POWER(1-(AnnualChurn*VLOOKUP(AGX56,ChurnSeasonTable,4,FALSE)),2)+AHL8*(AnnualChurn*VLOOKUP(AGX56,ChurnSeasonTable,4,FALSE))*POWER(1-(AnnualChurn*VLOOKUP(AGX56,ChurnSeasonTable,4,FALSE)),3)</f>
        <v/>
      </c>
      <c r="AHQ56" s="12">
        <f>AHM56+AHN56+AHO56+AHP56</f>
        <v/>
      </c>
      <c r="AHR56" s="9">
        <f>AHM56*PriceEssMonthly*AHA56+AHN56*PricePremMonthly*AHA56+AHO56*PriceEssAnnual*AHA56/12+AHP56*PricePremAnnual*AHA56/12</f>
        <v/>
      </c>
      <c r="AHS56" s="9">
        <f>AHR56*12</f>
        <v/>
      </c>
      <c r="AHT56" s="12">
        <f>AHM56*PriceEssMonthly*AHA56+AHN56*PricePremMonthly*AHA56</f>
        <v/>
      </c>
      <c r="AHU56" s="12">
        <f>AHK56*PriceEssAnnual*AHA56+AHL56*PricePremAnnual*AHA56</f>
        <v/>
      </c>
      <c r="AHV56" s="12">
        <f>AHK44*POWER(1-(AnnualChurn*VLOOKUP(AGX56,ChurnSeasonTable,4,FALSE)),1)*PriceEssAnnual*AHA56+AHK32*POWER(1-(AnnualChurn*VLOOKUP(AGX56,ChurnSeasonTable,4,FALSE)),2)*PriceEssAnnual*AHA56+AHK20*POWER(1-(AnnualChurn*VLOOKUP(AGX56,ChurnSeasonTable,4,FALSE)),3)*PriceEssAnnual*AHA56+AHK8*POWER(1-(AnnualChurn*VLOOKUP(AGX56,ChurnSeasonTable,4,FALSE)),4)*PriceEssAnnual*AHA56+AHL44*POWER(1-(AnnualChurn*VLOOKUP(AGX56,ChurnSeasonTable,4,FALSE)),1)*PricePremAnnual*AHA56+AHL32*POWER(1-(AnnualChurn*VLOOKUP(AGX56,ChurnSeasonTable,4,FALSE)),2)*PricePremAnnual*AHA56+AHL20*POWER(1-(AnnualChurn*VLOOKUP(AGX56,ChurnSeasonTable,4,FALSE)),3)*PricePremAnnual*AHA56+AHL8*POWER(1-(AnnualChurn*VLOOKUP(AGX56,ChurnSeasonTable,4,FALSE)),4)*PricePremAnnual*AHA56</f>
        <v/>
      </c>
      <c r="AHW56" s="9">
        <f>AHT56+AHU56+AHV56</f>
        <v/>
      </c>
      <c r="AHX56" s="12">
        <f>SUM(AHW45:AHW56)</f>
        <v/>
      </c>
      <c r="AHY56" s="12">
        <f>OR(AHY55,AHX56&gt;=VATThreshold)</f>
        <v/>
      </c>
      <c r="AHZ56" s="9">
        <f>IF(AHY56,AHW56/(1+VATRate),AHW56)</f>
        <v/>
      </c>
      <c r="AIA56" s="12">
        <f>AHW56-AHZ56</f>
        <v/>
      </c>
      <c r="AIB56" s="12">
        <f>IF(AHY56=0,0,IF(AGX56=1,SUMPRODUCT(--(($AGY$5:$AGY56=$AGY56-1)*($AGX$5:$AGX56&gt;=10)*($AGX$5:$AGX56&lt;=12)),$AIA$5:$AIA56),IF(AGX56=4,SUMPRODUCT(--(($AGY$5:$AGY56=$AGY56)*($AGX$5:$AGX56&gt;=1)*($AGX$5:$AGX56&lt;=3)),$AIA$5:$AIA56),IF(AGX56=7,SUMPRODUCT(--(($AGY$5:$AGY56=$AGY56)*($AGX$5:$AGX56&gt;=4)*($AGX$5:$AGX56&lt;=6)),$AIA$5:$AIA56),IF(AGX56=10,SUMPRODUCT(--(($AGY$5:$AGY56=$AGY56)*($AGX$5:$AGX56&gt;=7)*($AGX$5:$AGX56&lt;=9)),$AIA$5:$AIA56),0)))))</f>
        <v/>
      </c>
      <c r="AIC56" s="12">
        <f>AIC55+AIA56-AIB56</f>
        <v/>
      </c>
      <c r="AID56" s="12">
        <f>IF(ProviderDelay&gt;=1,AHZ55*ProviderShare,AHZ56*ProviderShare)</f>
        <v/>
      </c>
      <c r="AIE56" s="12">
        <f>AHW56*PaymentFee</f>
        <v/>
      </c>
      <c r="AIF56" s="12">
        <f>AHQ56*OpsAI</f>
        <v/>
      </c>
      <c r="AIG56" s="12">
        <f>MonthlyFixed</f>
        <v/>
      </c>
      <c r="AIH56" s="12">
        <f>AHE56*ReferralReward</f>
        <v/>
      </c>
      <c r="AII56" s="12">
        <f>AHC56</f>
        <v/>
      </c>
      <c r="AIJ56" s="9">
        <f>AHZ56-AID56-AIE56-AIF56-AIG56-AIH56-AII56</f>
        <v/>
      </c>
      <c r="AIK56" s="9">
        <f>AIK55+AHW56-(AID56+AIE56+AIF56+AIG56+AIH56+AII56+AIB56)</f>
        <v/>
      </c>
      <c r="AIL56" s="12">
        <f>IF(AHQ56&gt;0,AHR56/AHQ56,0)</f>
        <v/>
      </c>
      <c r="AIM56" s="11">
        <f>IF(AHQ55&gt;0,MAX(0,(AHQ55+AHF56-AHQ56)/AHQ55),0)</f>
        <v/>
      </c>
      <c r="AIO56" s="12" t="n">
        <v>52</v>
      </c>
      <c r="AIP56" s="12">
        <f>MOD(AIO56-1+LaunchMonth-1,12)+1</f>
        <v/>
      </c>
      <c r="AIQ56" s="12">
        <f>INT((AIO56-1+LaunchMonth-1)/12)+1</f>
        <v/>
      </c>
      <c r="AIR56" s="12">
        <f>VLOOKUP(AIP56,SeasonTable,2,FALSE)</f>
        <v/>
      </c>
      <c r="AIS56" s="12">
        <f>(1+InflationRate)^INT((AIO56-1)/12)</f>
        <v/>
      </c>
      <c r="AIT56" s="11">
        <f>MonthlyChurn*VLOOKUP(AIP56,ChurnSeasonTable,4,FALSE)</f>
        <v/>
      </c>
      <c r="AIU56" s="12">
        <f>MIN(MAX(MktMin19plus,AJO55*MktPct19plus),MAX(0,AKC55-CashBuffer))</f>
        <v/>
      </c>
      <c r="AIV56" s="12">
        <f>IF(AIU56&gt;0,MAX(1,ROUND(AIU56/'Sens - CAC &amp; Marketing'!$A$11*AIR56,0)),0)</f>
        <v/>
      </c>
      <c r="AIW56" s="12">
        <f>IF(AIV56&gt;0,ROUND(AIV56*ReferralMix/(1-ReferralMix),0),0)</f>
        <v/>
      </c>
      <c r="AIX56" s="12">
        <f>AIV56+AIW56</f>
        <v/>
      </c>
      <c r="AIY56" s="12">
        <f>ROUND(AIX56*(1-AnnualMix),0)</f>
        <v/>
      </c>
      <c r="AIZ56" s="12">
        <f>AIX56-AIY56</f>
        <v/>
      </c>
      <c r="AJA56" s="12">
        <f>ROUND(AIY56*EssentialMix,0)</f>
        <v/>
      </c>
      <c r="AJB56" s="12">
        <f>AIY56-AJA56</f>
        <v/>
      </c>
      <c r="AJC56" s="12">
        <f>ROUND(AIZ56*EssentialMix,0)</f>
        <v/>
      </c>
      <c r="AJD56" s="12">
        <f>AIZ56-AJC56</f>
        <v/>
      </c>
      <c r="AJE56" s="12">
        <f>AJA56+AJA55+AJA54+MAX(0,AJE55-AJA55-AJA54)*(1-AIT56)</f>
        <v/>
      </c>
      <c r="AJF56" s="12">
        <f>AJB56+AJB55+AJB54+MAX(0,AJF55-AJB55-AJB54)*(1-AIT56)</f>
        <v/>
      </c>
      <c r="AJG56" s="12">
        <f>AJG55+AJC56-AJC44*(AnnualChurn*VLOOKUP(AIP56,ChurnSeasonTable,4,FALSE))*POWER(1-(AnnualChurn*VLOOKUP(AIP56,ChurnSeasonTable,4,FALSE)),0)+AJC32*(AnnualChurn*VLOOKUP(AIP56,ChurnSeasonTable,4,FALSE))*POWER(1-(AnnualChurn*VLOOKUP(AIP56,ChurnSeasonTable,4,FALSE)),1)+AJC20*(AnnualChurn*VLOOKUP(AIP56,ChurnSeasonTable,4,FALSE))*POWER(1-(AnnualChurn*VLOOKUP(AIP56,ChurnSeasonTable,4,FALSE)),2)+AJC8*(AnnualChurn*VLOOKUP(AIP56,ChurnSeasonTable,4,FALSE))*POWER(1-(AnnualChurn*VLOOKUP(AIP56,ChurnSeasonTable,4,FALSE)),3)</f>
        <v/>
      </c>
      <c r="AJH56" s="12">
        <f>AJH55+AJD56-AJD44*(AnnualChurn*VLOOKUP(AIP56,ChurnSeasonTable,4,FALSE))*POWER(1-(AnnualChurn*VLOOKUP(AIP56,ChurnSeasonTable,4,FALSE)),0)+AJD32*(AnnualChurn*VLOOKUP(AIP56,ChurnSeasonTable,4,FALSE))*POWER(1-(AnnualChurn*VLOOKUP(AIP56,ChurnSeasonTable,4,FALSE)),1)+AJD20*(AnnualChurn*VLOOKUP(AIP56,ChurnSeasonTable,4,FALSE))*POWER(1-(AnnualChurn*VLOOKUP(AIP56,ChurnSeasonTable,4,FALSE)),2)+AJD8*(AnnualChurn*VLOOKUP(AIP56,ChurnSeasonTable,4,FALSE))*POWER(1-(AnnualChurn*VLOOKUP(AIP56,ChurnSeasonTable,4,FALSE)),3)</f>
        <v/>
      </c>
      <c r="AJI56" s="12">
        <f>AJE56+AJF56+AJG56+AJH56</f>
        <v/>
      </c>
      <c r="AJJ56" s="9">
        <f>AJE56*PriceEssMonthly*AIS56+AJF56*PricePremMonthly*AIS56+AJG56*PriceEssAnnual*AIS56/12+AJH56*PricePremAnnual*AIS56/12</f>
        <v/>
      </c>
      <c r="AJK56" s="9">
        <f>AJJ56*12</f>
        <v/>
      </c>
      <c r="AJL56" s="12">
        <f>AJE56*PriceEssMonthly*AIS56+AJF56*PricePremMonthly*AIS56</f>
        <v/>
      </c>
      <c r="AJM56" s="12">
        <f>AJC56*PriceEssAnnual*AIS56+AJD56*PricePremAnnual*AIS56</f>
        <v/>
      </c>
      <c r="AJN56" s="12">
        <f>AJC44*POWER(1-(AnnualChurn*VLOOKUP(AIP56,ChurnSeasonTable,4,FALSE)),1)*PriceEssAnnual*AIS56+AJC32*POWER(1-(AnnualChurn*VLOOKUP(AIP56,ChurnSeasonTable,4,FALSE)),2)*PriceEssAnnual*AIS56+AJC20*POWER(1-(AnnualChurn*VLOOKUP(AIP56,ChurnSeasonTable,4,FALSE)),3)*PriceEssAnnual*AIS56+AJC8*POWER(1-(AnnualChurn*VLOOKUP(AIP56,ChurnSeasonTable,4,FALSE)),4)*PriceEssAnnual*AIS56+AJD44*POWER(1-(AnnualChurn*VLOOKUP(AIP56,ChurnSeasonTable,4,FALSE)),1)*PricePremAnnual*AIS56+AJD32*POWER(1-(AnnualChurn*VLOOKUP(AIP56,ChurnSeasonTable,4,FALSE)),2)*PricePremAnnual*AIS56+AJD20*POWER(1-(AnnualChurn*VLOOKUP(AIP56,ChurnSeasonTable,4,FALSE)),3)*PricePremAnnual*AIS56+AJD8*POWER(1-(AnnualChurn*VLOOKUP(AIP56,ChurnSeasonTable,4,FALSE)),4)*PricePremAnnual*AIS56</f>
        <v/>
      </c>
      <c r="AJO56" s="9">
        <f>AJL56+AJM56+AJN56</f>
        <v/>
      </c>
      <c r="AJP56" s="12">
        <f>SUM(AJO45:AJO56)</f>
        <v/>
      </c>
      <c r="AJQ56" s="12">
        <f>OR(AJQ55,AJP56&gt;=VATThreshold)</f>
        <v/>
      </c>
      <c r="AJR56" s="9">
        <f>IF(AJQ56,AJO56/(1+VATRate),AJO56)</f>
        <v/>
      </c>
      <c r="AJS56" s="12">
        <f>AJO56-AJR56</f>
        <v/>
      </c>
      <c r="AJT56" s="12">
        <f>IF(AJQ56=0,0,IF(AIP56=1,SUMPRODUCT(--(($AIQ$5:$AIQ56=$AIQ56-1)*($AIP$5:$AIP56&gt;=10)*($AIP$5:$AIP56&lt;=12)),$AJS$5:$AJS56),IF(AIP56=4,SUMPRODUCT(--(($AIQ$5:$AIQ56=$AIQ56)*($AIP$5:$AIP56&gt;=1)*($AIP$5:$AIP56&lt;=3)),$AJS$5:$AJS56),IF(AIP56=7,SUMPRODUCT(--(($AIQ$5:$AIQ56=$AIQ56)*($AIP$5:$AIP56&gt;=4)*($AIP$5:$AIP56&lt;=6)),$AJS$5:$AJS56),IF(AIP56=10,SUMPRODUCT(--(($AIQ$5:$AIQ56=$AIQ56)*($AIP$5:$AIP56&gt;=7)*($AIP$5:$AIP56&lt;=9)),$AJS$5:$AJS56),0)))))</f>
        <v/>
      </c>
      <c r="AJU56" s="12">
        <f>AJU55+AJS56-AJT56</f>
        <v/>
      </c>
      <c r="AJV56" s="12">
        <f>IF(ProviderDelay&gt;=1,AJR55*ProviderShare,AJR56*ProviderShare)</f>
        <v/>
      </c>
      <c r="AJW56" s="12">
        <f>AJO56*PaymentFee</f>
        <v/>
      </c>
      <c r="AJX56" s="12">
        <f>AJI56*OpsAI</f>
        <v/>
      </c>
      <c r="AJY56" s="12">
        <f>MonthlyFixed</f>
        <v/>
      </c>
      <c r="AJZ56" s="12">
        <f>AIW56*ReferralReward</f>
        <v/>
      </c>
      <c r="AKA56" s="12">
        <f>AIU56</f>
        <v/>
      </c>
      <c r="AKB56" s="9">
        <f>AJR56-AJV56-AJW56-AJX56-AJY56-AJZ56-AKA56</f>
        <v/>
      </c>
      <c r="AKC56" s="9">
        <f>AKC55+AJO56-(AJV56+AJW56+AJX56+AJY56+AJZ56+AKA56+AJT56)</f>
        <v/>
      </c>
      <c r="AKD56" s="12">
        <f>IF(AJI56&gt;0,AJJ56/AJI56,0)</f>
        <v/>
      </c>
      <c r="AKE56" s="11">
        <f>IF(AJI55&gt;0,MAX(0,(AJI55+AIX56-AJI56)/AJI55),0)</f>
        <v/>
      </c>
      <c r="AKG56" s="12" t="n">
        <v>52</v>
      </c>
      <c r="AKH56" s="12">
        <f>MOD(AKG56-1+LaunchMonth-1,12)+1</f>
        <v/>
      </c>
      <c r="AKI56" s="12">
        <f>INT((AKG56-1+LaunchMonth-1)/12)+1</f>
        <v/>
      </c>
      <c r="AKJ56" s="12">
        <f>VLOOKUP(AKH56,SeasonTable,2,FALSE)</f>
        <v/>
      </c>
      <c r="AKK56" s="12">
        <f>(1+InflationRate)^INT((AKG56-1)/12)</f>
        <v/>
      </c>
      <c r="AKL56" s="11">
        <f>MonthlyChurn*VLOOKUP(AKH56,ChurnSeasonTable,4,FALSE)</f>
        <v/>
      </c>
      <c r="AKM56" s="12">
        <f>MIN(MAX(MktMin19plus,ALG55*MktPct19plus),MAX(0,ALU55-CashBuffer))</f>
        <v/>
      </c>
      <c r="AKN56" s="12">
        <f>IF(AKM56&gt;0,MAX(1,ROUND(AKM56/'Sens - CAC &amp; Marketing'!$A$12*AKJ56,0)),0)</f>
        <v/>
      </c>
      <c r="AKO56" s="12">
        <f>IF(AKN56&gt;0,ROUND(AKN56*ReferralMix/(1-ReferralMix),0),0)</f>
        <v/>
      </c>
      <c r="AKP56" s="12">
        <f>AKN56+AKO56</f>
        <v/>
      </c>
      <c r="AKQ56" s="12">
        <f>ROUND(AKP56*(1-AnnualMix),0)</f>
        <v/>
      </c>
      <c r="AKR56" s="12">
        <f>AKP56-AKQ56</f>
        <v/>
      </c>
      <c r="AKS56" s="12">
        <f>ROUND(AKQ56*EssentialMix,0)</f>
        <v/>
      </c>
      <c r="AKT56" s="12">
        <f>AKQ56-AKS56</f>
        <v/>
      </c>
      <c r="AKU56" s="12">
        <f>ROUND(AKR56*EssentialMix,0)</f>
        <v/>
      </c>
      <c r="AKV56" s="12">
        <f>AKR56-AKU56</f>
        <v/>
      </c>
      <c r="AKW56" s="12">
        <f>AKS56+AKS55+AKS54+MAX(0,AKW55-AKS55-AKS54)*(1-AKL56)</f>
        <v/>
      </c>
      <c r="AKX56" s="12">
        <f>AKT56+AKT55+AKT54+MAX(0,AKX55-AKT55-AKT54)*(1-AKL56)</f>
        <v/>
      </c>
      <c r="AKY56" s="12">
        <f>AKY55+AKU56-AKU44*(AnnualChurn*VLOOKUP(AKH56,ChurnSeasonTable,4,FALSE))*POWER(1-(AnnualChurn*VLOOKUP(AKH56,ChurnSeasonTable,4,FALSE)),0)+AKU32*(AnnualChurn*VLOOKUP(AKH56,ChurnSeasonTable,4,FALSE))*POWER(1-(AnnualChurn*VLOOKUP(AKH56,ChurnSeasonTable,4,FALSE)),1)+AKU20*(AnnualChurn*VLOOKUP(AKH56,ChurnSeasonTable,4,FALSE))*POWER(1-(AnnualChurn*VLOOKUP(AKH56,ChurnSeasonTable,4,FALSE)),2)+AKU8*(AnnualChurn*VLOOKUP(AKH56,ChurnSeasonTable,4,FALSE))*POWER(1-(AnnualChurn*VLOOKUP(AKH56,ChurnSeasonTable,4,FALSE)),3)</f>
        <v/>
      </c>
      <c r="AKZ56" s="12">
        <f>AKZ55+AKV56-AKV44*(AnnualChurn*VLOOKUP(AKH56,ChurnSeasonTable,4,FALSE))*POWER(1-(AnnualChurn*VLOOKUP(AKH56,ChurnSeasonTable,4,FALSE)),0)+AKV32*(AnnualChurn*VLOOKUP(AKH56,ChurnSeasonTable,4,FALSE))*POWER(1-(AnnualChurn*VLOOKUP(AKH56,ChurnSeasonTable,4,FALSE)),1)+AKV20*(AnnualChurn*VLOOKUP(AKH56,ChurnSeasonTable,4,FALSE))*POWER(1-(AnnualChurn*VLOOKUP(AKH56,ChurnSeasonTable,4,FALSE)),2)+AKV8*(AnnualChurn*VLOOKUP(AKH56,ChurnSeasonTable,4,FALSE))*POWER(1-(AnnualChurn*VLOOKUP(AKH56,ChurnSeasonTable,4,FALSE)),3)</f>
        <v/>
      </c>
      <c r="ALA56" s="12">
        <f>AKW56+AKX56+AKY56+AKZ56</f>
        <v/>
      </c>
      <c r="ALB56" s="9">
        <f>AKW56*PriceEssMonthly*AKK56+AKX56*PricePremMonthly*AKK56+AKY56*PriceEssAnnual*AKK56/12+AKZ56*PricePremAnnual*AKK56/12</f>
        <v/>
      </c>
      <c r="ALC56" s="9">
        <f>ALB56*12</f>
        <v/>
      </c>
      <c r="ALD56" s="12">
        <f>AKW56*PriceEssMonthly*AKK56+AKX56*PricePremMonthly*AKK56</f>
        <v/>
      </c>
      <c r="ALE56" s="12">
        <f>AKU56*PriceEssAnnual*AKK56+AKV56*PricePremAnnual*AKK56</f>
        <v/>
      </c>
      <c r="ALF56" s="12">
        <f>AKU44*POWER(1-(AnnualChurn*VLOOKUP(AKH56,ChurnSeasonTable,4,FALSE)),1)*PriceEssAnnual*AKK56+AKU32*POWER(1-(AnnualChurn*VLOOKUP(AKH56,ChurnSeasonTable,4,FALSE)),2)*PriceEssAnnual*AKK56+AKU20*POWER(1-(AnnualChurn*VLOOKUP(AKH56,ChurnSeasonTable,4,FALSE)),3)*PriceEssAnnual*AKK56+AKU8*POWER(1-(AnnualChurn*VLOOKUP(AKH56,ChurnSeasonTable,4,FALSE)),4)*PriceEssAnnual*AKK56+AKV44*POWER(1-(AnnualChurn*VLOOKUP(AKH56,ChurnSeasonTable,4,FALSE)),1)*PricePremAnnual*AKK56+AKV32*POWER(1-(AnnualChurn*VLOOKUP(AKH56,ChurnSeasonTable,4,FALSE)),2)*PricePremAnnual*AKK56+AKV20*POWER(1-(AnnualChurn*VLOOKUP(AKH56,ChurnSeasonTable,4,FALSE)),3)*PricePremAnnual*AKK56+AKV8*POWER(1-(AnnualChurn*VLOOKUP(AKH56,ChurnSeasonTable,4,FALSE)),4)*PricePremAnnual*AKK56</f>
        <v/>
      </c>
      <c r="ALG56" s="9">
        <f>ALD56+ALE56+ALF56</f>
        <v/>
      </c>
      <c r="ALH56" s="12">
        <f>SUM(ALG45:ALG56)</f>
        <v/>
      </c>
      <c r="ALI56" s="12">
        <f>OR(ALI55,ALH56&gt;=VATThreshold)</f>
        <v/>
      </c>
      <c r="ALJ56" s="9">
        <f>IF(ALI56,ALG56/(1+VATRate),ALG56)</f>
        <v/>
      </c>
      <c r="ALK56" s="12">
        <f>ALG56-ALJ56</f>
        <v/>
      </c>
      <c r="ALL56" s="12">
        <f>IF(ALI56=0,0,IF(AKH56=1,SUMPRODUCT(--(($AKI$5:$AKI56=$AKI56-1)*($AKH$5:$AKH56&gt;=10)*($AKH$5:$AKH56&lt;=12)),$ALK$5:$ALK56),IF(AKH56=4,SUMPRODUCT(--(($AKI$5:$AKI56=$AKI56)*($AKH$5:$AKH56&gt;=1)*($AKH$5:$AKH56&lt;=3)),$ALK$5:$ALK56),IF(AKH56=7,SUMPRODUCT(--(($AKI$5:$AKI56=$AKI56)*($AKH$5:$AKH56&gt;=4)*($AKH$5:$AKH56&lt;=6)),$ALK$5:$ALK56),IF(AKH56=10,SUMPRODUCT(--(($AKI$5:$AKI56=$AKI56)*($AKH$5:$AKH56&gt;=7)*($AKH$5:$AKH56&lt;=9)),$ALK$5:$ALK56),0)))))</f>
        <v/>
      </c>
      <c r="ALM56" s="12">
        <f>ALM55+ALK56-ALL56</f>
        <v/>
      </c>
      <c r="ALN56" s="12">
        <f>IF(ProviderDelay&gt;=1,ALJ55*ProviderShare,ALJ56*ProviderShare)</f>
        <v/>
      </c>
      <c r="ALO56" s="12">
        <f>ALG56*PaymentFee</f>
        <v/>
      </c>
      <c r="ALP56" s="12">
        <f>ALA56*OpsAI</f>
        <v/>
      </c>
      <c r="ALQ56" s="12">
        <f>MonthlyFixed</f>
        <v/>
      </c>
      <c r="ALR56" s="12">
        <f>AKO56*ReferralReward</f>
        <v/>
      </c>
      <c r="ALS56" s="12">
        <f>AKM56</f>
        <v/>
      </c>
      <c r="ALT56" s="9">
        <f>ALJ56-ALN56-ALO56-ALP56-ALQ56-ALR56-ALS56</f>
        <v/>
      </c>
      <c r="ALU56" s="9">
        <f>ALU55+ALG56-(ALN56+ALO56+ALP56+ALQ56+ALR56+ALS56+ALL56)</f>
        <v/>
      </c>
      <c r="ALV56" s="12">
        <f>IF(ALA56&gt;0,ALB56/ALA56,0)</f>
        <v/>
      </c>
      <c r="ALW56" s="11">
        <f>IF(ALA55&gt;0,MAX(0,(ALA55+AKP56-ALA56)/ALA55),0)</f>
        <v/>
      </c>
      <c r="ALY56" s="12" t="n">
        <v>52</v>
      </c>
      <c r="ALZ56" s="12">
        <f>MOD(ALY56-1+LaunchMonth-1,12)+1</f>
        <v/>
      </c>
      <c r="AMA56" s="12">
        <f>INT((ALY56-1+LaunchMonth-1)/12)+1</f>
        <v/>
      </c>
      <c r="AMB56" s="12">
        <f>VLOOKUP(ALZ56,SeasonTable,2,FALSE)</f>
        <v/>
      </c>
      <c r="AMC56" s="12">
        <f>(1+InflationRate)^INT((ALY56-1)/12)</f>
        <v/>
      </c>
      <c r="AMD56" s="11">
        <f>MonthlyChurn*VLOOKUP(ALZ56,ChurnSeasonTable,4,FALSE)</f>
        <v/>
      </c>
      <c r="AME56" s="12">
        <f>MIN(MAX(MktMin19plus,AMY55*MktPct19plus),MAX(0,ANM55-CashBuffer))</f>
        <v/>
      </c>
      <c r="AMF56" s="12">
        <f>IF(AME56&gt;0,MAX(1,ROUND(AME56/'Sens - CAC &amp; Marketing'!$A$13*AMB56,0)),0)</f>
        <v/>
      </c>
      <c r="AMG56" s="12">
        <f>IF(AMF56&gt;0,ROUND(AMF56*ReferralMix/(1-ReferralMix),0),0)</f>
        <v/>
      </c>
      <c r="AMH56" s="12">
        <f>AMF56+AMG56</f>
        <v/>
      </c>
      <c r="AMI56" s="12">
        <f>ROUND(AMH56*(1-AnnualMix),0)</f>
        <v/>
      </c>
      <c r="AMJ56" s="12">
        <f>AMH56-AMI56</f>
        <v/>
      </c>
      <c r="AMK56" s="12">
        <f>ROUND(AMI56*EssentialMix,0)</f>
        <v/>
      </c>
      <c r="AML56" s="12">
        <f>AMI56-AMK56</f>
        <v/>
      </c>
      <c r="AMM56" s="12">
        <f>ROUND(AMJ56*EssentialMix,0)</f>
        <v/>
      </c>
      <c r="AMN56" s="12">
        <f>AMJ56-AMM56</f>
        <v/>
      </c>
      <c r="AMO56" s="12">
        <f>AMK56+AMK55+AMK54+MAX(0,AMO55-AMK55-AMK54)*(1-AMD56)</f>
        <v/>
      </c>
      <c r="AMP56" s="12">
        <f>AML56+AML55+AML54+MAX(0,AMP55-AML55-AML54)*(1-AMD56)</f>
        <v/>
      </c>
      <c r="AMQ56" s="12">
        <f>AMQ55+AMM56-AMM44*(AnnualChurn*VLOOKUP(ALZ56,ChurnSeasonTable,4,FALSE))*POWER(1-(AnnualChurn*VLOOKUP(ALZ56,ChurnSeasonTable,4,FALSE)),0)+AMM32*(AnnualChurn*VLOOKUP(ALZ56,ChurnSeasonTable,4,FALSE))*POWER(1-(AnnualChurn*VLOOKUP(ALZ56,ChurnSeasonTable,4,FALSE)),1)+AMM20*(AnnualChurn*VLOOKUP(ALZ56,ChurnSeasonTable,4,FALSE))*POWER(1-(AnnualChurn*VLOOKUP(ALZ56,ChurnSeasonTable,4,FALSE)),2)+AMM8*(AnnualChurn*VLOOKUP(ALZ56,ChurnSeasonTable,4,FALSE))*POWER(1-(AnnualChurn*VLOOKUP(ALZ56,ChurnSeasonTable,4,FALSE)),3)</f>
        <v/>
      </c>
      <c r="AMR56" s="12">
        <f>AMR55+AMN56-AMN44*(AnnualChurn*VLOOKUP(ALZ56,ChurnSeasonTable,4,FALSE))*POWER(1-(AnnualChurn*VLOOKUP(ALZ56,ChurnSeasonTable,4,FALSE)),0)+AMN32*(AnnualChurn*VLOOKUP(ALZ56,ChurnSeasonTable,4,FALSE))*POWER(1-(AnnualChurn*VLOOKUP(ALZ56,ChurnSeasonTable,4,FALSE)),1)+AMN20*(AnnualChurn*VLOOKUP(ALZ56,ChurnSeasonTable,4,FALSE))*POWER(1-(AnnualChurn*VLOOKUP(ALZ56,ChurnSeasonTable,4,FALSE)),2)+AMN8*(AnnualChurn*VLOOKUP(ALZ56,ChurnSeasonTable,4,FALSE))*POWER(1-(AnnualChurn*VLOOKUP(ALZ56,ChurnSeasonTable,4,FALSE)),3)</f>
        <v/>
      </c>
      <c r="AMS56" s="12">
        <f>AMO56+AMP56+AMQ56+AMR56</f>
        <v/>
      </c>
      <c r="AMT56" s="9">
        <f>AMO56*PriceEssMonthly*AMC56+AMP56*PricePremMonthly*AMC56+AMQ56*PriceEssAnnual*AMC56/12+AMR56*PricePremAnnual*AMC56/12</f>
        <v/>
      </c>
      <c r="AMU56" s="9">
        <f>AMT56*12</f>
        <v/>
      </c>
      <c r="AMV56" s="12">
        <f>AMO56*PriceEssMonthly*AMC56+AMP56*PricePremMonthly*AMC56</f>
        <v/>
      </c>
      <c r="AMW56" s="12">
        <f>AMM56*PriceEssAnnual*AMC56+AMN56*PricePremAnnual*AMC56</f>
        <v/>
      </c>
      <c r="AMX56" s="12">
        <f>AMM44*POWER(1-(AnnualChurn*VLOOKUP(ALZ56,ChurnSeasonTable,4,FALSE)),1)*PriceEssAnnual*AMC56+AMM32*POWER(1-(AnnualChurn*VLOOKUP(ALZ56,ChurnSeasonTable,4,FALSE)),2)*PriceEssAnnual*AMC56+AMM20*POWER(1-(AnnualChurn*VLOOKUP(ALZ56,ChurnSeasonTable,4,FALSE)),3)*PriceEssAnnual*AMC56+AMM8*POWER(1-(AnnualChurn*VLOOKUP(ALZ56,ChurnSeasonTable,4,FALSE)),4)*PriceEssAnnual*AMC56+AMN44*POWER(1-(AnnualChurn*VLOOKUP(ALZ56,ChurnSeasonTable,4,FALSE)),1)*PricePremAnnual*AMC56+AMN32*POWER(1-(AnnualChurn*VLOOKUP(ALZ56,ChurnSeasonTable,4,FALSE)),2)*PricePremAnnual*AMC56+AMN20*POWER(1-(AnnualChurn*VLOOKUP(ALZ56,ChurnSeasonTable,4,FALSE)),3)*PricePremAnnual*AMC56+AMN8*POWER(1-(AnnualChurn*VLOOKUP(ALZ56,ChurnSeasonTable,4,FALSE)),4)*PricePremAnnual*AMC56</f>
        <v/>
      </c>
      <c r="AMY56" s="9">
        <f>AMV56+AMW56+AMX56</f>
        <v/>
      </c>
      <c r="AMZ56" s="12">
        <f>SUM(AMY45:AMY56)</f>
        <v/>
      </c>
      <c r="ANA56" s="12">
        <f>OR(ANA55,AMZ56&gt;=VATThreshold)</f>
        <v/>
      </c>
      <c r="ANB56" s="9">
        <f>IF(ANA56,AMY56/(1+VATRate),AMY56)</f>
        <v/>
      </c>
      <c r="ANC56" s="12">
        <f>AMY56-ANB56</f>
        <v/>
      </c>
      <c r="AND56" s="12">
        <f>IF(ANA56=0,0,IF(ALZ56=1,SUMPRODUCT(--(($AMA$5:$AMA56=$AMA56-1)*($ALZ$5:$ALZ56&gt;=10)*($ALZ$5:$ALZ56&lt;=12)),$ANC$5:$ANC56),IF(ALZ56=4,SUMPRODUCT(--(($AMA$5:$AMA56=$AMA56)*($ALZ$5:$ALZ56&gt;=1)*($ALZ$5:$ALZ56&lt;=3)),$ANC$5:$ANC56),IF(ALZ56=7,SUMPRODUCT(--(($AMA$5:$AMA56=$AMA56)*($ALZ$5:$ALZ56&gt;=4)*($ALZ$5:$ALZ56&lt;=6)),$ANC$5:$ANC56),IF(ALZ56=10,SUMPRODUCT(--(($AMA$5:$AMA56=$AMA56)*($ALZ$5:$ALZ56&gt;=7)*($ALZ$5:$ALZ56&lt;=9)),$ANC$5:$ANC56),0)))))</f>
        <v/>
      </c>
      <c r="ANE56" s="12">
        <f>ANE55+ANC56-AND56</f>
        <v/>
      </c>
      <c r="ANF56" s="12">
        <f>IF(ProviderDelay&gt;=1,ANB55*ProviderShare,ANB56*ProviderShare)</f>
        <v/>
      </c>
      <c r="ANG56" s="12">
        <f>AMY56*PaymentFee</f>
        <v/>
      </c>
      <c r="ANH56" s="12">
        <f>AMS56*OpsAI</f>
        <v/>
      </c>
      <c r="ANI56" s="12">
        <f>MonthlyFixed</f>
        <v/>
      </c>
      <c r="ANJ56" s="12">
        <f>AMG56*ReferralReward</f>
        <v/>
      </c>
      <c r="ANK56" s="12">
        <f>AME56</f>
        <v/>
      </c>
      <c r="ANL56" s="9">
        <f>ANB56-ANF56-ANG56-ANH56-ANI56-ANJ56-ANK56</f>
        <v/>
      </c>
      <c r="ANM56" s="9">
        <f>ANM55+AMY56-(ANF56+ANG56+ANH56+ANI56+ANJ56+ANK56+AND56)</f>
        <v/>
      </c>
      <c r="ANN56" s="12">
        <f>IF(AMS56&gt;0,AMT56/AMS56,0)</f>
        <v/>
      </c>
      <c r="ANO56" s="11">
        <f>IF(AMS55&gt;0,MAX(0,(AMS55+AMH56-AMS56)/AMS55),0)</f>
        <v/>
      </c>
      <c r="ANQ56" s="12" t="n">
        <v>52</v>
      </c>
      <c r="ANR56" s="12">
        <f>MOD(ANQ56-1+LaunchMonth-1,12)+1</f>
        <v/>
      </c>
      <c r="ANS56" s="12">
        <f>INT((ANQ56-1+LaunchMonth-1)/12)+1</f>
        <v/>
      </c>
      <c r="ANT56" s="12">
        <f>VLOOKUP(ANR56,SeasonTable,2,FALSE)</f>
        <v/>
      </c>
      <c r="ANU56" s="12">
        <f>(1+InflationRate)^INT((ANQ56-1)/12)</f>
        <v/>
      </c>
      <c r="ANV56" s="11">
        <f>MonthlyChurn*VLOOKUP(ANR56,ChurnSeasonTable,4,FALSE)</f>
        <v/>
      </c>
      <c r="ANW56" s="12">
        <f>MIN(MAX(MktMin19plus,AOQ55*MktPct19plus),MAX(0,APE55-CashBuffer))</f>
        <v/>
      </c>
      <c r="ANX56" s="12">
        <f>IF(ANW56&gt;0,MAX(1,ROUND(ANW56/'Sens - CAC &amp; Marketing'!$A$14*ANT56,0)),0)</f>
        <v/>
      </c>
      <c r="ANY56" s="12">
        <f>IF(ANX56&gt;0,ROUND(ANX56*ReferralMix/(1-ReferralMix),0),0)</f>
        <v/>
      </c>
      <c r="ANZ56" s="12">
        <f>ANX56+ANY56</f>
        <v/>
      </c>
      <c r="AOA56" s="12">
        <f>ROUND(ANZ56*(1-AnnualMix),0)</f>
        <v/>
      </c>
      <c r="AOB56" s="12">
        <f>ANZ56-AOA56</f>
        <v/>
      </c>
      <c r="AOC56" s="12">
        <f>ROUND(AOA56*EssentialMix,0)</f>
        <v/>
      </c>
      <c r="AOD56" s="12">
        <f>AOA56-AOC56</f>
        <v/>
      </c>
      <c r="AOE56" s="12">
        <f>ROUND(AOB56*EssentialMix,0)</f>
        <v/>
      </c>
      <c r="AOF56" s="12">
        <f>AOB56-AOE56</f>
        <v/>
      </c>
      <c r="AOG56" s="12">
        <f>AOC56+AOC55+AOC54+MAX(0,AOG55-AOC55-AOC54)*(1-ANV56)</f>
        <v/>
      </c>
      <c r="AOH56" s="12">
        <f>AOD56+AOD55+AOD54+MAX(0,AOH55-AOD55-AOD54)*(1-ANV56)</f>
        <v/>
      </c>
      <c r="AOI56" s="12">
        <f>AOI55+AOE56-AOE44*(AnnualChurn*VLOOKUP(ANR56,ChurnSeasonTable,4,FALSE))*POWER(1-(AnnualChurn*VLOOKUP(ANR56,ChurnSeasonTable,4,FALSE)),0)+AOE32*(AnnualChurn*VLOOKUP(ANR56,ChurnSeasonTable,4,FALSE))*POWER(1-(AnnualChurn*VLOOKUP(ANR56,ChurnSeasonTable,4,FALSE)),1)+AOE20*(AnnualChurn*VLOOKUP(ANR56,ChurnSeasonTable,4,FALSE))*POWER(1-(AnnualChurn*VLOOKUP(ANR56,ChurnSeasonTable,4,FALSE)),2)+AOE8*(AnnualChurn*VLOOKUP(ANR56,ChurnSeasonTable,4,FALSE))*POWER(1-(AnnualChurn*VLOOKUP(ANR56,ChurnSeasonTable,4,FALSE)),3)</f>
        <v/>
      </c>
      <c r="AOJ56" s="12">
        <f>AOJ55+AOF56-AOF44*(AnnualChurn*VLOOKUP(ANR56,ChurnSeasonTable,4,FALSE))*POWER(1-(AnnualChurn*VLOOKUP(ANR56,ChurnSeasonTable,4,FALSE)),0)+AOF32*(AnnualChurn*VLOOKUP(ANR56,ChurnSeasonTable,4,FALSE))*POWER(1-(AnnualChurn*VLOOKUP(ANR56,ChurnSeasonTable,4,FALSE)),1)+AOF20*(AnnualChurn*VLOOKUP(ANR56,ChurnSeasonTable,4,FALSE))*POWER(1-(AnnualChurn*VLOOKUP(ANR56,ChurnSeasonTable,4,FALSE)),2)+AOF8*(AnnualChurn*VLOOKUP(ANR56,ChurnSeasonTable,4,FALSE))*POWER(1-(AnnualChurn*VLOOKUP(ANR56,ChurnSeasonTable,4,FALSE)),3)</f>
        <v/>
      </c>
      <c r="AOK56" s="12">
        <f>AOG56+AOH56+AOI56+AOJ56</f>
        <v/>
      </c>
      <c r="AOL56" s="9">
        <f>AOG56*PriceEssMonthly*ANU56+AOH56*PricePremMonthly*ANU56+AOI56*PriceEssAnnual*ANU56/12+AOJ56*PricePremAnnual*ANU56/12</f>
        <v/>
      </c>
      <c r="AOM56" s="9">
        <f>AOL56*12</f>
        <v/>
      </c>
      <c r="AON56" s="12">
        <f>AOG56*PriceEssMonthly*ANU56+AOH56*PricePremMonthly*ANU56</f>
        <v/>
      </c>
      <c r="AOO56" s="12">
        <f>AOE56*PriceEssAnnual*ANU56+AOF56*PricePremAnnual*ANU56</f>
        <v/>
      </c>
      <c r="AOP56" s="12">
        <f>AOE44*POWER(1-(AnnualChurn*VLOOKUP(ANR56,ChurnSeasonTable,4,FALSE)),1)*PriceEssAnnual*ANU56+AOE32*POWER(1-(AnnualChurn*VLOOKUP(ANR56,ChurnSeasonTable,4,FALSE)),2)*PriceEssAnnual*ANU56+AOE20*POWER(1-(AnnualChurn*VLOOKUP(ANR56,ChurnSeasonTable,4,FALSE)),3)*PriceEssAnnual*ANU56+AOE8*POWER(1-(AnnualChurn*VLOOKUP(ANR56,ChurnSeasonTable,4,FALSE)),4)*PriceEssAnnual*ANU56+AOF44*POWER(1-(AnnualChurn*VLOOKUP(ANR56,ChurnSeasonTable,4,FALSE)),1)*PricePremAnnual*ANU56+AOF32*POWER(1-(AnnualChurn*VLOOKUP(ANR56,ChurnSeasonTable,4,FALSE)),2)*PricePremAnnual*ANU56+AOF20*POWER(1-(AnnualChurn*VLOOKUP(ANR56,ChurnSeasonTable,4,FALSE)),3)*PricePremAnnual*ANU56+AOF8*POWER(1-(AnnualChurn*VLOOKUP(ANR56,ChurnSeasonTable,4,FALSE)),4)*PricePremAnnual*ANU56</f>
        <v/>
      </c>
      <c r="AOQ56" s="9">
        <f>AON56+AOO56+AOP56</f>
        <v/>
      </c>
      <c r="AOR56" s="12">
        <f>SUM(AOQ45:AOQ56)</f>
        <v/>
      </c>
      <c r="AOS56" s="12">
        <f>OR(AOS55,AOR56&gt;=VATThreshold)</f>
        <v/>
      </c>
      <c r="AOT56" s="9">
        <f>IF(AOS56,AOQ56/(1+VATRate),AOQ56)</f>
        <v/>
      </c>
      <c r="AOU56" s="12">
        <f>AOQ56-AOT56</f>
        <v/>
      </c>
      <c r="AOV56" s="12">
        <f>IF(AOS56=0,0,IF(ANR56=1,SUMPRODUCT(--(($ANS$5:$ANS56=$ANS56-1)*($ANR$5:$ANR56&gt;=10)*($ANR$5:$ANR56&lt;=12)),$AOU$5:$AOU56),IF(ANR56=4,SUMPRODUCT(--(($ANS$5:$ANS56=$ANS56)*($ANR$5:$ANR56&gt;=1)*($ANR$5:$ANR56&lt;=3)),$AOU$5:$AOU56),IF(ANR56=7,SUMPRODUCT(--(($ANS$5:$ANS56=$ANS56)*($ANR$5:$ANR56&gt;=4)*($ANR$5:$ANR56&lt;=6)),$AOU$5:$AOU56),IF(ANR56=10,SUMPRODUCT(--(($ANS$5:$ANS56=$ANS56)*($ANR$5:$ANR56&gt;=7)*($ANR$5:$ANR56&lt;=9)),$AOU$5:$AOU56),0)))))</f>
        <v/>
      </c>
      <c r="AOW56" s="12">
        <f>AOW55+AOU56-AOV56</f>
        <v/>
      </c>
      <c r="AOX56" s="12">
        <f>IF(ProviderDelay&gt;=1,AOT55*ProviderShare,AOT56*ProviderShare)</f>
        <v/>
      </c>
      <c r="AOY56" s="12">
        <f>AOQ56*PaymentFee</f>
        <v/>
      </c>
      <c r="AOZ56" s="12">
        <f>AOK56*OpsAI</f>
        <v/>
      </c>
      <c r="APA56" s="12">
        <f>MonthlyFixed</f>
        <v/>
      </c>
      <c r="APB56" s="12">
        <f>ANY56*ReferralReward</f>
        <v/>
      </c>
      <c r="APC56" s="12">
        <f>ANW56</f>
        <v/>
      </c>
      <c r="APD56" s="9">
        <f>AOT56-AOX56-AOY56-AOZ56-APA56-APB56-APC56</f>
        <v/>
      </c>
      <c r="APE56" s="9">
        <f>APE55+AOQ56-(AOX56+AOY56+AOZ56+APA56+APB56+APC56+AOV56)</f>
        <v/>
      </c>
      <c r="APF56" s="12">
        <f>IF(AOK56&gt;0,AOL56/AOK56,0)</f>
        <v/>
      </c>
      <c r="APG56" s="11">
        <f>IF(AOK55&gt;0,MAX(0,(AOK55+ANZ56-AOK56)/AOK55),0)</f>
        <v/>
      </c>
      <c r="API56" s="12" t="n">
        <v>52</v>
      </c>
      <c r="APJ56" s="12">
        <f>MOD(API56-1+LaunchMonth-1,12)+1</f>
        <v/>
      </c>
      <c r="APK56" s="12">
        <f>INT((API56-1+LaunchMonth-1)/12)+1</f>
        <v/>
      </c>
      <c r="APL56" s="12">
        <f>VLOOKUP(APJ56,SeasonTable,2,FALSE)</f>
        <v/>
      </c>
      <c r="APM56" s="12">
        <f>(1+InflationRate)^INT((API56-1)/12)</f>
        <v/>
      </c>
      <c r="APN56" s="11">
        <f>MonthlyChurn*VLOOKUP(APJ56,ChurnSeasonTable,4,FALSE)</f>
        <v/>
      </c>
      <c r="APO56" s="12">
        <f>MIN(MAX(MktMin19plus,AQI55*MktPct19plus),MAX(0,AQW55-CashBuffer))</f>
        <v/>
      </c>
      <c r="APP56" s="12">
        <f>IF(APO56&gt;0,MAX(1,ROUND(APO56/'Sens - CAC &amp; Marketing'!$A$15*APL56,0)),0)</f>
        <v/>
      </c>
      <c r="APQ56" s="12">
        <f>IF(APP56&gt;0,ROUND(APP56*ReferralMix/(1-ReferralMix),0),0)</f>
        <v/>
      </c>
      <c r="APR56" s="12">
        <f>APP56+APQ56</f>
        <v/>
      </c>
      <c r="APS56" s="12">
        <f>ROUND(APR56*(1-AnnualMix),0)</f>
        <v/>
      </c>
      <c r="APT56" s="12">
        <f>APR56-APS56</f>
        <v/>
      </c>
      <c r="APU56" s="12">
        <f>ROUND(APS56*EssentialMix,0)</f>
        <v/>
      </c>
      <c r="APV56" s="12">
        <f>APS56-APU56</f>
        <v/>
      </c>
      <c r="APW56" s="12">
        <f>ROUND(APT56*EssentialMix,0)</f>
        <v/>
      </c>
      <c r="APX56" s="12">
        <f>APT56-APW56</f>
        <v/>
      </c>
      <c r="APY56" s="12">
        <f>APU56+APU55+APU54+MAX(0,APY55-APU55-APU54)*(1-APN56)</f>
        <v/>
      </c>
      <c r="APZ56" s="12">
        <f>APV56+APV55+APV54+MAX(0,APZ55-APV55-APV54)*(1-APN56)</f>
        <v/>
      </c>
      <c r="AQA56" s="12">
        <f>AQA55+APW56-APW44*(AnnualChurn*VLOOKUP(APJ56,ChurnSeasonTable,4,FALSE))*POWER(1-(AnnualChurn*VLOOKUP(APJ56,ChurnSeasonTable,4,FALSE)),0)+APW32*(AnnualChurn*VLOOKUP(APJ56,ChurnSeasonTable,4,FALSE))*POWER(1-(AnnualChurn*VLOOKUP(APJ56,ChurnSeasonTable,4,FALSE)),1)+APW20*(AnnualChurn*VLOOKUP(APJ56,ChurnSeasonTable,4,FALSE))*POWER(1-(AnnualChurn*VLOOKUP(APJ56,ChurnSeasonTable,4,FALSE)),2)+APW8*(AnnualChurn*VLOOKUP(APJ56,ChurnSeasonTable,4,FALSE))*POWER(1-(AnnualChurn*VLOOKUP(APJ56,ChurnSeasonTable,4,FALSE)),3)</f>
        <v/>
      </c>
      <c r="AQB56" s="12">
        <f>AQB55+APX56-APX44*(AnnualChurn*VLOOKUP(APJ56,ChurnSeasonTable,4,FALSE))*POWER(1-(AnnualChurn*VLOOKUP(APJ56,ChurnSeasonTable,4,FALSE)),0)+APX32*(AnnualChurn*VLOOKUP(APJ56,ChurnSeasonTable,4,FALSE))*POWER(1-(AnnualChurn*VLOOKUP(APJ56,ChurnSeasonTable,4,FALSE)),1)+APX20*(AnnualChurn*VLOOKUP(APJ56,ChurnSeasonTable,4,FALSE))*POWER(1-(AnnualChurn*VLOOKUP(APJ56,ChurnSeasonTable,4,FALSE)),2)+APX8*(AnnualChurn*VLOOKUP(APJ56,ChurnSeasonTable,4,FALSE))*POWER(1-(AnnualChurn*VLOOKUP(APJ56,ChurnSeasonTable,4,FALSE)),3)</f>
        <v/>
      </c>
      <c r="AQC56" s="12">
        <f>APY56+APZ56+AQA56+AQB56</f>
        <v/>
      </c>
      <c r="AQD56" s="9">
        <f>APY56*PriceEssMonthly*APM56+APZ56*PricePremMonthly*APM56+AQA56*PriceEssAnnual*APM56/12+AQB56*PricePremAnnual*APM56/12</f>
        <v/>
      </c>
      <c r="AQE56" s="9">
        <f>AQD56*12</f>
        <v/>
      </c>
      <c r="AQF56" s="12">
        <f>APY56*PriceEssMonthly*APM56+APZ56*PricePremMonthly*APM56</f>
        <v/>
      </c>
      <c r="AQG56" s="12">
        <f>APW56*PriceEssAnnual*APM56+APX56*PricePremAnnual*APM56</f>
        <v/>
      </c>
      <c r="AQH56" s="12">
        <f>APW44*POWER(1-(AnnualChurn*VLOOKUP(APJ56,ChurnSeasonTable,4,FALSE)),1)*PriceEssAnnual*APM56+APW32*POWER(1-(AnnualChurn*VLOOKUP(APJ56,ChurnSeasonTable,4,FALSE)),2)*PriceEssAnnual*APM56+APW20*POWER(1-(AnnualChurn*VLOOKUP(APJ56,ChurnSeasonTable,4,FALSE)),3)*PriceEssAnnual*APM56+APW8*POWER(1-(AnnualChurn*VLOOKUP(APJ56,ChurnSeasonTable,4,FALSE)),4)*PriceEssAnnual*APM56+APX44*POWER(1-(AnnualChurn*VLOOKUP(APJ56,ChurnSeasonTable,4,FALSE)),1)*PricePremAnnual*APM56+APX32*POWER(1-(AnnualChurn*VLOOKUP(APJ56,ChurnSeasonTable,4,FALSE)),2)*PricePremAnnual*APM56+APX20*POWER(1-(AnnualChurn*VLOOKUP(APJ56,ChurnSeasonTable,4,FALSE)),3)*PricePremAnnual*APM56+APX8*POWER(1-(AnnualChurn*VLOOKUP(APJ56,ChurnSeasonTable,4,FALSE)),4)*PricePremAnnual*APM56</f>
        <v/>
      </c>
      <c r="AQI56" s="9">
        <f>AQF56+AQG56+AQH56</f>
        <v/>
      </c>
      <c r="AQJ56" s="12">
        <f>SUM(AQI45:AQI56)</f>
        <v/>
      </c>
      <c r="AQK56" s="12">
        <f>OR(AQK55,AQJ56&gt;=VATThreshold)</f>
        <v/>
      </c>
      <c r="AQL56" s="9">
        <f>IF(AQK56,AQI56/(1+VATRate),AQI56)</f>
        <v/>
      </c>
      <c r="AQM56" s="12">
        <f>AQI56-AQL56</f>
        <v/>
      </c>
      <c r="AQN56" s="12">
        <f>IF(AQK56=0,0,IF(APJ56=1,SUMPRODUCT(--(($APK$5:$APK56=$APK56-1)*($APJ$5:$APJ56&gt;=10)*($APJ$5:$APJ56&lt;=12)),$AQM$5:$AQM56),IF(APJ56=4,SUMPRODUCT(--(($APK$5:$APK56=$APK56)*($APJ$5:$APJ56&gt;=1)*($APJ$5:$APJ56&lt;=3)),$AQM$5:$AQM56),IF(APJ56=7,SUMPRODUCT(--(($APK$5:$APK56=$APK56)*($APJ$5:$APJ56&gt;=4)*($APJ$5:$APJ56&lt;=6)),$AQM$5:$AQM56),IF(APJ56=10,SUMPRODUCT(--(($APK$5:$APK56=$APK56)*($APJ$5:$APJ56&gt;=7)*($APJ$5:$APJ56&lt;=9)),$AQM$5:$AQM56),0)))))</f>
        <v/>
      </c>
      <c r="AQO56" s="12">
        <f>AQO55+AQM56-AQN56</f>
        <v/>
      </c>
      <c r="AQP56" s="12">
        <f>IF(ProviderDelay&gt;=1,AQL55*ProviderShare,AQL56*ProviderShare)</f>
        <v/>
      </c>
      <c r="AQQ56" s="12">
        <f>AQI56*PaymentFee</f>
        <v/>
      </c>
      <c r="AQR56" s="12">
        <f>AQC56*OpsAI</f>
        <v/>
      </c>
      <c r="AQS56" s="12">
        <f>MonthlyFixed</f>
        <v/>
      </c>
      <c r="AQT56" s="12">
        <f>APQ56*ReferralReward</f>
        <v/>
      </c>
      <c r="AQU56" s="12">
        <f>APO56</f>
        <v/>
      </c>
      <c r="AQV56" s="9">
        <f>AQL56-AQP56-AQQ56-AQR56-AQS56-AQT56-AQU56</f>
        <v/>
      </c>
      <c r="AQW56" s="9">
        <f>AQW55+AQI56-(AQP56+AQQ56+AQR56+AQS56+AQT56+AQU56+AQN56)</f>
        <v/>
      </c>
      <c r="AQX56" s="12">
        <f>IF(AQC56&gt;0,AQD56/AQC56,0)</f>
        <v/>
      </c>
      <c r="AQY56" s="11">
        <f>IF(AQC55&gt;0,MAX(0,(AQC55+APR56-AQC56)/AQC55),0)</f>
        <v/>
      </c>
      <c r="ARA56" s="12" t="n">
        <v>52</v>
      </c>
      <c r="ARB56" s="12">
        <f>MOD(ARA56-1+LaunchMonth-1,12)+1</f>
        <v/>
      </c>
      <c r="ARC56" s="12">
        <f>INT((ARA56-1+LaunchMonth-1)/12)+1</f>
        <v/>
      </c>
      <c r="ARD56" s="12">
        <f>VLOOKUP(ARB56,WinterPivotSeasonTable,5,FALSE)</f>
        <v/>
      </c>
      <c r="ARE56" s="12">
        <f>(1+InflationRate)^INT((ARA56-1)/12)</f>
        <v/>
      </c>
      <c r="ARF56" s="11">
        <f>MonthlyChurn*VLOOKUP(ARB56,WinterPivotChurnTable,6,FALSE)</f>
        <v/>
      </c>
      <c r="ARG56" s="12">
        <f>MIN(MAX(MktMin19plus,ASA55*MktPct19plus),MAX(0,ASO55-CashBuffer))</f>
        <v/>
      </c>
      <c r="ARH56" s="12">
        <f>IF(ARG56&gt;0,MAX(1,ROUND(ARG56/CAC*ARD56,0)),0)</f>
        <v/>
      </c>
      <c r="ARI56" s="12">
        <f>IF(ARH56&gt;0,ROUND(ARH56*ReferralMix/(1-ReferralMix),0),0)</f>
        <v/>
      </c>
      <c r="ARJ56" s="12">
        <f>ARH56+ARI56</f>
        <v/>
      </c>
      <c r="ARK56" s="12">
        <f>ROUND(ARJ56*(1-AnnualMix),0)</f>
        <v/>
      </c>
      <c r="ARL56" s="12">
        <f>ARJ56-ARK56</f>
        <v/>
      </c>
      <c r="ARM56" s="12">
        <f>ROUND(ARK56*'Sens - Winter Pivot'!$B$6,0)</f>
        <v/>
      </c>
      <c r="ARN56" s="12">
        <f>ARK56-ARM56</f>
        <v/>
      </c>
      <c r="ARO56" s="12">
        <f>ROUND(ARL56*'Sens - Winter Pivot'!$B$6,0)</f>
        <v/>
      </c>
      <c r="ARP56" s="12">
        <f>ARL56-ARO56</f>
        <v/>
      </c>
      <c r="ARQ56" s="12">
        <f>ARM56+ARM55+ARM54+MAX(0,ARQ55-ARM55-ARM54)*(1-ARF56)</f>
        <v/>
      </c>
      <c r="ARR56" s="12">
        <f>ARN56+ARN55+ARN54+MAX(0,ARR55-ARN55-ARN54)*(1-ARF56)</f>
        <v/>
      </c>
      <c r="ARS56" s="12">
        <f>ARS55+ARO56-ARO44*(AnnualChurn*VLOOKUP(ARB56,WinterPivotChurnTable,6,FALSE))*POWER(1-(AnnualChurn*VLOOKUP(ARB56,WinterPivotChurnTable,6,FALSE)),0)+ARO32*(AnnualChurn*VLOOKUP(ARB56,WinterPivotChurnTable,6,FALSE))*POWER(1-(AnnualChurn*VLOOKUP(ARB56,WinterPivotChurnTable,6,FALSE)),1)+ARO20*(AnnualChurn*VLOOKUP(ARB56,WinterPivotChurnTable,6,FALSE))*POWER(1-(AnnualChurn*VLOOKUP(ARB56,WinterPivotChurnTable,6,FALSE)),2)+ARO8*(AnnualChurn*VLOOKUP(ARB56,WinterPivotChurnTable,6,FALSE))*POWER(1-(AnnualChurn*VLOOKUP(ARB56,WinterPivotChurnTable,6,FALSE)),3)</f>
        <v/>
      </c>
      <c r="ART56" s="12">
        <f>ART55+ARP56-ARP44*(AnnualChurn*VLOOKUP(ARB56,WinterPivotChurnTable,6,FALSE))*POWER(1-(AnnualChurn*VLOOKUP(ARB56,WinterPivotChurnTable,6,FALSE)),0)+ARP32*(AnnualChurn*VLOOKUP(ARB56,WinterPivotChurnTable,6,FALSE))*POWER(1-(AnnualChurn*VLOOKUP(ARB56,WinterPivotChurnTable,6,FALSE)),1)+ARP20*(AnnualChurn*VLOOKUP(ARB56,WinterPivotChurnTable,6,FALSE))*POWER(1-(AnnualChurn*VLOOKUP(ARB56,WinterPivotChurnTable,6,FALSE)),2)+ARP8*(AnnualChurn*VLOOKUP(ARB56,WinterPivotChurnTable,6,FALSE))*POWER(1-(AnnualChurn*VLOOKUP(ARB56,WinterPivotChurnTable,6,FALSE)),3)</f>
        <v/>
      </c>
      <c r="ARU56" s="12">
        <f>ARQ56+ARR56+ARS56+ART56</f>
        <v/>
      </c>
      <c r="ARV56" s="9">
        <f>ARQ56*PriceEssMonthly*ARE56+ARR56*(PricePremMonthly+'Sens - Winter Pivot'!$B$7)*ARE56+ARS56*PriceEssAnnual*ARE56/12+ART56*(PricePremAnnual+'Sens - Winter Pivot'!$B$7*12)*ARE56/12</f>
        <v/>
      </c>
      <c r="ARW56" s="9">
        <f>ARV56*12</f>
        <v/>
      </c>
      <c r="ARX56" s="12">
        <f>ARQ56*PriceEssMonthly*ARE56+ARR56*(PricePremMonthly+'Sens - Winter Pivot'!$B$7)*ARE56</f>
        <v/>
      </c>
      <c r="ARY56" s="12">
        <f>ARO56*PriceEssAnnual*ARE56+ARP56*(PricePremAnnual+'Sens - Winter Pivot'!$B$7*12)*ARE56</f>
        <v/>
      </c>
      <c r="ARZ56" s="12">
        <f>ARO44*POWER(1-(AnnualChurn*VLOOKUP(ARB56,WinterPivotChurnTable,6,FALSE)),1)*PriceEssAnnual*ARE56+ARO32*POWER(1-(AnnualChurn*VLOOKUP(ARB56,WinterPivotChurnTable,6,FALSE)),2)*PriceEssAnnual*ARE56+ARO20*POWER(1-(AnnualChurn*VLOOKUP(ARB56,WinterPivotChurnTable,6,FALSE)),3)*PriceEssAnnual*ARE56+ARO8*POWER(1-(AnnualChurn*VLOOKUP(ARB56,WinterPivotChurnTable,6,FALSE)),4)*PriceEssAnnual*ARE56+ARP44*POWER(1-(AnnualChurn*VLOOKUP(ARB56,WinterPivotChurnTable,6,FALSE)),1)*PricePremAnnual*ARE56+ARP32*POWER(1-(AnnualChurn*VLOOKUP(ARB56,WinterPivotChurnTable,6,FALSE)),2)*PricePremAnnual*ARE56+ARP20*POWER(1-(AnnualChurn*VLOOKUP(ARB56,WinterPivotChurnTable,6,FALSE)),3)*PricePremAnnual*ARE56+ARP8*POWER(1-(AnnualChurn*VLOOKUP(ARB56,WinterPivotChurnTable,6,FALSE)),4)*PricePremAnnual*ARE56</f>
        <v/>
      </c>
      <c r="ASA56" s="9">
        <f>ARX56+ARY56+ARZ56</f>
        <v/>
      </c>
      <c r="ASB56" s="12">
        <f>SUM(ASA45:ASA56)</f>
        <v/>
      </c>
      <c r="ASC56" s="12">
        <f>OR(ASC55,ASB56&gt;=VATThreshold)</f>
        <v/>
      </c>
      <c r="ASD56" s="9">
        <f>IF(ASC56,ASA56/(1+VATRate),ASA56)</f>
        <v/>
      </c>
      <c r="ASE56" s="12">
        <f>ASA56-ASD56</f>
        <v/>
      </c>
      <c r="ASF56" s="12">
        <f>IF(ASC56=0,0,IF(ARB56=1,SUMPRODUCT(--(($ARC$5:$ARC56=$ARC56-1)*($ARB$5:$ARB56&gt;=10)*($ARB$5:$ARB56&lt;=12)),$ASE$5:$ASE56),IF(ARB56=4,SUMPRODUCT(--(($ARC$5:$ARC56=$ARC56)*($ARB$5:$ARB56&gt;=1)*($ARB$5:$ARB56&lt;=3)),$ASE$5:$ASE56),IF(ARB56=7,SUMPRODUCT(--(($ARC$5:$ARC56=$ARC56)*($ARB$5:$ARB56&gt;=4)*($ARB$5:$ARB56&lt;=6)),$ASE$5:$ASE56),IF(ARB56=10,SUMPRODUCT(--(($ARC$5:$ARC56=$ARC56)*($ARB$5:$ARB56&gt;=7)*($ARB$5:$ARB56&lt;=9)),$ASE$5:$ASE56),0)))))</f>
        <v/>
      </c>
      <c r="ASG56" s="12">
        <f>ASG55+ASE56-ASF56</f>
        <v/>
      </c>
      <c r="ASH56" s="12">
        <f>IF(ProviderDelay&gt;=1,ASD55*ProviderShare,ASD56*ProviderShare)</f>
        <v/>
      </c>
      <c r="ASI56" s="12">
        <f>ASA56*PaymentFee</f>
        <v/>
      </c>
      <c r="ASJ56" s="12">
        <f>ARU56*OpsAI</f>
        <v/>
      </c>
      <c r="ASK56" s="12">
        <f>MonthlyFixed</f>
        <v/>
      </c>
      <c r="ASL56" s="12">
        <f>ARI56*ReferralReward</f>
        <v/>
      </c>
      <c r="ASM56" s="12">
        <f>ARG56</f>
        <v/>
      </c>
      <c r="ASN56" s="9">
        <f>ASD56-ASH56-ASI56-ASJ56-ASK56-ASL56-ASM56</f>
        <v/>
      </c>
      <c r="ASO56" s="9">
        <f>ASO55+ASA56-(ASH56+ASI56+ASJ56+ASK56+ASL56+ASM56+ASF56)</f>
        <v/>
      </c>
      <c r="ASP56" s="12">
        <f>IF(ARU56&gt;0,ARV56/ARU56,0)</f>
        <v/>
      </c>
      <c r="ASQ56" s="11">
        <f>IF(ARU55&gt;0,MAX(0,(ARU55+ARJ56-ARU56)/ARU55),0)</f>
        <v/>
      </c>
    </row>
    <row r="57">
      <c r="A57" s="12" t="n">
        <v>53</v>
      </c>
      <c r="B57" s="12">
        <f>MOD(A57-1+LaunchMonth-1,12)+1</f>
        <v/>
      </c>
      <c r="C57" s="12">
        <f>INT((A57-1+LaunchMonth-1)/12)+1</f>
        <v/>
      </c>
      <c r="D57" s="12">
        <f>VLOOKUP(B57,SeasonTable,2,FALSE)</f>
        <v/>
      </c>
      <c r="E57" s="12">
        <f>(1+InflationRate)^INT((A57-1)/12)</f>
        <v/>
      </c>
      <c r="F57" s="11">
        <f>'Sens - Scenarios'!$B$5*VLOOKUP(B57,ChurnSeasonTable,4,FALSE)</f>
        <v/>
      </c>
      <c r="G57" s="12">
        <f>MIN(MAX(MktMin19plus,AA56*MktPct19plus),MAX(0,AO56-CashBuffer))</f>
        <v/>
      </c>
      <c r="H57" s="12">
        <f>IF(G57&gt;0,MAX(1,ROUND(G57/'Sens - Scenarios'!$B$8*D57,0)),0)</f>
        <v/>
      </c>
      <c r="I57" s="12">
        <f>IF(H57&gt;0,ROUND(H57*ReferralMix/(1-ReferralMix),0),0)</f>
        <v/>
      </c>
      <c r="J57" s="12">
        <f>H57+I57</f>
        <v/>
      </c>
      <c r="K57" s="12">
        <f>ROUND(J57*(1-'Sens - Scenarios'!$B$7),0)</f>
        <v/>
      </c>
      <c r="L57" s="12">
        <f>J57-K57</f>
        <v/>
      </c>
      <c r="M57" s="12">
        <f>ROUND(K57*EssentialMix,0)</f>
        <v/>
      </c>
      <c r="N57" s="12">
        <f>K57-M57</f>
        <v/>
      </c>
      <c r="O57" s="12">
        <f>ROUND(L57*EssentialMix,0)</f>
        <v/>
      </c>
      <c r="P57" s="12">
        <f>L57-O57</f>
        <v/>
      </c>
      <c r="Q57" s="12">
        <f>M57+M56+M55+MAX(0,Q56-M56-M55)*(1-F57)</f>
        <v/>
      </c>
      <c r="R57" s="12">
        <f>N57+N56+N55+MAX(0,R56-N56-N55)*(1-F57)</f>
        <v/>
      </c>
      <c r="S57" s="12">
        <f>S56+O57-O45*('Sens - Scenarios'!$B$6*VLOOKUP(B57,ChurnSeasonTable,4,FALSE))*POWER(1-('Sens - Scenarios'!$B$6*VLOOKUP(B57,ChurnSeasonTable,4,FALSE)),0)+O33*('Sens - Scenarios'!$B$6*VLOOKUP(B57,ChurnSeasonTable,4,FALSE))*POWER(1-('Sens - Scenarios'!$B$6*VLOOKUP(B57,ChurnSeasonTable,4,FALSE)),1)+O21*('Sens - Scenarios'!$B$6*VLOOKUP(B57,ChurnSeasonTable,4,FALSE))*POWER(1-('Sens - Scenarios'!$B$6*VLOOKUP(B57,ChurnSeasonTable,4,FALSE)),2)+O9*('Sens - Scenarios'!$B$6*VLOOKUP(B57,ChurnSeasonTable,4,FALSE))*POWER(1-('Sens - Scenarios'!$B$6*VLOOKUP(B57,ChurnSeasonTable,4,FALSE)),3)</f>
        <v/>
      </c>
      <c r="T57" s="12">
        <f>T56+P57-P45*('Sens - Scenarios'!$B$6*VLOOKUP(B57,ChurnSeasonTable,4,FALSE))*POWER(1-('Sens - Scenarios'!$B$6*VLOOKUP(B57,ChurnSeasonTable,4,FALSE)),0)+P33*('Sens - Scenarios'!$B$6*VLOOKUP(B57,ChurnSeasonTable,4,FALSE))*POWER(1-('Sens - Scenarios'!$B$6*VLOOKUP(B57,ChurnSeasonTable,4,FALSE)),1)+P21*('Sens - Scenarios'!$B$6*VLOOKUP(B57,ChurnSeasonTable,4,FALSE))*POWER(1-('Sens - Scenarios'!$B$6*VLOOKUP(B57,ChurnSeasonTable,4,FALSE)),2)+P9*('Sens - Scenarios'!$B$6*VLOOKUP(B57,ChurnSeasonTable,4,FALSE))*POWER(1-('Sens - Scenarios'!$B$6*VLOOKUP(B57,ChurnSeasonTable,4,FALSE)),3)</f>
        <v/>
      </c>
      <c r="U57" s="12">
        <f>Q57+R57+S57+T57</f>
        <v/>
      </c>
      <c r="V57" s="9">
        <f>Q57*PriceEssMonthly*E57+R57*PricePremMonthly*E57+S57*PriceEssAnnual*E57/12+T57*PricePremAnnual*E57/12</f>
        <v/>
      </c>
      <c r="W57" s="9">
        <f>V57*12</f>
        <v/>
      </c>
      <c r="X57" s="12">
        <f>Q57*PriceEssMonthly*E57+R57*PricePremMonthly*E57</f>
        <v/>
      </c>
      <c r="Y57" s="12">
        <f>O57*PriceEssAnnual*E57+P57*PricePremAnnual*E57</f>
        <v/>
      </c>
      <c r="Z57" s="12">
        <f>O45*POWER(1-('Sens - Scenarios'!$B$6*VLOOKUP(B57,ChurnSeasonTable,4,FALSE)),1)*PriceEssAnnual*E57+O33*POWER(1-('Sens - Scenarios'!$B$6*VLOOKUP(B57,ChurnSeasonTable,4,FALSE)),2)*PriceEssAnnual*E57+O21*POWER(1-('Sens - Scenarios'!$B$6*VLOOKUP(B57,ChurnSeasonTable,4,FALSE)),3)*PriceEssAnnual*E57+O9*POWER(1-('Sens - Scenarios'!$B$6*VLOOKUP(B57,ChurnSeasonTable,4,FALSE)),4)*PriceEssAnnual*E57+P45*POWER(1-('Sens - Scenarios'!$B$6*VLOOKUP(B57,ChurnSeasonTable,4,FALSE)),1)*PricePremAnnual*E57+P33*POWER(1-('Sens - Scenarios'!$B$6*VLOOKUP(B57,ChurnSeasonTable,4,FALSE)),2)*PricePremAnnual*E57+P21*POWER(1-('Sens - Scenarios'!$B$6*VLOOKUP(B57,ChurnSeasonTable,4,FALSE)),3)*PricePremAnnual*E57+P9*POWER(1-('Sens - Scenarios'!$B$6*VLOOKUP(B57,ChurnSeasonTable,4,FALSE)),4)*PricePremAnnual*E57</f>
        <v/>
      </c>
      <c r="AA57" s="9">
        <f>X57+Y57+Z57</f>
        <v/>
      </c>
      <c r="AB57" s="12">
        <f>SUM(AA46:AA57)</f>
        <v/>
      </c>
      <c r="AC57" s="12">
        <f>OR(AC56,AB57&gt;=VATThreshold)</f>
        <v/>
      </c>
      <c r="AD57" s="9">
        <f>IF(AC57,AA57/(1+VATRate),AA57)</f>
        <v/>
      </c>
      <c r="AE57" s="12">
        <f>AA57-AD57</f>
        <v/>
      </c>
      <c r="AF57" s="12">
        <f>IF(AC57=0,0,IF(B57=1,SUMPRODUCT(--(($C$5:$C57=$C57-1)*($B$5:$B57&gt;=10)*($B$5:$B57&lt;=12)),$AE$5:$AE57),IF(B57=4,SUMPRODUCT(--(($C$5:$C57=$C57)*($B$5:$B57&gt;=1)*($B$5:$B57&lt;=3)),$AE$5:$AE57),IF(B57=7,SUMPRODUCT(--(($C$5:$C57=$C57)*($B$5:$B57&gt;=4)*($B$5:$B57&lt;=6)),$AE$5:$AE57),IF(B57=10,SUMPRODUCT(--(($C$5:$C57=$C57)*($B$5:$B57&gt;=7)*($B$5:$B57&lt;=9)),$AE$5:$AE57),0)))))</f>
        <v/>
      </c>
      <c r="AG57" s="12">
        <f>AG56+AE57-AF57</f>
        <v/>
      </c>
      <c r="AH57" s="12">
        <f>IF(ProviderDelay&gt;=1,AD56*ProviderShare,AD57*ProviderShare)</f>
        <v/>
      </c>
      <c r="AI57" s="12">
        <f>AA57*PaymentFee</f>
        <v/>
      </c>
      <c r="AJ57" s="12">
        <f>U57*OpsAI</f>
        <v/>
      </c>
      <c r="AK57" s="12">
        <f>MonthlyFixed</f>
        <v/>
      </c>
      <c r="AL57" s="12">
        <f>I57*ReferralReward</f>
        <v/>
      </c>
      <c r="AM57" s="12">
        <f>G57</f>
        <v/>
      </c>
      <c r="AN57" s="9">
        <f>AD57-AH57-AI57-AJ57-AK57-AL57-AM57</f>
        <v/>
      </c>
      <c r="AO57" s="9">
        <f>AO56+AA57-(AH57+AI57+AJ57+AK57+AL57+AM57+AF57)</f>
        <v/>
      </c>
      <c r="AP57" s="12">
        <f>IF(U57&gt;0,V57/U57,0)</f>
        <v/>
      </c>
      <c r="AQ57" s="11">
        <f>IF(U56&gt;0,MAX(0,(U56+J57-U57)/U56),0)</f>
        <v/>
      </c>
      <c r="AS57" s="12" t="n">
        <v>53</v>
      </c>
      <c r="AT57" s="12">
        <f>MOD(AS57-1+LaunchMonth-1,12)+1</f>
        <v/>
      </c>
      <c r="AU57" s="12">
        <f>INT((AS57-1+LaunchMonth-1)/12)+1</f>
        <v/>
      </c>
      <c r="AV57" s="12">
        <f>VLOOKUP(AT57,SeasonTable,2,FALSE)</f>
        <v/>
      </c>
      <c r="AW57" s="12">
        <f>(1+InflationRate)^INT((AS57-1)/12)</f>
        <v/>
      </c>
      <c r="AX57" s="11">
        <f>MonthlyChurn*VLOOKUP(AT57,ChurnSeasonTable,4,FALSE)</f>
        <v/>
      </c>
      <c r="AY57" s="12">
        <f>MIN(MAX(MktMin19plus,BS56*MktPct19plus),MAX(0,CG56-CashBuffer))</f>
        <v/>
      </c>
      <c r="AZ57" s="12">
        <f>IF(AY57&gt;0,MAX(1,ROUND(AY57/CAC*AV57,0)),0)</f>
        <v/>
      </c>
      <c r="BA57" s="12">
        <f>IF(AZ57&gt;0,ROUND(AZ57*ReferralMix/(1-ReferralMix),0),0)</f>
        <v/>
      </c>
      <c r="BB57" s="12">
        <f>AZ57+BA57</f>
        <v/>
      </c>
      <c r="BC57" s="12">
        <f>ROUND(BB57*(1-AnnualMix),0)</f>
        <v/>
      </c>
      <c r="BD57" s="12">
        <f>BB57-BC57</f>
        <v/>
      </c>
      <c r="BE57" s="12">
        <f>ROUND(BC57*EssentialMix,0)</f>
        <v/>
      </c>
      <c r="BF57" s="12">
        <f>BC57-BE57</f>
        <v/>
      </c>
      <c r="BG57" s="12">
        <f>ROUND(BD57*EssentialMix,0)</f>
        <v/>
      </c>
      <c r="BH57" s="12">
        <f>BD57-BG57</f>
        <v/>
      </c>
      <c r="BI57" s="12">
        <f>BE57+BE56+BE55+MAX(0,BI56-BE56-BE55)*(1-AX57)</f>
        <v/>
      </c>
      <c r="BJ57" s="12">
        <f>BF57+BF56+BF55+MAX(0,BJ56-BF56-BF55)*(1-AX57)</f>
        <v/>
      </c>
      <c r="BK57" s="12">
        <f>BK56+BG57-BG45*(AnnualChurn*VLOOKUP(AT57,ChurnSeasonTable,4,FALSE))*POWER(1-(AnnualChurn*VLOOKUP(AT57,ChurnSeasonTable,4,FALSE)),0)+BG33*(AnnualChurn*VLOOKUP(AT57,ChurnSeasonTable,4,FALSE))*POWER(1-(AnnualChurn*VLOOKUP(AT57,ChurnSeasonTable,4,FALSE)),1)+BG21*(AnnualChurn*VLOOKUP(AT57,ChurnSeasonTable,4,FALSE))*POWER(1-(AnnualChurn*VLOOKUP(AT57,ChurnSeasonTable,4,FALSE)),2)+BG9*(AnnualChurn*VLOOKUP(AT57,ChurnSeasonTable,4,FALSE))*POWER(1-(AnnualChurn*VLOOKUP(AT57,ChurnSeasonTable,4,FALSE)),3)</f>
        <v/>
      </c>
      <c r="BL57" s="12">
        <f>BL56+BH57-BH45*(AnnualChurn*VLOOKUP(AT57,ChurnSeasonTable,4,FALSE))*POWER(1-(AnnualChurn*VLOOKUP(AT57,ChurnSeasonTable,4,FALSE)),0)+BH33*(AnnualChurn*VLOOKUP(AT57,ChurnSeasonTable,4,FALSE))*POWER(1-(AnnualChurn*VLOOKUP(AT57,ChurnSeasonTable,4,FALSE)),1)+BH21*(AnnualChurn*VLOOKUP(AT57,ChurnSeasonTable,4,FALSE))*POWER(1-(AnnualChurn*VLOOKUP(AT57,ChurnSeasonTable,4,FALSE)),2)+BH9*(AnnualChurn*VLOOKUP(AT57,ChurnSeasonTable,4,FALSE))*POWER(1-(AnnualChurn*VLOOKUP(AT57,ChurnSeasonTable,4,FALSE)),3)</f>
        <v/>
      </c>
      <c r="BM57" s="12">
        <f>BI57+BJ57+BK57+BL57</f>
        <v/>
      </c>
      <c r="BN57" s="9">
        <f>BI57*PriceEssMonthly*AW57+BJ57*PricePremMonthly*AW57+BK57*PriceEssAnnual*AW57/12+BL57*PricePremAnnual*AW57/12</f>
        <v/>
      </c>
      <c r="BO57" s="9">
        <f>BN57*12</f>
        <v/>
      </c>
      <c r="BP57" s="12">
        <f>BI57*PriceEssMonthly*AW57+BJ57*PricePremMonthly*AW57</f>
        <v/>
      </c>
      <c r="BQ57" s="12">
        <f>BG57*PriceEssAnnual*AW57+BH57*PricePremAnnual*AW57</f>
        <v/>
      </c>
      <c r="BR57" s="12">
        <f>BG45*POWER(1-(AnnualChurn*VLOOKUP(AT57,ChurnSeasonTable,4,FALSE)),1)*PriceEssAnnual*AW57+BG33*POWER(1-(AnnualChurn*VLOOKUP(AT57,ChurnSeasonTable,4,FALSE)),2)*PriceEssAnnual*AW57+BG21*POWER(1-(AnnualChurn*VLOOKUP(AT57,ChurnSeasonTable,4,FALSE)),3)*PriceEssAnnual*AW57+BG9*POWER(1-(AnnualChurn*VLOOKUP(AT57,ChurnSeasonTable,4,FALSE)),4)*PriceEssAnnual*AW57+BH45*POWER(1-(AnnualChurn*VLOOKUP(AT57,ChurnSeasonTable,4,FALSE)),1)*PricePremAnnual*AW57+BH33*POWER(1-(AnnualChurn*VLOOKUP(AT57,ChurnSeasonTable,4,FALSE)),2)*PricePremAnnual*AW57+BH21*POWER(1-(AnnualChurn*VLOOKUP(AT57,ChurnSeasonTable,4,FALSE)),3)*PricePremAnnual*AW57+BH9*POWER(1-(AnnualChurn*VLOOKUP(AT57,ChurnSeasonTable,4,FALSE)),4)*PricePremAnnual*AW57</f>
        <v/>
      </c>
      <c r="BS57" s="9">
        <f>BP57+BQ57+BR57</f>
        <v/>
      </c>
      <c r="BT57" s="12">
        <f>SUM(BS46:BS57)</f>
        <v/>
      </c>
      <c r="BU57" s="12">
        <f>OR(BU56,BT57&gt;=VATThreshold)</f>
        <v/>
      </c>
      <c r="BV57" s="9">
        <f>IF(BU57,BS57/(1+VATRate),BS57)</f>
        <v/>
      </c>
      <c r="BW57" s="12">
        <f>BS57-BV57</f>
        <v/>
      </c>
      <c r="BX57" s="12">
        <f>IF(BU57=0,0,IF(AT57=1,SUMPRODUCT(--(($AU$5:$AU57=$AU57-1)*($AT$5:$AT57&gt;=10)*($AT$5:$AT57&lt;=12)),$BW$5:$BW57),IF(AT57=4,SUMPRODUCT(--(($AU$5:$AU57=$AU57)*($AT$5:$AT57&gt;=1)*($AT$5:$AT57&lt;=3)),$BW$5:$BW57),IF(AT57=7,SUMPRODUCT(--(($AU$5:$AU57=$AU57)*($AT$5:$AT57&gt;=4)*($AT$5:$AT57&lt;=6)),$BW$5:$BW57),IF(AT57=10,SUMPRODUCT(--(($AU$5:$AU57=$AU57)*($AT$5:$AT57&gt;=7)*($AT$5:$AT57&lt;=9)),$BW$5:$BW57),0)))))</f>
        <v/>
      </c>
      <c r="BY57" s="12">
        <f>BY56+BW57-BX57</f>
        <v/>
      </c>
      <c r="BZ57" s="12">
        <f>IF(ProviderDelay&gt;=1,BV56*ProviderShare,BV57*ProviderShare)</f>
        <v/>
      </c>
      <c r="CA57" s="12">
        <f>BS57*PaymentFee</f>
        <v/>
      </c>
      <c r="CB57" s="12">
        <f>BM57*OpsAI</f>
        <v/>
      </c>
      <c r="CC57" s="12">
        <f>MonthlyFixed</f>
        <v/>
      </c>
      <c r="CD57" s="12">
        <f>BA57*ReferralReward</f>
        <v/>
      </c>
      <c r="CE57" s="12">
        <f>AY57</f>
        <v/>
      </c>
      <c r="CF57" s="9">
        <f>BV57-BZ57-CA57-CB57-CC57-CD57-CE57</f>
        <v/>
      </c>
      <c r="CG57" s="9">
        <f>CG56+BS57-(BZ57+CA57+CB57+CC57+CD57+CE57+BX57)</f>
        <v/>
      </c>
      <c r="CH57" s="12">
        <f>IF(BM57&gt;0,BN57/BM57,0)</f>
        <v/>
      </c>
      <c r="CI57" s="11">
        <f>IF(BM56&gt;0,MAX(0,(BM56+BB57-BM57)/BM56),0)</f>
        <v/>
      </c>
      <c r="CK57" s="12" t="n">
        <v>53</v>
      </c>
      <c r="CL57" s="12">
        <f>MOD(CK57-1+LaunchMonth-1,12)+1</f>
        <v/>
      </c>
      <c r="CM57" s="12">
        <f>INT((CK57-1+LaunchMonth-1)/12)+1</f>
        <v/>
      </c>
      <c r="CN57" s="12">
        <f>VLOOKUP(CL57,SeasonTable,2,FALSE)</f>
        <v/>
      </c>
      <c r="CO57" s="12">
        <f>(1+InflationRate)^INT((CK57-1)/12)</f>
        <v/>
      </c>
      <c r="CP57" s="11">
        <f>'Sens - Scenarios'!$D$5*VLOOKUP(CL57,ChurnSeasonTable,4,FALSE)</f>
        <v/>
      </c>
      <c r="CQ57" s="12">
        <f>MIN(MAX(MktMin19plus,DK56*MktPct19plus),MAX(0,DY56-CashBuffer))</f>
        <v/>
      </c>
      <c r="CR57" s="12">
        <f>IF(CQ57&gt;0,MAX(1,ROUND(CQ57/'Sens - Scenarios'!$D$8*CN57,0)),0)</f>
        <v/>
      </c>
      <c r="CS57" s="12">
        <f>IF(CR57&gt;0,ROUND(CR57*ReferralMix/(1-ReferralMix),0),0)</f>
        <v/>
      </c>
      <c r="CT57" s="12">
        <f>CR57+CS57</f>
        <v/>
      </c>
      <c r="CU57" s="12">
        <f>ROUND(CT57*(1-'Sens - Scenarios'!$D$7),0)</f>
        <v/>
      </c>
      <c r="CV57" s="12">
        <f>CT57-CU57</f>
        <v/>
      </c>
      <c r="CW57" s="12">
        <f>ROUND(CU57*EssentialMix,0)</f>
        <v/>
      </c>
      <c r="CX57" s="12">
        <f>CU57-CW57</f>
        <v/>
      </c>
      <c r="CY57" s="12">
        <f>ROUND(CV57*EssentialMix,0)</f>
        <v/>
      </c>
      <c r="CZ57" s="12">
        <f>CV57-CY57</f>
        <v/>
      </c>
      <c r="DA57" s="12">
        <f>CW57+CW56+CW55+MAX(0,DA56-CW56-CW55)*(1-CP57)</f>
        <v/>
      </c>
      <c r="DB57" s="12">
        <f>CX57+CX56+CX55+MAX(0,DB56-CX56-CX55)*(1-CP57)</f>
        <v/>
      </c>
      <c r="DC57" s="12">
        <f>DC56+CY57-CY45*('Sens - Scenarios'!$D$6*VLOOKUP(CL57,ChurnSeasonTable,4,FALSE))*POWER(1-('Sens - Scenarios'!$D$6*VLOOKUP(CL57,ChurnSeasonTable,4,FALSE)),0)+CY33*('Sens - Scenarios'!$D$6*VLOOKUP(CL57,ChurnSeasonTable,4,FALSE))*POWER(1-('Sens - Scenarios'!$D$6*VLOOKUP(CL57,ChurnSeasonTable,4,FALSE)),1)+CY21*('Sens - Scenarios'!$D$6*VLOOKUP(CL57,ChurnSeasonTable,4,FALSE))*POWER(1-('Sens - Scenarios'!$D$6*VLOOKUP(CL57,ChurnSeasonTable,4,FALSE)),2)+CY9*('Sens - Scenarios'!$D$6*VLOOKUP(CL57,ChurnSeasonTable,4,FALSE))*POWER(1-('Sens - Scenarios'!$D$6*VLOOKUP(CL57,ChurnSeasonTable,4,FALSE)),3)</f>
        <v/>
      </c>
      <c r="DD57" s="12">
        <f>DD56+CZ57-CZ45*('Sens - Scenarios'!$D$6*VLOOKUP(CL57,ChurnSeasonTable,4,FALSE))*POWER(1-('Sens - Scenarios'!$D$6*VLOOKUP(CL57,ChurnSeasonTable,4,FALSE)),0)+CZ33*('Sens - Scenarios'!$D$6*VLOOKUP(CL57,ChurnSeasonTable,4,FALSE))*POWER(1-('Sens - Scenarios'!$D$6*VLOOKUP(CL57,ChurnSeasonTable,4,FALSE)),1)+CZ21*('Sens - Scenarios'!$D$6*VLOOKUP(CL57,ChurnSeasonTable,4,FALSE))*POWER(1-('Sens - Scenarios'!$D$6*VLOOKUP(CL57,ChurnSeasonTable,4,FALSE)),2)+CZ9*('Sens - Scenarios'!$D$6*VLOOKUP(CL57,ChurnSeasonTable,4,FALSE))*POWER(1-('Sens - Scenarios'!$D$6*VLOOKUP(CL57,ChurnSeasonTable,4,FALSE)),3)</f>
        <v/>
      </c>
      <c r="DE57" s="12">
        <f>DA57+DB57+DC57+DD57</f>
        <v/>
      </c>
      <c r="DF57" s="9">
        <f>DA57*PriceEssMonthly*CO57+DB57*PricePremMonthly*CO57+DC57*PriceEssAnnual*CO57/12+DD57*PricePremAnnual*CO57/12</f>
        <v/>
      </c>
      <c r="DG57" s="9">
        <f>DF57*12</f>
        <v/>
      </c>
      <c r="DH57" s="12">
        <f>DA57*PriceEssMonthly*CO57+DB57*PricePremMonthly*CO57</f>
        <v/>
      </c>
      <c r="DI57" s="12">
        <f>CY57*PriceEssAnnual*CO57+CZ57*PricePremAnnual*CO57</f>
        <v/>
      </c>
      <c r="DJ57" s="12">
        <f>CY45*POWER(1-('Sens - Scenarios'!$D$6*VLOOKUP(CL57,ChurnSeasonTable,4,FALSE)),1)*PriceEssAnnual*CO57+CY33*POWER(1-('Sens - Scenarios'!$D$6*VLOOKUP(CL57,ChurnSeasonTable,4,FALSE)),2)*PriceEssAnnual*CO57+CY21*POWER(1-('Sens - Scenarios'!$D$6*VLOOKUP(CL57,ChurnSeasonTable,4,FALSE)),3)*PriceEssAnnual*CO57+CY9*POWER(1-('Sens - Scenarios'!$D$6*VLOOKUP(CL57,ChurnSeasonTable,4,FALSE)),4)*PriceEssAnnual*CO57+CZ45*POWER(1-('Sens - Scenarios'!$D$6*VLOOKUP(CL57,ChurnSeasonTable,4,FALSE)),1)*PricePremAnnual*CO57+CZ33*POWER(1-('Sens - Scenarios'!$D$6*VLOOKUP(CL57,ChurnSeasonTable,4,FALSE)),2)*PricePremAnnual*CO57+CZ21*POWER(1-('Sens - Scenarios'!$D$6*VLOOKUP(CL57,ChurnSeasonTable,4,FALSE)),3)*PricePremAnnual*CO57+CZ9*POWER(1-('Sens - Scenarios'!$D$6*VLOOKUP(CL57,ChurnSeasonTable,4,FALSE)),4)*PricePremAnnual*CO57</f>
        <v/>
      </c>
      <c r="DK57" s="9">
        <f>DH57+DI57+DJ57</f>
        <v/>
      </c>
      <c r="DL57" s="12">
        <f>SUM(DK46:DK57)</f>
        <v/>
      </c>
      <c r="DM57" s="12">
        <f>OR(DM56,DL57&gt;=VATThreshold)</f>
        <v/>
      </c>
      <c r="DN57" s="9">
        <f>IF(DM57,DK57/(1+VATRate),DK57)</f>
        <v/>
      </c>
      <c r="DO57" s="12">
        <f>DK57-DN57</f>
        <v/>
      </c>
      <c r="DP57" s="12">
        <f>IF(DM57=0,0,IF(CL57=1,SUMPRODUCT(--(($CM$5:$CM57=$CM57-1)*($CL$5:$CL57&gt;=10)*($CL$5:$CL57&lt;=12)),$DO$5:$DO57),IF(CL57=4,SUMPRODUCT(--(($CM$5:$CM57=$CM57)*($CL$5:$CL57&gt;=1)*($CL$5:$CL57&lt;=3)),$DO$5:$DO57),IF(CL57=7,SUMPRODUCT(--(($CM$5:$CM57=$CM57)*($CL$5:$CL57&gt;=4)*($CL$5:$CL57&lt;=6)),$DO$5:$DO57),IF(CL57=10,SUMPRODUCT(--(($CM$5:$CM57=$CM57)*($CL$5:$CL57&gt;=7)*($CL$5:$CL57&lt;=9)),$DO$5:$DO57),0)))))</f>
        <v/>
      </c>
      <c r="DQ57" s="12">
        <f>DQ56+DO57-DP57</f>
        <v/>
      </c>
      <c r="DR57" s="12">
        <f>IF(ProviderDelay&gt;=1,DN56*ProviderShare,DN57*ProviderShare)</f>
        <v/>
      </c>
      <c r="DS57" s="12">
        <f>DK57*PaymentFee</f>
        <v/>
      </c>
      <c r="DT57" s="12">
        <f>DE57*OpsAI</f>
        <v/>
      </c>
      <c r="DU57" s="12">
        <f>MonthlyFixed</f>
        <v/>
      </c>
      <c r="DV57" s="12">
        <f>CS57*ReferralReward</f>
        <v/>
      </c>
      <c r="DW57" s="12">
        <f>CQ57</f>
        <v/>
      </c>
      <c r="DX57" s="9">
        <f>DN57-DR57-DS57-DT57-DU57-DV57-DW57</f>
        <v/>
      </c>
      <c r="DY57" s="9">
        <f>DY56+DK57-(DR57+DS57+DT57+DU57+DV57+DW57+DP57)</f>
        <v/>
      </c>
      <c r="DZ57" s="12">
        <f>IF(DE57&gt;0,DF57/DE57,0)</f>
        <v/>
      </c>
      <c r="EA57" s="11">
        <f>IF(DE56&gt;0,MAX(0,(DE56+CT57-DE57)/DE56),0)</f>
        <v/>
      </c>
      <c r="EC57" s="12" t="n">
        <v>53</v>
      </c>
      <c r="ED57" s="12">
        <f>MOD(EC57-1+LaunchMonth-1,12)+1</f>
        <v/>
      </c>
      <c r="EE57" s="12">
        <f>INT((EC57-1+LaunchMonth-1)/12)+1</f>
        <v/>
      </c>
      <c r="EF57" s="12">
        <f>VLOOKUP(ED57,SeasonTable,2,FALSE)</f>
        <v/>
      </c>
      <c r="EG57" s="12">
        <f>(1+InflationRate)^INT((EC57-1)/12)</f>
        <v/>
      </c>
      <c r="EH57" s="11">
        <f>'Sens - Churn'!$A$13*VLOOKUP(ED57,ChurnSeasonTable,4,FALSE)</f>
        <v/>
      </c>
      <c r="EI57" s="12">
        <f>MIN(MAX(MktMin19plus,FC56*MktPct19plus),MAX(0,FQ56-CashBuffer))</f>
        <v/>
      </c>
      <c r="EJ57" s="12">
        <f>IF(EI57&gt;0,MAX(1,ROUND(EI57/CAC*EF57,0)),0)</f>
        <v/>
      </c>
      <c r="EK57" s="12">
        <f>IF(EJ57&gt;0,ROUND(EJ57*ReferralMix/(1-ReferralMix),0),0)</f>
        <v/>
      </c>
      <c r="EL57" s="12">
        <f>EJ57+EK57</f>
        <v/>
      </c>
      <c r="EM57" s="12">
        <f>ROUND(EL57*(1-AnnualMix),0)</f>
        <v/>
      </c>
      <c r="EN57" s="12">
        <f>EL57-EM57</f>
        <v/>
      </c>
      <c r="EO57" s="12">
        <f>ROUND(EM57*EssentialMix,0)</f>
        <v/>
      </c>
      <c r="EP57" s="12">
        <f>EM57-EO57</f>
        <v/>
      </c>
      <c r="EQ57" s="12">
        <f>ROUND(EN57*EssentialMix,0)</f>
        <v/>
      </c>
      <c r="ER57" s="12">
        <f>EN57-EQ57</f>
        <v/>
      </c>
      <c r="ES57" s="12">
        <f>EO57+EO56+EO55+MAX(0,ES56-EO56-EO55)*(1-EH57)</f>
        <v/>
      </c>
      <c r="ET57" s="12">
        <f>EP57+EP56+EP55+MAX(0,ET56-EP56-EP55)*(1-EH57)</f>
        <v/>
      </c>
      <c r="EU57" s="12">
        <f>EU56+EQ57-EQ45*(AnnualChurn*VLOOKUP(ED57,ChurnSeasonTable,4,FALSE))*POWER(1-(AnnualChurn*VLOOKUP(ED57,ChurnSeasonTable,4,FALSE)),0)+EQ33*(AnnualChurn*VLOOKUP(ED57,ChurnSeasonTable,4,FALSE))*POWER(1-(AnnualChurn*VLOOKUP(ED57,ChurnSeasonTable,4,FALSE)),1)+EQ21*(AnnualChurn*VLOOKUP(ED57,ChurnSeasonTable,4,FALSE))*POWER(1-(AnnualChurn*VLOOKUP(ED57,ChurnSeasonTable,4,FALSE)),2)+EQ9*(AnnualChurn*VLOOKUP(ED57,ChurnSeasonTable,4,FALSE))*POWER(1-(AnnualChurn*VLOOKUP(ED57,ChurnSeasonTable,4,FALSE)),3)</f>
        <v/>
      </c>
      <c r="EV57" s="12">
        <f>EV56+ER57-ER45*(AnnualChurn*VLOOKUP(ED57,ChurnSeasonTable,4,FALSE))*POWER(1-(AnnualChurn*VLOOKUP(ED57,ChurnSeasonTable,4,FALSE)),0)+ER33*(AnnualChurn*VLOOKUP(ED57,ChurnSeasonTable,4,FALSE))*POWER(1-(AnnualChurn*VLOOKUP(ED57,ChurnSeasonTable,4,FALSE)),1)+ER21*(AnnualChurn*VLOOKUP(ED57,ChurnSeasonTable,4,FALSE))*POWER(1-(AnnualChurn*VLOOKUP(ED57,ChurnSeasonTable,4,FALSE)),2)+ER9*(AnnualChurn*VLOOKUP(ED57,ChurnSeasonTable,4,FALSE))*POWER(1-(AnnualChurn*VLOOKUP(ED57,ChurnSeasonTable,4,FALSE)),3)</f>
        <v/>
      </c>
      <c r="EW57" s="12">
        <f>ES57+ET57+EU57+EV57</f>
        <v/>
      </c>
      <c r="EX57" s="9">
        <f>ES57*PriceEssMonthly*EG57+ET57*PricePremMonthly*EG57+EU57*PriceEssAnnual*EG57/12+EV57*PricePremAnnual*EG57/12</f>
        <v/>
      </c>
      <c r="EY57" s="9">
        <f>EX57*12</f>
        <v/>
      </c>
      <c r="EZ57" s="12">
        <f>ES57*PriceEssMonthly*EG57+ET57*PricePremMonthly*EG57</f>
        <v/>
      </c>
      <c r="FA57" s="12">
        <f>EQ57*PriceEssAnnual*EG57+ER57*PricePremAnnual*EG57</f>
        <v/>
      </c>
      <c r="FB57" s="12">
        <f>EQ45*POWER(1-(AnnualChurn*VLOOKUP(ED57,ChurnSeasonTable,4,FALSE)),1)*PriceEssAnnual*EG57+EQ33*POWER(1-(AnnualChurn*VLOOKUP(ED57,ChurnSeasonTable,4,FALSE)),2)*PriceEssAnnual*EG57+EQ21*POWER(1-(AnnualChurn*VLOOKUP(ED57,ChurnSeasonTable,4,FALSE)),3)*PriceEssAnnual*EG57+EQ9*POWER(1-(AnnualChurn*VLOOKUP(ED57,ChurnSeasonTable,4,FALSE)),4)*PriceEssAnnual*EG57+ER45*POWER(1-(AnnualChurn*VLOOKUP(ED57,ChurnSeasonTable,4,FALSE)),1)*PricePremAnnual*EG57+ER33*POWER(1-(AnnualChurn*VLOOKUP(ED57,ChurnSeasonTable,4,FALSE)),2)*PricePremAnnual*EG57+ER21*POWER(1-(AnnualChurn*VLOOKUP(ED57,ChurnSeasonTable,4,FALSE)),3)*PricePremAnnual*EG57+ER9*POWER(1-(AnnualChurn*VLOOKUP(ED57,ChurnSeasonTable,4,FALSE)),4)*PricePremAnnual*EG57</f>
        <v/>
      </c>
      <c r="FC57" s="9">
        <f>EZ57+FA57+FB57</f>
        <v/>
      </c>
      <c r="FD57" s="12">
        <f>SUM(FC46:FC57)</f>
        <v/>
      </c>
      <c r="FE57" s="12">
        <f>OR(FE56,FD57&gt;=VATThreshold)</f>
        <v/>
      </c>
      <c r="FF57" s="9">
        <f>IF(FE57,FC57/(1+VATRate),FC57)</f>
        <v/>
      </c>
      <c r="FG57" s="12">
        <f>FC57-FF57</f>
        <v/>
      </c>
      <c r="FH57" s="12">
        <f>IF(FE57=0,0,IF(ED57=1,SUMPRODUCT(--(($EE$5:$EE57=$EE57-1)*($ED$5:$ED57&gt;=10)*($ED$5:$ED57&lt;=12)),$FG$5:$FG57),IF(ED57=4,SUMPRODUCT(--(($EE$5:$EE57=$EE57)*($ED$5:$ED57&gt;=1)*($ED$5:$ED57&lt;=3)),$FG$5:$FG57),IF(ED57=7,SUMPRODUCT(--(($EE$5:$EE57=$EE57)*($ED$5:$ED57&gt;=4)*($ED$5:$ED57&lt;=6)),$FG$5:$FG57),IF(ED57=10,SUMPRODUCT(--(($EE$5:$EE57=$EE57)*($ED$5:$ED57&gt;=7)*($ED$5:$ED57&lt;=9)),$FG$5:$FG57),0)))))</f>
        <v/>
      </c>
      <c r="FI57" s="12">
        <f>FI56+FG57-FH57</f>
        <v/>
      </c>
      <c r="FJ57" s="12">
        <f>IF(ProviderDelay&gt;=1,FF56*ProviderShare,FF57*ProviderShare)</f>
        <v/>
      </c>
      <c r="FK57" s="12">
        <f>FC57*PaymentFee</f>
        <v/>
      </c>
      <c r="FL57" s="12">
        <f>EW57*OpsAI</f>
        <v/>
      </c>
      <c r="FM57" s="12">
        <f>MonthlyFixed</f>
        <v/>
      </c>
      <c r="FN57" s="12">
        <f>EK57*ReferralReward</f>
        <v/>
      </c>
      <c r="FO57" s="12">
        <f>EI57</f>
        <v/>
      </c>
      <c r="FP57" s="9">
        <f>FF57-FJ57-FK57-FL57-FM57-FN57-FO57</f>
        <v/>
      </c>
      <c r="FQ57" s="9">
        <f>FQ56+FC57-(FJ57+FK57+FL57+FM57+FN57+FO57+FH57)</f>
        <v/>
      </c>
      <c r="FR57" s="12">
        <f>IF(EW57&gt;0,EX57/EW57,0)</f>
        <v/>
      </c>
      <c r="FS57" s="11">
        <f>IF(EW56&gt;0,MAX(0,(EW56+EL57-EW57)/EW56),0)</f>
        <v/>
      </c>
      <c r="FU57" s="12" t="n">
        <v>53</v>
      </c>
      <c r="FV57" s="12">
        <f>MOD(FU57-1+LaunchMonth-1,12)+1</f>
        <v/>
      </c>
      <c r="FW57" s="12">
        <f>INT((FU57-1+LaunchMonth-1)/12)+1</f>
        <v/>
      </c>
      <c r="FX57" s="12">
        <f>VLOOKUP(FV57,SeasonTable,2,FALSE)</f>
        <v/>
      </c>
      <c r="FY57" s="12">
        <f>(1+InflationRate)^INT((FU57-1)/12)</f>
        <v/>
      </c>
      <c r="FZ57" s="11">
        <f>'Sens - Churn'!$A$14*VLOOKUP(FV57,ChurnSeasonTable,4,FALSE)</f>
        <v/>
      </c>
      <c r="GA57" s="12">
        <f>MIN(MAX(MktMin19plus,GU56*MktPct19plus),MAX(0,HI56-CashBuffer))</f>
        <v/>
      </c>
      <c r="GB57" s="12">
        <f>IF(GA57&gt;0,MAX(1,ROUND(GA57/CAC*FX57,0)),0)</f>
        <v/>
      </c>
      <c r="GC57" s="12">
        <f>IF(GB57&gt;0,ROUND(GB57*ReferralMix/(1-ReferralMix),0),0)</f>
        <v/>
      </c>
      <c r="GD57" s="12">
        <f>GB57+GC57</f>
        <v/>
      </c>
      <c r="GE57" s="12">
        <f>ROUND(GD57*(1-AnnualMix),0)</f>
        <v/>
      </c>
      <c r="GF57" s="12">
        <f>GD57-GE57</f>
        <v/>
      </c>
      <c r="GG57" s="12">
        <f>ROUND(GE57*EssentialMix,0)</f>
        <v/>
      </c>
      <c r="GH57" s="12">
        <f>GE57-GG57</f>
        <v/>
      </c>
      <c r="GI57" s="12">
        <f>ROUND(GF57*EssentialMix,0)</f>
        <v/>
      </c>
      <c r="GJ57" s="12">
        <f>GF57-GI57</f>
        <v/>
      </c>
      <c r="GK57" s="12">
        <f>GG57+GG56+GG55+MAX(0,GK56-GG56-GG55)*(1-FZ57)</f>
        <v/>
      </c>
      <c r="GL57" s="12">
        <f>GH57+GH56+GH55+MAX(0,GL56-GH56-GH55)*(1-FZ57)</f>
        <v/>
      </c>
      <c r="GM57" s="12">
        <f>GM56+GI57-GI45*(AnnualChurn*VLOOKUP(FV57,ChurnSeasonTable,4,FALSE))*POWER(1-(AnnualChurn*VLOOKUP(FV57,ChurnSeasonTable,4,FALSE)),0)+GI33*(AnnualChurn*VLOOKUP(FV57,ChurnSeasonTable,4,FALSE))*POWER(1-(AnnualChurn*VLOOKUP(FV57,ChurnSeasonTable,4,FALSE)),1)+GI21*(AnnualChurn*VLOOKUP(FV57,ChurnSeasonTable,4,FALSE))*POWER(1-(AnnualChurn*VLOOKUP(FV57,ChurnSeasonTable,4,FALSE)),2)+GI9*(AnnualChurn*VLOOKUP(FV57,ChurnSeasonTable,4,FALSE))*POWER(1-(AnnualChurn*VLOOKUP(FV57,ChurnSeasonTable,4,FALSE)),3)</f>
        <v/>
      </c>
      <c r="GN57" s="12">
        <f>GN56+GJ57-GJ45*(AnnualChurn*VLOOKUP(FV57,ChurnSeasonTable,4,FALSE))*POWER(1-(AnnualChurn*VLOOKUP(FV57,ChurnSeasonTable,4,FALSE)),0)+GJ33*(AnnualChurn*VLOOKUP(FV57,ChurnSeasonTable,4,FALSE))*POWER(1-(AnnualChurn*VLOOKUP(FV57,ChurnSeasonTable,4,FALSE)),1)+GJ21*(AnnualChurn*VLOOKUP(FV57,ChurnSeasonTable,4,FALSE))*POWER(1-(AnnualChurn*VLOOKUP(FV57,ChurnSeasonTable,4,FALSE)),2)+GJ9*(AnnualChurn*VLOOKUP(FV57,ChurnSeasonTable,4,FALSE))*POWER(1-(AnnualChurn*VLOOKUP(FV57,ChurnSeasonTable,4,FALSE)),3)</f>
        <v/>
      </c>
      <c r="GO57" s="12">
        <f>GK57+GL57+GM57+GN57</f>
        <v/>
      </c>
      <c r="GP57" s="9">
        <f>GK57*PriceEssMonthly*FY57+GL57*PricePremMonthly*FY57+GM57*PriceEssAnnual*FY57/12+GN57*PricePremAnnual*FY57/12</f>
        <v/>
      </c>
      <c r="GQ57" s="9">
        <f>GP57*12</f>
        <v/>
      </c>
      <c r="GR57" s="12">
        <f>GK57*PriceEssMonthly*FY57+GL57*PricePremMonthly*FY57</f>
        <v/>
      </c>
      <c r="GS57" s="12">
        <f>GI57*PriceEssAnnual*FY57+GJ57*PricePremAnnual*FY57</f>
        <v/>
      </c>
      <c r="GT57" s="12">
        <f>GI45*POWER(1-(AnnualChurn*VLOOKUP(FV57,ChurnSeasonTable,4,FALSE)),1)*PriceEssAnnual*FY57+GI33*POWER(1-(AnnualChurn*VLOOKUP(FV57,ChurnSeasonTable,4,FALSE)),2)*PriceEssAnnual*FY57+GI21*POWER(1-(AnnualChurn*VLOOKUP(FV57,ChurnSeasonTable,4,FALSE)),3)*PriceEssAnnual*FY57+GI9*POWER(1-(AnnualChurn*VLOOKUP(FV57,ChurnSeasonTable,4,FALSE)),4)*PriceEssAnnual*FY57+GJ45*POWER(1-(AnnualChurn*VLOOKUP(FV57,ChurnSeasonTable,4,FALSE)),1)*PricePremAnnual*FY57+GJ33*POWER(1-(AnnualChurn*VLOOKUP(FV57,ChurnSeasonTable,4,FALSE)),2)*PricePremAnnual*FY57+GJ21*POWER(1-(AnnualChurn*VLOOKUP(FV57,ChurnSeasonTable,4,FALSE)),3)*PricePremAnnual*FY57+GJ9*POWER(1-(AnnualChurn*VLOOKUP(FV57,ChurnSeasonTable,4,FALSE)),4)*PricePremAnnual*FY57</f>
        <v/>
      </c>
      <c r="GU57" s="9">
        <f>GR57+GS57+GT57</f>
        <v/>
      </c>
      <c r="GV57" s="12">
        <f>SUM(GU46:GU57)</f>
        <v/>
      </c>
      <c r="GW57" s="12">
        <f>OR(GW56,GV57&gt;=VATThreshold)</f>
        <v/>
      </c>
      <c r="GX57" s="9">
        <f>IF(GW57,GU57/(1+VATRate),GU57)</f>
        <v/>
      </c>
      <c r="GY57" s="12">
        <f>GU57-GX57</f>
        <v/>
      </c>
      <c r="GZ57" s="12">
        <f>IF(GW57=0,0,IF(FV57=1,SUMPRODUCT(--(($FW$5:$FW57=$FW57-1)*($FV$5:$FV57&gt;=10)*($FV$5:$FV57&lt;=12)),$GY$5:$GY57),IF(FV57=4,SUMPRODUCT(--(($FW$5:$FW57=$FW57)*($FV$5:$FV57&gt;=1)*($FV$5:$FV57&lt;=3)),$GY$5:$GY57),IF(FV57=7,SUMPRODUCT(--(($FW$5:$FW57=$FW57)*($FV$5:$FV57&gt;=4)*($FV$5:$FV57&lt;=6)),$GY$5:$GY57),IF(FV57=10,SUMPRODUCT(--(($FW$5:$FW57=$FW57)*($FV$5:$FV57&gt;=7)*($FV$5:$FV57&lt;=9)),$GY$5:$GY57),0)))))</f>
        <v/>
      </c>
      <c r="HA57" s="12">
        <f>HA56+GY57-GZ57</f>
        <v/>
      </c>
      <c r="HB57" s="12">
        <f>IF(ProviderDelay&gt;=1,GX56*ProviderShare,GX57*ProviderShare)</f>
        <v/>
      </c>
      <c r="HC57" s="12">
        <f>GU57*PaymentFee</f>
        <v/>
      </c>
      <c r="HD57" s="12">
        <f>GO57*OpsAI</f>
        <v/>
      </c>
      <c r="HE57" s="12">
        <f>MonthlyFixed</f>
        <v/>
      </c>
      <c r="HF57" s="12">
        <f>GC57*ReferralReward</f>
        <v/>
      </c>
      <c r="HG57" s="12">
        <f>GA57</f>
        <v/>
      </c>
      <c r="HH57" s="9">
        <f>GX57-HB57-HC57-HD57-HE57-HF57-HG57</f>
        <v/>
      </c>
      <c r="HI57" s="9">
        <f>HI56+GU57-(HB57+HC57+HD57+HE57+HF57+HG57+GZ57)</f>
        <v/>
      </c>
      <c r="HJ57" s="12">
        <f>IF(GO57&gt;0,GP57/GO57,0)</f>
        <v/>
      </c>
      <c r="HK57" s="11">
        <f>IF(GO56&gt;0,MAX(0,(GO56+GD57-GO57)/GO56),0)</f>
        <v/>
      </c>
      <c r="HM57" s="12" t="n">
        <v>53</v>
      </c>
      <c r="HN57" s="12">
        <f>MOD(HM57-1+LaunchMonth-1,12)+1</f>
        <v/>
      </c>
      <c r="HO57" s="12">
        <f>INT((HM57-1+LaunchMonth-1)/12)+1</f>
        <v/>
      </c>
      <c r="HP57" s="12">
        <f>VLOOKUP(HN57,SeasonTable,2,FALSE)</f>
        <v/>
      </c>
      <c r="HQ57" s="12">
        <f>(1+InflationRate)^INT((HM57-1)/12)</f>
        <v/>
      </c>
      <c r="HR57" s="11">
        <f>'Sens - Churn'!$A$15*VLOOKUP(HN57,ChurnSeasonTable,4,FALSE)</f>
        <v/>
      </c>
      <c r="HS57" s="12">
        <f>MIN(MAX(MktMin19plus,IM56*MktPct19plus),MAX(0,JA56-CashBuffer))</f>
        <v/>
      </c>
      <c r="HT57" s="12">
        <f>IF(HS57&gt;0,MAX(1,ROUND(HS57/CAC*HP57,0)),0)</f>
        <v/>
      </c>
      <c r="HU57" s="12">
        <f>IF(HT57&gt;0,ROUND(HT57*ReferralMix/(1-ReferralMix),0),0)</f>
        <v/>
      </c>
      <c r="HV57" s="12">
        <f>HT57+HU57</f>
        <v/>
      </c>
      <c r="HW57" s="12">
        <f>ROUND(HV57*(1-AnnualMix),0)</f>
        <v/>
      </c>
      <c r="HX57" s="12">
        <f>HV57-HW57</f>
        <v/>
      </c>
      <c r="HY57" s="12">
        <f>ROUND(HW57*EssentialMix,0)</f>
        <v/>
      </c>
      <c r="HZ57" s="12">
        <f>HW57-HY57</f>
        <v/>
      </c>
      <c r="IA57" s="12">
        <f>ROUND(HX57*EssentialMix,0)</f>
        <v/>
      </c>
      <c r="IB57" s="12">
        <f>HX57-IA57</f>
        <v/>
      </c>
      <c r="IC57" s="12">
        <f>HY57+HY56+HY55+MAX(0,IC56-HY56-HY55)*(1-HR57)</f>
        <v/>
      </c>
      <c r="ID57" s="12">
        <f>HZ57+HZ56+HZ55+MAX(0,ID56-HZ56-HZ55)*(1-HR57)</f>
        <v/>
      </c>
      <c r="IE57" s="12">
        <f>IE56+IA57-IA45*(AnnualChurn*VLOOKUP(HN57,ChurnSeasonTable,4,FALSE))*POWER(1-(AnnualChurn*VLOOKUP(HN57,ChurnSeasonTable,4,FALSE)),0)+IA33*(AnnualChurn*VLOOKUP(HN57,ChurnSeasonTable,4,FALSE))*POWER(1-(AnnualChurn*VLOOKUP(HN57,ChurnSeasonTable,4,FALSE)),1)+IA21*(AnnualChurn*VLOOKUP(HN57,ChurnSeasonTable,4,FALSE))*POWER(1-(AnnualChurn*VLOOKUP(HN57,ChurnSeasonTable,4,FALSE)),2)+IA9*(AnnualChurn*VLOOKUP(HN57,ChurnSeasonTable,4,FALSE))*POWER(1-(AnnualChurn*VLOOKUP(HN57,ChurnSeasonTable,4,FALSE)),3)</f>
        <v/>
      </c>
      <c r="IF57" s="12">
        <f>IF56+IB57-IB45*(AnnualChurn*VLOOKUP(HN57,ChurnSeasonTable,4,FALSE))*POWER(1-(AnnualChurn*VLOOKUP(HN57,ChurnSeasonTable,4,FALSE)),0)+IB33*(AnnualChurn*VLOOKUP(HN57,ChurnSeasonTable,4,FALSE))*POWER(1-(AnnualChurn*VLOOKUP(HN57,ChurnSeasonTable,4,FALSE)),1)+IB21*(AnnualChurn*VLOOKUP(HN57,ChurnSeasonTable,4,FALSE))*POWER(1-(AnnualChurn*VLOOKUP(HN57,ChurnSeasonTable,4,FALSE)),2)+IB9*(AnnualChurn*VLOOKUP(HN57,ChurnSeasonTable,4,FALSE))*POWER(1-(AnnualChurn*VLOOKUP(HN57,ChurnSeasonTable,4,FALSE)),3)</f>
        <v/>
      </c>
      <c r="IG57" s="12">
        <f>IC57+ID57+IE57+IF57</f>
        <v/>
      </c>
      <c r="IH57" s="9">
        <f>IC57*PriceEssMonthly*HQ57+ID57*PricePremMonthly*HQ57+IE57*PriceEssAnnual*HQ57/12+IF57*PricePremAnnual*HQ57/12</f>
        <v/>
      </c>
      <c r="II57" s="9">
        <f>IH57*12</f>
        <v/>
      </c>
      <c r="IJ57" s="12">
        <f>IC57*PriceEssMonthly*HQ57+ID57*PricePremMonthly*HQ57</f>
        <v/>
      </c>
      <c r="IK57" s="12">
        <f>IA57*PriceEssAnnual*HQ57+IB57*PricePremAnnual*HQ57</f>
        <v/>
      </c>
      <c r="IL57" s="12">
        <f>IA45*POWER(1-(AnnualChurn*VLOOKUP(HN57,ChurnSeasonTable,4,FALSE)),1)*PriceEssAnnual*HQ57+IA33*POWER(1-(AnnualChurn*VLOOKUP(HN57,ChurnSeasonTable,4,FALSE)),2)*PriceEssAnnual*HQ57+IA21*POWER(1-(AnnualChurn*VLOOKUP(HN57,ChurnSeasonTable,4,FALSE)),3)*PriceEssAnnual*HQ57+IA9*POWER(1-(AnnualChurn*VLOOKUP(HN57,ChurnSeasonTable,4,FALSE)),4)*PriceEssAnnual*HQ57+IB45*POWER(1-(AnnualChurn*VLOOKUP(HN57,ChurnSeasonTable,4,FALSE)),1)*PricePremAnnual*HQ57+IB33*POWER(1-(AnnualChurn*VLOOKUP(HN57,ChurnSeasonTable,4,FALSE)),2)*PricePremAnnual*HQ57+IB21*POWER(1-(AnnualChurn*VLOOKUP(HN57,ChurnSeasonTable,4,FALSE)),3)*PricePremAnnual*HQ57+IB9*POWER(1-(AnnualChurn*VLOOKUP(HN57,ChurnSeasonTable,4,FALSE)),4)*PricePremAnnual*HQ57</f>
        <v/>
      </c>
      <c r="IM57" s="9">
        <f>IJ57+IK57+IL57</f>
        <v/>
      </c>
      <c r="IN57" s="12">
        <f>SUM(IM46:IM57)</f>
        <v/>
      </c>
      <c r="IO57" s="12">
        <f>OR(IO56,IN57&gt;=VATThreshold)</f>
        <v/>
      </c>
      <c r="IP57" s="9">
        <f>IF(IO57,IM57/(1+VATRate),IM57)</f>
        <v/>
      </c>
      <c r="IQ57" s="12">
        <f>IM57-IP57</f>
        <v/>
      </c>
      <c r="IR57" s="12">
        <f>IF(IO57=0,0,IF(HN57=1,SUMPRODUCT(--(($HO$5:$HO57=$HO57-1)*($HN$5:$HN57&gt;=10)*($HN$5:$HN57&lt;=12)),$IQ$5:$IQ57),IF(HN57=4,SUMPRODUCT(--(($HO$5:$HO57=$HO57)*($HN$5:$HN57&gt;=1)*($HN$5:$HN57&lt;=3)),$IQ$5:$IQ57),IF(HN57=7,SUMPRODUCT(--(($HO$5:$HO57=$HO57)*($HN$5:$HN57&gt;=4)*($HN$5:$HN57&lt;=6)),$IQ$5:$IQ57),IF(HN57=10,SUMPRODUCT(--(($HO$5:$HO57=$HO57)*($HN$5:$HN57&gt;=7)*($HN$5:$HN57&lt;=9)),$IQ$5:$IQ57),0)))))</f>
        <v/>
      </c>
      <c r="IS57" s="12">
        <f>IS56+IQ57-IR57</f>
        <v/>
      </c>
      <c r="IT57" s="12">
        <f>IF(ProviderDelay&gt;=1,IP56*ProviderShare,IP57*ProviderShare)</f>
        <v/>
      </c>
      <c r="IU57" s="12">
        <f>IM57*PaymentFee</f>
        <v/>
      </c>
      <c r="IV57" s="12">
        <f>IG57*OpsAI</f>
        <v/>
      </c>
      <c r="IW57" s="12">
        <f>MonthlyFixed</f>
        <v/>
      </c>
      <c r="IX57" s="12">
        <f>HU57*ReferralReward</f>
        <v/>
      </c>
      <c r="IY57" s="12">
        <f>HS57</f>
        <v/>
      </c>
      <c r="IZ57" s="9">
        <f>IP57-IT57-IU57-IV57-IW57-IX57-IY57</f>
        <v/>
      </c>
      <c r="JA57" s="9">
        <f>JA56+IM57-(IT57+IU57+IV57+IW57+IX57+IY57+IR57)</f>
        <v/>
      </c>
      <c r="JB57" s="12">
        <f>IF(IG57&gt;0,IH57/IG57,0)</f>
        <v/>
      </c>
      <c r="JC57" s="11">
        <f>IF(IG56&gt;0,MAX(0,(IG56+HV57-IG57)/IG56),0)</f>
        <v/>
      </c>
      <c r="JE57" s="12" t="n">
        <v>53</v>
      </c>
      <c r="JF57" s="12">
        <f>MOD(JE57-1+LaunchMonth-1,12)+1</f>
        <v/>
      </c>
      <c r="JG57" s="12">
        <f>INT((JE57-1+LaunchMonth-1)/12)+1</f>
        <v/>
      </c>
      <c r="JH57" s="12">
        <f>VLOOKUP(JF57,SeasonTable,2,FALSE)</f>
        <v/>
      </c>
      <c r="JI57" s="12">
        <f>(1+InflationRate)^INT((JE57-1)/12)</f>
        <v/>
      </c>
      <c r="JJ57" s="11">
        <f>'Sens - Churn'!$A$16*VLOOKUP(JF57,ChurnSeasonTable,4,FALSE)</f>
        <v/>
      </c>
      <c r="JK57" s="12">
        <f>MIN(MAX(MktMin19plus,KE56*MktPct19plus),MAX(0,KS56-CashBuffer))</f>
        <v/>
      </c>
      <c r="JL57" s="12">
        <f>IF(JK57&gt;0,MAX(1,ROUND(JK57/CAC*JH57,0)),0)</f>
        <v/>
      </c>
      <c r="JM57" s="12">
        <f>IF(JL57&gt;0,ROUND(JL57*ReferralMix/(1-ReferralMix),0),0)</f>
        <v/>
      </c>
      <c r="JN57" s="12">
        <f>JL57+JM57</f>
        <v/>
      </c>
      <c r="JO57" s="12">
        <f>ROUND(JN57*(1-AnnualMix),0)</f>
        <v/>
      </c>
      <c r="JP57" s="12">
        <f>JN57-JO57</f>
        <v/>
      </c>
      <c r="JQ57" s="12">
        <f>ROUND(JO57*EssentialMix,0)</f>
        <v/>
      </c>
      <c r="JR57" s="12">
        <f>JO57-JQ57</f>
        <v/>
      </c>
      <c r="JS57" s="12">
        <f>ROUND(JP57*EssentialMix,0)</f>
        <v/>
      </c>
      <c r="JT57" s="12">
        <f>JP57-JS57</f>
        <v/>
      </c>
      <c r="JU57" s="12">
        <f>JQ57+JQ56+JQ55+MAX(0,JU56-JQ56-JQ55)*(1-JJ57)</f>
        <v/>
      </c>
      <c r="JV57" s="12">
        <f>JR57+JR56+JR55+MAX(0,JV56-JR56-JR55)*(1-JJ57)</f>
        <v/>
      </c>
      <c r="JW57" s="12">
        <f>JW56+JS57-JS45*(AnnualChurn*VLOOKUP(JF57,ChurnSeasonTable,4,FALSE))*POWER(1-(AnnualChurn*VLOOKUP(JF57,ChurnSeasonTable,4,FALSE)),0)+JS33*(AnnualChurn*VLOOKUP(JF57,ChurnSeasonTable,4,FALSE))*POWER(1-(AnnualChurn*VLOOKUP(JF57,ChurnSeasonTable,4,FALSE)),1)+JS21*(AnnualChurn*VLOOKUP(JF57,ChurnSeasonTable,4,FALSE))*POWER(1-(AnnualChurn*VLOOKUP(JF57,ChurnSeasonTable,4,FALSE)),2)+JS9*(AnnualChurn*VLOOKUP(JF57,ChurnSeasonTable,4,FALSE))*POWER(1-(AnnualChurn*VLOOKUP(JF57,ChurnSeasonTable,4,FALSE)),3)</f>
        <v/>
      </c>
      <c r="JX57" s="12">
        <f>JX56+JT57-JT45*(AnnualChurn*VLOOKUP(JF57,ChurnSeasonTable,4,FALSE))*POWER(1-(AnnualChurn*VLOOKUP(JF57,ChurnSeasonTable,4,FALSE)),0)+JT33*(AnnualChurn*VLOOKUP(JF57,ChurnSeasonTable,4,FALSE))*POWER(1-(AnnualChurn*VLOOKUP(JF57,ChurnSeasonTable,4,FALSE)),1)+JT21*(AnnualChurn*VLOOKUP(JF57,ChurnSeasonTable,4,FALSE))*POWER(1-(AnnualChurn*VLOOKUP(JF57,ChurnSeasonTable,4,FALSE)),2)+JT9*(AnnualChurn*VLOOKUP(JF57,ChurnSeasonTable,4,FALSE))*POWER(1-(AnnualChurn*VLOOKUP(JF57,ChurnSeasonTable,4,FALSE)),3)</f>
        <v/>
      </c>
      <c r="JY57" s="12">
        <f>JU57+JV57+JW57+JX57</f>
        <v/>
      </c>
      <c r="JZ57" s="9">
        <f>JU57*PriceEssMonthly*JI57+JV57*PricePremMonthly*JI57+JW57*PriceEssAnnual*JI57/12+JX57*PricePremAnnual*JI57/12</f>
        <v/>
      </c>
      <c r="KA57" s="9">
        <f>JZ57*12</f>
        <v/>
      </c>
      <c r="KB57" s="12">
        <f>JU57*PriceEssMonthly*JI57+JV57*PricePremMonthly*JI57</f>
        <v/>
      </c>
      <c r="KC57" s="12">
        <f>JS57*PriceEssAnnual*JI57+JT57*PricePremAnnual*JI57</f>
        <v/>
      </c>
      <c r="KD57" s="12">
        <f>JS45*POWER(1-(AnnualChurn*VLOOKUP(JF57,ChurnSeasonTable,4,FALSE)),1)*PriceEssAnnual*JI57+JS33*POWER(1-(AnnualChurn*VLOOKUP(JF57,ChurnSeasonTable,4,FALSE)),2)*PriceEssAnnual*JI57+JS21*POWER(1-(AnnualChurn*VLOOKUP(JF57,ChurnSeasonTable,4,FALSE)),3)*PriceEssAnnual*JI57+JS9*POWER(1-(AnnualChurn*VLOOKUP(JF57,ChurnSeasonTable,4,FALSE)),4)*PriceEssAnnual*JI57+JT45*POWER(1-(AnnualChurn*VLOOKUP(JF57,ChurnSeasonTable,4,FALSE)),1)*PricePremAnnual*JI57+JT33*POWER(1-(AnnualChurn*VLOOKUP(JF57,ChurnSeasonTable,4,FALSE)),2)*PricePremAnnual*JI57+JT21*POWER(1-(AnnualChurn*VLOOKUP(JF57,ChurnSeasonTable,4,FALSE)),3)*PricePremAnnual*JI57+JT9*POWER(1-(AnnualChurn*VLOOKUP(JF57,ChurnSeasonTable,4,FALSE)),4)*PricePremAnnual*JI57</f>
        <v/>
      </c>
      <c r="KE57" s="9">
        <f>KB57+KC57+KD57</f>
        <v/>
      </c>
      <c r="KF57" s="12">
        <f>SUM(KE46:KE57)</f>
        <v/>
      </c>
      <c r="KG57" s="12">
        <f>OR(KG56,KF57&gt;=VATThreshold)</f>
        <v/>
      </c>
      <c r="KH57" s="9">
        <f>IF(KG57,KE57/(1+VATRate),KE57)</f>
        <v/>
      </c>
      <c r="KI57" s="12">
        <f>KE57-KH57</f>
        <v/>
      </c>
      <c r="KJ57" s="12">
        <f>IF(KG57=0,0,IF(JF57=1,SUMPRODUCT(--(($JG$5:$JG57=$JG57-1)*($JF$5:$JF57&gt;=10)*($JF$5:$JF57&lt;=12)),$KI$5:$KI57),IF(JF57=4,SUMPRODUCT(--(($JG$5:$JG57=$JG57)*($JF$5:$JF57&gt;=1)*($JF$5:$JF57&lt;=3)),$KI$5:$KI57),IF(JF57=7,SUMPRODUCT(--(($JG$5:$JG57=$JG57)*($JF$5:$JF57&gt;=4)*($JF$5:$JF57&lt;=6)),$KI$5:$KI57),IF(JF57=10,SUMPRODUCT(--(($JG$5:$JG57=$JG57)*($JF$5:$JF57&gt;=7)*($JF$5:$JF57&lt;=9)),$KI$5:$KI57),0)))))</f>
        <v/>
      </c>
      <c r="KK57" s="12">
        <f>KK56+KI57-KJ57</f>
        <v/>
      </c>
      <c r="KL57" s="12">
        <f>IF(ProviderDelay&gt;=1,KH56*ProviderShare,KH57*ProviderShare)</f>
        <v/>
      </c>
      <c r="KM57" s="12">
        <f>KE57*PaymentFee</f>
        <v/>
      </c>
      <c r="KN57" s="12">
        <f>JY57*OpsAI</f>
        <v/>
      </c>
      <c r="KO57" s="12">
        <f>MonthlyFixed</f>
        <v/>
      </c>
      <c r="KP57" s="12">
        <f>JM57*ReferralReward</f>
        <v/>
      </c>
      <c r="KQ57" s="12">
        <f>JK57</f>
        <v/>
      </c>
      <c r="KR57" s="9">
        <f>KH57-KL57-KM57-KN57-KO57-KP57-KQ57</f>
        <v/>
      </c>
      <c r="KS57" s="9">
        <f>KS56+KE57-(KL57+KM57+KN57+KO57+KP57+KQ57+KJ57)</f>
        <v/>
      </c>
      <c r="KT57" s="12">
        <f>IF(JY57&gt;0,JZ57/JY57,0)</f>
        <v/>
      </c>
      <c r="KU57" s="11">
        <f>IF(JY56&gt;0,MAX(0,(JY56+JN57-JY57)/JY56),0)</f>
        <v/>
      </c>
      <c r="KW57" s="12" t="n">
        <v>53</v>
      </c>
      <c r="KX57" s="12">
        <f>MOD(KW57-1+LaunchMonth-1,12)+1</f>
        <v/>
      </c>
      <c r="KY57" s="12">
        <f>INT((KW57-1+LaunchMonth-1)/12)+1</f>
        <v/>
      </c>
      <c r="KZ57" s="12">
        <f>VLOOKUP(KX57,SeasonTable,2,FALSE)</f>
        <v/>
      </c>
      <c r="LA57" s="12">
        <f>(1+InflationRate)^INT((KW57-1)/12)</f>
        <v/>
      </c>
      <c r="LB57" s="11">
        <f>'Sens - Churn'!$A$17*VLOOKUP(KX57,ChurnSeasonTable,4,FALSE)</f>
        <v/>
      </c>
      <c r="LC57" s="12">
        <f>MIN(MAX(MktMin19plus,LW56*MktPct19plus),MAX(0,MK56-CashBuffer))</f>
        <v/>
      </c>
      <c r="LD57" s="12">
        <f>IF(LC57&gt;0,MAX(1,ROUND(LC57/CAC*KZ57,0)),0)</f>
        <v/>
      </c>
      <c r="LE57" s="12">
        <f>IF(LD57&gt;0,ROUND(LD57*ReferralMix/(1-ReferralMix),0),0)</f>
        <v/>
      </c>
      <c r="LF57" s="12">
        <f>LD57+LE57</f>
        <v/>
      </c>
      <c r="LG57" s="12">
        <f>ROUND(LF57*(1-AnnualMix),0)</f>
        <v/>
      </c>
      <c r="LH57" s="12">
        <f>LF57-LG57</f>
        <v/>
      </c>
      <c r="LI57" s="12">
        <f>ROUND(LG57*EssentialMix,0)</f>
        <v/>
      </c>
      <c r="LJ57" s="12">
        <f>LG57-LI57</f>
        <v/>
      </c>
      <c r="LK57" s="12">
        <f>ROUND(LH57*EssentialMix,0)</f>
        <v/>
      </c>
      <c r="LL57" s="12">
        <f>LH57-LK57</f>
        <v/>
      </c>
      <c r="LM57" s="12">
        <f>LI57+LI56+LI55+MAX(0,LM56-LI56-LI55)*(1-LB57)</f>
        <v/>
      </c>
      <c r="LN57" s="12">
        <f>LJ57+LJ56+LJ55+MAX(0,LN56-LJ56-LJ55)*(1-LB57)</f>
        <v/>
      </c>
      <c r="LO57" s="12">
        <f>LO56+LK57-LK45*(AnnualChurn*VLOOKUP(KX57,ChurnSeasonTable,4,FALSE))*POWER(1-(AnnualChurn*VLOOKUP(KX57,ChurnSeasonTable,4,FALSE)),0)+LK33*(AnnualChurn*VLOOKUP(KX57,ChurnSeasonTable,4,FALSE))*POWER(1-(AnnualChurn*VLOOKUP(KX57,ChurnSeasonTable,4,FALSE)),1)+LK21*(AnnualChurn*VLOOKUP(KX57,ChurnSeasonTable,4,FALSE))*POWER(1-(AnnualChurn*VLOOKUP(KX57,ChurnSeasonTable,4,FALSE)),2)+LK9*(AnnualChurn*VLOOKUP(KX57,ChurnSeasonTable,4,FALSE))*POWER(1-(AnnualChurn*VLOOKUP(KX57,ChurnSeasonTable,4,FALSE)),3)</f>
        <v/>
      </c>
      <c r="LP57" s="12">
        <f>LP56+LL57-LL45*(AnnualChurn*VLOOKUP(KX57,ChurnSeasonTable,4,FALSE))*POWER(1-(AnnualChurn*VLOOKUP(KX57,ChurnSeasonTable,4,FALSE)),0)+LL33*(AnnualChurn*VLOOKUP(KX57,ChurnSeasonTable,4,FALSE))*POWER(1-(AnnualChurn*VLOOKUP(KX57,ChurnSeasonTable,4,FALSE)),1)+LL21*(AnnualChurn*VLOOKUP(KX57,ChurnSeasonTable,4,FALSE))*POWER(1-(AnnualChurn*VLOOKUP(KX57,ChurnSeasonTable,4,FALSE)),2)+LL9*(AnnualChurn*VLOOKUP(KX57,ChurnSeasonTable,4,FALSE))*POWER(1-(AnnualChurn*VLOOKUP(KX57,ChurnSeasonTable,4,FALSE)),3)</f>
        <v/>
      </c>
      <c r="LQ57" s="12">
        <f>LM57+LN57+LO57+LP57</f>
        <v/>
      </c>
      <c r="LR57" s="9">
        <f>LM57*PriceEssMonthly*LA57+LN57*PricePremMonthly*LA57+LO57*PriceEssAnnual*LA57/12+LP57*PricePremAnnual*LA57/12</f>
        <v/>
      </c>
      <c r="LS57" s="9">
        <f>LR57*12</f>
        <v/>
      </c>
      <c r="LT57" s="12">
        <f>LM57*PriceEssMonthly*LA57+LN57*PricePremMonthly*LA57</f>
        <v/>
      </c>
      <c r="LU57" s="12">
        <f>LK57*PriceEssAnnual*LA57+LL57*PricePremAnnual*LA57</f>
        <v/>
      </c>
      <c r="LV57" s="12">
        <f>LK45*POWER(1-(AnnualChurn*VLOOKUP(KX57,ChurnSeasonTable,4,FALSE)),1)*PriceEssAnnual*LA57+LK33*POWER(1-(AnnualChurn*VLOOKUP(KX57,ChurnSeasonTable,4,FALSE)),2)*PriceEssAnnual*LA57+LK21*POWER(1-(AnnualChurn*VLOOKUP(KX57,ChurnSeasonTable,4,FALSE)),3)*PriceEssAnnual*LA57+LK9*POWER(1-(AnnualChurn*VLOOKUP(KX57,ChurnSeasonTable,4,FALSE)),4)*PriceEssAnnual*LA57+LL45*POWER(1-(AnnualChurn*VLOOKUP(KX57,ChurnSeasonTable,4,FALSE)),1)*PricePremAnnual*LA57+LL33*POWER(1-(AnnualChurn*VLOOKUP(KX57,ChurnSeasonTable,4,FALSE)),2)*PricePremAnnual*LA57+LL21*POWER(1-(AnnualChurn*VLOOKUP(KX57,ChurnSeasonTable,4,FALSE)),3)*PricePremAnnual*LA57+LL9*POWER(1-(AnnualChurn*VLOOKUP(KX57,ChurnSeasonTable,4,FALSE)),4)*PricePremAnnual*LA57</f>
        <v/>
      </c>
      <c r="LW57" s="9">
        <f>LT57+LU57+LV57</f>
        <v/>
      </c>
      <c r="LX57" s="12">
        <f>SUM(LW46:LW57)</f>
        <v/>
      </c>
      <c r="LY57" s="12">
        <f>OR(LY56,LX57&gt;=VATThreshold)</f>
        <v/>
      </c>
      <c r="LZ57" s="9">
        <f>IF(LY57,LW57/(1+VATRate),LW57)</f>
        <v/>
      </c>
      <c r="MA57" s="12">
        <f>LW57-LZ57</f>
        <v/>
      </c>
      <c r="MB57" s="12">
        <f>IF(LY57=0,0,IF(KX57=1,SUMPRODUCT(--(($KY$5:$KY57=$KY57-1)*($KX$5:$KX57&gt;=10)*($KX$5:$KX57&lt;=12)),$MA$5:$MA57),IF(KX57=4,SUMPRODUCT(--(($KY$5:$KY57=$KY57)*($KX$5:$KX57&gt;=1)*($KX$5:$KX57&lt;=3)),$MA$5:$MA57),IF(KX57=7,SUMPRODUCT(--(($KY$5:$KY57=$KY57)*($KX$5:$KX57&gt;=4)*($KX$5:$KX57&lt;=6)),$MA$5:$MA57),IF(KX57=10,SUMPRODUCT(--(($KY$5:$KY57=$KY57)*($KX$5:$KX57&gt;=7)*($KX$5:$KX57&lt;=9)),$MA$5:$MA57),0)))))</f>
        <v/>
      </c>
      <c r="MC57" s="12">
        <f>MC56+MA57-MB57</f>
        <v/>
      </c>
      <c r="MD57" s="12">
        <f>IF(ProviderDelay&gt;=1,LZ56*ProviderShare,LZ57*ProviderShare)</f>
        <v/>
      </c>
      <c r="ME57" s="12">
        <f>LW57*PaymentFee</f>
        <v/>
      </c>
      <c r="MF57" s="12">
        <f>LQ57*OpsAI</f>
        <v/>
      </c>
      <c r="MG57" s="12">
        <f>MonthlyFixed</f>
        <v/>
      </c>
      <c r="MH57" s="12">
        <f>LE57*ReferralReward</f>
        <v/>
      </c>
      <c r="MI57" s="12">
        <f>LC57</f>
        <v/>
      </c>
      <c r="MJ57" s="9">
        <f>LZ57-MD57-ME57-MF57-MG57-MH57-MI57</f>
        <v/>
      </c>
      <c r="MK57" s="9">
        <f>MK56+LW57-(MD57+ME57+MF57+MG57+MH57+MI57+MB57)</f>
        <v/>
      </c>
      <c r="ML57" s="12">
        <f>IF(LQ57&gt;0,LR57/LQ57,0)</f>
        <v/>
      </c>
      <c r="MM57" s="11">
        <f>IF(LQ56&gt;0,MAX(0,(LQ56+LF57-LQ57)/LQ56),0)</f>
        <v/>
      </c>
      <c r="MO57" s="12" t="n">
        <v>53</v>
      </c>
      <c r="MP57" s="12">
        <f>MOD(MO57-1+LaunchMonth-1,12)+1</f>
        <v/>
      </c>
      <c r="MQ57" s="12">
        <f>INT((MO57-1+LaunchMonth-1)/12)+1</f>
        <v/>
      </c>
      <c r="MR57" s="12">
        <f>VLOOKUP(MP57,SeasonTable,2,FALSE)</f>
        <v/>
      </c>
      <c r="MS57" s="12">
        <f>(1+InflationRate)^INT((MO57-1)/12)</f>
        <v/>
      </c>
      <c r="MT57" s="11">
        <f>'Sens - Churn'!$A$18*VLOOKUP(MP57,ChurnSeasonTable,4,FALSE)</f>
        <v/>
      </c>
      <c r="MU57" s="12">
        <f>MIN(MAX(MktMin19plus,NO56*MktPct19plus),MAX(0,OC56-CashBuffer))</f>
        <v/>
      </c>
      <c r="MV57" s="12">
        <f>IF(MU57&gt;0,MAX(1,ROUND(MU57/CAC*MR57,0)),0)</f>
        <v/>
      </c>
      <c r="MW57" s="12">
        <f>IF(MV57&gt;0,ROUND(MV57*ReferralMix/(1-ReferralMix),0),0)</f>
        <v/>
      </c>
      <c r="MX57" s="12">
        <f>MV57+MW57</f>
        <v/>
      </c>
      <c r="MY57" s="12">
        <f>ROUND(MX57*(1-AnnualMix),0)</f>
        <v/>
      </c>
      <c r="MZ57" s="12">
        <f>MX57-MY57</f>
        <v/>
      </c>
      <c r="NA57" s="12">
        <f>ROUND(MY57*EssentialMix,0)</f>
        <v/>
      </c>
      <c r="NB57" s="12">
        <f>MY57-NA57</f>
        <v/>
      </c>
      <c r="NC57" s="12">
        <f>ROUND(MZ57*EssentialMix,0)</f>
        <v/>
      </c>
      <c r="ND57" s="12">
        <f>MZ57-NC57</f>
        <v/>
      </c>
      <c r="NE57" s="12">
        <f>NA57+NA56+NA55+MAX(0,NE56-NA56-NA55)*(1-MT57)</f>
        <v/>
      </c>
      <c r="NF57" s="12">
        <f>NB57+NB56+NB55+MAX(0,NF56-NB56-NB55)*(1-MT57)</f>
        <v/>
      </c>
      <c r="NG57" s="12">
        <f>NG56+NC57-NC45*(AnnualChurn*VLOOKUP(MP57,ChurnSeasonTable,4,FALSE))*POWER(1-(AnnualChurn*VLOOKUP(MP57,ChurnSeasonTable,4,FALSE)),0)+NC33*(AnnualChurn*VLOOKUP(MP57,ChurnSeasonTable,4,FALSE))*POWER(1-(AnnualChurn*VLOOKUP(MP57,ChurnSeasonTable,4,FALSE)),1)+NC21*(AnnualChurn*VLOOKUP(MP57,ChurnSeasonTable,4,FALSE))*POWER(1-(AnnualChurn*VLOOKUP(MP57,ChurnSeasonTable,4,FALSE)),2)+NC9*(AnnualChurn*VLOOKUP(MP57,ChurnSeasonTable,4,FALSE))*POWER(1-(AnnualChurn*VLOOKUP(MP57,ChurnSeasonTable,4,FALSE)),3)</f>
        <v/>
      </c>
      <c r="NH57" s="12">
        <f>NH56+ND57-ND45*(AnnualChurn*VLOOKUP(MP57,ChurnSeasonTable,4,FALSE))*POWER(1-(AnnualChurn*VLOOKUP(MP57,ChurnSeasonTable,4,FALSE)),0)+ND33*(AnnualChurn*VLOOKUP(MP57,ChurnSeasonTable,4,FALSE))*POWER(1-(AnnualChurn*VLOOKUP(MP57,ChurnSeasonTable,4,FALSE)),1)+ND21*(AnnualChurn*VLOOKUP(MP57,ChurnSeasonTable,4,FALSE))*POWER(1-(AnnualChurn*VLOOKUP(MP57,ChurnSeasonTable,4,FALSE)),2)+ND9*(AnnualChurn*VLOOKUP(MP57,ChurnSeasonTable,4,FALSE))*POWER(1-(AnnualChurn*VLOOKUP(MP57,ChurnSeasonTable,4,FALSE)),3)</f>
        <v/>
      </c>
      <c r="NI57" s="12">
        <f>NE57+NF57+NG57+NH57</f>
        <v/>
      </c>
      <c r="NJ57" s="9">
        <f>NE57*PriceEssMonthly*MS57+NF57*PricePremMonthly*MS57+NG57*PriceEssAnnual*MS57/12+NH57*PricePremAnnual*MS57/12</f>
        <v/>
      </c>
      <c r="NK57" s="9">
        <f>NJ57*12</f>
        <v/>
      </c>
      <c r="NL57" s="12">
        <f>NE57*PriceEssMonthly*MS57+NF57*PricePremMonthly*MS57</f>
        <v/>
      </c>
      <c r="NM57" s="12">
        <f>NC57*PriceEssAnnual*MS57+ND57*PricePremAnnual*MS57</f>
        <v/>
      </c>
      <c r="NN57" s="12">
        <f>NC45*POWER(1-(AnnualChurn*VLOOKUP(MP57,ChurnSeasonTable,4,FALSE)),1)*PriceEssAnnual*MS57+NC33*POWER(1-(AnnualChurn*VLOOKUP(MP57,ChurnSeasonTable,4,FALSE)),2)*PriceEssAnnual*MS57+NC21*POWER(1-(AnnualChurn*VLOOKUP(MP57,ChurnSeasonTable,4,FALSE)),3)*PriceEssAnnual*MS57+NC9*POWER(1-(AnnualChurn*VLOOKUP(MP57,ChurnSeasonTable,4,FALSE)),4)*PriceEssAnnual*MS57+ND45*POWER(1-(AnnualChurn*VLOOKUP(MP57,ChurnSeasonTable,4,FALSE)),1)*PricePremAnnual*MS57+ND33*POWER(1-(AnnualChurn*VLOOKUP(MP57,ChurnSeasonTable,4,FALSE)),2)*PricePremAnnual*MS57+ND21*POWER(1-(AnnualChurn*VLOOKUP(MP57,ChurnSeasonTable,4,FALSE)),3)*PricePremAnnual*MS57+ND9*POWER(1-(AnnualChurn*VLOOKUP(MP57,ChurnSeasonTable,4,FALSE)),4)*PricePremAnnual*MS57</f>
        <v/>
      </c>
      <c r="NO57" s="9">
        <f>NL57+NM57+NN57</f>
        <v/>
      </c>
      <c r="NP57" s="12">
        <f>SUM(NO46:NO57)</f>
        <v/>
      </c>
      <c r="NQ57" s="12">
        <f>OR(NQ56,NP57&gt;=VATThreshold)</f>
        <v/>
      </c>
      <c r="NR57" s="9">
        <f>IF(NQ57,NO57/(1+VATRate),NO57)</f>
        <v/>
      </c>
      <c r="NS57" s="12">
        <f>NO57-NR57</f>
        <v/>
      </c>
      <c r="NT57" s="12">
        <f>IF(NQ57=0,0,IF(MP57=1,SUMPRODUCT(--(($MQ$5:$MQ57=$MQ57-1)*($MP$5:$MP57&gt;=10)*($MP$5:$MP57&lt;=12)),$NS$5:$NS57),IF(MP57=4,SUMPRODUCT(--(($MQ$5:$MQ57=$MQ57)*($MP$5:$MP57&gt;=1)*($MP$5:$MP57&lt;=3)),$NS$5:$NS57),IF(MP57=7,SUMPRODUCT(--(($MQ$5:$MQ57=$MQ57)*($MP$5:$MP57&gt;=4)*($MP$5:$MP57&lt;=6)),$NS$5:$NS57),IF(MP57=10,SUMPRODUCT(--(($MQ$5:$MQ57=$MQ57)*($MP$5:$MP57&gt;=7)*($MP$5:$MP57&lt;=9)),$NS$5:$NS57),0)))))</f>
        <v/>
      </c>
      <c r="NU57" s="12">
        <f>NU56+NS57-NT57</f>
        <v/>
      </c>
      <c r="NV57" s="12">
        <f>IF(ProviderDelay&gt;=1,NR56*ProviderShare,NR57*ProviderShare)</f>
        <v/>
      </c>
      <c r="NW57" s="12">
        <f>NO57*PaymentFee</f>
        <v/>
      </c>
      <c r="NX57" s="12">
        <f>NI57*OpsAI</f>
        <v/>
      </c>
      <c r="NY57" s="12">
        <f>MonthlyFixed</f>
        <v/>
      </c>
      <c r="NZ57" s="12">
        <f>MW57*ReferralReward</f>
        <v/>
      </c>
      <c r="OA57" s="12">
        <f>MU57</f>
        <v/>
      </c>
      <c r="OB57" s="9">
        <f>NR57-NV57-NW57-NX57-NY57-NZ57-OA57</f>
        <v/>
      </c>
      <c r="OC57" s="9">
        <f>OC56+NO57-(NV57+NW57+NX57+NY57+NZ57+OA57+NT57)</f>
        <v/>
      </c>
      <c r="OD57" s="12">
        <f>IF(NI57&gt;0,NJ57/NI57,0)</f>
        <v/>
      </c>
      <c r="OE57" s="11">
        <f>IF(NI56&gt;0,MAX(0,(NI56+MX57-NI57)/NI56),0)</f>
        <v/>
      </c>
      <c r="OG57" s="12" t="n">
        <v>53</v>
      </c>
      <c r="OH57" s="12">
        <f>MOD(OG57-1+LaunchMonth-1,12)+1</f>
        <v/>
      </c>
      <c r="OI57" s="12">
        <f>INT((OG57-1+LaunchMonth-1)/12)+1</f>
        <v/>
      </c>
      <c r="OJ57" s="12">
        <f>VLOOKUP(OH57,SeasonTable,2,FALSE)</f>
        <v/>
      </c>
      <c r="OK57" s="12">
        <f>(1+InflationRate)^INT((OG57-1)/12)</f>
        <v/>
      </c>
      <c r="OL57" s="11">
        <f>'Sens - Churn'!$A$19*VLOOKUP(OH57,ChurnSeasonTable,4,FALSE)</f>
        <v/>
      </c>
      <c r="OM57" s="12">
        <f>MIN(MAX(MktMin19plus,PG56*MktPct19plus),MAX(0,PU56-CashBuffer))</f>
        <v/>
      </c>
      <c r="ON57" s="12">
        <f>IF(OM57&gt;0,MAX(1,ROUND(OM57/CAC*OJ57,0)),0)</f>
        <v/>
      </c>
      <c r="OO57" s="12">
        <f>IF(ON57&gt;0,ROUND(ON57*ReferralMix/(1-ReferralMix),0),0)</f>
        <v/>
      </c>
      <c r="OP57" s="12">
        <f>ON57+OO57</f>
        <v/>
      </c>
      <c r="OQ57" s="12">
        <f>ROUND(OP57*(1-AnnualMix),0)</f>
        <v/>
      </c>
      <c r="OR57" s="12">
        <f>OP57-OQ57</f>
        <v/>
      </c>
      <c r="OS57" s="12">
        <f>ROUND(OQ57*EssentialMix,0)</f>
        <v/>
      </c>
      <c r="OT57" s="12">
        <f>OQ57-OS57</f>
        <v/>
      </c>
      <c r="OU57" s="12">
        <f>ROUND(OR57*EssentialMix,0)</f>
        <v/>
      </c>
      <c r="OV57" s="12">
        <f>OR57-OU57</f>
        <v/>
      </c>
      <c r="OW57" s="12">
        <f>OS57+OS56+OS55+MAX(0,OW56-OS56-OS55)*(1-OL57)</f>
        <v/>
      </c>
      <c r="OX57" s="12">
        <f>OT57+OT56+OT55+MAX(0,OX56-OT56-OT55)*(1-OL57)</f>
        <v/>
      </c>
      <c r="OY57" s="12">
        <f>OY56+OU57-OU45*(AnnualChurn*VLOOKUP(OH57,ChurnSeasonTable,4,FALSE))*POWER(1-(AnnualChurn*VLOOKUP(OH57,ChurnSeasonTable,4,FALSE)),0)+OU33*(AnnualChurn*VLOOKUP(OH57,ChurnSeasonTable,4,FALSE))*POWER(1-(AnnualChurn*VLOOKUP(OH57,ChurnSeasonTable,4,FALSE)),1)+OU21*(AnnualChurn*VLOOKUP(OH57,ChurnSeasonTable,4,FALSE))*POWER(1-(AnnualChurn*VLOOKUP(OH57,ChurnSeasonTable,4,FALSE)),2)+OU9*(AnnualChurn*VLOOKUP(OH57,ChurnSeasonTable,4,FALSE))*POWER(1-(AnnualChurn*VLOOKUP(OH57,ChurnSeasonTable,4,FALSE)),3)</f>
        <v/>
      </c>
      <c r="OZ57" s="12">
        <f>OZ56+OV57-OV45*(AnnualChurn*VLOOKUP(OH57,ChurnSeasonTable,4,FALSE))*POWER(1-(AnnualChurn*VLOOKUP(OH57,ChurnSeasonTable,4,FALSE)),0)+OV33*(AnnualChurn*VLOOKUP(OH57,ChurnSeasonTable,4,FALSE))*POWER(1-(AnnualChurn*VLOOKUP(OH57,ChurnSeasonTable,4,FALSE)),1)+OV21*(AnnualChurn*VLOOKUP(OH57,ChurnSeasonTable,4,FALSE))*POWER(1-(AnnualChurn*VLOOKUP(OH57,ChurnSeasonTable,4,FALSE)),2)+OV9*(AnnualChurn*VLOOKUP(OH57,ChurnSeasonTable,4,FALSE))*POWER(1-(AnnualChurn*VLOOKUP(OH57,ChurnSeasonTable,4,FALSE)),3)</f>
        <v/>
      </c>
      <c r="PA57" s="12">
        <f>OW57+OX57+OY57+OZ57</f>
        <v/>
      </c>
      <c r="PB57" s="9">
        <f>OW57*PriceEssMonthly*OK57+OX57*PricePremMonthly*OK57+OY57*PriceEssAnnual*OK57/12+OZ57*PricePremAnnual*OK57/12</f>
        <v/>
      </c>
      <c r="PC57" s="9">
        <f>PB57*12</f>
        <v/>
      </c>
      <c r="PD57" s="12">
        <f>OW57*PriceEssMonthly*OK57+OX57*PricePremMonthly*OK57</f>
        <v/>
      </c>
      <c r="PE57" s="12">
        <f>OU57*PriceEssAnnual*OK57+OV57*PricePremAnnual*OK57</f>
        <v/>
      </c>
      <c r="PF57" s="12">
        <f>OU45*POWER(1-(AnnualChurn*VLOOKUP(OH57,ChurnSeasonTable,4,FALSE)),1)*PriceEssAnnual*OK57+OU33*POWER(1-(AnnualChurn*VLOOKUP(OH57,ChurnSeasonTable,4,FALSE)),2)*PriceEssAnnual*OK57+OU21*POWER(1-(AnnualChurn*VLOOKUP(OH57,ChurnSeasonTable,4,FALSE)),3)*PriceEssAnnual*OK57+OU9*POWER(1-(AnnualChurn*VLOOKUP(OH57,ChurnSeasonTable,4,FALSE)),4)*PriceEssAnnual*OK57+OV45*POWER(1-(AnnualChurn*VLOOKUP(OH57,ChurnSeasonTable,4,FALSE)),1)*PricePremAnnual*OK57+OV33*POWER(1-(AnnualChurn*VLOOKUP(OH57,ChurnSeasonTable,4,FALSE)),2)*PricePremAnnual*OK57+OV21*POWER(1-(AnnualChurn*VLOOKUP(OH57,ChurnSeasonTable,4,FALSE)),3)*PricePremAnnual*OK57+OV9*POWER(1-(AnnualChurn*VLOOKUP(OH57,ChurnSeasonTable,4,FALSE)),4)*PricePremAnnual*OK57</f>
        <v/>
      </c>
      <c r="PG57" s="9">
        <f>PD57+PE57+PF57</f>
        <v/>
      </c>
      <c r="PH57" s="12">
        <f>SUM(PG46:PG57)</f>
        <v/>
      </c>
      <c r="PI57" s="12">
        <f>OR(PI56,PH57&gt;=VATThreshold)</f>
        <v/>
      </c>
      <c r="PJ57" s="9">
        <f>IF(PI57,PG57/(1+VATRate),PG57)</f>
        <v/>
      </c>
      <c r="PK57" s="12">
        <f>PG57-PJ57</f>
        <v/>
      </c>
      <c r="PL57" s="12">
        <f>IF(PI57=0,0,IF(OH57=1,SUMPRODUCT(--(($OI$5:$OI57=$OI57-1)*($OH$5:$OH57&gt;=10)*($OH$5:$OH57&lt;=12)),$PK$5:$PK57),IF(OH57=4,SUMPRODUCT(--(($OI$5:$OI57=$OI57)*($OH$5:$OH57&gt;=1)*($OH$5:$OH57&lt;=3)),$PK$5:$PK57),IF(OH57=7,SUMPRODUCT(--(($OI$5:$OI57=$OI57)*($OH$5:$OH57&gt;=4)*($OH$5:$OH57&lt;=6)),$PK$5:$PK57),IF(OH57=10,SUMPRODUCT(--(($OI$5:$OI57=$OI57)*($OH$5:$OH57&gt;=7)*($OH$5:$OH57&lt;=9)),$PK$5:$PK57),0)))))</f>
        <v/>
      </c>
      <c r="PM57" s="12">
        <f>PM56+PK57-PL57</f>
        <v/>
      </c>
      <c r="PN57" s="12">
        <f>IF(ProviderDelay&gt;=1,PJ56*ProviderShare,PJ57*ProviderShare)</f>
        <v/>
      </c>
      <c r="PO57" s="12">
        <f>PG57*PaymentFee</f>
        <v/>
      </c>
      <c r="PP57" s="12">
        <f>PA57*OpsAI</f>
        <v/>
      </c>
      <c r="PQ57" s="12">
        <f>MonthlyFixed</f>
        <v/>
      </c>
      <c r="PR57" s="12">
        <f>OO57*ReferralReward</f>
        <v/>
      </c>
      <c r="PS57" s="12">
        <f>OM57</f>
        <v/>
      </c>
      <c r="PT57" s="9">
        <f>PJ57-PN57-PO57-PP57-PQ57-PR57-PS57</f>
        <v/>
      </c>
      <c r="PU57" s="9">
        <f>PU56+PG57-(PN57+PO57+PP57+PQ57+PR57+PS57+PL57)</f>
        <v/>
      </c>
      <c r="PV57" s="12">
        <f>IF(PA57&gt;0,PB57/PA57,0)</f>
        <v/>
      </c>
      <c r="PW57" s="11">
        <f>IF(PA56&gt;0,MAX(0,(PA56+OP57-PA57)/PA56),0)</f>
        <v/>
      </c>
      <c r="PY57" s="12" t="n">
        <v>53</v>
      </c>
      <c r="PZ57" s="12">
        <f>MOD(PY57-1+LaunchMonth-1,12)+1</f>
        <v/>
      </c>
      <c r="QA57" s="12">
        <f>INT((PY57-1+LaunchMonth-1)/12)+1</f>
        <v/>
      </c>
      <c r="QB57" s="12">
        <f>VLOOKUP(PZ57,SeasonTable,2,FALSE)</f>
        <v/>
      </c>
      <c r="QC57" s="12">
        <f>(1+InflationRate)^INT((PY57-1)/12)</f>
        <v/>
      </c>
      <c r="QD57" s="11">
        <f>'Sens - Churn'!$A$20*VLOOKUP(PZ57,ChurnSeasonTable,4,FALSE)</f>
        <v/>
      </c>
      <c r="QE57" s="12">
        <f>MIN(MAX(MktMin19plus,QY56*MktPct19plus),MAX(0,RM56-CashBuffer))</f>
        <v/>
      </c>
      <c r="QF57" s="12">
        <f>IF(QE57&gt;0,MAX(1,ROUND(QE57/CAC*QB57,0)),0)</f>
        <v/>
      </c>
      <c r="QG57" s="12">
        <f>IF(QF57&gt;0,ROUND(QF57*ReferralMix/(1-ReferralMix),0),0)</f>
        <v/>
      </c>
      <c r="QH57" s="12">
        <f>QF57+QG57</f>
        <v/>
      </c>
      <c r="QI57" s="12">
        <f>ROUND(QH57*(1-AnnualMix),0)</f>
        <v/>
      </c>
      <c r="QJ57" s="12">
        <f>QH57-QI57</f>
        <v/>
      </c>
      <c r="QK57" s="12">
        <f>ROUND(QI57*EssentialMix,0)</f>
        <v/>
      </c>
      <c r="QL57" s="12">
        <f>QI57-QK57</f>
        <v/>
      </c>
      <c r="QM57" s="12">
        <f>ROUND(QJ57*EssentialMix,0)</f>
        <v/>
      </c>
      <c r="QN57" s="12">
        <f>QJ57-QM57</f>
        <v/>
      </c>
      <c r="QO57" s="12">
        <f>QK57+QK56+QK55+MAX(0,QO56-QK56-QK55)*(1-QD57)</f>
        <v/>
      </c>
      <c r="QP57" s="12">
        <f>QL57+QL56+QL55+MAX(0,QP56-QL56-QL55)*(1-QD57)</f>
        <v/>
      </c>
      <c r="QQ57" s="12">
        <f>QQ56+QM57-QM45*(AnnualChurn*VLOOKUP(PZ57,ChurnSeasonTable,4,FALSE))*POWER(1-(AnnualChurn*VLOOKUP(PZ57,ChurnSeasonTable,4,FALSE)),0)+QM33*(AnnualChurn*VLOOKUP(PZ57,ChurnSeasonTable,4,FALSE))*POWER(1-(AnnualChurn*VLOOKUP(PZ57,ChurnSeasonTable,4,FALSE)),1)+QM21*(AnnualChurn*VLOOKUP(PZ57,ChurnSeasonTable,4,FALSE))*POWER(1-(AnnualChurn*VLOOKUP(PZ57,ChurnSeasonTable,4,FALSE)),2)+QM9*(AnnualChurn*VLOOKUP(PZ57,ChurnSeasonTable,4,FALSE))*POWER(1-(AnnualChurn*VLOOKUP(PZ57,ChurnSeasonTable,4,FALSE)),3)</f>
        <v/>
      </c>
      <c r="QR57" s="12">
        <f>QR56+QN57-QN45*(AnnualChurn*VLOOKUP(PZ57,ChurnSeasonTable,4,FALSE))*POWER(1-(AnnualChurn*VLOOKUP(PZ57,ChurnSeasonTable,4,FALSE)),0)+QN33*(AnnualChurn*VLOOKUP(PZ57,ChurnSeasonTable,4,FALSE))*POWER(1-(AnnualChurn*VLOOKUP(PZ57,ChurnSeasonTable,4,FALSE)),1)+QN21*(AnnualChurn*VLOOKUP(PZ57,ChurnSeasonTable,4,FALSE))*POWER(1-(AnnualChurn*VLOOKUP(PZ57,ChurnSeasonTable,4,FALSE)),2)+QN9*(AnnualChurn*VLOOKUP(PZ57,ChurnSeasonTable,4,FALSE))*POWER(1-(AnnualChurn*VLOOKUP(PZ57,ChurnSeasonTable,4,FALSE)),3)</f>
        <v/>
      </c>
      <c r="QS57" s="12">
        <f>QO57+QP57+QQ57+QR57</f>
        <v/>
      </c>
      <c r="QT57" s="9">
        <f>QO57*PriceEssMonthly*QC57+QP57*PricePremMonthly*QC57+QQ57*PriceEssAnnual*QC57/12+QR57*PricePremAnnual*QC57/12</f>
        <v/>
      </c>
      <c r="QU57" s="9">
        <f>QT57*12</f>
        <v/>
      </c>
      <c r="QV57" s="12">
        <f>QO57*PriceEssMonthly*QC57+QP57*PricePremMonthly*QC57</f>
        <v/>
      </c>
      <c r="QW57" s="12">
        <f>QM57*PriceEssAnnual*QC57+QN57*PricePremAnnual*QC57</f>
        <v/>
      </c>
      <c r="QX57" s="12">
        <f>QM45*POWER(1-(AnnualChurn*VLOOKUP(PZ57,ChurnSeasonTable,4,FALSE)),1)*PriceEssAnnual*QC57+QM33*POWER(1-(AnnualChurn*VLOOKUP(PZ57,ChurnSeasonTable,4,FALSE)),2)*PriceEssAnnual*QC57+QM21*POWER(1-(AnnualChurn*VLOOKUP(PZ57,ChurnSeasonTable,4,FALSE)),3)*PriceEssAnnual*QC57+QM9*POWER(1-(AnnualChurn*VLOOKUP(PZ57,ChurnSeasonTable,4,FALSE)),4)*PriceEssAnnual*QC57+QN45*POWER(1-(AnnualChurn*VLOOKUP(PZ57,ChurnSeasonTable,4,FALSE)),1)*PricePremAnnual*QC57+QN33*POWER(1-(AnnualChurn*VLOOKUP(PZ57,ChurnSeasonTable,4,FALSE)),2)*PricePremAnnual*QC57+QN21*POWER(1-(AnnualChurn*VLOOKUP(PZ57,ChurnSeasonTable,4,FALSE)),3)*PricePremAnnual*QC57+QN9*POWER(1-(AnnualChurn*VLOOKUP(PZ57,ChurnSeasonTable,4,FALSE)),4)*PricePremAnnual*QC57</f>
        <v/>
      </c>
      <c r="QY57" s="9">
        <f>QV57+QW57+QX57</f>
        <v/>
      </c>
      <c r="QZ57" s="12">
        <f>SUM(QY46:QY57)</f>
        <v/>
      </c>
      <c r="RA57" s="12">
        <f>OR(RA56,QZ57&gt;=VATThreshold)</f>
        <v/>
      </c>
      <c r="RB57" s="9">
        <f>IF(RA57,QY57/(1+VATRate),QY57)</f>
        <v/>
      </c>
      <c r="RC57" s="12">
        <f>QY57-RB57</f>
        <v/>
      </c>
      <c r="RD57" s="12">
        <f>IF(RA57=0,0,IF(PZ57=1,SUMPRODUCT(--(($QA$5:$QA57=$QA57-1)*($PZ$5:$PZ57&gt;=10)*($PZ$5:$PZ57&lt;=12)),$RC$5:$RC57),IF(PZ57=4,SUMPRODUCT(--(($QA$5:$QA57=$QA57)*($PZ$5:$PZ57&gt;=1)*($PZ$5:$PZ57&lt;=3)),$RC$5:$RC57),IF(PZ57=7,SUMPRODUCT(--(($QA$5:$QA57=$QA57)*($PZ$5:$PZ57&gt;=4)*($PZ$5:$PZ57&lt;=6)),$RC$5:$RC57),IF(PZ57=10,SUMPRODUCT(--(($QA$5:$QA57=$QA57)*($PZ$5:$PZ57&gt;=7)*($PZ$5:$PZ57&lt;=9)),$RC$5:$RC57),0)))))</f>
        <v/>
      </c>
      <c r="RE57" s="12">
        <f>RE56+RC57-RD57</f>
        <v/>
      </c>
      <c r="RF57" s="12">
        <f>IF(ProviderDelay&gt;=1,RB56*ProviderShare,RB57*ProviderShare)</f>
        <v/>
      </c>
      <c r="RG57" s="12">
        <f>QY57*PaymentFee</f>
        <v/>
      </c>
      <c r="RH57" s="12">
        <f>QS57*OpsAI</f>
        <v/>
      </c>
      <c r="RI57" s="12">
        <f>MonthlyFixed</f>
        <v/>
      </c>
      <c r="RJ57" s="12">
        <f>QG57*ReferralReward</f>
        <v/>
      </c>
      <c r="RK57" s="12">
        <f>QE57</f>
        <v/>
      </c>
      <c r="RL57" s="9">
        <f>RB57-RF57-RG57-RH57-RI57-RJ57-RK57</f>
        <v/>
      </c>
      <c r="RM57" s="9">
        <f>RM56+QY57-(RF57+RG57+RH57+RI57+RJ57+RK57+RD57)</f>
        <v/>
      </c>
      <c r="RN57" s="12">
        <f>IF(QS57&gt;0,QT57/QS57,0)</f>
        <v/>
      </c>
      <c r="RO57" s="11">
        <f>IF(QS56&gt;0,MAX(0,(QS56+QH57-QS57)/QS56),0)</f>
        <v/>
      </c>
      <c r="RQ57" s="12" t="n">
        <v>53</v>
      </c>
      <c r="RR57" s="12">
        <f>MOD(RQ57-1+LaunchMonth-1,12)+1</f>
        <v/>
      </c>
      <c r="RS57" s="12">
        <f>INT((RQ57-1+LaunchMonth-1)/12)+1</f>
        <v/>
      </c>
      <c r="RT57" s="12">
        <f>VLOOKUP(RR57,SeasonTable,2,FALSE)</f>
        <v/>
      </c>
      <c r="RU57" s="12">
        <f>(1+InflationRate)^INT((RQ57-1)/12)</f>
        <v/>
      </c>
      <c r="RV57" s="11">
        <f>'Sens - Churn'!$A$21*VLOOKUP(RR57,ChurnSeasonTable,4,FALSE)</f>
        <v/>
      </c>
      <c r="RW57" s="12">
        <f>MIN(MAX(MktMin19plus,SQ56*MktPct19plus),MAX(0,TE56-CashBuffer))</f>
        <v/>
      </c>
      <c r="RX57" s="12">
        <f>IF(RW57&gt;0,MAX(1,ROUND(RW57/CAC*RT57,0)),0)</f>
        <v/>
      </c>
      <c r="RY57" s="12">
        <f>IF(RX57&gt;0,ROUND(RX57*ReferralMix/(1-ReferralMix),0),0)</f>
        <v/>
      </c>
      <c r="RZ57" s="12">
        <f>RX57+RY57</f>
        <v/>
      </c>
      <c r="SA57" s="12">
        <f>ROUND(RZ57*(1-AnnualMix),0)</f>
        <v/>
      </c>
      <c r="SB57" s="12">
        <f>RZ57-SA57</f>
        <v/>
      </c>
      <c r="SC57" s="12">
        <f>ROUND(SA57*EssentialMix,0)</f>
        <v/>
      </c>
      <c r="SD57" s="12">
        <f>SA57-SC57</f>
        <v/>
      </c>
      <c r="SE57" s="12">
        <f>ROUND(SB57*EssentialMix,0)</f>
        <v/>
      </c>
      <c r="SF57" s="12">
        <f>SB57-SE57</f>
        <v/>
      </c>
      <c r="SG57" s="12">
        <f>SC57+SC56+SC55+MAX(0,SG56-SC56-SC55)*(1-RV57)</f>
        <v/>
      </c>
      <c r="SH57" s="12">
        <f>SD57+SD56+SD55+MAX(0,SH56-SD56-SD55)*(1-RV57)</f>
        <v/>
      </c>
      <c r="SI57" s="12">
        <f>SI56+SE57-SE45*(AnnualChurn*VLOOKUP(RR57,ChurnSeasonTable,4,FALSE))*POWER(1-(AnnualChurn*VLOOKUP(RR57,ChurnSeasonTable,4,FALSE)),0)+SE33*(AnnualChurn*VLOOKUP(RR57,ChurnSeasonTable,4,FALSE))*POWER(1-(AnnualChurn*VLOOKUP(RR57,ChurnSeasonTable,4,FALSE)),1)+SE21*(AnnualChurn*VLOOKUP(RR57,ChurnSeasonTable,4,FALSE))*POWER(1-(AnnualChurn*VLOOKUP(RR57,ChurnSeasonTable,4,FALSE)),2)+SE9*(AnnualChurn*VLOOKUP(RR57,ChurnSeasonTable,4,FALSE))*POWER(1-(AnnualChurn*VLOOKUP(RR57,ChurnSeasonTable,4,FALSE)),3)</f>
        <v/>
      </c>
      <c r="SJ57" s="12">
        <f>SJ56+SF57-SF45*(AnnualChurn*VLOOKUP(RR57,ChurnSeasonTable,4,FALSE))*POWER(1-(AnnualChurn*VLOOKUP(RR57,ChurnSeasonTable,4,FALSE)),0)+SF33*(AnnualChurn*VLOOKUP(RR57,ChurnSeasonTable,4,FALSE))*POWER(1-(AnnualChurn*VLOOKUP(RR57,ChurnSeasonTable,4,FALSE)),1)+SF21*(AnnualChurn*VLOOKUP(RR57,ChurnSeasonTable,4,FALSE))*POWER(1-(AnnualChurn*VLOOKUP(RR57,ChurnSeasonTable,4,FALSE)),2)+SF9*(AnnualChurn*VLOOKUP(RR57,ChurnSeasonTable,4,FALSE))*POWER(1-(AnnualChurn*VLOOKUP(RR57,ChurnSeasonTable,4,FALSE)),3)</f>
        <v/>
      </c>
      <c r="SK57" s="12">
        <f>SG57+SH57+SI57+SJ57</f>
        <v/>
      </c>
      <c r="SL57" s="9">
        <f>SG57*PriceEssMonthly*RU57+SH57*PricePremMonthly*RU57+SI57*PriceEssAnnual*RU57/12+SJ57*PricePremAnnual*RU57/12</f>
        <v/>
      </c>
      <c r="SM57" s="9">
        <f>SL57*12</f>
        <v/>
      </c>
      <c r="SN57" s="12">
        <f>SG57*PriceEssMonthly*RU57+SH57*PricePremMonthly*RU57</f>
        <v/>
      </c>
      <c r="SO57" s="12">
        <f>SE57*PriceEssAnnual*RU57+SF57*PricePremAnnual*RU57</f>
        <v/>
      </c>
      <c r="SP57" s="12">
        <f>SE45*POWER(1-(AnnualChurn*VLOOKUP(RR57,ChurnSeasonTable,4,FALSE)),1)*PriceEssAnnual*RU57+SE33*POWER(1-(AnnualChurn*VLOOKUP(RR57,ChurnSeasonTable,4,FALSE)),2)*PriceEssAnnual*RU57+SE21*POWER(1-(AnnualChurn*VLOOKUP(RR57,ChurnSeasonTable,4,FALSE)),3)*PriceEssAnnual*RU57+SE9*POWER(1-(AnnualChurn*VLOOKUP(RR57,ChurnSeasonTable,4,FALSE)),4)*PriceEssAnnual*RU57+SF45*POWER(1-(AnnualChurn*VLOOKUP(RR57,ChurnSeasonTable,4,FALSE)),1)*PricePremAnnual*RU57+SF33*POWER(1-(AnnualChurn*VLOOKUP(RR57,ChurnSeasonTable,4,FALSE)),2)*PricePremAnnual*RU57+SF21*POWER(1-(AnnualChurn*VLOOKUP(RR57,ChurnSeasonTable,4,FALSE)),3)*PricePremAnnual*RU57+SF9*POWER(1-(AnnualChurn*VLOOKUP(RR57,ChurnSeasonTable,4,FALSE)),4)*PricePremAnnual*RU57</f>
        <v/>
      </c>
      <c r="SQ57" s="9">
        <f>SN57+SO57+SP57</f>
        <v/>
      </c>
      <c r="SR57" s="12">
        <f>SUM(SQ46:SQ57)</f>
        <v/>
      </c>
      <c r="SS57" s="12">
        <f>OR(SS56,SR57&gt;=VATThreshold)</f>
        <v/>
      </c>
      <c r="ST57" s="9">
        <f>IF(SS57,SQ57/(1+VATRate),SQ57)</f>
        <v/>
      </c>
      <c r="SU57" s="12">
        <f>SQ57-ST57</f>
        <v/>
      </c>
      <c r="SV57" s="12">
        <f>IF(SS57=0,0,IF(RR57=1,SUMPRODUCT(--(($RS$5:$RS57=$RS57-1)*($RR$5:$RR57&gt;=10)*($RR$5:$RR57&lt;=12)),$SU$5:$SU57),IF(RR57=4,SUMPRODUCT(--(($RS$5:$RS57=$RS57)*($RR$5:$RR57&gt;=1)*($RR$5:$RR57&lt;=3)),$SU$5:$SU57),IF(RR57=7,SUMPRODUCT(--(($RS$5:$RS57=$RS57)*($RR$5:$RR57&gt;=4)*($RR$5:$RR57&lt;=6)),$SU$5:$SU57),IF(RR57=10,SUMPRODUCT(--(($RS$5:$RS57=$RS57)*($RR$5:$RR57&gt;=7)*($RR$5:$RR57&lt;=9)),$SU$5:$SU57),0)))))</f>
        <v/>
      </c>
      <c r="SW57" s="12">
        <f>SW56+SU57-SV57</f>
        <v/>
      </c>
      <c r="SX57" s="12">
        <f>IF(ProviderDelay&gt;=1,ST56*ProviderShare,ST57*ProviderShare)</f>
        <v/>
      </c>
      <c r="SY57" s="12">
        <f>SQ57*PaymentFee</f>
        <v/>
      </c>
      <c r="SZ57" s="12">
        <f>SK57*OpsAI</f>
        <v/>
      </c>
      <c r="TA57" s="12">
        <f>MonthlyFixed</f>
        <v/>
      </c>
      <c r="TB57" s="12">
        <f>RY57*ReferralReward</f>
        <v/>
      </c>
      <c r="TC57" s="12">
        <f>RW57</f>
        <v/>
      </c>
      <c r="TD57" s="9">
        <f>ST57-SX57-SY57-SZ57-TA57-TB57-TC57</f>
        <v/>
      </c>
      <c r="TE57" s="9">
        <f>TE56+SQ57-(SX57+SY57+SZ57+TA57+TB57+TC57+SV57)</f>
        <v/>
      </c>
      <c r="TF57" s="12">
        <f>IF(SK57&gt;0,SL57/SK57,0)</f>
        <v/>
      </c>
      <c r="TG57" s="11">
        <f>IF(SK56&gt;0,MAX(0,(SK56+RZ57-SK57)/SK56),0)</f>
        <v/>
      </c>
      <c r="TI57" s="12" t="n">
        <v>53</v>
      </c>
      <c r="TJ57" s="12">
        <f>MOD(TI57-1+LaunchMonth-1,12)+1</f>
        <v/>
      </c>
      <c r="TK57" s="12">
        <f>INT((TI57-1+LaunchMonth-1)/12)+1</f>
        <v/>
      </c>
      <c r="TL57" s="12">
        <f>VLOOKUP(TJ57,SeasonTable,2,FALSE)</f>
        <v/>
      </c>
      <c r="TM57" s="12">
        <f>(1+InflationRate)^INT((TI57-1)/12)</f>
        <v/>
      </c>
      <c r="TN57" s="11">
        <f>MonthlyChurn*VLOOKUP(TJ57,ChurnSeasonTable,4,FALSE)</f>
        <v/>
      </c>
      <c r="TO57" s="12">
        <f>MIN(MAX(MktMin19plus,UI56*MktPct19plus),MAX(0,UW56-CashBuffer))</f>
        <v/>
      </c>
      <c r="TP57" s="12">
        <f>IF(TO57&gt;0,MAX(1,ROUND(TO57/CAC*TL57,0)),0)</f>
        <v/>
      </c>
      <c r="TQ57" s="12">
        <f>IF(TP57&gt;0,ROUND(TP57*ReferralMix/(1-ReferralMix),0),0)</f>
        <v/>
      </c>
      <c r="TR57" s="12">
        <f>TP57+TQ57</f>
        <v/>
      </c>
      <c r="TS57" s="12">
        <f>ROUND(TR57*(1-'Sens - Annual Mix'!$A$9),0)</f>
        <v/>
      </c>
      <c r="TT57" s="12">
        <f>TR57-TS57</f>
        <v/>
      </c>
      <c r="TU57" s="12">
        <f>ROUND(TS57*EssentialMix,0)</f>
        <v/>
      </c>
      <c r="TV57" s="12">
        <f>TS57-TU57</f>
        <v/>
      </c>
      <c r="TW57" s="12">
        <f>ROUND(TT57*EssentialMix,0)</f>
        <v/>
      </c>
      <c r="TX57" s="12">
        <f>TT57-TW57</f>
        <v/>
      </c>
      <c r="TY57" s="12">
        <f>TU57+TU56+TU55+MAX(0,TY56-TU56-TU55)*(1-TN57)</f>
        <v/>
      </c>
      <c r="TZ57" s="12">
        <f>TV57+TV56+TV55+MAX(0,TZ56-TV56-TV55)*(1-TN57)</f>
        <v/>
      </c>
      <c r="UA57" s="12">
        <f>UA56+TW57-TW45*(AnnualChurn*VLOOKUP(TJ57,ChurnSeasonTable,4,FALSE))*POWER(1-(AnnualChurn*VLOOKUP(TJ57,ChurnSeasonTable,4,FALSE)),0)+TW33*(AnnualChurn*VLOOKUP(TJ57,ChurnSeasonTable,4,FALSE))*POWER(1-(AnnualChurn*VLOOKUP(TJ57,ChurnSeasonTable,4,FALSE)),1)+TW21*(AnnualChurn*VLOOKUP(TJ57,ChurnSeasonTable,4,FALSE))*POWER(1-(AnnualChurn*VLOOKUP(TJ57,ChurnSeasonTable,4,FALSE)),2)+TW9*(AnnualChurn*VLOOKUP(TJ57,ChurnSeasonTable,4,FALSE))*POWER(1-(AnnualChurn*VLOOKUP(TJ57,ChurnSeasonTable,4,FALSE)),3)</f>
        <v/>
      </c>
      <c r="UB57" s="12">
        <f>UB56+TX57-TX45*(AnnualChurn*VLOOKUP(TJ57,ChurnSeasonTable,4,FALSE))*POWER(1-(AnnualChurn*VLOOKUP(TJ57,ChurnSeasonTable,4,FALSE)),0)+TX33*(AnnualChurn*VLOOKUP(TJ57,ChurnSeasonTable,4,FALSE))*POWER(1-(AnnualChurn*VLOOKUP(TJ57,ChurnSeasonTable,4,FALSE)),1)+TX21*(AnnualChurn*VLOOKUP(TJ57,ChurnSeasonTable,4,FALSE))*POWER(1-(AnnualChurn*VLOOKUP(TJ57,ChurnSeasonTable,4,FALSE)),2)+TX9*(AnnualChurn*VLOOKUP(TJ57,ChurnSeasonTable,4,FALSE))*POWER(1-(AnnualChurn*VLOOKUP(TJ57,ChurnSeasonTable,4,FALSE)),3)</f>
        <v/>
      </c>
      <c r="UC57" s="12">
        <f>TY57+TZ57+UA57+UB57</f>
        <v/>
      </c>
      <c r="UD57" s="9">
        <f>TY57*PriceEssMonthly*TM57+TZ57*PricePremMonthly*TM57+UA57*PriceEssAnnual*TM57/12+UB57*PricePremAnnual*TM57/12</f>
        <v/>
      </c>
      <c r="UE57" s="9">
        <f>UD57*12</f>
        <v/>
      </c>
      <c r="UF57" s="12">
        <f>TY57*PriceEssMonthly*TM57+TZ57*PricePremMonthly*TM57</f>
        <v/>
      </c>
      <c r="UG57" s="12">
        <f>TW57*PriceEssAnnual*TM57+TX57*PricePremAnnual*TM57</f>
        <v/>
      </c>
      <c r="UH57" s="12">
        <f>TW45*POWER(1-(AnnualChurn*VLOOKUP(TJ57,ChurnSeasonTable,4,FALSE)),1)*PriceEssAnnual*TM57+TW33*POWER(1-(AnnualChurn*VLOOKUP(TJ57,ChurnSeasonTable,4,FALSE)),2)*PriceEssAnnual*TM57+TW21*POWER(1-(AnnualChurn*VLOOKUP(TJ57,ChurnSeasonTable,4,FALSE)),3)*PriceEssAnnual*TM57+TW9*POWER(1-(AnnualChurn*VLOOKUP(TJ57,ChurnSeasonTable,4,FALSE)),4)*PriceEssAnnual*TM57+TX45*POWER(1-(AnnualChurn*VLOOKUP(TJ57,ChurnSeasonTable,4,FALSE)),1)*PricePremAnnual*TM57+TX33*POWER(1-(AnnualChurn*VLOOKUP(TJ57,ChurnSeasonTable,4,FALSE)),2)*PricePremAnnual*TM57+TX21*POWER(1-(AnnualChurn*VLOOKUP(TJ57,ChurnSeasonTable,4,FALSE)),3)*PricePremAnnual*TM57+TX9*POWER(1-(AnnualChurn*VLOOKUP(TJ57,ChurnSeasonTable,4,FALSE)),4)*PricePremAnnual*TM57</f>
        <v/>
      </c>
      <c r="UI57" s="9">
        <f>UF57+UG57+UH57</f>
        <v/>
      </c>
      <c r="UJ57" s="12">
        <f>SUM(UI46:UI57)</f>
        <v/>
      </c>
      <c r="UK57" s="12">
        <f>OR(UK56,UJ57&gt;=VATThreshold)</f>
        <v/>
      </c>
      <c r="UL57" s="9">
        <f>IF(UK57,UI57/(1+VATRate),UI57)</f>
        <v/>
      </c>
      <c r="UM57" s="12">
        <f>UI57-UL57</f>
        <v/>
      </c>
      <c r="UN57" s="12">
        <f>IF(UK57=0,0,IF(TJ57=1,SUMPRODUCT(--(($TK$5:$TK57=$TK57-1)*($TJ$5:$TJ57&gt;=10)*($TJ$5:$TJ57&lt;=12)),$UM$5:$UM57),IF(TJ57=4,SUMPRODUCT(--(($TK$5:$TK57=$TK57)*($TJ$5:$TJ57&gt;=1)*($TJ$5:$TJ57&lt;=3)),$UM$5:$UM57),IF(TJ57=7,SUMPRODUCT(--(($TK$5:$TK57=$TK57)*($TJ$5:$TJ57&gt;=4)*($TJ$5:$TJ57&lt;=6)),$UM$5:$UM57),IF(TJ57=10,SUMPRODUCT(--(($TK$5:$TK57=$TK57)*($TJ$5:$TJ57&gt;=7)*($TJ$5:$TJ57&lt;=9)),$UM$5:$UM57),0)))))</f>
        <v/>
      </c>
      <c r="UO57" s="12">
        <f>UO56+UM57-UN57</f>
        <v/>
      </c>
      <c r="UP57" s="12">
        <f>IF(ProviderDelay&gt;=1,UL56*ProviderShare,UL57*ProviderShare)</f>
        <v/>
      </c>
      <c r="UQ57" s="12">
        <f>UI57*PaymentFee</f>
        <v/>
      </c>
      <c r="UR57" s="12">
        <f>UC57*OpsAI</f>
        <v/>
      </c>
      <c r="US57" s="12">
        <f>MonthlyFixed</f>
        <v/>
      </c>
      <c r="UT57" s="12">
        <f>TQ57*ReferralReward</f>
        <v/>
      </c>
      <c r="UU57" s="12">
        <f>TO57</f>
        <v/>
      </c>
      <c r="UV57" s="9">
        <f>UL57-UP57-UQ57-UR57-US57-UT57-UU57</f>
        <v/>
      </c>
      <c r="UW57" s="9">
        <f>UW56+UI57-(UP57+UQ57+UR57+US57+UT57+UU57+UN57)</f>
        <v/>
      </c>
      <c r="UX57" s="12">
        <f>IF(UC57&gt;0,UD57/UC57,0)</f>
        <v/>
      </c>
      <c r="UY57" s="11">
        <f>IF(UC56&gt;0,MAX(0,(UC56+TR57-UC57)/UC56),0)</f>
        <v/>
      </c>
      <c r="VA57" s="12" t="n">
        <v>53</v>
      </c>
      <c r="VB57" s="12">
        <f>MOD(VA57-1+LaunchMonth-1,12)+1</f>
        <v/>
      </c>
      <c r="VC57" s="12">
        <f>INT((VA57-1+LaunchMonth-1)/12)+1</f>
        <v/>
      </c>
      <c r="VD57" s="12">
        <f>VLOOKUP(VB57,SeasonTable,2,FALSE)</f>
        <v/>
      </c>
      <c r="VE57" s="12">
        <f>(1+InflationRate)^INT((VA57-1)/12)</f>
        <v/>
      </c>
      <c r="VF57" s="11">
        <f>MonthlyChurn*VLOOKUP(VB57,ChurnSeasonTable,4,FALSE)</f>
        <v/>
      </c>
      <c r="VG57" s="12">
        <f>MIN(MAX(MktMin19plus,WA56*MktPct19plus),MAX(0,WO56-CashBuffer))</f>
        <v/>
      </c>
      <c r="VH57" s="12">
        <f>IF(VG57&gt;0,MAX(1,ROUND(VG57/CAC*VD57,0)),0)</f>
        <v/>
      </c>
      <c r="VI57" s="12">
        <f>IF(VH57&gt;0,ROUND(VH57*ReferralMix/(1-ReferralMix),0),0)</f>
        <v/>
      </c>
      <c r="VJ57" s="12">
        <f>VH57+VI57</f>
        <v/>
      </c>
      <c r="VK57" s="12">
        <f>ROUND(VJ57*(1-'Sens - Annual Mix'!$A$10),0)</f>
        <v/>
      </c>
      <c r="VL57" s="12">
        <f>VJ57-VK57</f>
        <v/>
      </c>
      <c r="VM57" s="12">
        <f>ROUND(VK57*EssentialMix,0)</f>
        <v/>
      </c>
      <c r="VN57" s="12">
        <f>VK57-VM57</f>
        <v/>
      </c>
      <c r="VO57" s="12">
        <f>ROUND(VL57*EssentialMix,0)</f>
        <v/>
      </c>
      <c r="VP57" s="12">
        <f>VL57-VO57</f>
        <v/>
      </c>
      <c r="VQ57" s="12">
        <f>VM57+VM56+VM55+MAX(0,VQ56-VM56-VM55)*(1-VF57)</f>
        <v/>
      </c>
      <c r="VR57" s="12">
        <f>VN57+VN56+VN55+MAX(0,VR56-VN56-VN55)*(1-VF57)</f>
        <v/>
      </c>
      <c r="VS57" s="12">
        <f>VS56+VO57-VO45*(AnnualChurn*VLOOKUP(VB57,ChurnSeasonTable,4,FALSE))*POWER(1-(AnnualChurn*VLOOKUP(VB57,ChurnSeasonTable,4,FALSE)),0)+VO33*(AnnualChurn*VLOOKUP(VB57,ChurnSeasonTable,4,FALSE))*POWER(1-(AnnualChurn*VLOOKUP(VB57,ChurnSeasonTable,4,FALSE)),1)+VO21*(AnnualChurn*VLOOKUP(VB57,ChurnSeasonTable,4,FALSE))*POWER(1-(AnnualChurn*VLOOKUP(VB57,ChurnSeasonTable,4,FALSE)),2)+VO9*(AnnualChurn*VLOOKUP(VB57,ChurnSeasonTable,4,FALSE))*POWER(1-(AnnualChurn*VLOOKUP(VB57,ChurnSeasonTable,4,FALSE)),3)</f>
        <v/>
      </c>
      <c r="VT57" s="12">
        <f>VT56+VP57-VP45*(AnnualChurn*VLOOKUP(VB57,ChurnSeasonTable,4,FALSE))*POWER(1-(AnnualChurn*VLOOKUP(VB57,ChurnSeasonTable,4,FALSE)),0)+VP33*(AnnualChurn*VLOOKUP(VB57,ChurnSeasonTable,4,FALSE))*POWER(1-(AnnualChurn*VLOOKUP(VB57,ChurnSeasonTable,4,FALSE)),1)+VP21*(AnnualChurn*VLOOKUP(VB57,ChurnSeasonTable,4,FALSE))*POWER(1-(AnnualChurn*VLOOKUP(VB57,ChurnSeasonTable,4,FALSE)),2)+VP9*(AnnualChurn*VLOOKUP(VB57,ChurnSeasonTable,4,FALSE))*POWER(1-(AnnualChurn*VLOOKUP(VB57,ChurnSeasonTable,4,FALSE)),3)</f>
        <v/>
      </c>
      <c r="VU57" s="12">
        <f>VQ57+VR57+VS57+VT57</f>
        <v/>
      </c>
      <c r="VV57" s="9">
        <f>VQ57*PriceEssMonthly*VE57+VR57*PricePremMonthly*VE57+VS57*PriceEssAnnual*VE57/12+VT57*PricePremAnnual*VE57/12</f>
        <v/>
      </c>
      <c r="VW57" s="9">
        <f>VV57*12</f>
        <v/>
      </c>
      <c r="VX57" s="12">
        <f>VQ57*PriceEssMonthly*VE57+VR57*PricePremMonthly*VE57</f>
        <v/>
      </c>
      <c r="VY57" s="12">
        <f>VO57*PriceEssAnnual*VE57+VP57*PricePremAnnual*VE57</f>
        <v/>
      </c>
      <c r="VZ57" s="12">
        <f>VO45*POWER(1-(AnnualChurn*VLOOKUP(VB57,ChurnSeasonTable,4,FALSE)),1)*PriceEssAnnual*VE57+VO33*POWER(1-(AnnualChurn*VLOOKUP(VB57,ChurnSeasonTable,4,FALSE)),2)*PriceEssAnnual*VE57+VO21*POWER(1-(AnnualChurn*VLOOKUP(VB57,ChurnSeasonTable,4,FALSE)),3)*PriceEssAnnual*VE57+VO9*POWER(1-(AnnualChurn*VLOOKUP(VB57,ChurnSeasonTable,4,FALSE)),4)*PriceEssAnnual*VE57+VP45*POWER(1-(AnnualChurn*VLOOKUP(VB57,ChurnSeasonTable,4,FALSE)),1)*PricePremAnnual*VE57+VP33*POWER(1-(AnnualChurn*VLOOKUP(VB57,ChurnSeasonTable,4,FALSE)),2)*PricePremAnnual*VE57+VP21*POWER(1-(AnnualChurn*VLOOKUP(VB57,ChurnSeasonTable,4,FALSE)),3)*PricePremAnnual*VE57+VP9*POWER(1-(AnnualChurn*VLOOKUP(VB57,ChurnSeasonTable,4,FALSE)),4)*PricePremAnnual*VE57</f>
        <v/>
      </c>
      <c r="WA57" s="9">
        <f>VX57+VY57+VZ57</f>
        <v/>
      </c>
      <c r="WB57" s="12">
        <f>SUM(WA46:WA57)</f>
        <v/>
      </c>
      <c r="WC57" s="12">
        <f>OR(WC56,WB57&gt;=VATThreshold)</f>
        <v/>
      </c>
      <c r="WD57" s="9">
        <f>IF(WC57,WA57/(1+VATRate),WA57)</f>
        <v/>
      </c>
      <c r="WE57" s="12">
        <f>WA57-WD57</f>
        <v/>
      </c>
      <c r="WF57" s="12">
        <f>IF(WC57=0,0,IF(VB57=1,SUMPRODUCT(--(($VC$5:$VC57=$VC57-1)*($VB$5:$VB57&gt;=10)*($VB$5:$VB57&lt;=12)),$WE$5:$WE57),IF(VB57=4,SUMPRODUCT(--(($VC$5:$VC57=$VC57)*($VB$5:$VB57&gt;=1)*($VB$5:$VB57&lt;=3)),$WE$5:$WE57),IF(VB57=7,SUMPRODUCT(--(($VC$5:$VC57=$VC57)*($VB$5:$VB57&gt;=4)*($VB$5:$VB57&lt;=6)),$WE$5:$WE57),IF(VB57=10,SUMPRODUCT(--(($VC$5:$VC57=$VC57)*($VB$5:$VB57&gt;=7)*($VB$5:$VB57&lt;=9)),$WE$5:$WE57),0)))))</f>
        <v/>
      </c>
      <c r="WG57" s="12">
        <f>WG56+WE57-WF57</f>
        <v/>
      </c>
      <c r="WH57" s="12">
        <f>IF(ProviderDelay&gt;=1,WD56*ProviderShare,WD57*ProviderShare)</f>
        <v/>
      </c>
      <c r="WI57" s="12">
        <f>WA57*PaymentFee</f>
        <v/>
      </c>
      <c r="WJ57" s="12">
        <f>VU57*OpsAI</f>
        <v/>
      </c>
      <c r="WK57" s="12">
        <f>MonthlyFixed</f>
        <v/>
      </c>
      <c r="WL57" s="12">
        <f>VI57*ReferralReward</f>
        <v/>
      </c>
      <c r="WM57" s="12">
        <f>VG57</f>
        <v/>
      </c>
      <c r="WN57" s="9">
        <f>WD57-WH57-WI57-WJ57-WK57-WL57-WM57</f>
        <v/>
      </c>
      <c r="WO57" s="9">
        <f>WO56+WA57-(WH57+WI57+WJ57+WK57+WL57+WM57+WF57)</f>
        <v/>
      </c>
      <c r="WP57" s="12">
        <f>IF(VU57&gt;0,VV57/VU57,0)</f>
        <v/>
      </c>
      <c r="WQ57" s="11">
        <f>IF(VU56&gt;0,MAX(0,(VU56+VJ57-VU57)/VU56),0)</f>
        <v/>
      </c>
      <c r="WS57" s="12" t="n">
        <v>53</v>
      </c>
      <c r="WT57" s="12">
        <f>MOD(WS57-1+LaunchMonth-1,12)+1</f>
        <v/>
      </c>
      <c r="WU57" s="12">
        <f>INT((WS57-1+LaunchMonth-1)/12)+1</f>
        <v/>
      </c>
      <c r="WV57" s="12">
        <f>VLOOKUP(WT57,SeasonTable,2,FALSE)</f>
        <v/>
      </c>
      <c r="WW57" s="12">
        <f>(1+InflationRate)^INT((WS57-1)/12)</f>
        <v/>
      </c>
      <c r="WX57" s="11">
        <f>MonthlyChurn*VLOOKUP(WT57,ChurnSeasonTable,4,FALSE)</f>
        <v/>
      </c>
      <c r="WY57" s="12">
        <f>MIN(MAX(MktMin19plus,XS56*MktPct19plus),MAX(0,YG56-CashBuffer))</f>
        <v/>
      </c>
      <c r="WZ57" s="12">
        <f>IF(WY57&gt;0,MAX(1,ROUND(WY57/CAC*WV57,0)),0)</f>
        <v/>
      </c>
      <c r="XA57" s="12">
        <f>IF(WZ57&gt;0,ROUND(WZ57*ReferralMix/(1-ReferralMix),0),0)</f>
        <v/>
      </c>
      <c r="XB57" s="12">
        <f>WZ57+XA57</f>
        <v/>
      </c>
      <c r="XC57" s="12">
        <f>ROUND(XB57*(1-'Sens - Annual Mix'!$A$11),0)</f>
        <v/>
      </c>
      <c r="XD57" s="12">
        <f>XB57-XC57</f>
        <v/>
      </c>
      <c r="XE57" s="12">
        <f>ROUND(XC57*EssentialMix,0)</f>
        <v/>
      </c>
      <c r="XF57" s="12">
        <f>XC57-XE57</f>
        <v/>
      </c>
      <c r="XG57" s="12">
        <f>ROUND(XD57*EssentialMix,0)</f>
        <v/>
      </c>
      <c r="XH57" s="12">
        <f>XD57-XG57</f>
        <v/>
      </c>
      <c r="XI57" s="12">
        <f>XE57+XE56+XE55+MAX(0,XI56-XE56-XE55)*(1-WX57)</f>
        <v/>
      </c>
      <c r="XJ57" s="12">
        <f>XF57+XF56+XF55+MAX(0,XJ56-XF56-XF55)*(1-WX57)</f>
        <v/>
      </c>
      <c r="XK57" s="12">
        <f>XK56+XG57-XG45*(AnnualChurn*VLOOKUP(WT57,ChurnSeasonTable,4,FALSE))*POWER(1-(AnnualChurn*VLOOKUP(WT57,ChurnSeasonTable,4,FALSE)),0)+XG33*(AnnualChurn*VLOOKUP(WT57,ChurnSeasonTable,4,FALSE))*POWER(1-(AnnualChurn*VLOOKUP(WT57,ChurnSeasonTable,4,FALSE)),1)+XG21*(AnnualChurn*VLOOKUP(WT57,ChurnSeasonTable,4,FALSE))*POWER(1-(AnnualChurn*VLOOKUP(WT57,ChurnSeasonTable,4,FALSE)),2)+XG9*(AnnualChurn*VLOOKUP(WT57,ChurnSeasonTable,4,FALSE))*POWER(1-(AnnualChurn*VLOOKUP(WT57,ChurnSeasonTable,4,FALSE)),3)</f>
        <v/>
      </c>
      <c r="XL57" s="12">
        <f>XL56+XH57-XH45*(AnnualChurn*VLOOKUP(WT57,ChurnSeasonTable,4,FALSE))*POWER(1-(AnnualChurn*VLOOKUP(WT57,ChurnSeasonTable,4,FALSE)),0)+XH33*(AnnualChurn*VLOOKUP(WT57,ChurnSeasonTable,4,FALSE))*POWER(1-(AnnualChurn*VLOOKUP(WT57,ChurnSeasonTable,4,FALSE)),1)+XH21*(AnnualChurn*VLOOKUP(WT57,ChurnSeasonTable,4,FALSE))*POWER(1-(AnnualChurn*VLOOKUP(WT57,ChurnSeasonTable,4,FALSE)),2)+XH9*(AnnualChurn*VLOOKUP(WT57,ChurnSeasonTable,4,FALSE))*POWER(1-(AnnualChurn*VLOOKUP(WT57,ChurnSeasonTable,4,FALSE)),3)</f>
        <v/>
      </c>
      <c r="XM57" s="12">
        <f>XI57+XJ57+XK57+XL57</f>
        <v/>
      </c>
      <c r="XN57" s="9">
        <f>XI57*PriceEssMonthly*WW57+XJ57*PricePremMonthly*WW57+XK57*PriceEssAnnual*WW57/12+XL57*PricePremAnnual*WW57/12</f>
        <v/>
      </c>
      <c r="XO57" s="9">
        <f>XN57*12</f>
        <v/>
      </c>
      <c r="XP57" s="12">
        <f>XI57*PriceEssMonthly*WW57+XJ57*PricePremMonthly*WW57</f>
        <v/>
      </c>
      <c r="XQ57" s="12">
        <f>XG57*PriceEssAnnual*WW57+XH57*PricePremAnnual*WW57</f>
        <v/>
      </c>
      <c r="XR57" s="12">
        <f>XG45*POWER(1-(AnnualChurn*VLOOKUP(WT57,ChurnSeasonTable,4,FALSE)),1)*PriceEssAnnual*WW57+XG33*POWER(1-(AnnualChurn*VLOOKUP(WT57,ChurnSeasonTable,4,FALSE)),2)*PriceEssAnnual*WW57+XG21*POWER(1-(AnnualChurn*VLOOKUP(WT57,ChurnSeasonTable,4,FALSE)),3)*PriceEssAnnual*WW57+XG9*POWER(1-(AnnualChurn*VLOOKUP(WT57,ChurnSeasonTable,4,FALSE)),4)*PriceEssAnnual*WW57+XH45*POWER(1-(AnnualChurn*VLOOKUP(WT57,ChurnSeasonTable,4,FALSE)),1)*PricePremAnnual*WW57+XH33*POWER(1-(AnnualChurn*VLOOKUP(WT57,ChurnSeasonTable,4,FALSE)),2)*PricePremAnnual*WW57+XH21*POWER(1-(AnnualChurn*VLOOKUP(WT57,ChurnSeasonTable,4,FALSE)),3)*PricePremAnnual*WW57+XH9*POWER(1-(AnnualChurn*VLOOKUP(WT57,ChurnSeasonTable,4,FALSE)),4)*PricePremAnnual*WW57</f>
        <v/>
      </c>
      <c r="XS57" s="9">
        <f>XP57+XQ57+XR57</f>
        <v/>
      </c>
      <c r="XT57" s="12">
        <f>SUM(XS46:XS57)</f>
        <v/>
      </c>
      <c r="XU57" s="12">
        <f>OR(XU56,XT57&gt;=VATThreshold)</f>
        <v/>
      </c>
      <c r="XV57" s="9">
        <f>IF(XU57,XS57/(1+VATRate),XS57)</f>
        <v/>
      </c>
      <c r="XW57" s="12">
        <f>XS57-XV57</f>
        <v/>
      </c>
      <c r="XX57" s="12">
        <f>IF(XU57=0,0,IF(WT57=1,SUMPRODUCT(--(($WU$5:$WU57=$WU57-1)*($WT$5:$WT57&gt;=10)*($WT$5:$WT57&lt;=12)),$XW$5:$XW57),IF(WT57=4,SUMPRODUCT(--(($WU$5:$WU57=$WU57)*($WT$5:$WT57&gt;=1)*($WT$5:$WT57&lt;=3)),$XW$5:$XW57),IF(WT57=7,SUMPRODUCT(--(($WU$5:$WU57=$WU57)*($WT$5:$WT57&gt;=4)*($WT$5:$WT57&lt;=6)),$XW$5:$XW57),IF(WT57=10,SUMPRODUCT(--(($WU$5:$WU57=$WU57)*($WT$5:$WT57&gt;=7)*($WT$5:$WT57&lt;=9)),$XW$5:$XW57),0)))))</f>
        <v/>
      </c>
      <c r="XY57" s="12">
        <f>XY56+XW57-XX57</f>
        <v/>
      </c>
      <c r="XZ57" s="12">
        <f>IF(ProviderDelay&gt;=1,XV56*ProviderShare,XV57*ProviderShare)</f>
        <v/>
      </c>
      <c r="YA57" s="12">
        <f>XS57*PaymentFee</f>
        <v/>
      </c>
      <c r="YB57" s="12">
        <f>XM57*OpsAI</f>
        <v/>
      </c>
      <c r="YC57" s="12">
        <f>MonthlyFixed</f>
        <v/>
      </c>
      <c r="YD57" s="12">
        <f>XA57*ReferralReward</f>
        <v/>
      </c>
      <c r="YE57" s="12">
        <f>WY57</f>
        <v/>
      </c>
      <c r="YF57" s="9">
        <f>XV57-XZ57-YA57-YB57-YC57-YD57-YE57</f>
        <v/>
      </c>
      <c r="YG57" s="9">
        <f>YG56+XS57-(XZ57+YA57+YB57+YC57+YD57+YE57+XX57)</f>
        <v/>
      </c>
      <c r="YH57" s="12">
        <f>IF(XM57&gt;0,XN57/XM57,0)</f>
        <v/>
      </c>
      <c r="YI57" s="11">
        <f>IF(XM56&gt;0,MAX(0,(XM56+XB57-XM57)/XM56),0)</f>
        <v/>
      </c>
      <c r="YK57" s="12" t="n">
        <v>53</v>
      </c>
      <c r="YL57" s="12">
        <f>MOD(YK57-1+LaunchMonth-1,12)+1</f>
        <v/>
      </c>
      <c r="YM57" s="12">
        <f>INT((YK57-1+LaunchMonth-1)/12)+1</f>
        <v/>
      </c>
      <c r="YN57" s="12">
        <f>VLOOKUP(YL57,SeasonTable,2,FALSE)</f>
        <v/>
      </c>
      <c r="YO57" s="12">
        <f>(1+InflationRate)^INT((YK57-1)/12)</f>
        <v/>
      </c>
      <c r="YP57" s="11">
        <f>MonthlyChurn*VLOOKUP(YL57,ChurnSeasonTable,4,FALSE)</f>
        <v/>
      </c>
      <c r="YQ57" s="12">
        <f>MIN(MAX(MktMin19plus,ZK56*MktPct19plus),MAX(0,ZY56-CashBuffer))</f>
        <v/>
      </c>
      <c r="YR57" s="12">
        <f>IF(YQ57&gt;0,MAX(1,ROUND(YQ57/CAC*YN57,0)),0)</f>
        <v/>
      </c>
      <c r="YS57" s="12">
        <f>IF(YR57&gt;0,ROUND(YR57*ReferralMix/(1-ReferralMix),0),0)</f>
        <v/>
      </c>
      <c r="YT57" s="12">
        <f>YR57+YS57</f>
        <v/>
      </c>
      <c r="YU57" s="12">
        <f>ROUND(YT57*(1-'Sens - Annual Mix'!$A$12),0)</f>
        <v/>
      </c>
      <c r="YV57" s="12">
        <f>YT57-YU57</f>
        <v/>
      </c>
      <c r="YW57" s="12">
        <f>ROUND(YU57*EssentialMix,0)</f>
        <v/>
      </c>
      <c r="YX57" s="12">
        <f>YU57-YW57</f>
        <v/>
      </c>
      <c r="YY57" s="12">
        <f>ROUND(YV57*EssentialMix,0)</f>
        <v/>
      </c>
      <c r="YZ57" s="12">
        <f>YV57-YY57</f>
        <v/>
      </c>
      <c r="ZA57" s="12">
        <f>YW57+YW56+YW55+MAX(0,ZA56-YW56-YW55)*(1-YP57)</f>
        <v/>
      </c>
      <c r="ZB57" s="12">
        <f>YX57+YX56+YX55+MAX(0,ZB56-YX56-YX55)*(1-YP57)</f>
        <v/>
      </c>
      <c r="ZC57" s="12">
        <f>ZC56+YY57-YY45*(AnnualChurn*VLOOKUP(YL57,ChurnSeasonTable,4,FALSE))*POWER(1-(AnnualChurn*VLOOKUP(YL57,ChurnSeasonTable,4,FALSE)),0)+YY33*(AnnualChurn*VLOOKUP(YL57,ChurnSeasonTable,4,FALSE))*POWER(1-(AnnualChurn*VLOOKUP(YL57,ChurnSeasonTable,4,FALSE)),1)+YY21*(AnnualChurn*VLOOKUP(YL57,ChurnSeasonTable,4,FALSE))*POWER(1-(AnnualChurn*VLOOKUP(YL57,ChurnSeasonTable,4,FALSE)),2)+YY9*(AnnualChurn*VLOOKUP(YL57,ChurnSeasonTable,4,FALSE))*POWER(1-(AnnualChurn*VLOOKUP(YL57,ChurnSeasonTable,4,FALSE)),3)</f>
        <v/>
      </c>
      <c r="ZD57" s="12">
        <f>ZD56+YZ57-YZ45*(AnnualChurn*VLOOKUP(YL57,ChurnSeasonTable,4,FALSE))*POWER(1-(AnnualChurn*VLOOKUP(YL57,ChurnSeasonTable,4,FALSE)),0)+YZ33*(AnnualChurn*VLOOKUP(YL57,ChurnSeasonTable,4,FALSE))*POWER(1-(AnnualChurn*VLOOKUP(YL57,ChurnSeasonTable,4,FALSE)),1)+YZ21*(AnnualChurn*VLOOKUP(YL57,ChurnSeasonTable,4,FALSE))*POWER(1-(AnnualChurn*VLOOKUP(YL57,ChurnSeasonTable,4,FALSE)),2)+YZ9*(AnnualChurn*VLOOKUP(YL57,ChurnSeasonTable,4,FALSE))*POWER(1-(AnnualChurn*VLOOKUP(YL57,ChurnSeasonTable,4,FALSE)),3)</f>
        <v/>
      </c>
      <c r="ZE57" s="12">
        <f>ZA57+ZB57+ZC57+ZD57</f>
        <v/>
      </c>
      <c r="ZF57" s="9">
        <f>ZA57*PriceEssMonthly*YO57+ZB57*PricePremMonthly*YO57+ZC57*PriceEssAnnual*YO57/12+ZD57*PricePremAnnual*YO57/12</f>
        <v/>
      </c>
      <c r="ZG57" s="9">
        <f>ZF57*12</f>
        <v/>
      </c>
      <c r="ZH57" s="12">
        <f>ZA57*PriceEssMonthly*YO57+ZB57*PricePremMonthly*YO57</f>
        <v/>
      </c>
      <c r="ZI57" s="12">
        <f>YY57*PriceEssAnnual*YO57+YZ57*PricePremAnnual*YO57</f>
        <v/>
      </c>
      <c r="ZJ57" s="12">
        <f>YY45*POWER(1-(AnnualChurn*VLOOKUP(YL57,ChurnSeasonTable,4,FALSE)),1)*PriceEssAnnual*YO57+YY33*POWER(1-(AnnualChurn*VLOOKUP(YL57,ChurnSeasonTable,4,FALSE)),2)*PriceEssAnnual*YO57+YY21*POWER(1-(AnnualChurn*VLOOKUP(YL57,ChurnSeasonTable,4,FALSE)),3)*PriceEssAnnual*YO57+YY9*POWER(1-(AnnualChurn*VLOOKUP(YL57,ChurnSeasonTable,4,FALSE)),4)*PriceEssAnnual*YO57+YZ45*POWER(1-(AnnualChurn*VLOOKUP(YL57,ChurnSeasonTable,4,FALSE)),1)*PricePremAnnual*YO57+YZ33*POWER(1-(AnnualChurn*VLOOKUP(YL57,ChurnSeasonTable,4,FALSE)),2)*PricePremAnnual*YO57+YZ21*POWER(1-(AnnualChurn*VLOOKUP(YL57,ChurnSeasonTable,4,FALSE)),3)*PricePremAnnual*YO57+YZ9*POWER(1-(AnnualChurn*VLOOKUP(YL57,ChurnSeasonTable,4,FALSE)),4)*PricePremAnnual*YO57</f>
        <v/>
      </c>
      <c r="ZK57" s="9">
        <f>ZH57+ZI57+ZJ57</f>
        <v/>
      </c>
      <c r="ZL57" s="12">
        <f>SUM(ZK46:ZK57)</f>
        <v/>
      </c>
      <c r="ZM57" s="12">
        <f>OR(ZM56,ZL57&gt;=VATThreshold)</f>
        <v/>
      </c>
      <c r="ZN57" s="9">
        <f>IF(ZM57,ZK57/(1+VATRate),ZK57)</f>
        <v/>
      </c>
      <c r="ZO57" s="12">
        <f>ZK57-ZN57</f>
        <v/>
      </c>
      <c r="ZP57" s="12">
        <f>IF(ZM57=0,0,IF(YL57=1,SUMPRODUCT(--(($YM$5:$YM57=$YM57-1)*($YL$5:$YL57&gt;=10)*($YL$5:$YL57&lt;=12)),$ZO$5:$ZO57),IF(YL57=4,SUMPRODUCT(--(($YM$5:$YM57=$YM57)*($YL$5:$YL57&gt;=1)*($YL$5:$YL57&lt;=3)),$ZO$5:$ZO57),IF(YL57=7,SUMPRODUCT(--(($YM$5:$YM57=$YM57)*($YL$5:$YL57&gt;=4)*($YL$5:$YL57&lt;=6)),$ZO$5:$ZO57),IF(YL57=10,SUMPRODUCT(--(($YM$5:$YM57=$YM57)*($YL$5:$YL57&gt;=7)*($YL$5:$YL57&lt;=9)),$ZO$5:$ZO57),0)))))</f>
        <v/>
      </c>
      <c r="ZQ57" s="12">
        <f>ZQ56+ZO57-ZP57</f>
        <v/>
      </c>
      <c r="ZR57" s="12">
        <f>IF(ProviderDelay&gt;=1,ZN56*ProviderShare,ZN57*ProviderShare)</f>
        <v/>
      </c>
      <c r="ZS57" s="12">
        <f>ZK57*PaymentFee</f>
        <v/>
      </c>
      <c r="ZT57" s="12">
        <f>ZE57*OpsAI</f>
        <v/>
      </c>
      <c r="ZU57" s="12">
        <f>MonthlyFixed</f>
        <v/>
      </c>
      <c r="ZV57" s="12">
        <f>YS57*ReferralReward</f>
        <v/>
      </c>
      <c r="ZW57" s="12">
        <f>YQ57</f>
        <v/>
      </c>
      <c r="ZX57" s="9">
        <f>ZN57-ZR57-ZS57-ZT57-ZU57-ZV57-ZW57</f>
        <v/>
      </c>
      <c r="ZY57" s="9">
        <f>ZY56+ZK57-(ZR57+ZS57+ZT57+ZU57+ZV57+ZW57+ZP57)</f>
        <v/>
      </c>
      <c r="ZZ57" s="12">
        <f>IF(ZE57&gt;0,ZF57/ZE57,0)</f>
        <v/>
      </c>
      <c r="AAA57" s="11">
        <f>IF(ZE56&gt;0,MAX(0,(ZE56+YT57-ZE57)/ZE56),0)</f>
        <v/>
      </c>
      <c r="AAC57" s="12" t="n">
        <v>53</v>
      </c>
      <c r="AAD57" s="12">
        <f>MOD(AAC57-1+LaunchMonth-1,12)+1</f>
        <v/>
      </c>
      <c r="AAE57" s="12">
        <f>INT((AAC57-1+LaunchMonth-1)/12)+1</f>
        <v/>
      </c>
      <c r="AAF57" s="12">
        <f>VLOOKUP(AAD57,SeasonTable,2,FALSE)</f>
        <v/>
      </c>
      <c r="AAG57" s="12">
        <f>(1+InflationRate)^INT((AAC57-1)/12)</f>
        <v/>
      </c>
      <c r="AAH57" s="11">
        <f>MonthlyChurn*VLOOKUP(AAD57,ChurnSeasonTable,4,FALSE)</f>
        <v/>
      </c>
      <c r="AAI57" s="12">
        <f>MIN(MAX(MktMin19plus,ABC56*MktPct19plus),MAX(0,ABQ56-CashBuffer))</f>
        <v/>
      </c>
      <c r="AAJ57" s="12">
        <f>IF(AAI57&gt;0,MAX(1,ROUND(AAI57/CAC*AAF57,0)),0)</f>
        <v/>
      </c>
      <c r="AAK57" s="12">
        <f>IF(AAJ57&gt;0,ROUND(AAJ57*ReferralMix/(1-ReferralMix),0),0)</f>
        <v/>
      </c>
      <c r="AAL57" s="12">
        <f>AAJ57+AAK57</f>
        <v/>
      </c>
      <c r="AAM57" s="12">
        <f>ROUND(AAL57*(1-'Sens - Annual Mix'!$A$13),0)</f>
        <v/>
      </c>
      <c r="AAN57" s="12">
        <f>AAL57-AAM57</f>
        <v/>
      </c>
      <c r="AAO57" s="12">
        <f>ROUND(AAM57*EssentialMix,0)</f>
        <v/>
      </c>
      <c r="AAP57" s="12">
        <f>AAM57-AAO57</f>
        <v/>
      </c>
      <c r="AAQ57" s="12">
        <f>ROUND(AAN57*EssentialMix,0)</f>
        <v/>
      </c>
      <c r="AAR57" s="12">
        <f>AAN57-AAQ57</f>
        <v/>
      </c>
      <c r="AAS57" s="12">
        <f>AAO57+AAO56+AAO55+MAX(0,AAS56-AAO56-AAO55)*(1-AAH57)</f>
        <v/>
      </c>
      <c r="AAT57" s="12">
        <f>AAP57+AAP56+AAP55+MAX(0,AAT56-AAP56-AAP55)*(1-AAH57)</f>
        <v/>
      </c>
      <c r="AAU57" s="12">
        <f>AAU56+AAQ57-AAQ45*(AnnualChurn*VLOOKUP(AAD57,ChurnSeasonTable,4,FALSE))*POWER(1-(AnnualChurn*VLOOKUP(AAD57,ChurnSeasonTable,4,FALSE)),0)+AAQ33*(AnnualChurn*VLOOKUP(AAD57,ChurnSeasonTable,4,FALSE))*POWER(1-(AnnualChurn*VLOOKUP(AAD57,ChurnSeasonTable,4,FALSE)),1)+AAQ21*(AnnualChurn*VLOOKUP(AAD57,ChurnSeasonTable,4,FALSE))*POWER(1-(AnnualChurn*VLOOKUP(AAD57,ChurnSeasonTable,4,FALSE)),2)+AAQ9*(AnnualChurn*VLOOKUP(AAD57,ChurnSeasonTable,4,FALSE))*POWER(1-(AnnualChurn*VLOOKUP(AAD57,ChurnSeasonTable,4,FALSE)),3)</f>
        <v/>
      </c>
      <c r="AAV57" s="12">
        <f>AAV56+AAR57-AAR45*(AnnualChurn*VLOOKUP(AAD57,ChurnSeasonTable,4,FALSE))*POWER(1-(AnnualChurn*VLOOKUP(AAD57,ChurnSeasonTable,4,FALSE)),0)+AAR33*(AnnualChurn*VLOOKUP(AAD57,ChurnSeasonTable,4,FALSE))*POWER(1-(AnnualChurn*VLOOKUP(AAD57,ChurnSeasonTable,4,FALSE)),1)+AAR21*(AnnualChurn*VLOOKUP(AAD57,ChurnSeasonTable,4,FALSE))*POWER(1-(AnnualChurn*VLOOKUP(AAD57,ChurnSeasonTable,4,FALSE)),2)+AAR9*(AnnualChurn*VLOOKUP(AAD57,ChurnSeasonTable,4,FALSE))*POWER(1-(AnnualChurn*VLOOKUP(AAD57,ChurnSeasonTable,4,FALSE)),3)</f>
        <v/>
      </c>
      <c r="AAW57" s="12">
        <f>AAS57+AAT57+AAU57+AAV57</f>
        <v/>
      </c>
      <c r="AAX57" s="9">
        <f>AAS57*PriceEssMonthly*AAG57+AAT57*PricePremMonthly*AAG57+AAU57*PriceEssAnnual*AAG57/12+AAV57*PricePremAnnual*AAG57/12</f>
        <v/>
      </c>
      <c r="AAY57" s="9">
        <f>AAX57*12</f>
        <v/>
      </c>
      <c r="AAZ57" s="12">
        <f>AAS57*PriceEssMonthly*AAG57+AAT57*PricePremMonthly*AAG57</f>
        <v/>
      </c>
      <c r="ABA57" s="12">
        <f>AAQ57*PriceEssAnnual*AAG57+AAR57*PricePremAnnual*AAG57</f>
        <v/>
      </c>
      <c r="ABB57" s="12">
        <f>AAQ45*POWER(1-(AnnualChurn*VLOOKUP(AAD57,ChurnSeasonTable,4,FALSE)),1)*PriceEssAnnual*AAG57+AAQ33*POWER(1-(AnnualChurn*VLOOKUP(AAD57,ChurnSeasonTable,4,FALSE)),2)*PriceEssAnnual*AAG57+AAQ21*POWER(1-(AnnualChurn*VLOOKUP(AAD57,ChurnSeasonTable,4,FALSE)),3)*PriceEssAnnual*AAG57+AAQ9*POWER(1-(AnnualChurn*VLOOKUP(AAD57,ChurnSeasonTable,4,FALSE)),4)*PriceEssAnnual*AAG57+AAR45*POWER(1-(AnnualChurn*VLOOKUP(AAD57,ChurnSeasonTable,4,FALSE)),1)*PricePremAnnual*AAG57+AAR33*POWER(1-(AnnualChurn*VLOOKUP(AAD57,ChurnSeasonTable,4,FALSE)),2)*PricePremAnnual*AAG57+AAR21*POWER(1-(AnnualChurn*VLOOKUP(AAD57,ChurnSeasonTable,4,FALSE)),3)*PricePremAnnual*AAG57+AAR9*POWER(1-(AnnualChurn*VLOOKUP(AAD57,ChurnSeasonTable,4,FALSE)),4)*PricePremAnnual*AAG57</f>
        <v/>
      </c>
      <c r="ABC57" s="9">
        <f>AAZ57+ABA57+ABB57</f>
        <v/>
      </c>
      <c r="ABD57" s="12">
        <f>SUM(ABC46:ABC57)</f>
        <v/>
      </c>
      <c r="ABE57" s="12">
        <f>OR(ABE56,ABD57&gt;=VATThreshold)</f>
        <v/>
      </c>
      <c r="ABF57" s="9">
        <f>IF(ABE57,ABC57/(1+VATRate),ABC57)</f>
        <v/>
      </c>
      <c r="ABG57" s="12">
        <f>ABC57-ABF57</f>
        <v/>
      </c>
      <c r="ABH57" s="12">
        <f>IF(ABE57=0,0,IF(AAD57=1,SUMPRODUCT(--(($AAE$5:$AAE57=$AAE57-1)*($AAD$5:$AAD57&gt;=10)*($AAD$5:$AAD57&lt;=12)),$ABG$5:$ABG57),IF(AAD57=4,SUMPRODUCT(--(($AAE$5:$AAE57=$AAE57)*($AAD$5:$AAD57&gt;=1)*($AAD$5:$AAD57&lt;=3)),$ABG$5:$ABG57),IF(AAD57=7,SUMPRODUCT(--(($AAE$5:$AAE57=$AAE57)*($AAD$5:$AAD57&gt;=4)*($AAD$5:$AAD57&lt;=6)),$ABG$5:$ABG57),IF(AAD57=10,SUMPRODUCT(--(($AAE$5:$AAE57=$AAE57)*($AAD$5:$AAD57&gt;=7)*($AAD$5:$AAD57&lt;=9)),$ABG$5:$ABG57),0)))))</f>
        <v/>
      </c>
      <c r="ABI57" s="12">
        <f>ABI56+ABG57-ABH57</f>
        <v/>
      </c>
      <c r="ABJ57" s="12">
        <f>IF(ProviderDelay&gt;=1,ABF56*ProviderShare,ABF57*ProviderShare)</f>
        <v/>
      </c>
      <c r="ABK57" s="12">
        <f>ABC57*PaymentFee</f>
        <v/>
      </c>
      <c r="ABL57" s="12">
        <f>AAW57*OpsAI</f>
        <v/>
      </c>
      <c r="ABM57" s="12">
        <f>MonthlyFixed</f>
        <v/>
      </c>
      <c r="ABN57" s="12">
        <f>AAK57*ReferralReward</f>
        <v/>
      </c>
      <c r="ABO57" s="12">
        <f>AAI57</f>
        <v/>
      </c>
      <c r="ABP57" s="9">
        <f>ABF57-ABJ57-ABK57-ABL57-ABM57-ABN57-ABO57</f>
        <v/>
      </c>
      <c r="ABQ57" s="9">
        <f>ABQ56+ABC57-(ABJ57+ABK57+ABL57+ABM57+ABN57+ABO57+ABH57)</f>
        <v/>
      </c>
      <c r="ABR57" s="12">
        <f>IF(AAW57&gt;0,AAX57/AAW57,0)</f>
        <v/>
      </c>
      <c r="ABS57" s="11">
        <f>IF(AAW56&gt;0,MAX(0,(AAW56+AAL57-AAW57)/AAW56),0)</f>
        <v/>
      </c>
      <c r="ABU57" s="12" t="n">
        <v>53</v>
      </c>
      <c r="ABV57" s="12">
        <f>MOD(ABU57-1+LaunchMonth-1,12)+1</f>
        <v/>
      </c>
      <c r="ABW57" s="12">
        <f>INT((ABU57-1+LaunchMonth-1)/12)+1</f>
        <v/>
      </c>
      <c r="ABX57" s="12">
        <f>VLOOKUP(ABV57,SeasonTable,2,FALSE)</f>
        <v/>
      </c>
      <c r="ABY57" s="12">
        <f>(1+InflationRate)^INT((ABU57-1)/12)</f>
        <v/>
      </c>
      <c r="ABZ57" s="11">
        <f>MonthlyChurn*VLOOKUP(ABV57,ChurnSeasonTable,4,FALSE)</f>
        <v/>
      </c>
      <c r="ACA57" s="12">
        <f>MIN(MAX(MktMin19plus,ACU56*MktPct19plus),MAX(0,ADI56-CashBuffer))</f>
        <v/>
      </c>
      <c r="ACB57" s="12">
        <f>IF(ACA57&gt;0,MAX(1,ROUND(ACA57/CAC*ABX57,0)),0)</f>
        <v/>
      </c>
      <c r="ACC57" s="12">
        <f>IF(ACB57&gt;0,ROUND(ACB57*ReferralMix/(1-ReferralMix),0),0)</f>
        <v/>
      </c>
      <c r="ACD57" s="12">
        <f>ACB57+ACC57</f>
        <v/>
      </c>
      <c r="ACE57" s="12">
        <f>ROUND(ACD57*(1-'Sens - Annual Mix'!$A$14),0)</f>
        <v/>
      </c>
      <c r="ACF57" s="12">
        <f>ACD57-ACE57</f>
        <v/>
      </c>
      <c r="ACG57" s="12">
        <f>ROUND(ACE57*EssentialMix,0)</f>
        <v/>
      </c>
      <c r="ACH57" s="12">
        <f>ACE57-ACG57</f>
        <v/>
      </c>
      <c r="ACI57" s="12">
        <f>ROUND(ACF57*EssentialMix,0)</f>
        <v/>
      </c>
      <c r="ACJ57" s="12">
        <f>ACF57-ACI57</f>
        <v/>
      </c>
      <c r="ACK57" s="12">
        <f>ACG57+ACG56+ACG55+MAX(0,ACK56-ACG56-ACG55)*(1-ABZ57)</f>
        <v/>
      </c>
      <c r="ACL57" s="12">
        <f>ACH57+ACH56+ACH55+MAX(0,ACL56-ACH56-ACH55)*(1-ABZ57)</f>
        <v/>
      </c>
      <c r="ACM57" s="12">
        <f>ACM56+ACI57-ACI45*(AnnualChurn*VLOOKUP(ABV57,ChurnSeasonTable,4,FALSE))*POWER(1-(AnnualChurn*VLOOKUP(ABV57,ChurnSeasonTable,4,FALSE)),0)+ACI33*(AnnualChurn*VLOOKUP(ABV57,ChurnSeasonTable,4,FALSE))*POWER(1-(AnnualChurn*VLOOKUP(ABV57,ChurnSeasonTable,4,FALSE)),1)+ACI21*(AnnualChurn*VLOOKUP(ABV57,ChurnSeasonTable,4,FALSE))*POWER(1-(AnnualChurn*VLOOKUP(ABV57,ChurnSeasonTable,4,FALSE)),2)+ACI9*(AnnualChurn*VLOOKUP(ABV57,ChurnSeasonTable,4,FALSE))*POWER(1-(AnnualChurn*VLOOKUP(ABV57,ChurnSeasonTable,4,FALSE)),3)</f>
        <v/>
      </c>
      <c r="ACN57" s="12">
        <f>ACN56+ACJ57-ACJ45*(AnnualChurn*VLOOKUP(ABV57,ChurnSeasonTable,4,FALSE))*POWER(1-(AnnualChurn*VLOOKUP(ABV57,ChurnSeasonTable,4,FALSE)),0)+ACJ33*(AnnualChurn*VLOOKUP(ABV57,ChurnSeasonTable,4,FALSE))*POWER(1-(AnnualChurn*VLOOKUP(ABV57,ChurnSeasonTable,4,FALSE)),1)+ACJ21*(AnnualChurn*VLOOKUP(ABV57,ChurnSeasonTable,4,FALSE))*POWER(1-(AnnualChurn*VLOOKUP(ABV57,ChurnSeasonTable,4,FALSE)),2)+ACJ9*(AnnualChurn*VLOOKUP(ABV57,ChurnSeasonTable,4,FALSE))*POWER(1-(AnnualChurn*VLOOKUP(ABV57,ChurnSeasonTable,4,FALSE)),3)</f>
        <v/>
      </c>
      <c r="ACO57" s="12">
        <f>ACK57+ACL57+ACM57+ACN57</f>
        <v/>
      </c>
      <c r="ACP57" s="9">
        <f>ACK57*PriceEssMonthly*ABY57+ACL57*PricePremMonthly*ABY57+ACM57*PriceEssAnnual*ABY57/12+ACN57*PricePremAnnual*ABY57/12</f>
        <v/>
      </c>
      <c r="ACQ57" s="9">
        <f>ACP57*12</f>
        <v/>
      </c>
      <c r="ACR57" s="12">
        <f>ACK57*PriceEssMonthly*ABY57+ACL57*PricePremMonthly*ABY57</f>
        <v/>
      </c>
      <c r="ACS57" s="12">
        <f>ACI57*PriceEssAnnual*ABY57+ACJ57*PricePremAnnual*ABY57</f>
        <v/>
      </c>
      <c r="ACT57" s="12">
        <f>ACI45*POWER(1-(AnnualChurn*VLOOKUP(ABV57,ChurnSeasonTable,4,FALSE)),1)*PriceEssAnnual*ABY57+ACI33*POWER(1-(AnnualChurn*VLOOKUP(ABV57,ChurnSeasonTable,4,FALSE)),2)*PriceEssAnnual*ABY57+ACI21*POWER(1-(AnnualChurn*VLOOKUP(ABV57,ChurnSeasonTable,4,FALSE)),3)*PriceEssAnnual*ABY57+ACI9*POWER(1-(AnnualChurn*VLOOKUP(ABV57,ChurnSeasonTable,4,FALSE)),4)*PriceEssAnnual*ABY57+ACJ45*POWER(1-(AnnualChurn*VLOOKUP(ABV57,ChurnSeasonTable,4,FALSE)),1)*PricePremAnnual*ABY57+ACJ33*POWER(1-(AnnualChurn*VLOOKUP(ABV57,ChurnSeasonTable,4,FALSE)),2)*PricePremAnnual*ABY57+ACJ21*POWER(1-(AnnualChurn*VLOOKUP(ABV57,ChurnSeasonTable,4,FALSE)),3)*PricePremAnnual*ABY57+ACJ9*POWER(1-(AnnualChurn*VLOOKUP(ABV57,ChurnSeasonTable,4,FALSE)),4)*PricePremAnnual*ABY57</f>
        <v/>
      </c>
      <c r="ACU57" s="9">
        <f>ACR57+ACS57+ACT57</f>
        <v/>
      </c>
      <c r="ACV57" s="12">
        <f>SUM(ACU46:ACU57)</f>
        <v/>
      </c>
      <c r="ACW57" s="12">
        <f>OR(ACW56,ACV57&gt;=VATThreshold)</f>
        <v/>
      </c>
      <c r="ACX57" s="9">
        <f>IF(ACW57,ACU57/(1+VATRate),ACU57)</f>
        <v/>
      </c>
      <c r="ACY57" s="12">
        <f>ACU57-ACX57</f>
        <v/>
      </c>
      <c r="ACZ57" s="12">
        <f>IF(ACW57=0,0,IF(ABV57=1,SUMPRODUCT(--(($ABW$5:$ABW57=$ABW57-1)*($ABV$5:$ABV57&gt;=10)*($ABV$5:$ABV57&lt;=12)),$ACY$5:$ACY57),IF(ABV57=4,SUMPRODUCT(--(($ABW$5:$ABW57=$ABW57)*($ABV$5:$ABV57&gt;=1)*($ABV$5:$ABV57&lt;=3)),$ACY$5:$ACY57),IF(ABV57=7,SUMPRODUCT(--(($ABW$5:$ABW57=$ABW57)*($ABV$5:$ABV57&gt;=4)*($ABV$5:$ABV57&lt;=6)),$ACY$5:$ACY57),IF(ABV57=10,SUMPRODUCT(--(($ABW$5:$ABW57=$ABW57)*($ABV$5:$ABV57&gt;=7)*($ABV$5:$ABV57&lt;=9)),$ACY$5:$ACY57),0)))))</f>
        <v/>
      </c>
      <c r="ADA57" s="12">
        <f>ADA56+ACY57-ACZ57</f>
        <v/>
      </c>
      <c r="ADB57" s="12">
        <f>IF(ProviderDelay&gt;=1,ACX56*ProviderShare,ACX57*ProviderShare)</f>
        <v/>
      </c>
      <c r="ADC57" s="12">
        <f>ACU57*PaymentFee</f>
        <v/>
      </c>
      <c r="ADD57" s="12">
        <f>ACO57*OpsAI</f>
        <v/>
      </c>
      <c r="ADE57" s="12">
        <f>MonthlyFixed</f>
        <v/>
      </c>
      <c r="ADF57" s="12">
        <f>ACC57*ReferralReward</f>
        <v/>
      </c>
      <c r="ADG57" s="12">
        <f>ACA57</f>
        <v/>
      </c>
      <c r="ADH57" s="9">
        <f>ACX57-ADB57-ADC57-ADD57-ADE57-ADF57-ADG57</f>
        <v/>
      </c>
      <c r="ADI57" s="9">
        <f>ADI56+ACU57-(ADB57+ADC57+ADD57+ADE57+ADF57+ADG57+ACZ57)</f>
        <v/>
      </c>
      <c r="ADJ57" s="12">
        <f>IF(ACO57&gt;0,ACP57/ACO57,0)</f>
        <v/>
      </c>
      <c r="ADK57" s="11">
        <f>IF(ACO56&gt;0,MAX(0,(ACO56+ACD57-ACO57)/ACO56),0)</f>
        <v/>
      </c>
      <c r="ADM57" s="12" t="n">
        <v>53</v>
      </c>
      <c r="ADN57" s="12">
        <f>MOD(ADM57-1+LaunchMonth-1,12)+1</f>
        <v/>
      </c>
      <c r="ADO57" s="12">
        <f>INT((ADM57-1+LaunchMonth-1)/12)+1</f>
        <v/>
      </c>
      <c r="ADP57" s="12">
        <f>VLOOKUP(ADN57,SeasonTable,2,FALSE)</f>
        <v/>
      </c>
      <c r="ADQ57" s="12">
        <f>(1+InflationRate)^INT((ADM57-1)/12)</f>
        <v/>
      </c>
      <c r="ADR57" s="11">
        <f>MonthlyChurn*VLOOKUP(ADN57,ChurnSeasonTable,4,FALSE)</f>
        <v/>
      </c>
      <c r="ADS57" s="12">
        <f>MIN(MAX(MktMin19plus,AEM56*MktPct19plus),MAX(0,AFA56-CashBuffer))</f>
        <v/>
      </c>
      <c r="ADT57" s="12">
        <f>IF(ADS57&gt;0,MAX(1,ROUND(ADS57/CAC*ADP57,0)),0)</f>
        <v/>
      </c>
      <c r="ADU57" s="12">
        <f>IF(ADT57&gt;0,ROUND(ADT57*ReferralMix/(1-ReferralMix),0),0)</f>
        <v/>
      </c>
      <c r="ADV57" s="12">
        <f>ADT57+ADU57</f>
        <v/>
      </c>
      <c r="ADW57" s="12">
        <f>ROUND(ADV57*(1-'Sens - Annual Mix'!$A$15),0)</f>
        <v/>
      </c>
      <c r="ADX57" s="12">
        <f>ADV57-ADW57</f>
        <v/>
      </c>
      <c r="ADY57" s="12">
        <f>ROUND(ADW57*EssentialMix,0)</f>
        <v/>
      </c>
      <c r="ADZ57" s="12">
        <f>ADW57-ADY57</f>
        <v/>
      </c>
      <c r="AEA57" s="12">
        <f>ROUND(ADX57*EssentialMix,0)</f>
        <v/>
      </c>
      <c r="AEB57" s="12">
        <f>ADX57-AEA57</f>
        <v/>
      </c>
      <c r="AEC57" s="12">
        <f>ADY57+ADY56+ADY55+MAX(0,AEC56-ADY56-ADY55)*(1-ADR57)</f>
        <v/>
      </c>
      <c r="AED57" s="12">
        <f>ADZ57+ADZ56+ADZ55+MAX(0,AED56-ADZ56-ADZ55)*(1-ADR57)</f>
        <v/>
      </c>
      <c r="AEE57" s="12">
        <f>AEE56+AEA57-AEA45*(AnnualChurn*VLOOKUP(ADN57,ChurnSeasonTable,4,FALSE))*POWER(1-(AnnualChurn*VLOOKUP(ADN57,ChurnSeasonTable,4,FALSE)),0)+AEA33*(AnnualChurn*VLOOKUP(ADN57,ChurnSeasonTable,4,FALSE))*POWER(1-(AnnualChurn*VLOOKUP(ADN57,ChurnSeasonTable,4,FALSE)),1)+AEA21*(AnnualChurn*VLOOKUP(ADN57,ChurnSeasonTable,4,FALSE))*POWER(1-(AnnualChurn*VLOOKUP(ADN57,ChurnSeasonTable,4,FALSE)),2)+AEA9*(AnnualChurn*VLOOKUP(ADN57,ChurnSeasonTable,4,FALSE))*POWER(1-(AnnualChurn*VLOOKUP(ADN57,ChurnSeasonTable,4,FALSE)),3)</f>
        <v/>
      </c>
      <c r="AEF57" s="12">
        <f>AEF56+AEB57-AEB45*(AnnualChurn*VLOOKUP(ADN57,ChurnSeasonTable,4,FALSE))*POWER(1-(AnnualChurn*VLOOKUP(ADN57,ChurnSeasonTable,4,FALSE)),0)+AEB33*(AnnualChurn*VLOOKUP(ADN57,ChurnSeasonTable,4,FALSE))*POWER(1-(AnnualChurn*VLOOKUP(ADN57,ChurnSeasonTable,4,FALSE)),1)+AEB21*(AnnualChurn*VLOOKUP(ADN57,ChurnSeasonTable,4,FALSE))*POWER(1-(AnnualChurn*VLOOKUP(ADN57,ChurnSeasonTable,4,FALSE)),2)+AEB9*(AnnualChurn*VLOOKUP(ADN57,ChurnSeasonTable,4,FALSE))*POWER(1-(AnnualChurn*VLOOKUP(ADN57,ChurnSeasonTable,4,FALSE)),3)</f>
        <v/>
      </c>
      <c r="AEG57" s="12">
        <f>AEC57+AED57+AEE57+AEF57</f>
        <v/>
      </c>
      <c r="AEH57" s="9">
        <f>AEC57*PriceEssMonthly*ADQ57+AED57*PricePremMonthly*ADQ57+AEE57*PriceEssAnnual*ADQ57/12+AEF57*PricePremAnnual*ADQ57/12</f>
        <v/>
      </c>
      <c r="AEI57" s="9">
        <f>AEH57*12</f>
        <v/>
      </c>
      <c r="AEJ57" s="12">
        <f>AEC57*PriceEssMonthly*ADQ57+AED57*PricePremMonthly*ADQ57</f>
        <v/>
      </c>
      <c r="AEK57" s="12">
        <f>AEA57*PriceEssAnnual*ADQ57+AEB57*PricePremAnnual*ADQ57</f>
        <v/>
      </c>
      <c r="AEL57" s="12">
        <f>AEA45*POWER(1-(AnnualChurn*VLOOKUP(ADN57,ChurnSeasonTable,4,FALSE)),1)*PriceEssAnnual*ADQ57+AEA33*POWER(1-(AnnualChurn*VLOOKUP(ADN57,ChurnSeasonTable,4,FALSE)),2)*PriceEssAnnual*ADQ57+AEA21*POWER(1-(AnnualChurn*VLOOKUP(ADN57,ChurnSeasonTable,4,FALSE)),3)*PriceEssAnnual*ADQ57+AEA9*POWER(1-(AnnualChurn*VLOOKUP(ADN57,ChurnSeasonTable,4,FALSE)),4)*PriceEssAnnual*ADQ57+AEB45*POWER(1-(AnnualChurn*VLOOKUP(ADN57,ChurnSeasonTable,4,FALSE)),1)*PricePremAnnual*ADQ57+AEB33*POWER(1-(AnnualChurn*VLOOKUP(ADN57,ChurnSeasonTable,4,FALSE)),2)*PricePremAnnual*ADQ57+AEB21*POWER(1-(AnnualChurn*VLOOKUP(ADN57,ChurnSeasonTable,4,FALSE)),3)*PricePremAnnual*ADQ57+AEB9*POWER(1-(AnnualChurn*VLOOKUP(ADN57,ChurnSeasonTable,4,FALSE)),4)*PricePremAnnual*ADQ57</f>
        <v/>
      </c>
      <c r="AEM57" s="9">
        <f>AEJ57+AEK57+AEL57</f>
        <v/>
      </c>
      <c r="AEN57" s="12">
        <f>SUM(AEM46:AEM57)</f>
        <v/>
      </c>
      <c r="AEO57" s="12">
        <f>OR(AEO56,AEN57&gt;=VATThreshold)</f>
        <v/>
      </c>
      <c r="AEP57" s="9">
        <f>IF(AEO57,AEM57/(1+VATRate),AEM57)</f>
        <v/>
      </c>
      <c r="AEQ57" s="12">
        <f>AEM57-AEP57</f>
        <v/>
      </c>
      <c r="AER57" s="12">
        <f>IF(AEO57=0,0,IF(ADN57=1,SUMPRODUCT(--(($ADO$5:$ADO57=$ADO57-1)*($ADN$5:$ADN57&gt;=10)*($ADN$5:$ADN57&lt;=12)),$AEQ$5:$AEQ57),IF(ADN57=4,SUMPRODUCT(--(($ADO$5:$ADO57=$ADO57)*($ADN$5:$ADN57&gt;=1)*($ADN$5:$ADN57&lt;=3)),$AEQ$5:$AEQ57),IF(ADN57=7,SUMPRODUCT(--(($ADO$5:$ADO57=$ADO57)*($ADN$5:$ADN57&gt;=4)*($ADN$5:$ADN57&lt;=6)),$AEQ$5:$AEQ57),IF(ADN57=10,SUMPRODUCT(--(($ADO$5:$ADO57=$ADO57)*($ADN$5:$ADN57&gt;=7)*($ADN$5:$ADN57&lt;=9)),$AEQ$5:$AEQ57),0)))))</f>
        <v/>
      </c>
      <c r="AES57" s="12">
        <f>AES56+AEQ57-AER57</f>
        <v/>
      </c>
      <c r="AET57" s="12">
        <f>IF(ProviderDelay&gt;=1,AEP56*ProviderShare,AEP57*ProviderShare)</f>
        <v/>
      </c>
      <c r="AEU57" s="12">
        <f>AEM57*PaymentFee</f>
        <v/>
      </c>
      <c r="AEV57" s="12">
        <f>AEG57*OpsAI</f>
        <v/>
      </c>
      <c r="AEW57" s="12">
        <f>MonthlyFixed</f>
        <v/>
      </c>
      <c r="AEX57" s="12">
        <f>ADU57*ReferralReward</f>
        <v/>
      </c>
      <c r="AEY57" s="12">
        <f>ADS57</f>
        <v/>
      </c>
      <c r="AEZ57" s="9">
        <f>AEP57-AET57-AEU57-AEV57-AEW57-AEX57-AEY57</f>
        <v/>
      </c>
      <c r="AFA57" s="9">
        <f>AFA56+AEM57-(AET57+AEU57+AEV57+AEW57+AEX57+AEY57+AER57)</f>
        <v/>
      </c>
      <c r="AFB57" s="12">
        <f>IF(AEG57&gt;0,AEH57/AEG57,0)</f>
        <v/>
      </c>
      <c r="AFC57" s="11">
        <f>IF(AEG56&gt;0,MAX(0,(AEG56+ADV57-AEG57)/AEG56),0)</f>
        <v/>
      </c>
      <c r="AFE57" s="12" t="n">
        <v>53</v>
      </c>
      <c r="AFF57" s="12">
        <f>MOD(AFE57-1+LaunchMonth-1,12)+1</f>
        <v/>
      </c>
      <c r="AFG57" s="12">
        <f>INT((AFE57-1+LaunchMonth-1)/12)+1</f>
        <v/>
      </c>
      <c r="AFH57" s="12">
        <f>VLOOKUP(AFF57,SeasonTable,2,FALSE)</f>
        <v/>
      </c>
      <c r="AFI57" s="12">
        <f>(1+InflationRate)^INT((AFE57-1)/12)</f>
        <v/>
      </c>
      <c r="AFJ57" s="11">
        <f>MonthlyChurn*VLOOKUP(AFF57,ChurnSeasonTable,4,FALSE)</f>
        <v/>
      </c>
      <c r="AFK57" s="12">
        <f>MIN(MAX(MktMin19plus,AGE56*MktPct19plus),MAX(0,AGS56-CashBuffer))</f>
        <v/>
      </c>
      <c r="AFL57" s="12">
        <f>IF(AFK57&gt;0,MAX(1,ROUND(AFK57/'Sens - CAC &amp; Marketing'!$A$9*AFH57,0)),0)</f>
        <v/>
      </c>
      <c r="AFM57" s="12">
        <f>IF(AFL57&gt;0,ROUND(AFL57*ReferralMix/(1-ReferralMix),0),0)</f>
        <v/>
      </c>
      <c r="AFN57" s="12">
        <f>AFL57+AFM57</f>
        <v/>
      </c>
      <c r="AFO57" s="12">
        <f>ROUND(AFN57*(1-AnnualMix),0)</f>
        <v/>
      </c>
      <c r="AFP57" s="12">
        <f>AFN57-AFO57</f>
        <v/>
      </c>
      <c r="AFQ57" s="12">
        <f>ROUND(AFO57*EssentialMix,0)</f>
        <v/>
      </c>
      <c r="AFR57" s="12">
        <f>AFO57-AFQ57</f>
        <v/>
      </c>
      <c r="AFS57" s="12">
        <f>ROUND(AFP57*EssentialMix,0)</f>
        <v/>
      </c>
      <c r="AFT57" s="12">
        <f>AFP57-AFS57</f>
        <v/>
      </c>
      <c r="AFU57" s="12">
        <f>AFQ57+AFQ56+AFQ55+MAX(0,AFU56-AFQ56-AFQ55)*(1-AFJ57)</f>
        <v/>
      </c>
      <c r="AFV57" s="12">
        <f>AFR57+AFR56+AFR55+MAX(0,AFV56-AFR56-AFR55)*(1-AFJ57)</f>
        <v/>
      </c>
      <c r="AFW57" s="12">
        <f>AFW56+AFS57-AFS45*(AnnualChurn*VLOOKUP(AFF57,ChurnSeasonTable,4,FALSE))*POWER(1-(AnnualChurn*VLOOKUP(AFF57,ChurnSeasonTable,4,FALSE)),0)+AFS33*(AnnualChurn*VLOOKUP(AFF57,ChurnSeasonTable,4,FALSE))*POWER(1-(AnnualChurn*VLOOKUP(AFF57,ChurnSeasonTable,4,FALSE)),1)+AFS21*(AnnualChurn*VLOOKUP(AFF57,ChurnSeasonTable,4,FALSE))*POWER(1-(AnnualChurn*VLOOKUP(AFF57,ChurnSeasonTable,4,FALSE)),2)+AFS9*(AnnualChurn*VLOOKUP(AFF57,ChurnSeasonTable,4,FALSE))*POWER(1-(AnnualChurn*VLOOKUP(AFF57,ChurnSeasonTable,4,FALSE)),3)</f>
        <v/>
      </c>
      <c r="AFX57" s="12">
        <f>AFX56+AFT57-AFT45*(AnnualChurn*VLOOKUP(AFF57,ChurnSeasonTable,4,FALSE))*POWER(1-(AnnualChurn*VLOOKUP(AFF57,ChurnSeasonTable,4,FALSE)),0)+AFT33*(AnnualChurn*VLOOKUP(AFF57,ChurnSeasonTable,4,FALSE))*POWER(1-(AnnualChurn*VLOOKUP(AFF57,ChurnSeasonTable,4,FALSE)),1)+AFT21*(AnnualChurn*VLOOKUP(AFF57,ChurnSeasonTable,4,FALSE))*POWER(1-(AnnualChurn*VLOOKUP(AFF57,ChurnSeasonTable,4,FALSE)),2)+AFT9*(AnnualChurn*VLOOKUP(AFF57,ChurnSeasonTable,4,FALSE))*POWER(1-(AnnualChurn*VLOOKUP(AFF57,ChurnSeasonTable,4,FALSE)),3)</f>
        <v/>
      </c>
      <c r="AFY57" s="12">
        <f>AFU57+AFV57+AFW57+AFX57</f>
        <v/>
      </c>
      <c r="AFZ57" s="9">
        <f>AFU57*PriceEssMonthly*AFI57+AFV57*PricePremMonthly*AFI57+AFW57*PriceEssAnnual*AFI57/12+AFX57*PricePremAnnual*AFI57/12</f>
        <v/>
      </c>
      <c r="AGA57" s="9">
        <f>AFZ57*12</f>
        <v/>
      </c>
      <c r="AGB57" s="12">
        <f>AFU57*PriceEssMonthly*AFI57+AFV57*PricePremMonthly*AFI57</f>
        <v/>
      </c>
      <c r="AGC57" s="12">
        <f>AFS57*PriceEssAnnual*AFI57+AFT57*PricePremAnnual*AFI57</f>
        <v/>
      </c>
      <c r="AGD57" s="12">
        <f>AFS45*POWER(1-(AnnualChurn*VLOOKUP(AFF57,ChurnSeasonTable,4,FALSE)),1)*PriceEssAnnual*AFI57+AFS33*POWER(1-(AnnualChurn*VLOOKUP(AFF57,ChurnSeasonTable,4,FALSE)),2)*PriceEssAnnual*AFI57+AFS21*POWER(1-(AnnualChurn*VLOOKUP(AFF57,ChurnSeasonTable,4,FALSE)),3)*PriceEssAnnual*AFI57+AFS9*POWER(1-(AnnualChurn*VLOOKUP(AFF57,ChurnSeasonTable,4,FALSE)),4)*PriceEssAnnual*AFI57+AFT45*POWER(1-(AnnualChurn*VLOOKUP(AFF57,ChurnSeasonTable,4,FALSE)),1)*PricePremAnnual*AFI57+AFT33*POWER(1-(AnnualChurn*VLOOKUP(AFF57,ChurnSeasonTable,4,FALSE)),2)*PricePremAnnual*AFI57+AFT21*POWER(1-(AnnualChurn*VLOOKUP(AFF57,ChurnSeasonTable,4,FALSE)),3)*PricePremAnnual*AFI57+AFT9*POWER(1-(AnnualChurn*VLOOKUP(AFF57,ChurnSeasonTable,4,FALSE)),4)*PricePremAnnual*AFI57</f>
        <v/>
      </c>
      <c r="AGE57" s="9">
        <f>AGB57+AGC57+AGD57</f>
        <v/>
      </c>
      <c r="AGF57" s="12">
        <f>SUM(AGE46:AGE57)</f>
        <v/>
      </c>
      <c r="AGG57" s="12">
        <f>OR(AGG56,AGF57&gt;=VATThreshold)</f>
        <v/>
      </c>
      <c r="AGH57" s="9">
        <f>IF(AGG57,AGE57/(1+VATRate),AGE57)</f>
        <v/>
      </c>
      <c r="AGI57" s="12">
        <f>AGE57-AGH57</f>
        <v/>
      </c>
      <c r="AGJ57" s="12">
        <f>IF(AGG57=0,0,IF(AFF57=1,SUMPRODUCT(--(($AFG$5:$AFG57=$AFG57-1)*($AFF$5:$AFF57&gt;=10)*($AFF$5:$AFF57&lt;=12)),$AGI$5:$AGI57),IF(AFF57=4,SUMPRODUCT(--(($AFG$5:$AFG57=$AFG57)*($AFF$5:$AFF57&gt;=1)*($AFF$5:$AFF57&lt;=3)),$AGI$5:$AGI57),IF(AFF57=7,SUMPRODUCT(--(($AFG$5:$AFG57=$AFG57)*($AFF$5:$AFF57&gt;=4)*($AFF$5:$AFF57&lt;=6)),$AGI$5:$AGI57),IF(AFF57=10,SUMPRODUCT(--(($AFG$5:$AFG57=$AFG57)*($AFF$5:$AFF57&gt;=7)*($AFF$5:$AFF57&lt;=9)),$AGI$5:$AGI57),0)))))</f>
        <v/>
      </c>
      <c r="AGK57" s="12">
        <f>AGK56+AGI57-AGJ57</f>
        <v/>
      </c>
      <c r="AGL57" s="12">
        <f>IF(ProviderDelay&gt;=1,AGH56*ProviderShare,AGH57*ProviderShare)</f>
        <v/>
      </c>
      <c r="AGM57" s="12">
        <f>AGE57*PaymentFee</f>
        <v/>
      </c>
      <c r="AGN57" s="12">
        <f>AFY57*OpsAI</f>
        <v/>
      </c>
      <c r="AGO57" s="12">
        <f>MonthlyFixed</f>
        <v/>
      </c>
      <c r="AGP57" s="12">
        <f>AFM57*ReferralReward</f>
        <v/>
      </c>
      <c r="AGQ57" s="12">
        <f>AFK57</f>
        <v/>
      </c>
      <c r="AGR57" s="9">
        <f>AGH57-AGL57-AGM57-AGN57-AGO57-AGP57-AGQ57</f>
        <v/>
      </c>
      <c r="AGS57" s="9">
        <f>AGS56+AGE57-(AGL57+AGM57+AGN57+AGO57+AGP57+AGQ57+AGJ57)</f>
        <v/>
      </c>
      <c r="AGT57" s="12">
        <f>IF(AFY57&gt;0,AFZ57/AFY57,0)</f>
        <v/>
      </c>
      <c r="AGU57" s="11">
        <f>IF(AFY56&gt;0,MAX(0,(AFY56+AFN57-AFY57)/AFY56),0)</f>
        <v/>
      </c>
      <c r="AGW57" s="12" t="n">
        <v>53</v>
      </c>
      <c r="AGX57" s="12">
        <f>MOD(AGW57-1+LaunchMonth-1,12)+1</f>
        <v/>
      </c>
      <c r="AGY57" s="12">
        <f>INT((AGW57-1+LaunchMonth-1)/12)+1</f>
        <v/>
      </c>
      <c r="AGZ57" s="12">
        <f>VLOOKUP(AGX57,SeasonTable,2,FALSE)</f>
        <v/>
      </c>
      <c r="AHA57" s="12">
        <f>(1+InflationRate)^INT((AGW57-1)/12)</f>
        <v/>
      </c>
      <c r="AHB57" s="11">
        <f>MonthlyChurn*VLOOKUP(AGX57,ChurnSeasonTable,4,FALSE)</f>
        <v/>
      </c>
      <c r="AHC57" s="12">
        <f>MIN(MAX(MktMin19plus,AHW56*MktPct19plus),MAX(0,AIK56-CashBuffer))</f>
        <v/>
      </c>
      <c r="AHD57" s="12">
        <f>IF(AHC57&gt;0,MAX(1,ROUND(AHC57/'Sens - CAC &amp; Marketing'!$A$10*AGZ57,0)),0)</f>
        <v/>
      </c>
      <c r="AHE57" s="12">
        <f>IF(AHD57&gt;0,ROUND(AHD57*ReferralMix/(1-ReferralMix),0),0)</f>
        <v/>
      </c>
      <c r="AHF57" s="12">
        <f>AHD57+AHE57</f>
        <v/>
      </c>
      <c r="AHG57" s="12">
        <f>ROUND(AHF57*(1-AnnualMix),0)</f>
        <v/>
      </c>
      <c r="AHH57" s="12">
        <f>AHF57-AHG57</f>
        <v/>
      </c>
      <c r="AHI57" s="12">
        <f>ROUND(AHG57*EssentialMix,0)</f>
        <v/>
      </c>
      <c r="AHJ57" s="12">
        <f>AHG57-AHI57</f>
        <v/>
      </c>
      <c r="AHK57" s="12">
        <f>ROUND(AHH57*EssentialMix,0)</f>
        <v/>
      </c>
      <c r="AHL57" s="12">
        <f>AHH57-AHK57</f>
        <v/>
      </c>
      <c r="AHM57" s="12">
        <f>AHI57+AHI56+AHI55+MAX(0,AHM56-AHI56-AHI55)*(1-AHB57)</f>
        <v/>
      </c>
      <c r="AHN57" s="12">
        <f>AHJ57+AHJ56+AHJ55+MAX(0,AHN56-AHJ56-AHJ55)*(1-AHB57)</f>
        <v/>
      </c>
      <c r="AHO57" s="12">
        <f>AHO56+AHK57-AHK45*(AnnualChurn*VLOOKUP(AGX57,ChurnSeasonTable,4,FALSE))*POWER(1-(AnnualChurn*VLOOKUP(AGX57,ChurnSeasonTable,4,FALSE)),0)+AHK33*(AnnualChurn*VLOOKUP(AGX57,ChurnSeasonTable,4,FALSE))*POWER(1-(AnnualChurn*VLOOKUP(AGX57,ChurnSeasonTable,4,FALSE)),1)+AHK21*(AnnualChurn*VLOOKUP(AGX57,ChurnSeasonTable,4,FALSE))*POWER(1-(AnnualChurn*VLOOKUP(AGX57,ChurnSeasonTable,4,FALSE)),2)+AHK9*(AnnualChurn*VLOOKUP(AGX57,ChurnSeasonTable,4,FALSE))*POWER(1-(AnnualChurn*VLOOKUP(AGX57,ChurnSeasonTable,4,FALSE)),3)</f>
        <v/>
      </c>
      <c r="AHP57" s="12">
        <f>AHP56+AHL57-AHL45*(AnnualChurn*VLOOKUP(AGX57,ChurnSeasonTable,4,FALSE))*POWER(1-(AnnualChurn*VLOOKUP(AGX57,ChurnSeasonTable,4,FALSE)),0)+AHL33*(AnnualChurn*VLOOKUP(AGX57,ChurnSeasonTable,4,FALSE))*POWER(1-(AnnualChurn*VLOOKUP(AGX57,ChurnSeasonTable,4,FALSE)),1)+AHL21*(AnnualChurn*VLOOKUP(AGX57,ChurnSeasonTable,4,FALSE))*POWER(1-(AnnualChurn*VLOOKUP(AGX57,ChurnSeasonTable,4,FALSE)),2)+AHL9*(AnnualChurn*VLOOKUP(AGX57,ChurnSeasonTable,4,FALSE))*POWER(1-(AnnualChurn*VLOOKUP(AGX57,ChurnSeasonTable,4,FALSE)),3)</f>
        <v/>
      </c>
      <c r="AHQ57" s="12">
        <f>AHM57+AHN57+AHO57+AHP57</f>
        <v/>
      </c>
      <c r="AHR57" s="9">
        <f>AHM57*PriceEssMonthly*AHA57+AHN57*PricePremMonthly*AHA57+AHO57*PriceEssAnnual*AHA57/12+AHP57*PricePremAnnual*AHA57/12</f>
        <v/>
      </c>
      <c r="AHS57" s="9">
        <f>AHR57*12</f>
        <v/>
      </c>
      <c r="AHT57" s="12">
        <f>AHM57*PriceEssMonthly*AHA57+AHN57*PricePremMonthly*AHA57</f>
        <v/>
      </c>
      <c r="AHU57" s="12">
        <f>AHK57*PriceEssAnnual*AHA57+AHL57*PricePremAnnual*AHA57</f>
        <v/>
      </c>
      <c r="AHV57" s="12">
        <f>AHK45*POWER(1-(AnnualChurn*VLOOKUP(AGX57,ChurnSeasonTable,4,FALSE)),1)*PriceEssAnnual*AHA57+AHK33*POWER(1-(AnnualChurn*VLOOKUP(AGX57,ChurnSeasonTable,4,FALSE)),2)*PriceEssAnnual*AHA57+AHK21*POWER(1-(AnnualChurn*VLOOKUP(AGX57,ChurnSeasonTable,4,FALSE)),3)*PriceEssAnnual*AHA57+AHK9*POWER(1-(AnnualChurn*VLOOKUP(AGX57,ChurnSeasonTable,4,FALSE)),4)*PriceEssAnnual*AHA57+AHL45*POWER(1-(AnnualChurn*VLOOKUP(AGX57,ChurnSeasonTable,4,FALSE)),1)*PricePremAnnual*AHA57+AHL33*POWER(1-(AnnualChurn*VLOOKUP(AGX57,ChurnSeasonTable,4,FALSE)),2)*PricePremAnnual*AHA57+AHL21*POWER(1-(AnnualChurn*VLOOKUP(AGX57,ChurnSeasonTable,4,FALSE)),3)*PricePremAnnual*AHA57+AHL9*POWER(1-(AnnualChurn*VLOOKUP(AGX57,ChurnSeasonTable,4,FALSE)),4)*PricePremAnnual*AHA57</f>
        <v/>
      </c>
      <c r="AHW57" s="9">
        <f>AHT57+AHU57+AHV57</f>
        <v/>
      </c>
      <c r="AHX57" s="12">
        <f>SUM(AHW46:AHW57)</f>
        <v/>
      </c>
      <c r="AHY57" s="12">
        <f>OR(AHY56,AHX57&gt;=VATThreshold)</f>
        <v/>
      </c>
      <c r="AHZ57" s="9">
        <f>IF(AHY57,AHW57/(1+VATRate),AHW57)</f>
        <v/>
      </c>
      <c r="AIA57" s="12">
        <f>AHW57-AHZ57</f>
        <v/>
      </c>
      <c r="AIB57" s="12">
        <f>IF(AHY57=0,0,IF(AGX57=1,SUMPRODUCT(--(($AGY$5:$AGY57=$AGY57-1)*($AGX$5:$AGX57&gt;=10)*($AGX$5:$AGX57&lt;=12)),$AIA$5:$AIA57),IF(AGX57=4,SUMPRODUCT(--(($AGY$5:$AGY57=$AGY57)*($AGX$5:$AGX57&gt;=1)*($AGX$5:$AGX57&lt;=3)),$AIA$5:$AIA57),IF(AGX57=7,SUMPRODUCT(--(($AGY$5:$AGY57=$AGY57)*($AGX$5:$AGX57&gt;=4)*($AGX$5:$AGX57&lt;=6)),$AIA$5:$AIA57),IF(AGX57=10,SUMPRODUCT(--(($AGY$5:$AGY57=$AGY57)*($AGX$5:$AGX57&gt;=7)*($AGX$5:$AGX57&lt;=9)),$AIA$5:$AIA57),0)))))</f>
        <v/>
      </c>
      <c r="AIC57" s="12">
        <f>AIC56+AIA57-AIB57</f>
        <v/>
      </c>
      <c r="AID57" s="12">
        <f>IF(ProviderDelay&gt;=1,AHZ56*ProviderShare,AHZ57*ProviderShare)</f>
        <v/>
      </c>
      <c r="AIE57" s="12">
        <f>AHW57*PaymentFee</f>
        <v/>
      </c>
      <c r="AIF57" s="12">
        <f>AHQ57*OpsAI</f>
        <v/>
      </c>
      <c r="AIG57" s="12">
        <f>MonthlyFixed</f>
        <v/>
      </c>
      <c r="AIH57" s="12">
        <f>AHE57*ReferralReward</f>
        <v/>
      </c>
      <c r="AII57" s="12">
        <f>AHC57</f>
        <v/>
      </c>
      <c r="AIJ57" s="9">
        <f>AHZ57-AID57-AIE57-AIF57-AIG57-AIH57-AII57</f>
        <v/>
      </c>
      <c r="AIK57" s="9">
        <f>AIK56+AHW57-(AID57+AIE57+AIF57+AIG57+AIH57+AII57+AIB57)</f>
        <v/>
      </c>
      <c r="AIL57" s="12">
        <f>IF(AHQ57&gt;0,AHR57/AHQ57,0)</f>
        <v/>
      </c>
      <c r="AIM57" s="11">
        <f>IF(AHQ56&gt;0,MAX(0,(AHQ56+AHF57-AHQ57)/AHQ56),0)</f>
        <v/>
      </c>
      <c r="AIO57" s="12" t="n">
        <v>53</v>
      </c>
      <c r="AIP57" s="12">
        <f>MOD(AIO57-1+LaunchMonth-1,12)+1</f>
        <v/>
      </c>
      <c r="AIQ57" s="12">
        <f>INT((AIO57-1+LaunchMonth-1)/12)+1</f>
        <v/>
      </c>
      <c r="AIR57" s="12">
        <f>VLOOKUP(AIP57,SeasonTable,2,FALSE)</f>
        <v/>
      </c>
      <c r="AIS57" s="12">
        <f>(1+InflationRate)^INT((AIO57-1)/12)</f>
        <v/>
      </c>
      <c r="AIT57" s="11">
        <f>MonthlyChurn*VLOOKUP(AIP57,ChurnSeasonTable,4,FALSE)</f>
        <v/>
      </c>
      <c r="AIU57" s="12">
        <f>MIN(MAX(MktMin19plus,AJO56*MktPct19plus),MAX(0,AKC56-CashBuffer))</f>
        <v/>
      </c>
      <c r="AIV57" s="12">
        <f>IF(AIU57&gt;0,MAX(1,ROUND(AIU57/'Sens - CAC &amp; Marketing'!$A$11*AIR57,0)),0)</f>
        <v/>
      </c>
      <c r="AIW57" s="12">
        <f>IF(AIV57&gt;0,ROUND(AIV57*ReferralMix/(1-ReferralMix),0),0)</f>
        <v/>
      </c>
      <c r="AIX57" s="12">
        <f>AIV57+AIW57</f>
        <v/>
      </c>
      <c r="AIY57" s="12">
        <f>ROUND(AIX57*(1-AnnualMix),0)</f>
        <v/>
      </c>
      <c r="AIZ57" s="12">
        <f>AIX57-AIY57</f>
        <v/>
      </c>
      <c r="AJA57" s="12">
        <f>ROUND(AIY57*EssentialMix,0)</f>
        <v/>
      </c>
      <c r="AJB57" s="12">
        <f>AIY57-AJA57</f>
        <v/>
      </c>
      <c r="AJC57" s="12">
        <f>ROUND(AIZ57*EssentialMix,0)</f>
        <v/>
      </c>
      <c r="AJD57" s="12">
        <f>AIZ57-AJC57</f>
        <v/>
      </c>
      <c r="AJE57" s="12">
        <f>AJA57+AJA56+AJA55+MAX(0,AJE56-AJA56-AJA55)*(1-AIT57)</f>
        <v/>
      </c>
      <c r="AJF57" s="12">
        <f>AJB57+AJB56+AJB55+MAX(0,AJF56-AJB56-AJB55)*(1-AIT57)</f>
        <v/>
      </c>
      <c r="AJG57" s="12">
        <f>AJG56+AJC57-AJC45*(AnnualChurn*VLOOKUP(AIP57,ChurnSeasonTable,4,FALSE))*POWER(1-(AnnualChurn*VLOOKUP(AIP57,ChurnSeasonTable,4,FALSE)),0)+AJC33*(AnnualChurn*VLOOKUP(AIP57,ChurnSeasonTable,4,FALSE))*POWER(1-(AnnualChurn*VLOOKUP(AIP57,ChurnSeasonTable,4,FALSE)),1)+AJC21*(AnnualChurn*VLOOKUP(AIP57,ChurnSeasonTable,4,FALSE))*POWER(1-(AnnualChurn*VLOOKUP(AIP57,ChurnSeasonTable,4,FALSE)),2)+AJC9*(AnnualChurn*VLOOKUP(AIP57,ChurnSeasonTable,4,FALSE))*POWER(1-(AnnualChurn*VLOOKUP(AIP57,ChurnSeasonTable,4,FALSE)),3)</f>
        <v/>
      </c>
      <c r="AJH57" s="12">
        <f>AJH56+AJD57-AJD45*(AnnualChurn*VLOOKUP(AIP57,ChurnSeasonTable,4,FALSE))*POWER(1-(AnnualChurn*VLOOKUP(AIP57,ChurnSeasonTable,4,FALSE)),0)+AJD33*(AnnualChurn*VLOOKUP(AIP57,ChurnSeasonTable,4,FALSE))*POWER(1-(AnnualChurn*VLOOKUP(AIP57,ChurnSeasonTable,4,FALSE)),1)+AJD21*(AnnualChurn*VLOOKUP(AIP57,ChurnSeasonTable,4,FALSE))*POWER(1-(AnnualChurn*VLOOKUP(AIP57,ChurnSeasonTable,4,FALSE)),2)+AJD9*(AnnualChurn*VLOOKUP(AIP57,ChurnSeasonTable,4,FALSE))*POWER(1-(AnnualChurn*VLOOKUP(AIP57,ChurnSeasonTable,4,FALSE)),3)</f>
        <v/>
      </c>
      <c r="AJI57" s="12">
        <f>AJE57+AJF57+AJG57+AJH57</f>
        <v/>
      </c>
      <c r="AJJ57" s="9">
        <f>AJE57*PriceEssMonthly*AIS57+AJF57*PricePremMonthly*AIS57+AJG57*PriceEssAnnual*AIS57/12+AJH57*PricePremAnnual*AIS57/12</f>
        <v/>
      </c>
      <c r="AJK57" s="9">
        <f>AJJ57*12</f>
        <v/>
      </c>
      <c r="AJL57" s="12">
        <f>AJE57*PriceEssMonthly*AIS57+AJF57*PricePremMonthly*AIS57</f>
        <v/>
      </c>
      <c r="AJM57" s="12">
        <f>AJC57*PriceEssAnnual*AIS57+AJD57*PricePremAnnual*AIS57</f>
        <v/>
      </c>
      <c r="AJN57" s="12">
        <f>AJC45*POWER(1-(AnnualChurn*VLOOKUP(AIP57,ChurnSeasonTable,4,FALSE)),1)*PriceEssAnnual*AIS57+AJC33*POWER(1-(AnnualChurn*VLOOKUP(AIP57,ChurnSeasonTable,4,FALSE)),2)*PriceEssAnnual*AIS57+AJC21*POWER(1-(AnnualChurn*VLOOKUP(AIP57,ChurnSeasonTable,4,FALSE)),3)*PriceEssAnnual*AIS57+AJC9*POWER(1-(AnnualChurn*VLOOKUP(AIP57,ChurnSeasonTable,4,FALSE)),4)*PriceEssAnnual*AIS57+AJD45*POWER(1-(AnnualChurn*VLOOKUP(AIP57,ChurnSeasonTable,4,FALSE)),1)*PricePremAnnual*AIS57+AJD33*POWER(1-(AnnualChurn*VLOOKUP(AIP57,ChurnSeasonTable,4,FALSE)),2)*PricePremAnnual*AIS57+AJD21*POWER(1-(AnnualChurn*VLOOKUP(AIP57,ChurnSeasonTable,4,FALSE)),3)*PricePremAnnual*AIS57+AJD9*POWER(1-(AnnualChurn*VLOOKUP(AIP57,ChurnSeasonTable,4,FALSE)),4)*PricePremAnnual*AIS57</f>
        <v/>
      </c>
      <c r="AJO57" s="9">
        <f>AJL57+AJM57+AJN57</f>
        <v/>
      </c>
      <c r="AJP57" s="12">
        <f>SUM(AJO46:AJO57)</f>
        <v/>
      </c>
      <c r="AJQ57" s="12">
        <f>OR(AJQ56,AJP57&gt;=VATThreshold)</f>
        <v/>
      </c>
      <c r="AJR57" s="9">
        <f>IF(AJQ57,AJO57/(1+VATRate),AJO57)</f>
        <v/>
      </c>
      <c r="AJS57" s="12">
        <f>AJO57-AJR57</f>
        <v/>
      </c>
      <c r="AJT57" s="12">
        <f>IF(AJQ57=0,0,IF(AIP57=1,SUMPRODUCT(--(($AIQ$5:$AIQ57=$AIQ57-1)*($AIP$5:$AIP57&gt;=10)*($AIP$5:$AIP57&lt;=12)),$AJS$5:$AJS57),IF(AIP57=4,SUMPRODUCT(--(($AIQ$5:$AIQ57=$AIQ57)*($AIP$5:$AIP57&gt;=1)*($AIP$5:$AIP57&lt;=3)),$AJS$5:$AJS57),IF(AIP57=7,SUMPRODUCT(--(($AIQ$5:$AIQ57=$AIQ57)*($AIP$5:$AIP57&gt;=4)*($AIP$5:$AIP57&lt;=6)),$AJS$5:$AJS57),IF(AIP57=10,SUMPRODUCT(--(($AIQ$5:$AIQ57=$AIQ57)*($AIP$5:$AIP57&gt;=7)*($AIP$5:$AIP57&lt;=9)),$AJS$5:$AJS57),0)))))</f>
        <v/>
      </c>
      <c r="AJU57" s="12">
        <f>AJU56+AJS57-AJT57</f>
        <v/>
      </c>
      <c r="AJV57" s="12">
        <f>IF(ProviderDelay&gt;=1,AJR56*ProviderShare,AJR57*ProviderShare)</f>
        <v/>
      </c>
      <c r="AJW57" s="12">
        <f>AJO57*PaymentFee</f>
        <v/>
      </c>
      <c r="AJX57" s="12">
        <f>AJI57*OpsAI</f>
        <v/>
      </c>
      <c r="AJY57" s="12">
        <f>MonthlyFixed</f>
        <v/>
      </c>
      <c r="AJZ57" s="12">
        <f>AIW57*ReferralReward</f>
        <v/>
      </c>
      <c r="AKA57" s="12">
        <f>AIU57</f>
        <v/>
      </c>
      <c r="AKB57" s="9">
        <f>AJR57-AJV57-AJW57-AJX57-AJY57-AJZ57-AKA57</f>
        <v/>
      </c>
      <c r="AKC57" s="9">
        <f>AKC56+AJO57-(AJV57+AJW57+AJX57+AJY57+AJZ57+AKA57+AJT57)</f>
        <v/>
      </c>
      <c r="AKD57" s="12">
        <f>IF(AJI57&gt;0,AJJ57/AJI57,0)</f>
        <v/>
      </c>
      <c r="AKE57" s="11">
        <f>IF(AJI56&gt;0,MAX(0,(AJI56+AIX57-AJI57)/AJI56),0)</f>
        <v/>
      </c>
      <c r="AKG57" s="12" t="n">
        <v>53</v>
      </c>
      <c r="AKH57" s="12">
        <f>MOD(AKG57-1+LaunchMonth-1,12)+1</f>
        <v/>
      </c>
      <c r="AKI57" s="12">
        <f>INT((AKG57-1+LaunchMonth-1)/12)+1</f>
        <v/>
      </c>
      <c r="AKJ57" s="12">
        <f>VLOOKUP(AKH57,SeasonTable,2,FALSE)</f>
        <v/>
      </c>
      <c r="AKK57" s="12">
        <f>(1+InflationRate)^INT((AKG57-1)/12)</f>
        <v/>
      </c>
      <c r="AKL57" s="11">
        <f>MonthlyChurn*VLOOKUP(AKH57,ChurnSeasonTable,4,FALSE)</f>
        <v/>
      </c>
      <c r="AKM57" s="12">
        <f>MIN(MAX(MktMin19plus,ALG56*MktPct19plus),MAX(0,ALU56-CashBuffer))</f>
        <v/>
      </c>
      <c r="AKN57" s="12">
        <f>IF(AKM57&gt;0,MAX(1,ROUND(AKM57/'Sens - CAC &amp; Marketing'!$A$12*AKJ57,0)),0)</f>
        <v/>
      </c>
      <c r="AKO57" s="12">
        <f>IF(AKN57&gt;0,ROUND(AKN57*ReferralMix/(1-ReferralMix),0),0)</f>
        <v/>
      </c>
      <c r="AKP57" s="12">
        <f>AKN57+AKO57</f>
        <v/>
      </c>
      <c r="AKQ57" s="12">
        <f>ROUND(AKP57*(1-AnnualMix),0)</f>
        <v/>
      </c>
      <c r="AKR57" s="12">
        <f>AKP57-AKQ57</f>
        <v/>
      </c>
      <c r="AKS57" s="12">
        <f>ROUND(AKQ57*EssentialMix,0)</f>
        <v/>
      </c>
      <c r="AKT57" s="12">
        <f>AKQ57-AKS57</f>
        <v/>
      </c>
      <c r="AKU57" s="12">
        <f>ROUND(AKR57*EssentialMix,0)</f>
        <v/>
      </c>
      <c r="AKV57" s="12">
        <f>AKR57-AKU57</f>
        <v/>
      </c>
      <c r="AKW57" s="12">
        <f>AKS57+AKS56+AKS55+MAX(0,AKW56-AKS56-AKS55)*(1-AKL57)</f>
        <v/>
      </c>
      <c r="AKX57" s="12">
        <f>AKT57+AKT56+AKT55+MAX(0,AKX56-AKT56-AKT55)*(1-AKL57)</f>
        <v/>
      </c>
      <c r="AKY57" s="12">
        <f>AKY56+AKU57-AKU45*(AnnualChurn*VLOOKUP(AKH57,ChurnSeasonTable,4,FALSE))*POWER(1-(AnnualChurn*VLOOKUP(AKH57,ChurnSeasonTable,4,FALSE)),0)+AKU33*(AnnualChurn*VLOOKUP(AKH57,ChurnSeasonTable,4,FALSE))*POWER(1-(AnnualChurn*VLOOKUP(AKH57,ChurnSeasonTable,4,FALSE)),1)+AKU21*(AnnualChurn*VLOOKUP(AKH57,ChurnSeasonTable,4,FALSE))*POWER(1-(AnnualChurn*VLOOKUP(AKH57,ChurnSeasonTable,4,FALSE)),2)+AKU9*(AnnualChurn*VLOOKUP(AKH57,ChurnSeasonTable,4,FALSE))*POWER(1-(AnnualChurn*VLOOKUP(AKH57,ChurnSeasonTable,4,FALSE)),3)</f>
        <v/>
      </c>
      <c r="AKZ57" s="12">
        <f>AKZ56+AKV57-AKV45*(AnnualChurn*VLOOKUP(AKH57,ChurnSeasonTable,4,FALSE))*POWER(1-(AnnualChurn*VLOOKUP(AKH57,ChurnSeasonTable,4,FALSE)),0)+AKV33*(AnnualChurn*VLOOKUP(AKH57,ChurnSeasonTable,4,FALSE))*POWER(1-(AnnualChurn*VLOOKUP(AKH57,ChurnSeasonTable,4,FALSE)),1)+AKV21*(AnnualChurn*VLOOKUP(AKH57,ChurnSeasonTable,4,FALSE))*POWER(1-(AnnualChurn*VLOOKUP(AKH57,ChurnSeasonTable,4,FALSE)),2)+AKV9*(AnnualChurn*VLOOKUP(AKH57,ChurnSeasonTable,4,FALSE))*POWER(1-(AnnualChurn*VLOOKUP(AKH57,ChurnSeasonTable,4,FALSE)),3)</f>
        <v/>
      </c>
      <c r="ALA57" s="12">
        <f>AKW57+AKX57+AKY57+AKZ57</f>
        <v/>
      </c>
      <c r="ALB57" s="9">
        <f>AKW57*PriceEssMonthly*AKK57+AKX57*PricePremMonthly*AKK57+AKY57*PriceEssAnnual*AKK57/12+AKZ57*PricePremAnnual*AKK57/12</f>
        <v/>
      </c>
      <c r="ALC57" s="9">
        <f>ALB57*12</f>
        <v/>
      </c>
      <c r="ALD57" s="12">
        <f>AKW57*PriceEssMonthly*AKK57+AKX57*PricePremMonthly*AKK57</f>
        <v/>
      </c>
      <c r="ALE57" s="12">
        <f>AKU57*PriceEssAnnual*AKK57+AKV57*PricePremAnnual*AKK57</f>
        <v/>
      </c>
      <c r="ALF57" s="12">
        <f>AKU45*POWER(1-(AnnualChurn*VLOOKUP(AKH57,ChurnSeasonTable,4,FALSE)),1)*PriceEssAnnual*AKK57+AKU33*POWER(1-(AnnualChurn*VLOOKUP(AKH57,ChurnSeasonTable,4,FALSE)),2)*PriceEssAnnual*AKK57+AKU21*POWER(1-(AnnualChurn*VLOOKUP(AKH57,ChurnSeasonTable,4,FALSE)),3)*PriceEssAnnual*AKK57+AKU9*POWER(1-(AnnualChurn*VLOOKUP(AKH57,ChurnSeasonTable,4,FALSE)),4)*PriceEssAnnual*AKK57+AKV45*POWER(1-(AnnualChurn*VLOOKUP(AKH57,ChurnSeasonTable,4,FALSE)),1)*PricePremAnnual*AKK57+AKV33*POWER(1-(AnnualChurn*VLOOKUP(AKH57,ChurnSeasonTable,4,FALSE)),2)*PricePremAnnual*AKK57+AKV21*POWER(1-(AnnualChurn*VLOOKUP(AKH57,ChurnSeasonTable,4,FALSE)),3)*PricePremAnnual*AKK57+AKV9*POWER(1-(AnnualChurn*VLOOKUP(AKH57,ChurnSeasonTable,4,FALSE)),4)*PricePremAnnual*AKK57</f>
        <v/>
      </c>
      <c r="ALG57" s="9">
        <f>ALD57+ALE57+ALF57</f>
        <v/>
      </c>
      <c r="ALH57" s="12">
        <f>SUM(ALG46:ALG57)</f>
        <v/>
      </c>
      <c r="ALI57" s="12">
        <f>OR(ALI56,ALH57&gt;=VATThreshold)</f>
        <v/>
      </c>
      <c r="ALJ57" s="9">
        <f>IF(ALI57,ALG57/(1+VATRate),ALG57)</f>
        <v/>
      </c>
      <c r="ALK57" s="12">
        <f>ALG57-ALJ57</f>
        <v/>
      </c>
      <c r="ALL57" s="12">
        <f>IF(ALI57=0,0,IF(AKH57=1,SUMPRODUCT(--(($AKI$5:$AKI57=$AKI57-1)*($AKH$5:$AKH57&gt;=10)*($AKH$5:$AKH57&lt;=12)),$ALK$5:$ALK57),IF(AKH57=4,SUMPRODUCT(--(($AKI$5:$AKI57=$AKI57)*($AKH$5:$AKH57&gt;=1)*($AKH$5:$AKH57&lt;=3)),$ALK$5:$ALK57),IF(AKH57=7,SUMPRODUCT(--(($AKI$5:$AKI57=$AKI57)*($AKH$5:$AKH57&gt;=4)*($AKH$5:$AKH57&lt;=6)),$ALK$5:$ALK57),IF(AKH57=10,SUMPRODUCT(--(($AKI$5:$AKI57=$AKI57)*($AKH$5:$AKH57&gt;=7)*($AKH$5:$AKH57&lt;=9)),$ALK$5:$ALK57),0)))))</f>
        <v/>
      </c>
      <c r="ALM57" s="12">
        <f>ALM56+ALK57-ALL57</f>
        <v/>
      </c>
      <c r="ALN57" s="12">
        <f>IF(ProviderDelay&gt;=1,ALJ56*ProviderShare,ALJ57*ProviderShare)</f>
        <v/>
      </c>
      <c r="ALO57" s="12">
        <f>ALG57*PaymentFee</f>
        <v/>
      </c>
      <c r="ALP57" s="12">
        <f>ALA57*OpsAI</f>
        <v/>
      </c>
      <c r="ALQ57" s="12">
        <f>MonthlyFixed</f>
        <v/>
      </c>
      <c r="ALR57" s="12">
        <f>AKO57*ReferralReward</f>
        <v/>
      </c>
      <c r="ALS57" s="12">
        <f>AKM57</f>
        <v/>
      </c>
      <c r="ALT57" s="9">
        <f>ALJ57-ALN57-ALO57-ALP57-ALQ57-ALR57-ALS57</f>
        <v/>
      </c>
      <c r="ALU57" s="9">
        <f>ALU56+ALG57-(ALN57+ALO57+ALP57+ALQ57+ALR57+ALS57+ALL57)</f>
        <v/>
      </c>
      <c r="ALV57" s="12">
        <f>IF(ALA57&gt;0,ALB57/ALA57,0)</f>
        <v/>
      </c>
      <c r="ALW57" s="11">
        <f>IF(ALA56&gt;0,MAX(0,(ALA56+AKP57-ALA57)/ALA56),0)</f>
        <v/>
      </c>
      <c r="ALY57" s="12" t="n">
        <v>53</v>
      </c>
      <c r="ALZ57" s="12">
        <f>MOD(ALY57-1+LaunchMonth-1,12)+1</f>
        <v/>
      </c>
      <c r="AMA57" s="12">
        <f>INT((ALY57-1+LaunchMonth-1)/12)+1</f>
        <v/>
      </c>
      <c r="AMB57" s="12">
        <f>VLOOKUP(ALZ57,SeasonTable,2,FALSE)</f>
        <v/>
      </c>
      <c r="AMC57" s="12">
        <f>(1+InflationRate)^INT((ALY57-1)/12)</f>
        <v/>
      </c>
      <c r="AMD57" s="11">
        <f>MonthlyChurn*VLOOKUP(ALZ57,ChurnSeasonTable,4,FALSE)</f>
        <v/>
      </c>
      <c r="AME57" s="12">
        <f>MIN(MAX(MktMin19plus,AMY56*MktPct19plus),MAX(0,ANM56-CashBuffer))</f>
        <v/>
      </c>
      <c r="AMF57" s="12">
        <f>IF(AME57&gt;0,MAX(1,ROUND(AME57/'Sens - CAC &amp; Marketing'!$A$13*AMB57,0)),0)</f>
        <v/>
      </c>
      <c r="AMG57" s="12">
        <f>IF(AMF57&gt;0,ROUND(AMF57*ReferralMix/(1-ReferralMix),0),0)</f>
        <v/>
      </c>
      <c r="AMH57" s="12">
        <f>AMF57+AMG57</f>
        <v/>
      </c>
      <c r="AMI57" s="12">
        <f>ROUND(AMH57*(1-AnnualMix),0)</f>
        <v/>
      </c>
      <c r="AMJ57" s="12">
        <f>AMH57-AMI57</f>
        <v/>
      </c>
      <c r="AMK57" s="12">
        <f>ROUND(AMI57*EssentialMix,0)</f>
        <v/>
      </c>
      <c r="AML57" s="12">
        <f>AMI57-AMK57</f>
        <v/>
      </c>
      <c r="AMM57" s="12">
        <f>ROUND(AMJ57*EssentialMix,0)</f>
        <v/>
      </c>
      <c r="AMN57" s="12">
        <f>AMJ57-AMM57</f>
        <v/>
      </c>
      <c r="AMO57" s="12">
        <f>AMK57+AMK56+AMK55+MAX(0,AMO56-AMK56-AMK55)*(1-AMD57)</f>
        <v/>
      </c>
      <c r="AMP57" s="12">
        <f>AML57+AML56+AML55+MAX(0,AMP56-AML56-AML55)*(1-AMD57)</f>
        <v/>
      </c>
      <c r="AMQ57" s="12">
        <f>AMQ56+AMM57-AMM45*(AnnualChurn*VLOOKUP(ALZ57,ChurnSeasonTable,4,FALSE))*POWER(1-(AnnualChurn*VLOOKUP(ALZ57,ChurnSeasonTable,4,FALSE)),0)+AMM33*(AnnualChurn*VLOOKUP(ALZ57,ChurnSeasonTable,4,FALSE))*POWER(1-(AnnualChurn*VLOOKUP(ALZ57,ChurnSeasonTable,4,FALSE)),1)+AMM21*(AnnualChurn*VLOOKUP(ALZ57,ChurnSeasonTable,4,FALSE))*POWER(1-(AnnualChurn*VLOOKUP(ALZ57,ChurnSeasonTable,4,FALSE)),2)+AMM9*(AnnualChurn*VLOOKUP(ALZ57,ChurnSeasonTable,4,FALSE))*POWER(1-(AnnualChurn*VLOOKUP(ALZ57,ChurnSeasonTable,4,FALSE)),3)</f>
        <v/>
      </c>
      <c r="AMR57" s="12">
        <f>AMR56+AMN57-AMN45*(AnnualChurn*VLOOKUP(ALZ57,ChurnSeasonTable,4,FALSE))*POWER(1-(AnnualChurn*VLOOKUP(ALZ57,ChurnSeasonTable,4,FALSE)),0)+AMN33*(AnnualChurn*VLOOKUP(ALZ57,ChurnSeasonTable,4,FALSE))*POWER(1-(AnnualChurn*VLOOKUP(ALZ57,ChurnSeasonTable,4,FALSE)),1)+AMN21*(AnnualChurn*VLOOKUP(ALZ57,ChurnSeasonTable,4,FALSE))*POWER(1-(AnnualChurn*VLOOKUP(ALZ57,ChurnSeasonTable,4,FALSE)),2)+AMN9*(AnnualChurn*VLOOKUP(ALZ57,ChurnSeasonTable,4,FALSE))*POWER(1-(AnnualChurn*VLOOKUP(ALZ57,ChurnSeasonTable,4,FALSE)),3)</f>
        <v/>
      </c>
      <c r="AMS57" s="12">
        <f>AMO57+AMP57+AMQ57+AMR57</f>
        <v/>
      </c>
      <c r="AMT57" s="9">
        <f>AMO57*PriceEssMonthly*AMC57+AMP57*PricePremMonthly*AMC57+AMQ57*PriceEssAnnual*AMC57/12+AMR57*PricePremAnnual*AMC57/12</f>
        <v/>
      </c>
      <c r="AMU57" s="9">
        <f>AMT57*12</f>
        <v/>
      </c>
      <c r="AMV57" s="12">
        <f>AMO57*PriceEssMonthly*AMC57+AMP57*PricePremMonthly*AMC57</f>
        <v/>
      </c>
      <c r="AMW57" s="12">
        <f>AMM57*PriceEssAnnual*AMC57+AMN57*PricePremAnnual*AMC57</f>
        <v/>
      </c>
      <c r="AMX57" s="12">
        <f>AMM45*POWER(1-(AnnualChurn*VLOOKUP(ALZ57,ChurnSeasonTable,4,FALSE)),1)*PriceEssAnnual*AMC57+AMM33*POWER(1-(AnnualChurn*VLOOKUP(ALZ57,ChurnSeasonTable,4,FALSE)),2)*PriceEssAnnual*AMC57+AMM21*POWER(1-(AnnualChurn*VLOOKUP(ALZ57,ChurnSeasonTable,4,FALSE)),3)*PriceEssAnnual*AMC57+AMM9*POWER(1-(AnnualChurn*VLOOKUP(ALZ57,ChurnSeasonTable,4,FALSE)),4)*PriceEssAnnual*AMC57+AMN45*POWER(1-(AnnualChurn*VLOOKUP(ALZ57,ChurnSeasonTable,4,FALSE)),1)*PricePremAnnual*AMC57+AMN33*POWER(1-(AnnualChurn*VLOOKUP(ALZ57,ChurnSeasonTable,4,FALSE)),2)*PricePremAnnual*AMC57+AMN21*POWER(1-(AnnualChurn*VLOOKUP(ALZ57,ChurnSeasonTable,4,FALSE)),3)*PricePremAnnual*AMC57+AMN9*POWER(1-(AnnualChurn*VLOOKUP(ALZ57,ChurnSeasonTable,4,FALSE)),4)*PricePremAnnual*AMC57</f>
        <v/>
      </c>
      <c r="AMY57" s="9">
        <f>AMV57+AMW57+AMX57</f>
        <v/>
      </c>
      <c r="AMZ57" s="12">
        <f>SUM(AMY46:AMY57)</f>
        <v/>
      </c>
      <c r="ANA57" s="12">
        <f>OR(ANA56,AMZ57&gt;=VATThreshold)</f>
        <v/>
      </c>
      <c r="ANB57" s="9">
        <f>IF(ANA57,AMY57/(1+VATRate),AMY57)</f>
        <v/>
      </c>
      <c r="ANC57" s="12">
        <f>AMY57-ANB57</f>
        <v/>
      </c>
      <c r="AND57" s="12">
        <f>IF(ANA57=0,0,IF(ALZ57=1,SUMPRODUCT(--(($AMA$5:$AMA57=$AMA57-1)*($ALZ$5:$ALZ57&gt;=10)*($ALZ$5:$ALZ57&lt;=12)),$ANC$5:$ANC57),IF(ALZ57=4,SUMPRODUCT(--(($AMA$5:$AMA57=$AMA57)*($ALZ$5:$ALZ57&gt;=1)*($ALZ$5:$ALZ57&lt;=3)),$ANC$5:$ANC57),IF(ALZ57=7,SUMPRODUCT(--(($AMA$5:$AMA57=$AMA57)*($ALZ$5:$ALZ57&gt;=4)*($ALZ$5:$ALZ57&lt;=6)),$ANC$5:$ANC57),IF(ALZ57=10,SUMPRODUCT(--(($AMA$5:$AMA57=$AMA57)*($ALZ$5:$ALZ57&gt;=7)*($ALZ$5:$ALZ57&lt;=9)),$ANC$5:$ANC57),0)))))</f>
        <v/>
      </c>
      <c r="ANE57" s="12">
        <f>ANE56+ANC57-AND57</f>
        <v/>
      </c>
      <c r="ANF57" s="12">
        <f>IF(ProviderDelay&gt;=1,ANB56*ProviderShare,ANB57*ProviderShare)</f>
        <v/>
      </c>
      <c r="ANG57" s="12">
        <f>AMY57*PaymentFee</f>
        <v/>
      </c>
      <c r="ANH57" s="12">
        <f>AMS57*OpsAI</f>
        <v/>
      </c>
      <c r="ANI57" s="12">
        <f>MonthlyFixed</f>
        <v/>
      </c>
      <c r="ANJ57" s="12">
        <f>AMG57*ReferralReward</f>
        <v/>
      </c>
      <c r="ANK57" s="12">
        <f>AME57</f>
        <v/>
      </c>
      <c r="ANL57" s="9">
        <f>ANB57-ANF57-ANG57-ANH57-ANI57-ANJ57-ANK57</f>
        <v/>
      </c>
      <c r="ANM57" s="9">
        <f>ANM56+AMY57-(ANF57+ANG57+ANH57+ANI57+ANJ57+ANK57+AND57)</f>
        <v/>
      </c>
      <c r="ANN57" s="12">
        <f>IF(AMS57&gt;0,AMT57/AMS57,0)</f>
        <v/>
      </c>
      <c r="ANO57" s="11">
        <f>IF(AMS56&gt;0,MAX(0,(AMS56+AMH57-AMS57)/AMS56),0)</f>
        <v/>
      </c>
      <c r="ANQ57" s="12" t="n">
        <v>53</v>
      </c>
      <c r="ANR57" s="12">
        <f>MOD(ANQ57-1+LaunchMonth-1,12)+1</f>
        <v/>
      </c>
      <c r="ANS57" s="12">
        <f>INT((ANQ57-1+LaunchMonth-1)/12)+1</f>
        <v/>
      </c>
      <c r="ANT57" s="12">
        <f>VLOOKUP(ANR57,SeasonTable,2,FALSE)</f>
        <v/>
      </c>
      <c r="ANU57" s="12">
        <f>(1+InflationRate)^INT((ANQ57-1)/12)</f>
        <v/>
      </c>
      <c r="ANV57" s="11">
        <f>MonthlyChurn*VLOOKUP(ANR57,ChurnSeasonTable,4,FALSE)</f>
        <v/>
      </c>
      <c r="ANW57" s="12">
        <f>MIN(MAX(MktMin19plus,AOQ56*MktPct19plus),MAX(0,APE56-CashBuffer))</f>
        <v/>
      </c>
      <c r="ANX57" s="12">
        <f>IF(ANW57&gt;0,MAX(1,ROUND(ANW57/'Sens - CAC &amp; Marketing'!$A$14*ANT57,0)),0)</f>
        <v/>
      </c>
      <c r="ANY57" s="12">
        <f>IF(ANX57&gt;0,ROUND(ANX57*ReferralMix/(1-ReferralMix),0),0)</f>
        <v/>
      </c>
      <c r="ANZ57" s="12">
        <f>ANX57+ANY57</f>
        <v/>
      </c>
      <c r="AOA57" s="12">
        <f>ROUND(ANZ57*(1-AnnualMix),0)</f>
        <v/>
      </c>
      <c r="AOB57" s="12">
        <f>ANZ57-AOA57</f>
        <v/>
      </c>
      <c r="AOC57" s="12">
        <f>ROUND(AOA57*EssentialMix,0)</f>
        <v/>
      </c>
      <c r="AOD57" s="12">
        <f>AOA57-AOC57</f>
        <v/>
      </c>
      <c r="AOE57" s="12">
        <f>ROUND(AOB57*EssentialMix,0)</f>
        <v/>
      </c>
      <c r="AOF57" s="12">
        <f>AOB57-AOE57</f>
        <v/>
      </c>
      <c r="AOG57" s="12">
        <f>AOC57+AOC56+AOC55+MAX(0,AOG56-AOC56-AOC55)*(1-ANV57)</f>
        <v/>
      </c>
      <c r="AOH57" s="12">
        <f>AOD57+AOD56+AOD55+MAX(0,AOH56-AOD56-AOD55)*(1-ANV57)</f>
        <v/>
      </c>
      <c r="AOI57" s="12">
        <f>AOI56+AOE57-AOE45*(AnnualChurn*VLOOKUP(ANR57,ChurnSeasonTable,4,FALSE))*POWER(1-(AnnualChurn*VLOOKUP(ANR57,ChurnSeasonTable,4,FALSE)),0)+AOE33*(AnnualChurn*VLOOKUP(ANR57,ChurnSeasonTable,4,FALSE))*POWER(1-(AnnualChurn*VLOOKUP(ANR57,ChurnSeasonTable,4,FALSE)),1)+AOE21*(AnnualChurn*VLOOKUP(ANR57,ChurnSeasonTable,4,FALSE))*POWER(1-(AnnualChurn*VLOOKUP(ANR57,ChurnSeasonTable,4,FALSE)),2)+AOE9*(AnnualChurn*VLOOKUP(ANR57,ChurnSeasonTable,4,FALSE))*POWER(1-(AnnualChurn*VLOOKUP(ANR57,ChurnSeasonTable,4,FALSE)),3)</f>
        <v/>
      </c>
      <c r="AOJ57" s="12">
        <f>AOJ56+AOF57-AOF45*(AnnualChurn*VLOOKUP(ANR57,ChurnSeasonTable,4,FALSE))*POWER(1-(AnnualChurn*VLOOKUP(ANR57,ChurnSeasonTable,4,FALSE)),0)+AOF33*(AnnualChurn*VLOOKUP(ANR57,ChurnSeasonTable,4,FALSE))*POWER(1-(AnnualChurn*VLOOKUP(ANR57,ChurnSeasonTable,4,FALSE)),1)+AOF21*(AnnualChurn*VLOOKUP(ANR57,ChurnSeasonTable,4,FALSE))*POWER(1-(AnnualChurn*VLOOKUP(ANR57,ChurnSeasonTable,4,FALSE)),2)+AOF9*(AnnualChurn*VLOOKUP(ANR57,ChurnSeasonTable,4,FALSE))*POWER(1-(AnnualChurn*VLOOKUP(ANR57,ChurnSeasonTable,4,FALSE)),3)</f>
        <v/>
      </c>
      <c r="AOK57" s="12">
        <f>AOG57+AOH57+AOI57+AOJ57</f>
        <v/>
      </c>
      <c r="AOL57" s="9">
        <f>AOG57*PriceEssMonthly*ANU57+AOH57*PricePremMonthly*ANU57+AOI57*PriceEssAnnual*ANU57/12+AOJ57*PricePremAnnual*ANU57/12</f>
        <v/>
      </c>
      <c r="AOM57" s="9">
        <f>AOL57*12</f>
        <v/>
      </c>
      <c r="AON57" s="12">
        <f>AOG57*PriceEssMonthly*ANU57+AOH57*PricePremMonthly*ANU57</f>
        <v/>
      </c>
      <c r="AOO57" s="12">
        <f>AOE57*PriceEssAnnual*ANU57+AOF57*PricePremAnnual*ANU57</f>
        <v/>
      </c>
      <c r="AOP57" s="12">
        <f>AOE45*POWER(1-(AnnualChurn*VLOOKUP(ANR57,ChurnSeasonTable,4,FALSE)),1)*PriceEssAnnual*ANU57+AOE33*POWER(1-(AnnualChurn*VLOOKUP(ANR57,ChurnSeasonTable,4,FALSE)),2)*PriceEssAnnual*ANU57+AOE21*POWER(1-(AnnualChurn*VLOOKUP(ANR57,ChurnSeasonTable,4,FALSE)),3)*PriceEssAnnual*ANU57+AOE9*POWER(1-(AnnualChurn*VLOOKUP(ANR57,ChurnSeasonTable,4,FALSE)),4)*PriceEssAnnual*ANU57+AOF45*POWER(1-(AnnualChurn*VLOOKUP(ANR57,ChurnSeasonTable,4,FALSE)),1)*PricePremAnnual*ANU57+AOF33*POWER(1-(AnnualChurn*VLOOKUP(ANR57,ChurnSeasonTable,4,FALSE)),2)*PricePremAnnual*ANU57+AOF21*POWER(1-(AnnualChurn*VLOOKUP(ANR57,ChurnSeasonTable,4,FALSE)),3)*PricePremAnnual*ANU57+AOF9*POWER(1-(AnnualChurn*VLOOKUP(ANR57,ChurnSeasonTable,4,FALSE)),4)*PricePremAnnual*ANU57</f>
        <v/>
      </c>
      <c r="AOQ57" s="9">
        <f>AON57+AOO57+AOP57</f>
        <v/>
      </c>
      <c r="AOR57" s="12">
        <f>SUM(AOQ46:AOQ57)</f>
        <v/>
      </c>
      <c r="AOS57" s="12">
        <f>OR(AOS56,AOR57&gt;=VATThreshold)</f>
        <v/>
      </c>
      <c r="AOT57" s="9">
        <f>IF(AOS57,AOQ57/(1+VATRate),AOQ57)</f>
        <v/>
      </c>
      <c r="AOU57" s="12">
        <f>AOQ57-AOT57</f>
        <v/>
      </c>
      <c r="AOV57" s="12">
        <f>IF(AOS57=0,0,IF(ANR57=1,SUMPRODUCT(--(($ANS$5:$ANS57=$ANS57-1)*($ANR$5:$ANR57&gt;=10)*($ANR$5:$ANR57&lt;=12)),$AOU$5:$AOU57),IF(ANR57=4,SUMPRODUCT(--(($ANS$5:$ANS57=$ANS57)*($ANR$5:$ANR57&gt;=1)*($ANR$5:$ANR57&lt;=3)),$AOU$5:$AOU57),IF(ANR57=7,SUMPRODUCT(--(($ANS$5:$ANS57=$ANS57)*($ANR$5:$ANR57&gt;=4)*($ANR$5:$ANR57&lt;=6)),$AOU$5:$AOU57),IF(ANR57=10,SUMPRODUCT(--(($ANS$5:$ANS57=$ANS57)*($ANR$5:$ANR57&gt;=7)*($ANR$5:$ANR57&lt;=9)),$AOU$5:$AOU57),0)))))</f>
        <v/>
      </c>
      <c r="AOW57" s="12">
        <f>AOW56+AOU57-AOV57</f>
        <v/>
      </c>
      <c r="AOX57" s="12">
        <f>IF(ProviderDelay&gt;=1,AOT56*ProviderShare,AOT57*ProviderShare)</f>
        <v/>
      </c>
      <c r="AOY57" s="12">
        <f>AOQ57*PaymentFee</f>
        <v/>
      </c>
      <c r="AOZ57" s="12">
        <f>AOK57*OpsAI</f>
        <v/>
      </c>
      <c r="APA57" s="12">
        <f>MonthlyFixed</f>
        <v/>
      </c>
      <c r="APB57" s="12">
        <f>ANY57*ReferralReward</f>
        <v/>
      </c>
      <c r="APC57" s="12">
        <f>ANW57</f>
        <v/>
      </c>
      <c r="APD57" s="9">
        <f>AOT57-AOX57-AOY57-AOZ57-APA57-APB57-APC57</f>
        <v/>
      </c>
      <c r="APE57" s="9">
        <f>APE56+AOQ57-(AOX57+AOY57+AOZ57+APA57+APB57+APC57+AOV57)</f>
        <v/>
      </c>
      <c r="APF57" s="12">
        <f>IF(AOK57&gt;0,AOL57/AOK57,0)</f>
        <v/>
      </c>
      <c r="APG57" s="11">
        <f>IF(AOK56&gt;0,MAX(0,(AOK56+ANZ57-AOK57)/AOK56),0)</f>
        <v/>
      </c>
      <c r="API57" s="12" t="n">
        <v>53</v>
      </c>
      <c r="APJ57" s="12">
        <f>MOD(API57-1+LaunchMonth-1,12)+1</f>
        <v/>
      </c>
      <c r="APK57" s="12">
        <f>INT((API57-1+LaunchMonth-1)/12)+1</f>
        <v/>
      </c>
      <c r="APL57" s="12">
        <f>VLOOKUP(APJ57,SeasonTable,2,FALSE)</f>
        <v/>
      </c>
      <c r="APM57" s="12">
        <f>(1+InflationRate)^INT((API57-1)/12)</f>
        <v/>
      </c>
      <c r="APN57" s="11">
        <f>MonthlyChurn*VLOOKUP(APJ57,ChurnSeasonTable,4,FALSE)</f>
        <v/>
      </c>
      <c r="APO57" s="12">
        <f>MIN(MAX(MktMin19plus,AQI56*MktPct19plus),MAX(0,AQW56-CashBuffer))</f>
        <v/>
      </c>
      <c r="APP57" s="12">
        <f>IF(APO57&gt;0,MAX(1,ROUND(APO57/'Sens - CAC &amp; Marketing'!$A$15*APL57,0)),0)</f>
        <v/>
      </c>
      <c r="APQ57" s="12">
        <f>IF(APP57&gt;0,ROUND(APP57*ReferralMix/(1-ReferralMix),0),0)</f>
        <v/>
      </c>
      <c r="APR57" s="12">
        <f>APP57+APQ57</f>
        <v/>
      </c>
      <c r="APS57" s="12">
        <f>ROUND(APR57*(1-AnnualMix),0)</f>
        <v/>
      </c>
      <c r="APT57" s="12">
        <f>APR57-APS57</f>
        <v/>
      </c>
      <c r="APU57" s="12">
        <f>ROUND(APS57*EssentialMix,0)</f>
        <v/>
      </c>
      <c r="APV57" s="12">
        <f>APS57-APU57</f>
        <v/>
      </c>
      <c r="APW57" s="12">
        <f>ROUND(APT57*EssentialMix,0)</f>
        <v/>
      </c>
      <c r="APX57" s="12">
        <f>APT57-APW57</f>
        <v/>
      </c>
      <c r="APY57" s="12">
        <f>APU57+APU56+APU55+MAX(0,APY56-APU56-APU55)*(1-APN57)</f>
        <v/>
      </c>
      <c r="APZ57" s="12">
        <f>APV57+APV56+APV55+MAX(0,APZ56-APV56-APV55)*(1-APN57)</f>
        <v/>
      </c>
      <c r="AQA57" s="12">
        <f>AQA56+APW57-APW45*(AnnualChurn*VLOOKUP(APJ57,ChurnSeasonTable,4,FALSE))*POWER(1-(AnnualChurn*VLOOKUP(APJ57,ChurnSeasonTable,4,FALSE)),0)+APW33*(AnnualChurn*VLOOKUP(APJ57,ChurnSeasonTable,4,FALSE))*POWER(1-(AnnualChurn*VLOOKUP(APJ57,ChurnSeasonTable,4,FALSE)),1)+APW21*(AnnualChurn*VLOOKUP(APJ57,ChurnSeasonTable,4,FALSE))*POWER(1-(AnnualChurn*VLOOKUP(APJ57,ChurnSeasonTable,4,FALSE)),2)+APW9*(AnnualChurn*VLOOKUP(APJ57,ChurnSeasonTable,4,FALSE))*POWER(1-(AnnualChurn*VLOOKUP(APJ57,ChurnSeasonTable,4,FALSE)),3)</f>
        <v/>
      </c>
      <c r="AQB57" s="12">
        <f>AQB56+APX57-APX45*(AnnualChurn*VLOOKUP(APJ57,ChurnSeasonTable,4,FALSE))*POWER(1-(AnnualChurn*VLOOKUP(APJ57,ChurnSeasonTable,4,FALSE)),0)+APX33*(AnnualChurn*VLOOKUP(APJ57,ChurnSeasonTable,4,FALSE))*POWER(1-(AnnualChurn*VLOOKUP(APJ57,ChurnSeasonTable,4,FALSE)),1)+APX21*(AnnualChurn*VLOOKUP(APJ57,ChurnSeasonTable,4,FALSE))*POWER(1-(AnnualChurn*VLOOKUP(APJ57,ChurnSeasonTable,4,FALSE)),2)+APX9*(AnnualChurn*VLOOKUP(APJ57,ChurnSeasonTable,4,FALSE))*POWER(1-(AnnualChurn*VLOOKUP(APJ57,ChurnSeasonTable,4,FALSE)),3)</f>
        <v/>
      </c>
      <c r="AQC57" s="12">
        <f>APY57+APZ57+AQA57+AQB57</f>
        <v/>
      </c>
      <c r="AQD57" s="9">
        <f>APY57*PriceEssMonthly*APM57+APZ57*PricePremMonthly*APM57+AQA57*PriceEssAnnual*APM57/12+AQB57*PricePremAnnual*APM57/12</f>
        <v/>
      </c>
      <c r="AQE57" s="9">
        <f>AQD57*12</f>
        <v/>
      </c>
      <c r="AQF57" s="12">
        <f>APY57*PriceEssMonthly*APM57+APZ57*PricePremMonthly*APM57</f>
        <v/>
      </c>
      <c r="AQG57" s="12">
        <f>APW57*PriceEssAnnual*APM57+APX57*PricePremAnnual*APM57</f>
        <v/>
      </c>
      <c r="AQH57" s="12">
        <f>APW45*POWER(1-(AnnualChurn*VLOOKUP(APJ57,ChurnSeasonTable,4,FALSE)),1)*PriceEssAnnual*APM57+APW33*POWER(1-(AnnualChurn*VLOOKUP(APJ57,ChurnSeasonTable,4,FALSE)),2)*PriceEssAnnual*APM57+APW21*POWER(1-(AnnualChurn*VLOOKUP(APJ57,ChurnSeasonTable,4,FALSE)),3)*PriceEssAnnual*APM57+APW9*POWER(1-(AnnualChurn*VLOOKUP(APJ57,ChurnSeasonTable,4,FALSE)),4)*PriceEssAnnual*APM57+APX45*POWER(1-(AnnualChurn*VLOOKUP(APJ57,ChurnSeasonTable,4,FALSE)),1)*PricePremAnnual*APM57+APX33*POWER(1-(AnnualChurn*VLOOKUP(APJ57,ChurnSeasonTable,4,FALSE)),2)*PricePremAnnual*APM57+APX21*POWER(1-(AnnualChurn*VLOOKUP(APJ57,ChurnSeasonTable,4,FALSE)),3)*PricePremAnnual*APM57+APX9*POWER(1-(AnnualChurn*VLOOKUP(APJ57,ChurnSeasonTable,4,FALSE)),4)*PricePremAnnual*APM57</f>
        <v/>
      </c>
      <c r="AQI57" s="9">
        <f>AQF57+AQG57+AQH57</f>
        <v/>
      </c>
      <c r="AQJ57" s="12">
        <f>SUM(AQI46:AQI57)</f>
        <v/>
      </c>
      <c r="AQK57" s="12">
        <f>OR(AQK56,AQJ57&gt;=VATThreshold)</f>
        <v/>
      </c>
      <c r="AQL57" s="9">
        <f>IF(AQK57,AQI57/(1+VATRate),AQI57)</f>
        <v/>
      </c>
      <c r="AQM57" s="12">
        <f>AQI57-AQL57</f>
        <v/>
      </c>
      <c r="AQN57" s="12">
        <f>IF(AQK57=0,0,IF(APJ57=1,SUMPRODUCT(--(($APK$5:$APK57=$APK57-1)*($APJ$5:$APJ57&gt;=10)*($APJ$5:$APJ57&lt;=12)),$AQM$5:$AQM57),IF(APJ57=4,SUMPRODUCT(--(($APK$5:$APK57=$APK57)*($APJ$5:$APJ57&gt;=1)*($APJ$5:$APJ57&lt;=3)),$AQM$5:$AQM57),IF(APJ57=7,SUMPRODUCT(--(($APK$5:$APK57=$APK57)*($APJ$5:$APJ57&gt;=4)*($APJ$5:$APJ57&lt;=6)),$AQM$5:$AQM57),IF(APJ57=10,SUMPRODUCT(--(($APK$5:$APK57=$APK57)*($APJ$5:$APJ57&gt;=7)*($APJ$5:$APJ57&lt;=9)),$AQM$5:$AQM57),0)))))</f>
        <v/>
      </c>
      <c r="AQO57" s="12">
        <f>AQO56+AQM57-AQN57</f>
        <v/>
      </c>
      <c r="AQP57" s="12">
        <f>IF(ProviderDelay&gt;=1,AQL56*ProviderShare,AQL57*ProviderShare)</f>
        <v/>
      </c>
      <c r="AQQ57" s="12">
        <f>AQI57*PaymentFee</f>
        <v/>
      </c>
      <c r="AQR57" s="12">
        <f>AQC57*OpsAI</f>
        <v/>
      </c>
      <c r="AQS57" s="12">
        <f>MonthlyFixed</f>
        <v/>
      </c>
      <c r="AQT57" s="12">
        <f>APQ57*ReferralReward</f>
        <v/>
      </c>
      <c r="AQU57" s="12">
        <f>APO57</f>
        <v/>
      </c>
      <c r="AQV57" s="9">
        <f>AQL57-AQP57-AQQ57-AQR57-AQS57-AQT57-AQU57</f>
        <v/>
      </c>
      <c r="AQW57" s="9">
        <f>AQW56+AQI57-(AQP57+AQQ57+AQR57+AQS57+AQT57+AQU57+AQN57)</f>
        <v/>
      </c>
      <c r="AQX57" s="12">
        <f>IF(AQC57&gt;0,AQD57/AQC57,0)</f>
        <v/>
      </c>
      <c r="AQY57" s="11">
        <f>IF(AQC56&gt;0,MAX(0,(AQC56+APR57-AQC57)/AQC56),0)</f>
        <v/>
      </c>
      <c r="ARA57" s="12" t="n">
        <v>53</v>
      </c>
      <c r="ARB57" s="12">
        <f>MOD(ARA57-1+LaunchMonth-1,12)+1</f>
        <v/>
      </c>
      <c r="ARC57" s="12">
        <f>INT((ARA57-1+LaunchMonth-1)/12)+1</f>
        <v/>
      </c>
      <c r="ARD57" s="12">
        <f>VLOOKUP(ARB57,WinterPivotSeasonTable,5,FALSE)</f>
        <v/>
      </c>
      <c r="ARE57" s="12">
        <f>(1+InflationRate)^INT((ARA57-1)/12)</f>
        <v/>
      </c>
      <c r="ARF57" s="11">
        <f>MonthlyChurn*VLOOKUP(ARB57,WinterPivotChurnTable,6,FALSE)</f>
        <v/>
      </c>
      <c r="ARG57" s="12">
        <f>MIN(MAX(MktMin19plus,ASA56*MktPct19plus),MAX(0,ASO56-CashBuffer))</f>
        <v/>
      </c>
      <c r="ARH57" s="12">
        <f>IF(ARG57&gt;0,MAX(1,ROUND(ARG57/CAC*ARD57,0)),0)</f>
        <v/>
      </c>
      <c r="ARI57" s="12">
        <f>IF(ARH57&gt;0,ROUND(ARH57*ReferralMix/(1-ReferralMix),0),0)</f>
        <v/>
      </c>
      <c r="ARJ57" s="12">
        <f>ARH57+ARI57</f>
        <v/>
      </c>
      <c r="ARK57" s="12">
        <f>ROUND(ARJ57*(1-AnnualMix),0)</f>
        <v/>
      </c>
      <c r="ARL57" s="12">
        <f>ARJ57-ARK57</f>
        <v/>
      </c>
      <c r="ARM57" s="12">
        <f>ROUND(ARK57*'Sens - Winter Pivot'!$B$6,0)</f>
        <v/>
      </c>
      <c r="ARN57" s="12">
        <f>ARK57-ARM57</f>
        <v/>
      </c>
      <c r="ARO57" s="12">
        <f>ROUND(ARL57*'Sens - Winter Pivot'!$B$6,0)</f>
        <v/>
      </c>
      <c r="ARP57" s="12">
        <f>ARL57-ARO57</f>
        <v/>
      </c>
      <c r="ARQ57" s="12">
        <f>ARM57+ARM56+ARM55+MAX(0,ARQ56-ARM56-ARM55)*(1-ARF57)</f>
        <v/>
      </c>
      <c r="ARR57" s="12">
        <f>ARN57+ARN56+ARN55+MAX(0,ARR56-ARN56-ARN55)*(1-ARF57)</f>
        <v/>
      </c>
      <c r="ARS57" s="12">
        <f>ARS56+ARO57-ARO45*(AnnualChurn*VLOOKUP(ARB57,WinterPivotChurnTable,6,FALSE))*POWER(1-(AnnualChurn*VLOOKUP(ARB57,WinterPivotChurnTable,6,FALSE)),0)+ARO33*(AnnualChurn*VLOOKUP(ARB57,WinterPivotChurnTable,6,FALSE))*POWER(1-(AnnualChurn*VLOOKUP(ARB57,WinterPivotChurnTable,6,FALSE)),1)+ARO21*(AnnualChurn*VLOOKUP(ARB57,WinterPivotChurnTable,6,FALSE))*POWER(1-(AnnualChurn*VLOOKUP(ARB57,WinterPivotChurnTable,6,FALSE)),2)+ARO9*(AnnualChurn*VLOOKUP(ARB57,WinterPivotChurnTable,6,FALSE))*POWER(1-(AnnualChurn*VLOOKUP(ARB57,WinterPivotChurnTable,6,FALSE)),3)</f>
        <v/>
      </c>
      <c r="ART57" s="12">
        <f>ART56+ARP57-ARP45*(AnnualChurn*VLOOKUP(ARB57,WinterPivotChurnTable,6,FALSE))*POWER(1-(AnnualChurn*VLOOKUP(ARB57,WinterPivotChurnTable,6,FALSE)),0)+ARP33*(AnnualChurn*VLOOKUP(ARB57,WinterPivotChurnTable,6,FALSE))*POWER(1-(AnnualChurn*VLOOKUP(ARB57,WinterPivotChurnTable,6,FALSE)),1)+ARP21*(AnnualChurn*VLOOKUP(ARB57,WinterPivotChurnTable,6,FALSE))*POWER(1-(AnnualChurn*VLOOKUP(ARB57,WinterPivotChurnTable,6,FALSE)),2)+ARP9*(AnnualChurn*VLOOKUP(ARB57,WinterPivotChurnTable,6,FALSE))*POWER(1-(AnnualChurn*VLOOKUP(ARB57,WinterPivotChurnTable,6,FALSE)),3)</f>
        <v/>
      </c>
      <c r="ARU57" s="12">
        <f>ARQ57+ARR57+ARS57+ART57</f>
        <v/>
      </c>
      <c r="ARV57" s="9">
        <f>ARQ57*PriceEssMonthly*ARE57+ARR57*(PricePremMonthly+'Sens - Winter Pivot'!$B$7)*ARE57+ARS57*PriceEssAnnual*ARE57/12+ART57*(PricePremAnnual+'Sens - Winter Pivot'!$B$7*12)*ARE57/12</f>
        <v/>
      </c>
      <c r="ARW57" s="9">
        <f>ARV57*12</f>
        <v/>
      </c>
      <c r="ARX57" s="12">
        <f>ARQ57*PriceEssMonthly*ARE57+ARR57*(PricePremMonthly+'Sens - Winter Pivot'!$B$7)*ARE57</f>
        <v/>
      </c>
      <c r="ARY57" s="12">
        <f>ARO57*PriceEssAnnual*ARE57+ARP57*(PricePremAnnual+'Sens - Winter Pivot'!$B$7*12)*ARE57</f>
        <v/>
      </c>
      <c r="ARZ57" s="12">
        <f>ARO45*POWER(1-(AnnualChurn*VLOOKUP(ARB57,WinterPivotChurnTable,6,FALSE)),1)*PriceEssAnnual*ARE57+ARO33*POWER(1-(AnnualChurn*VLOOKUP(ARB57,WinterPivotChurnTable,6,FALSE)),2)*PriceEssAnnual*ARE57+ARO21*POWER(1-(AnnualChurn*VLOOKUP(ARB57,WinterPivotChurnTable,6,FALSE)),3)*PriceEssAnnual*ARE57+ARO9*POWER(1-(AnnualChurn*VLOOKUP(ARB57,WinterPivotChurnTable,6,FALSE)),4)*PriceEssAnnual*ARE57+ARP45*POWER(1-(AnnualChurn*VLOOKUP(ARB57,WinterPivotChurnTable,6,FALSE)),1)*PricePremAnnual*ARE57+ARP33*POWER(1-(AnnualChurn*VLOOKUP(ARB57,WinterPivotChurnTable,6,FALSE)),2)*PricePremAnnual*ARE57+ARP21*POWER(1-(AnnualChurn*VLOOKUP(ARB57,WinterPivotChurnTable,6,FALSE)),3)*PricePremAnnual*ARE57+ARP9*POWER(1-(AnnualChurn*VLOOKUP(ARB57,WinterPivotChurnTable,6,FALSE)),4)*PricePremAnnual*ARE57</f>
        <v/>
      </c>
      <c r="ASA57" s="9">
        <f>ARX57+ARY57+ARZ57</f>
        <v/>
      </c>
      <c r="ASB57" s="12">
        <f>SUM(ASA46:ASA57)</f>
        <v/>
      </c>
      <c r="ASC57" s="12">
        <f>OR(ASC56,ASB57&gt;=VATThreshold)</f>
        <v/>
      </c>
      <c r="ASD57" s="9">
        <f>IF(ASC57,ASA57/(1+VATRate),ASA57)</f>
        <v/>
      </c>
      <c r="ASE57" s="12">
        <f>ASA57-ASD57</f>
        <v/>
      </c>
      <c r="ASF57" s="12">
        <f>IF(ASC57=0,0,IF(ARB57=1,SUMPRODUCT(--(($ARC$5:$ARC57=$ARC57-1)*($ARB$5:$ARB57&gt;=10)*($ARB$5:$ARB57&lt;=12)),$ASE$5:$ASE57),IF(ARB57=4,SUMPRODUCT(--(($ARC$5:$ARC57=$ARC57)*($ARB$5:$ARB57&gt;=1)*($ARB$5:$ARB57&lt;=3)),$ASE$5:$ASE57),IF(ARB57=7,SUMPRODUCT(--(($ARC$5:$ARC57=$ARC57)*($ARB$5:$ARB57&gt;=4)*($ARB$5:$ARB57&lt;=6)),$ASE$5:$ASE57),IF(ARB57=10,SUMPRODUCT(--(($ARC$5:$ARC57=$ARC57)*($ARB$5:$ARB57&gt;=7)*($ARB$5:$ARB57&lt;=9)),$ASE$5:$ASE57),0)))))</f>
        <v/>
      </c>
      <c r="ASG57" s="12">
        <f>ASG56+ASE57-ASF57</f>
        <v/>
      </c>
      <c r="ASH57" s="12">
        <f>IF(ProviderDelay&gt;=1,ASD56*ProviderShare,ASD57*ProviderShare)</f>
        <v/>
      </c>
      <c r="ASI57" s="12">
        <f>ASA57*PaymentFee</f>
        <v/>
      </c>
      <c r="ASJ57" s="12">
        <f>ARU57*OpsAI</f>
        <v/>
      </c>
      <c r="ASK57" s="12">
        <f>MonthlyFixed</f>
        <v/>
      </c>
      <c r="ASL57" s="12">
        <f>ARI57*ReferralReward</f>
        <v/>
      </c>
      <c r="ASM57" s="12">
        <f>ARG57</f>
        <v/>
      </c>
      <c r="ASN57" s="9">
        <f>ASD57-ASH57-ASI57-ASJ57-ASK57-ASL57-ASM57</f>
        <v/>
      </c>
      <c r="ASO57" s="9">
        <f>ASO56+ASA57-(ASH57+ASI57+ASJ57+ASK57+ASL57+ASM57+ASF57)</f>
        <v/>
      </c>
      <c r="ASP57" s="12">
        <f>IF(ARU57&gt;0,ARV57/ARU57,0)</f>
        <v/>
      </c>
      <c r="ASQ57" s="11">
        <f>IF(ARU56&gt;0,MAX(0,(ARU56+ARJ57-ARU57)/ARU56),0)</f>
        <v/>
      </c>
    </row>
    <row r="58">
      <c r="A58" s="12" t="n">
        <v>54</v>
      </c>
      <c r="B58" s="12">
        <f>MOD(A58-1+LaunchMonth-1,12)+1</f>
        <v/>
      </c>
      <c r="C58" s="12">
        <f>INT((A58-1+LaunchMonth-1)/12)+1</f>
        <v/>
      </c>
      <c r="D58" s="12">
        <f>VLOOKUP(B58,SeasonTable,2,FALSE)</f>
        <v/>
      </c>
      <c r="E58" s="12">
        <f>(1+InflationRate)^INT((A58-1)/12)</f>
        <v/>
      </c>
      <c r="F58" s="11">
        <f>'Sens - Scenarios'!$B$5*VLOOKUP(B58,ChurnSeasonTable,4,FALSE)</f>
        <v/>
      </c>
      <c r="G58" s="12">
        <f>MIN(MAX(MktMin19plus,AA57*MktPct19plus),MAX(0,AO57-CashBuffer))</f>
        <v/>
      </c>
      <c r="H58" s="12">
        <f>IF(G58&gt;0,MAX(1,ROUND(G58/'Sens - Scenarios'!$B$8*D58,0)),0)</f>
        <v/>
      </c>
      <c r="I58" s="12">
        <f>IF(H58&gt;0,ROUND(H58*ReferralMix/(1-ReferralMix),0),0)</f>
        <v/>
      </c>
      <c r="J58" s="12">
        <f>H58+I58</f>
        <v/>
      </c>
      <c r="K58" s="12">
        <f>ROUND(J58*(1-'Sens - Scenarios'!$B$7),0)</f>
        <v/>
      </c>
      <c r="L58" s="12">
        <f>J58-K58</f>
        <v/>
      </c>
      <c r="M58" s="12">
        <f>ROUND(K58*EssentialMix,0)</f>
        <v/>
      </c>
      <c r="N58" s="12">
        <f>K58-M58</f>
        <v/>
      </c>
      <c r="O58" s="12">
        <f>ROUND(L58*EssentialMix,0)</f>
        <v/>
      </c>
      <c r="P58" s="12">
        <f>L58-O58</f>
        <v/>
      </c>
      <c r="Q58" s="12">
        <f>M58+M57+M56+MAX(0,Q57-M57-M56)*(1-F58)</f>
        <v/>
      </c>
      <c r="R58" s="12">
        <f>N58+N57+N56+MAX(0,R57-N57-N56)*(1-F58)</f>
        <v/>
      </c>
      <c r="S58" s="12">
        <f>S57+O58-O46*('Sens - Scenarios'!$B$6*VLOOKUP(B58,ChurnSeasonTable,4,FALSE))*POWER(1-('Sens - Scenarios'!$B$6*VLOOKUP(B58,ChurnSeasonTable,4,FALSE)),0)+O34*('Sens - Scenarios'!$B$6*VLOOKUP(B58,ChurnSeasonTable,4,FALSE))*POWER(1-('Sens - Scenarios'!$B$6*VLOOKUP(B58,ChurnSeasonTable,4,FALSE)),1)+O22*('Sens - Scenarios'!$B$6*VLOOKUP(B58,ChurnSeasonTable,4,FALSE))*POWER(1-('Sens - Scenarios'!$B$6*VLOOKUP(B58,ChurnSeasonTable,4,FALSE)),2)+O10*('Sens - Scenarios'!$B$6*VLOOKUP(B58,ChurnSeasonTable,4,FALSE))*POWER(1-('Sens - Scenarios'!$B$6*VLOOKUP(B58,ChurnSeasonTable,4,FALSE)),3)</f>
        <v/>
      </c>
      <c r="T58" s="12">
        <f>T57+P58-P46*('Sens - Scenarios'!$B$6*VLOOKUP(B58,ChurnSeasonTable,4,FALSE))*POWER(1-('Sens - Scenarios'!$B$6*VLOOKUP(B58,ChurnSeasonTable,4,FALSE)),0)+P34*('Sens - Scenarios'!$B$6*VLOOKUP(B58,ChurnSeasonTable,4,FALSE))*POWER(1-('Sens - Scenarios'!$B$6*VLOOKUP(B58,ChurnSeasonTable,4,FALSE)),1)+P22*('Sens - Scenarios'!$B$6*VLOOKUP(B58,ChurnSeasonTable,4,FALSE))*POWER(1-('Sens - Scenarios'!$B$6*VLOOKUP(B58,ChurnSeasonTable,4,FALSE)),2)+P10*('Sens - Scenarios'!$B$6*VLOOKUP(B58,ChurnSeasonTable,4,FALSE))*POWER(1-('Sens - Scenarios'!$B$6*VLOOKUP(B58,ChurnSeasonTable,4,FALSE)),3)</f>
        <v/>
      </c>
      <c r="U58" s="12">
        <f>Q58+R58+S58+T58</f>
        <v/>
      </c>
      <c r="V58" s="9">
        <f>Q58*PriceEssMonthly*E58+R58*PricePremMonthly*E58+S58*PriceEssAnnual*E58/12+T58*PricePremAnnual*E58/12</f>
        <v/>
      </c>
      <c r="W58" s="9">
        <f>V58*12</f>
        <v/>
      </c>
      <c r="X58" s="12">
        <f>Q58*PriceEssMonthly*E58+R58*PricePremMonthly*E58</f>
        <v/>
      </c>
      <c r="Y58" s="12">
        <f>O58*PriceEssAnnual*E58+P58*PricePremAnnual*E58</f>
        <v/>
      </c>
      <c r="Z58" s="12">
        <f>O46*POWER(1-('Sens - Scenarios'!$B$6*VLOOKUP(B58,ChurnSeasonTable,4,FALSE)),1)*PriceEssAnnual*E58+O34*POWER(1-('Sens - Scenarios'!$B$6*VLOOKUP(B58,ChurnSeasonTable,4,FALSE)),2)*PriceEssAnnual*E58+O22*POWER(1-('Sens - Scenarios'!$B$6*VLOOKUP(B58,ChurnSeasonTable,4,FALSE)),3)*PriceEssAnnual*E58+O10*POWER(1-('Sens - Scenarios'!$B$6*VLOOKUP(B58,ChurnSeasonTable,4,FALSE)),4)*PriceEssAnnual*E58+P46*POWER(1-('Sens - Scenarios'!$B$6*VLOOKUP(B58,ChurnSeasonTable,4,FALSE)),1)*PricePremAnnual*E58+P34*POWER(1-('Sens - Scenarios'!$B$6*VLOOKUP(B58,ChurnSeasonTable,4,FALSE)),2)*PricePremAnnual*E58+P22*POWER(1-('Sens - Scenarios'!$B$6*VLOOKUP(B58,ChurnSeasonTable,4,FALSE)),3)*PricePremAnnual*E58+P10*POWER(1-('Sens - Scenarios'!$B$6*VLOOKUP(B58,ChurnSeasonTable,4,FALSE)),4)*PricePremAnnual*E58</f>
        <v/>
      </c>
      <c r="AA58" s="9">
        <f>X58+Y58+Z58</f>
        <v/>
      </c>
      <c r="AB58" s="12">
        <f>SUM(AA47:AA58)</f>
        <v/>
      </c>
      <c r="AC58" s="12">
        <f>OR(AC57,AB58&gt;=VATThreshold)</f>
        <v/>
      </c>
      <c r="AD58" s="9">
        <f>IF(AC58,AA58/(1+VATRate),AA58)</f>
        <v/>
      </c>
      <c r="AE58" s="12">
        <f>AA58-AD58</f>
        <v/>
      </c>
      <c r="AF58" s="12">
        <f>IF(AC58=0,0,IF(B58=1,SUMPRODUCT(--(($C$5:$C58=$C58-1)*($B$5:$B58&gt;=10)*($B$5:$B58&lt;=12)),$AE$5:$AE58),IF(B58=4,SUMPRODUCT(--(($C$5:$C58=$C58)*($B$5:$B58&gt;=1)*($B$5:$B58&lt;=3)),$AE$5:$AE58),IF(B58=7,SUMPRODUCT(--(($C$5:$C58=$C58)*($B$5:$B58&gt;=4)*($B$5:$B58&lt;=6)),$AE$5:$AE58),IF(B58=10,SUMPRODUCT(--(($C$5:$C58=$C58)*($B$5:$B58&gt;=7)*($B$5:$B58&lt;=9)),$AE$5:$AE58),0)))))</f>
        <v/>
      </c>
      <c r="AG58" s="12">
        <f>AG57+AE58-AF58</f>
        <v/>
      </c>
      <c r="AH58" s="12">
        <f>IF(ProviderDelay&gt;=1,AD57*ProviderShare,AD58*ProviderShare)</f>
        <v/>
      </c>
      <c r="AI58" s="12">
        <f>AA58*PaymentFee</f>
        <v/>
      </c>
      <c r="AJ58" s="12">
        <f>U58*OpsAI</f>
        <v/>
      </c>
      <c r="AK58" s="12">
        <f>MonthlyFixed</f>
        <v/>
      </c>
      <c r="AL58" s="12">
        <f>I58*ReferralReward</f>
        <v/>
      </c>
      <c r="AM58" s="12">
        <f>G58</f>
        <v/>
      </c>
      <c r="AN58" s="9">
        <f>AD58-AH58-AI58-AJ58-AK58-AL58-AM58</f>
        <v/>
      </c>
      <c r="AO58" s="9">
        <f>AO57+AA58-(AH58+AI58+AJ58+AK58+AL58+AM58+AF58)</f>
        <v/>
      </c>
      <c r="AP58" s="12">
        <f>IF(U58&gt;0,V58/U58,0)</f>
        <v/>
      </c>
      <c r="AQ58" s="11">
        <f>IF(U57&gt;0,MAX(0,(U57+J58-U58)/U57),0)</f>
        <v/>
      </c>
      <c r="AS58" s="12" t="n">
        <v>54</v>
      </c>
      <c r="AT58" s="12">
        <f>MOD(AS58-1+LaunchMonth-1,12)+1</f>
        <v/>
      </c>
      <c r="AU58" s="12">
        <f>INT((AS58-1+LaunchMonth-1)/12)+1</f>
        <v/>
      </c>
      <c r="AV58" s="12">
        <f>VLOOKUP(AT58,SeasonTable,2,FALSE)</f>
        <v/>
      </c>
      <c r="AW58" s="12">
        <f>(1+InflationRate)^INT((AS58-1)/12)</f>
        <v/>
      </c>
      <c r="AX58" s="11">
        <f>MonthlyChurn*VLOOKUP(AT58,ChurnSeasonTable,4,FALSE)</f>
        <v/>
      </c>
      <c r="AY58" s="12">
        <f>MIN(MAX(MktMin19plus,BS57*MktPct19plus),MAX(0,CG57-CashBuffer))</f>
        <v/>
      </c>
      <c r="AZ58" s="12">
        <f>IF(AY58&gt;0,MAX(1,ROUND(AY58/CAC*AV58,0)),0)</f>
        <v/>
      </c>
      <c r="BA58" s="12">
        <f>IF(AZ58&gt;0,ROUND(AZ58*ReferralMix/(1-ReferralMix),0),0)</f>
        <v/>
      </c>
      <c r="BB58" s="12">
        <f>AZ58+BA58</f>
        <v/>
      </c>
      <c r="BC58" s="12">
        <f>ROUND(BB58*(1-AnnualMix),0)</f>
        <v/>
      </c>
      <c r="BD58" s="12">
        <f>BB58-BC58</f>
        <v/>
      </c>
      <c r="BE58" s="12">
        <f>ROUND(BC58*EssentialMix,0)</f>
        <v/>
      </c>
      <c r="BF58" s="12">
        <f>BC58-BE58</f>
        <v/>
      </c>
      <c r="BG58" s="12">
        <f>ROUND(BD58*EssentialMix,0)</f>
        <v/>
      </c>
      <c r="BH58" s="12">
        <f>BD58-BG58</f>
        <v/>
      </c>
      <c r="BI58" s="12">
        <f>BE58+BE57+BE56+MAX(0,BI57-BE57-BE56)*(1-AX58)</f>
        <v/>
      </c>
      <c r="BJ58" s="12">
        <f>BF58+BF57+BF56+MAX(0,BJ57-BF57-BF56)*(1-AX58)</f>
        <v/>
      </c>
      <c r="BK58" s="12">
        <f>BK57+BG58-BG46*(AnnualChurn*VLOOKUP(AT58,ChurnSeasonTable,4,FALSE))*POWER(1-(AnnualChurn*VLOOKUP(AT58,ChurnSeasonTable,4,FALSE)),0)+BG34*(AnnualChurn*VLOOKUP(AT58,ChurnSeasonTable,4,FALSE))*POWER(1-(AnnualChurn*VLOOKUP(AT58,ChurnSeasonTable,4,FALSE)),1)+BG22*(AnnualChurn*VLOOKUP(AT58,ChurnSeasonTable,4,FALSE))*POWER(1-(AnnualChurn*VLOOKUP(AT58,ChurnSeasonTable,4,FALSE)),2)+BG10*(AnnualChurn*VLOOKUP(AT58,ChurnSeasonTable,4,FALSE))*POWER(1-(AnnualChurn*VLOOKUP(AT58,ChurnSeasonTable,4,FALSE)),3)</f>
        <v/>
      </c>
      <c r="BL58" s="12">
        <f>BL57+BH58-BH46*(AnnualChurn*VLOOKUP(AT58,ChurnSeasonTable,4,FALSE))*POWER(1-(AnnualChurn*VLOOKUP(AT58,ChurnSeasonTable,4,FALSE)),0)+BH34*(AnnualChurn*VLOOKUP(AT58,ChurnSeasonTable,4,FALSE))*POWER(1-(AnnualChurn*VLOOKUP(AT58,ChurnSeasonTable,4,FALSE)),1)+BH22*(AnnualChurn*VLOOKUP(AT58,ChurnSeasonTable,4,FALSE))*POWER(1-(AnnualChurn*VLOOKUP(AT58,ChurnSeasonTable,4,FALSE)),2)+BH10*(AnnualChurn*VLOOKUP(AT58,ChurnSeasonTable,4,FALSE))*POWER(1-(AnnualChurn*VLOOKUP(AT58,ChurnSeasonTable,4,FALSE)),3)</f>
        <v/>
      </c>
      <c r="BM58" s="12">
        <f>BI58+BJ58+BK58+BL58</f>
        <v/>
      </c>
      <c r="BN58" s="9">
        <f>BI58*PriceEssMonthly*AW58+BJ58*PricePremMonthly*AW58+BK58*PriceEssAnnual*AW58/12+BL58*PricePremAnnual*AW58/12</f>
        <v/>
      </c>
      <c r="BO58" s="9">
        <f>BN58*12</f>
        <v/>
      </c>
      <c r="BP58" s="12">
        <f>BI58*PriceEssMonthly*AW58+BJ58*PricePremMonthly*AW58</f>
        <v/>
      </c>
      <c r="BQ58" s="12">
        <f>BG58*PriceEssAnnual*AW58+BH58*PricePremAnnual*AW58</f>
        <v/>
      </c>
      <c r="BR58" s="12">
        <f>BG46*POWER(1-(AnnualChurn*VLOOKUP(AT58,ChurnSeasonTable,4,FALSE)),1)*PriceEssAnnual*AW58+BG34*POWER(1-(AnnualChurn*VLOOKUP(AT58,ChurnSeasonTable,4,FALSE)),2)*PriceEssAnnual*AW58+BG22*POWER(1-(AnnualChurn*VLOOKUP(AT58,ChurnSeasonTable,4,FALSE)),3)*PriceEssAnnual*AW58+BG10*POWER(1-(AnnualChurn*VLOOKUP(AT58,ChurnSeasonTable,4,FALSE)),4)*PriceEssAnnual*AW58+BH46*POWER(1-(AnnualChurn*VLOOKUP(AT58,ChurnSeasonTable,4,FALSE)),1)*PricePremAnnual*AW58+BH34*POWER(1-(AnnualChurn*VLOOKUP(AT58,ChurnSeasonTable,4,FALSE)),2)*PricePremAnnual*AW58+BH22*POWER(1-(AnnualChurn*VLOOKUP(AT58,ChurnSeasonTable,4,FALSE)),3)*PricePremAnnual*AW58+BH10*POWER(1-(AnnualChurn*VLOOKUP(AT58,ChurnSeasonTable,4,FALSE)),4)*PricePremAnnual*AW58</f>
        <v/>
      </c>
      <c r="BS58" s="9">
        <f>BP58+BQ58+BR58</f>
        <v/>
      </c>
      <c r="BT58" s="12">
        <f>SUM(BS47:BS58)</f>
        <v/>
      </c>
      <c r="BU58" s="12">
        <f>OR(BU57,BT58&gt;=VATThreshold)</f>
        <v/>
      </c>
      <c r="BV58" s="9">
        <f>IF(BU58,BS58/(1+VATRate),BS58)</f>
        <v/>
      </c>
      <c r="BW58" s="12">
        <f>BS58-BV58</f>
        <v/>
      </c>
      <c r="BX58" s="12">
        <f>IF(BU58=0,0,IF(AT58=1,SUMPRODUCT(--(($AU$5:$AU58=$AU58-1)*($AT$5:$AT58&gt;=10)*($AT$5:$AT58&lt;=12)),$BW$5:$BW58),IF(AT58=4,SUMPRODUCT(--(($AU$5:$AU58=$AU58)*($AT$5:$AT58&gt;=1)*($AT$5:$AT58&lt;=3)),$BW$5:$BW58),IF(AT58=7,SUMPRODUCT(--(($AU$5:$AU58=$AU58)*($AT$5:$AT58&gt;=4)*($AT$5:$AT58&lt;=6)),$BW$5:$BW58),IF(AT58=10,SUMPRODUCT(--(($AU$5:$AU58=$AU58)*($AT$5:$AT58&gt;=7)*($AT$5:$AT58&lt;=9)),$BW$5:$BW58),0)))))</f>
        <v/>
      </c>
      <c r="BY58" s="12">
        <f>BY57+BW58-BX58</f>
        <v/>
      </c>
      <c r="BZ58" s="12">
        <f>IF(ProviderDelay&gt;=1,BV57*ProviderShare,BV58*ProviderShare)</f>
        <v/>
      </c>
      <c r="CA58" s="12">
        <f>BS58*PaymentFee</f>
        <v/>
      </c>
      <c r="CB58" s="12">
        <f>BM58*OpsAI</f>
        <v/>
      </c>
      <c r="CC58" s="12">
        <f>MonthlyFixed</f>
        <v/>
      </c>
      <c r="CD58" s="12">
        <f>BA58*ReferralReward</f>
        <v/>
      </c>
      <c r="CE58" s="12">
        <f>AY58</f>
        <v/>
      </c>
      <c r="CF58" s="9">
        <f>BV58-BZ58-CA58-CB58-CC58-CD58-CE58</f>
        <v/>
      </c>
      <c r="CG58" s="9">
        <f>CG57+BS58-(BZ58+CA58+CB58+CC58+CD58+CE58+BX58)</f>
        <v/>
      </c>
      <c r="CH58" s="12">
        <f>IF(BM58&gt;0,BN58/BM58,0)</f>
        <v/>
      </c>
      <c r="CI58" s="11">
        <f>IF(BM57&gt;0,MAX(0,(BM57+BB58-BM58)/BM57),0)</f>
        <v/>
      </c>
      <c r="CK58" s="12" t="n">
        <v>54</v>
      </c>
      <c r="CL58" s="12">
        <f>MOD(CK58-1+LaunchMonth-1,12)+1</f>
        <v/>
      </c>
      <c r="CM58" s="12">
        <f>INT((CK58-1+LaunchMonth-1)/12)+1</f>
        <v/>
      </c>
      <c r="CN58" s="12">
        <f>VLOOKUP(CL58,SeasonTable,2,FALSE)</f>
        <v/>
      </c>
      <c r="CO58" s="12">
        <f>(1+InflationRate)^INT((CK58-1)/12)</f>
        <v/>
      </c>
      <c r="CP58" s="11">
        <f>'Sens - Scenarios'!$D$5*VLOOKUP(CL58,ChurnSeasonTable,4,FALSE)</f>
        <v/>
      </c>
      <c r="CQ58" s="12">
        <f>MIN(MAX(MktMin19plus,DK57*MktPct19plus),MAX(0,DY57-CashBuffer))</f>
        <v/>
      </c>
      <c r="CR58" s="12">
        <f>IF(CQ58&gt;0,MAX(1,ROUND(CQ58/'Sens - Scenarios'!$D$8*CN58,0)),0)</f>
        <v/>
      </c>
      <c r="CS58" s="12">
        <f>IF(CR58&gt;0,ROUND(CR58*ReferralMix/(1-ReferralMix),0),0)</f>
        <v/>
      </c>
      <c r="CT58" s="12">
        <f>CR58+CS58</f>
        <v/>
      </c>
      <c r="CU58" s="12">
        <f>ROUND(CT58*(1-'Sens - Scenarios'!$D$7),0)</f>
        <v/>
      </c>
      <c r="CV58" s="12">
        <f>CT58-CU58</f>
        <v/>
      </c>
      <c r="CW58" s="12">
        <f>ROUND(CU58*EssentialMix,0)</f>
        <v/>
      </c>
      <c r="CX58" s="12">
        <f>CU58-CW58</f>
        <v/>
      </c>
      <c r="CY58" s="12">
        <f>ROUND(CV58*EssentialMix,0)</f>
        <v/>
      </c>
      <c r="CZ58" s="12">
        <f>CV58-CY58</f>
        <v/>
      </c>
      <c r="DA58" s="12">
        <f>CW58+CW57+CW56+MAX(0,DA57-CW57-CW56)*(1-CP58)</f>
        <v/>
      </c>
      <c r="DB58" s="12">
        <f>CX58+CX57+CX56+MAX(0,DB57-CX57-CX56)*(1-CP58)</f>
        <v/>
      </c>
      <c r="DC58" s="12">
        <f>DC57+CY58-CY46*('Sens - Scenarios'!$D$6*VLOOKUP(CL58,ChurnSeasonTable,4,FALSE))*POWER(1-('Sens - Scenarios'!$D$6*VLOOKUP(CL58,ChurnSeasonTable,4,FALSE)),0)+CY34*('Sens - Scenarios'!$D$6*VLOOKUP(CL58,ChurnSeasonTable,4,FALSE))*POWER(1-('Sens - Scenarios'!$D$6*VLOOKUP(CL58,ChurnSeasonTable,4,FALSE)),1)+CY22*('Sens - Scenarios'!$D$6*VLOOKUP(CL58,ChurnSeasonTable,4,FALSE))*POWER(1-('Sens - Scenarios'!$D$6*VLOOKUP(CL58,ChurnSeasonTable,4,FALSE)),2)+CY10*('Sens - Scenarios'!$D$6*VLOOKUP(CL58,ChurnSeasonTable,4,FALSE))*POWER(1-('Sens - Scenarios'!$D$6*VLOOKUP(CL58,ChurnSeasonTable,4,FALSE)),3)</f>
        <v/>
      </c>
      <c r="DD58" s="12">
        <f>DD57+CZ58-CZ46*('Sens - Scenarios'!$D$6*VLOOKUP(CL58,ChurnSeasonTable,4,FALSE))*POWER(1-('Sens - Scenarios'!$D$6*VLOOKUP(CL58,ChurnSeasonTable,4,FALSE)),0)+CZ34*('Sens - Scenarios'!$D$6*VLOOKUP(CL58,ChurnSeasonTable,4,FALSE))*POWER(1-('Sens - Scenarios'!$D$6*VLOOKUP(CL58,ChurnSeasonTable,4,FALSE)),1)+CZ22*('Sens - Scenarios'!$D$6*VLOOKUP(CL58,ChurnSeasonTable,4,FALSE))*POWER(1-('Sens - Scenarios'!$D$6*VLOOKUP(CL58,ChurnSeasonTable,4,FALSE)),2)+CZ10*('Sens - Scenarios'!$D$6*VLOOKUP(CL58,ChurnSeasonTable,4,FALSE))*POWER(1-('Sens - Scenarios'!$D$6*VLOOKUP(CL58,ChurnSeasonTable,4,FALSE)),3)</f>
        <v/>
      </c>
      <c r="DE58" s="12">
        <f>DA58+DB58+DC58+DD58</f>
        <v/>
      </c>
      <c r="DF58" s="9">
        <f>DA58*PriceEssMonthly*CO58+DB58*PricePremMonthly*CO58+DC58*PriceEssAnnual*CO58/12+DD58*PricePremAnnual*CO58/12</f>
        <v/>
      </c>
      <c r="DG58" s="9">
        <f>DF58*12</f>
        <v/>
      </c>
      <c r="DH58" s="12">
        <f>DA58*PriceEssMonthly*CO58+DB58*PricePremMonthly*CO58</f>
        <v/>
      </c>
      <c r="DI58" s="12">
        <f>CY58*PriceEssAnnual*CO58+CZ58*PricePremAnnual*CO58</f>
        <v/>
      </c>
      <c r="DJ58" s="12">
        <f>CY46*POWER(1-('Sens - Scenarios'!$D$6*VLOOKUP(CL58,ChurnSeasonTable,4,FALSE)),1)*PriceEssAnnual*CO58+CY34*POWER(1-('Sens - Scenarios'!$D$6*VLOOKUP(CL58,ChurnSeasonTable,4,FALSE)),2)*PriceEssAnnual*CO58+CY22*POWER(1-('Sens - Scenarios'!$D$6*VLOOKUP(CL58,ChurnSeasonTable,4,FALSE)),3)*PriceEssAnnual*CO58+CY10*POWER(1-('Sens - Scenarios'!$D$6*VLOOKUP(CL58,ChurnSeasonTable,4,FALSE)),4)*PriceEssAnnual*CO58+CZ46*POWER(1-('Sens - Scenarios'!$D$6*VLOOKUP(CL58,ChurnSeasonTable,4,FALSE)),1)*PricePremAnnual*CO58+CZ34*POWER(1-('Sens - Scenarios'!$D$6*VLOOKUP(CL58,ChurnSeasonTable,4,FALSE)),2)*PricePremAnnual*CO58+CZ22*POWER(1-('Sens - Scenarios'!$D$6*VLOOKUP(CL58,ChurnSeasonTable,4,FALSE)),3)*PricePremAnnual*CO58+CZ10*POWER(1-('Sens - Scenarios'!$D$6*VLOOKUP(CL58,ChurnSeasonTable,4,FALSE)),4)*PricePremAnnual*CO58</f>
        <v/>
      </c>
      <c r="DK58" s="9">
        <f>DH58+DI58+DJ58</f>
        <v/>
      </c>
      <c r="DL58" s="12">
        <f>SUM(DK47:DK58)</f>
        <v/>
      </c>
      <c r="DM58" s="12">
        <f>OR(DM57,DL58&gt;=VATThreshold)</f>
        <v/>
      </c>
      <c r="DN58" s="9">
        <f>IF(DM58,DK58/(1+VATRate),DK58)</f>
        <v/>
      </c>
      <c r="DO58" s="12">
        <f>DK58-DN58</f>
        <v/>
      </c>
      <c r="DP58" s="12">
        <f>IF(DM58=0,0,IF(CL58=1,SUMPRODUCT(--(($CM$5:$CM58=$CM58-1)*($CL$5:$CL58&gt;=10)*($CL$5:$CL58&lt;=12)),$DO$5:$DO58),IF(CL58=4,SUMPRODUCT(--(($CM$5:$CM58=$CM58)*($CL$5:$CL58&gt;=1)*($CL$5:$CL58&lt;=3)),$DO$5:$DO58),IF(CL58=7,SUMPRODUCT(--(($CM$5:$CM58=$CM58)*($CL$5:$CL58&gt;=4)*($CL$5:$CL58&lt;=6)),$DO$5:$DO58),IF(CL58=10,SUMPRODUCT(--(($CM$5:$CM58=$CM58)*($CL$5:$CL58&gt;=7)*($CL$5:$CL58&lt;=9)),$DO$5:$DO58),0)))))</f>
        <v/>
      </c>
      <c r="DQ58" s="12">
        <f>DQ57+DO58-DP58</f>
        <v/>
      </c>
      <c r="DR58" s="12">
        <f>IF(ProviderDelay&gt;=1,DN57*ProviderShare,DN58*ProviderShare)</f>
        <v/>
      </c>
      <c r="DS58" s="12">
        <f>DK58*PaymentFee</f>
        <v/>
      </c>
      <c r="DT58" s="12">
        <f>DE58*OpsAI</f>
        <v/>
      </c>
      <c r="DU58" s="12">
        <f>MonthlyFixed</f>
        <v/>
      </c>
      <c r="DV58" s="12">
        <f>CS58*ReferralReward</f>
        <v/>
      </c>
      <c r="DW58" s="12">
        <f>CQ58</f>
        <v/>
      </c>
      <c r="DX58" s="9">
        <f>DN58-DR58-DS58-DT58-DU58-DV58-DW58</f>
        <v/>
      </c>
      <c r="DY58" s="9">
        <f>DY57+DK58-(DR58+DS58+DT58+DU58+DV58+DW58+DP58)</f>
        <v/>
      </c>
      <c r="DZ58" s="12">
        <f>IF(DE58&gt;0,DF58/DE58,0)</f>
        <v/>
      </c>
      <c r="EA58" s="11">
        <f>IF(DE57&gt;0,MAX(0,(DE57+CT58-DE58)/DE57),0)</f>
        <v/>
      </c>
      <c r="EC58" s="12" t="n">
        <v>54</v>
      </c>
      <c r="ED58" s="12">
        <f>MOD(EC58-1+LaunchMonth-1,12)+1</f>
        <v/>
      </c>
      <c r="EE58" s="12">
        <f>INT((EC58-1+LaunchMonth-1)/12)+1</f>
        <v/>
      </c>
      <c r="EF58" s="12">
        <f>VLOOKUP(ED58,SeasonTable,2,FALSE)</f>
        <v/>
      </c>
      <c r="EG58" s="12">
        <f>(1+InflationRate)^INT((EC58-1)/12)</f>
        <v/>
      </c>
      <c r="EH58" s="11">
        <f>'Sens - Churn'!$A$13*VLOOKUP(ED58,ChurnSeasonTable,4,FALSE)</f>
        <v/>
      </c>
      <c r="EI58" s="12">
        <f>MIN(MAX(MktMin19plus,FC57*MktPct19plus),MAX(0,FQ57-CashBuffer))</f>
        <v/>
      </c>
      <c r="EJ58" s="12">
        <f>IF(EI58&gt;0,MAX(1,ROUND(EI58/CAC*EF58,0)),0)</f>
        <v/>
      </c>
      <c r="EK58" s="12">
        <f>IF(EJ58&gt;0,ROUND(EJ58*ReferralMix/(1-ReferralMix),0),0)</f>
        <v/>
      </c>
      <c r="EL58" s="12">
        <f>EJ58+EK58</f>
        <v/>
      </c>
      <c r="EM58" s="12">
        <f>ROUND(EL58*(1-AnnualMix),0)</f>
        <v/>
      </c>
      <c r="EN58" s="12">
        <f>EL58-EM58</f>
        <v/>
      </c>
      <c r="EO58" s="12">
        <f>ROUND(EM58*EssentialMix,0)</f>
        <v/>
      </c>
      <c r="EP58" s="12">
        <f>EM58-EO58</f>
        <v/>
      </c>
      <c r="EQ58" s="12">
        <f>ROUND(EN58*EssentialMix,0)</f>
        <v/>
      </c>
      <c r="ER58" s="12">
        <f>EN58-EQ58</f>
        <v/>
      </c>
      <c r="ES58" s="12">
        <f>EO58+EO57+EO56+MAX(0,ES57-EO57-EO56)*(1-EH58)</f>
        <v/>
      </c>
      <c r="ET58" s="12">
        <f>EP58+EP57+EP56+MAX(0,ET57-EP57-EP56)*(1-EH58)</f>
        <v/>
      </c>
      <c r="EU58" s="12">
        <f>EU57+EQ58-EQ46*(AnnualChurn*VLOOKUP(ED58,ChurnSeasonTable,4,FALSE))*POWER(1-(AnnualChurn*VLOOKUP(ED58,ChurnSeasonTable,4,FALSE)),0)+EQ34*(AnnualChurn*VLOOKUP(ED58,ChurnSeasonTable,4,FALSE))*POWER(1-(AnnualChurn*VLOOKUP(ED58,ChurnSeasonTable,4,FALSE)),1)+EQ22*(AnnualChurn*VLOOKUP(ED58,ChurnSeasonTable,4,FALSE))*POWER(1-(AnnualChurn*VLOOKUP(ED58,ChurnSeasonTable,4,FALSE)),2)+EQ10*(AnnualChurn*VLOOKUP(ED58,ChurnSeasonTable,4,FALSE))*POWER(1-(AnnualChurn*VLOOKUP(ED58,ChurnSeasonTable,4,FALSE)),3)</f>
        <v/>
      </c>
      <c r="EV58" s="12">
        <f>EV57+ER58-ER46*(AnnualChurn*VLOOKUP(ED58,ChurnSeasonTable,4,FALSE))*POWER(1-(AnnualChurn*VLOOKUP(ED58,ChurnSeasonTable,4,FALSE)),0)+ER34*(AnnualChurn*VLOOKUP(ED58,ChurnSeasonTable,4,FALSE))*POWER(1-(AnnualChurn*VLOOKUP(ED58,ChurnSeasonTable,4,FALSE)),1)+ER22*(AnnualChurn*VLOOKUP(ED58,ChurnSeasonTable,4,FALSE))*POWER(1-(AnnualChurn*VLOOKUP(ED58,ChurnSeasonTable,4,FALSE)),2)+ER10*(AnnualChurn*VLOOKUP(ED58,ChurnSeasonTable,4,FALSE))*POWER(1-(AnnualChurn*VLOOKUP(ED58,ChurnSeasonTable,4,FALSE)),3)</f>
        <v/>
      </c>
      <c r="EW58" s="12">
        <f>ES58+ET58+EU58+EV58</f>
        <v/>
      </c>
      <c r="EX58" s="9">
        <f>ES58*PriceEssMonthly*EG58+ET58*PricePremMonthly*EG58+EU58*PriceEssAnnual*EG58/12+EV58*PricePremAnnual*EG58/12</f>
        <v/>
      </c>
      <c r="EY58" s="9">
        <f>EX58*12</f>
        <v/>
      </c>
      <c r="EZ58" s="12">
        <f>ES58*PriceEssMonthly*EG58+ET58*PricePremMonthly*EG58</f>
        <v/>
      </c>
      <c r="FA58" s="12">
        <f>EQ58*PriceEssAnnual*EG58+ER58*PricePremAnnual*EG58</f>
        <v/>
      </c>
      <c r="FB58" s="12">
        <f>EQ46*POWER(1-(AnnualChurn*VLOOKUP(ED58,ChurnSeasonTable,4,FALSE)),1)*PriceEssAnnual*EG58+EQ34*POWER(1-(AnnualChurn*VLOOKUP(ED58,ChurnSeasonTable,4,FALSE)),2)*PriceEssAnnual*EG58+EQ22*POWER(1-(AnnualChurn*VLOOKUP(ED58,ChurnSeasonTable,4,FALSE)),3)*PriceEssAnnual*EG58+EQ10*POWER(1-(AnnualChurn*VLOOKUP(ED58,ChurnSeasonTable,4,FALSE)),4)*PriceEssAnnual*EG58+ER46*POWER(1-(AnnualChurn*VLOOKUP(ED58,ChurnSeasonTable,4,FALSE)),1)*PricePremAnnual*EG58+ER34*POWER(1-(AnnualChurn*VLOOKUP(ED58,ChurnSeasonTable,4,FALSE)),2)*PricePremAnnual*EG58+ER22*POWER(1-(AnnualChurn*VLOOKUP(ED58,ChurnSeasonTable,4,FALSE)),3)*PricePremAnnual*EG58+ER10*POWER(1-(AnnualChurn*VLOOKUP(ED58,ChurnSeasonTable,4,FALSE)),4)*PricePremAnnual*EG58</f>
        <v/>
      </c>
      <c r="FC58" s="9">
        <f>EZ58+FA58+FB58</f>
        <v/>
      </c>
      <c r="FD58" s="12">
        <f>SUM(FC47:FC58)</f>
        <v/>
      </c>
      <c r="FE58" s="12">
        <f>OR(FE57,FD58&gt;=VATThreshold)</f>
        <v/>
      </c>
      <c r="FF58" s="9">
        <f>IF(FE58,FC58/(1+VATRate),FC58)</f>
        <v/>
      </c>
      <c r="FG58" s="12">
        <f>FC58-FF58</f>
        <v/>
      </c>
      <c r="FH58" s="12">
        <f>IF(FE58=0,0,IF(ED58=1,SUMPRODUCT(--(($EE$5:$EE58=$EE58-1)*($ED$5:$ED58&gt;=10)*($ED$5:$ED58&lt;=12)),$FG$5:$FG58),IF(ED58=4,SUMPRODUCT(--(($EE$5:$EE58=$EE58)*($ED$5:$ED58&gt;=1)*($ED$5:$ED58&lt;=3)),$FG$5:$FG58),IF(ED58=7,SUMPRODUCT(--(($EE$5:$EE58=$EE58)*($ED$5:$ED58&gt;=4)*($ED$5:$ED58&lt;=6)),$FG$5:$FG58),IF(ED58=10,SUMPRODUCT(--(($EE$5:$EE58=$EE58)*($ED$5:$ED58&gt;=7)*($ED$5:$ED58&lt;=9)),$FG$5:$FG58),0)))))</f>
        <v/>
      </c>
      <c r="FI58" s="12">
        <f>FI57+FG58-FH58</f>
        <v/>
      </c>
      <c r="FJ58" s="12">
        <f>IF(ProviderDelay&gt;=1,FF57*ProviderShare,FF58*ProviderShare)</f>
        <v/>
      </c>
      <c r="FK58" s="12">
        <f>FC58*PaymentFee</f>
        <v/>
      </c>
      <c r="FL58" s="12">
        <f>EW58*OpsAI</f>
        <v/>
      </c>
      <c r="FM58" s="12">
        <f>MonthlyFixed</f>
        <v/>
      </c>
      <c r="FN58" s="12">
        <f>EK58*ReferralReward</f>
        <v/>
      </c>
      <c r="FO58" s="12">
        <f>EI58</f>
        <v/>
      </c>
      <c r="FP58" s="9">
        <f>FF58-FJ58-FK58-FL58-FM58-FN58-FO58</f>
        <v/>
      </c>
      <c r="FQ58" s="9">
        <f>FQ57+FC58-(FJ58+FK58+FL58+FM58+FN58+FO58+FH58)</f>
        <v/>
      </c>
      <c r="FR58" s="12">
        <f>IF(EW58&gt;0,EX58/EW58,0)</f>
        <v/>
      </c>
      <c r="FS58" s="11">
        <f>IF(EW57&gt;0,MAX(0,(EW57+EL58-EW58)/EW57),0)</f>
        <v/>
      </c>
      <c r="FU58" s="12" t="n">
        <v>54</v>
      </c>
      <c r="FV58" s="12">
        <f>MOD(FU58-1+LaunchMonth-1,12)+1</f>
        <v/>
      </c>
      <c r="FW58" s="12">
        <f>INT((FU58-1+LaunchMonth-1)/12)+1</f>
        <v/>
      </c>
      <c r="FX58" s="12">
        <f>VLOOKUP(FV58,SeasonTable,2,FALSE)</f>
        <v/>
      </c>
      <c r="FY58" s="12">
        <f>(1+InflationRate)^INT((FU58-1)/12)</f>
        <v/>
      </c>
      <c r="FZ58" s="11">
        <f>'Sens - Churn'!$A$14*VLOOKUP(FV58,ChurnSeasonTable,4,FALSE)</f>
        <v/>
      </c>
      <c r="GA58" s="12">
        <f>MIN(MAX(MktMin19plus,GU57*MktPct19plus),MAX(0,HI57-CashBuffer))</f>
        <v/>
      </c>
      <c r="GB58" s="12">
        <f>IF(GA58&gt;0,MAX(1,ROUND(GA58/CAC*FX58,0)),0)</f>
        <v/>
      </c>
      <c r="GC58" s="12">
        <f>IF(GB58&gt;0,ROUND(GB58*ReferralMix/(1-ReferralMix),0),0)</f>
        <v/>
      </c>
      <c r="GD58" s="12">
        <f>GB58+GC58</f>
        <v/>
      </c>
      <c r="GE58" s="12">
        <f>ROUND(GD58*(1-AnnualMix),0)</f>
        <v/>
      </c>
      <c r="GF58" s="12">
        <f>GD58-GE58</f>
        <v/>
      </c>
      <c r="GG58" s="12">
        <f>ROUND(GE58*EssentialMix,0)</f>
        <v/>
      </c>
      <c r="GH58" s="12">
        <f>GE58-GG58</f>
        <v/>
      </c>
      <c r="GI58" s="12">
        <f>ROUND(GF58*EssentialMix,0)</f>
        <v/>
      </c>
      <c r="GJ58" s="12">
        <f>GF58-GI58</f>
        <v/>
      </c>
      <c r="GK58" s="12">
        <f>GG58+GG57+GG56+MAX(0,GK57-GG57-GG56)*(1-FZ58)</f>
        <v/>
      </c>
      <c r="GL58" s="12">
        <f>GH58+GH57+GH56+MAX(0,GL57-GH57-GH56)*(1-FZ58)</f>
        <v/>
      </c>
      <c r="GM58" s="12">
        <f>GM57+GI58-GI46*(AnnualChurn*VLOOKUP(FV58,ChurnSeasonTable,4,FALSE))*POWER(1-(AnnualChurn*VLOOKUP(FV58,ChurnSeasonTable,4,FALSE)),0)+GI34*(AnnualChurn*VLOOKUP(FV58,ChurnSeasonTable,4,FALSE))*POWER(1-(AnnualChurn*VLOOKUP(FV58,ChurnSeasonTable,4,FALSE)),1)+GI22*(AnnualChurn*VLOOKUP(FV58,ChurnSeasonTable,4,FALSE))*POWER(1-(AnnualChurn*VLOOKUP(FV58,ChurnSeasonTable,4,FALSE)),2)+GI10*(AnnualChurn*VLOOKUP(FV58,ChurnSeasonTable,4,FALSE))*POWER(1-(AnnualChurn*VLOOKUP(FV58,ChurnSeasonTable,4,FALSE)),3)</f>
        <v/>
      </c>
      <c r="GN58" s="12">
        <f>GN57+GJ58-GJ46*(AnnualChurn*VLOOKUP(FV58,ChurnSeasonTable,4,FALSE))*POWER(1-(AnnualChurn*VLOOKUP(FV58,ChurnSeasonTable,4,FALSE)),0)+GJ34*(AnnualChurn*VLOOKUP(FV58,ChurnSeasonTable,4,FALSE))*POWER(1-(AnnualChurn*VLOOKUP(FV58,ChurnSeasonTable,4,FALSE)),1)+GJ22*(AnnualChurn*VLOOKUP(FV58,ChurnSeasonTable,4,FALSE))*POWER(1-(AnnualChurn*VLOOKUP(FV58,ChurnSeasonTable,4,FALSE)),2)+GJ10*(AnnualChurn*VLOOKUP(FV58,ChurnSeasonTable,4,FALSE))*POWER(1-(AnnualChurn*VLOOKUP(FV58,ChurnSeasonTable,4,FALSE)),3)</f>
        <v/>
      </c>
      <c r="GO58" s="12">
        <f>GK58+GL58+GM58+GN58</f>
        <v/>
      </c>
      <c r="GP58" s="9">
        <f>GK58*PriceEssMonthly*FY58+GL58*PricePremMonthly*FY58+GM58*PriceEssAnnual*FY58/12+GN58*PricePremAnnual*FY58/12</f>
        <v/>
      </c>
      <c r="GQ58" s="9">
        <f>GP58*12</f>
        <v/>
      </c>
      <c r="GR58" s="12">
        <f>GK58*PriceEssMonthly*FY58+GL58*PricePremMonthly*FY58</f>
        <v/>
      </c>
      <c r="GS58" s="12">
        <f>GI58*PriceEssAnnual*FY58+GJ58*PricePremAnnual*FY58</f>
        <v/>
      </c>
      <c r="GT58" s="12">
        <f>GI46*POWER(1-(AnnualChurn*VLOOKUP(FV58,ChurnSeasonTable,4,FALSE)),1)*PriceEssAnnual*FY58+GI34*POWER(1-(AnnualChurn*VLOOKUP(FV58,ChurnSeasonTable,4,FALSE)),2)*PriceEssAnnual*FY58+GI22*POWER(1-(AnnualChurn*VLOOKUP(FV58,ChurnSeasonTable,4,FALSE)),3)*PriceEssAnnual*FY58+GI10*POWER(1-(AnnualChurn*VLOOKUP(FV58,ChurnSeasonTable,4,FALSE)),4)*PriceEssAnnual*FY58+GJ46*POWER(1-(AnnualChurn*VLOOKUP(FV58,ChurnSeasonTable,4,FALSE)),1)*PricePremAnnual*FY58+GJ34*POWER(1-(AnnualChurn*VLOOKUP(FV58,ChurnSeasonTable,4,FALSE)),2)*PricePremAnnual*FY58+GJ22*POWER(1-(AnnualChurn*VLOOKUP(FV58,ChurnSeasonTable,4,FALSE)),3)*PricePremAnnual*FY58+GJ10*POWER(1-(AnnualChurn*VLOOKUP(FV58,ChurnSeasonTable,4,FALSE)),4)*PricePremAnnual*FY58</f>
        <v/>
      </c>
      <c r="GU58" s="9">
        <f>GR58+GS58+GT58</f>
        <v/>
      </c>
      <c r="GV58" s="12">
        <f>SUM(GU47:GU58)</f>
        <v/>
      </c>
      <c r="GW58" s="12">
        <f>OR(GW57,GV58&gt;=VATThreshold)</f>
        <v/>
      </c>
      <c r="GX58" s="9">
        <f>IF(GW58,GU58/(1+VATRate),GU58)</f>
        <v/>
      </c>
      <c r="GY58" s="12">
        <f>GU58-GX58</f>
        <v/>
      </c>
      <c r="GZ58" s="12">
        <f>IF(GW58=0,0,IF(FV58=1,SUMPRODUCT(--(($FW$5:$FW58=$FW58-1)*($FV$5:$FV58&gt;=10)*($FV$5:$FV58&lt;=12)),$GY$5:$GY58),IF(FV58=4,SUMPRODUCT(--(($FW$5:$FW58=$FW58)*($FV$5:$FV58&gt;=1)*($FV$5:$FV58&lt;=3)),$GY$5:$GY58),IF(FV58=7,SUMPRODUCT(--(($FW$5:$FW58=$FW58)*($FV$5:$FV58&gt;=4)*($FV$5:$FV58&lt;=6)),$GY$5:$GY58),IF(FV58=10,SUMPRODUCT(--(($FW$5:$FW58=$FW58)*($FV$5:$FV58&gt;=7)*($FV$5:$FV58&lt;=9)),$GY$5:$GY58),0)))))</f>
        <v/>
      </c>
      <c r="HA58" s="12">
        <f>HA57+GY58-GZ58</f>
        <v/>
      </c>
      <c r="HB58" s="12">
        <f>IF(ProviderDelay&gt;=1,GX57*ProviderShare,GX58*ProviderShare)</f>
        <v/>
      </c>
      <c r="HC58" s="12">
        <f>GU58*PaymentFee</f>
        <v/>
      </c>
      <c r="HD58" s="12">
        <f>GO58*OpsAI</f>
        <v/>
      </c>
      <c r="HE58" s="12">
        <f>MonthlyFixed</f>
        <v/>
      </c>
      <c r="HF58" s="12">
        <f>GC58*ReferralReward</f>
        <v/>
      </c>
      <c r="HG58" s="12">
        <f>GA58</f>
        <v/>
      </c>
      <c r="HH58" s="9">
        <f>GX58-HB58-HC58-HD58-HE58-HF58-HG58</f>
        <v/>
      </c>
      <c r="HI58" s="9">
        <f>HI57+GU58-(HB58+HC58+HD58+HE58+HF58+HG58+GZ58)</f>
        <v/>
      </c>
      <c r="HJ58" s="12">
        <f>IF(GO58&gt;0,GP58/GO58,0)</f>
        <v/>
      </c>
      <c r="HK58" s="11">
        <f>IF(GO57&gt;0,MAX(0,(GO57+GD58-GO58)/GO57),0)</f>
        <v/>
      </c>
      <c r="HM58" s="12" t="n">
        <v>54</v>
      </c>
      <c r="HN58" s="12">
        <f>MOD(HM58-1+LaunchMonth-1,12)+1</f>
        <v/>
      </c>
      <c r="HO58" s="12">
        <f>INT((HM58-1+LaunchMonth-1)/12)+1</f>
        <v/>
      </c>
      <c r="HP58" s="12">
        <f>VLOOKUP(HN58,SeasonTable,2,FALSE)</f>
        <v/>
      </c>
      <c r="HQ58" s="12">
        <f>(1+InflationRate)^INT((HM58-1)/12)</f>
        <v/>
      </c>
      <c r="HR58" s="11">
        <f>'Sens - Churn'!$A$15*VLOOKUP(HN58,ChurnSeasonTable,4,FALSE)</f>
        <v/>
      </c>
      <c r="HS58" s="12">
        <f>MIN(MAX(MktMin19plus,IM57*MktPct19plus),MAX(0,JA57-CashBuffer))</f>
        <v/>
      </c>
      <c r="HT58" s="12">
        <f>IF(HS58&gt;0,MAX(1,ROUND(HS58/CAC*HP58,0)),0)</f>
        <v/>
      </c>
      <c r="HU58" s="12">
        <f>IF(HT58&gt;0,ROUND(HT58*ReferralMix/(1-ReferralMix),0),0)</f>
        <v/>
      </c>
      <c r="HV58" s="12">
        <f>HT58+HU58</f>
        <v/>
      </c>
      <c r="HW58" s="12">
        <f>ROUND(HV58*(1-AnnualMix),0)</f>
        <v/>
      </c>
      <c r="HX58" s="12">
        <f>HV58-HW58</f>
        <v/>
      </c>
      <c r="HY58" s="12">
        <f>ROUND(HW58*EssentialMix,0)</f>
        <v/>
      </c>
      <c r="HZ58" s="12">
        <f>HW58-HY58</f>
        <v/>
      </c>
      <c r="IA58" s="12">
        <f>ROUND(HX58*EssentialMix,0)</f>
        <v/>
      </c>
      <c r="IB58" s="12">
        <f>HX58-IA58</f>
        <v/>
      </c>
      <c r="IC58" s="12">
        <f>HY58+HY57+HY56+MAX(0,IC57-HY57-HY56)*(1-HR58)</f>
        <v/>
      </c>
      <c r="ID58" s="12">
        <f>HZ58+HZ57+HZ56+MAX(0,ID57-HZ57-HZ56)*(1-HR58)</f>
        <v/>
      </c>
      <c r="IE58" s="12">
        <f>IE57+IA58-IA46*(AnnualChurn*VLOOKUP(HN58,ChurnSeasonTable,4,FALSE))*POWER(1-(AnnualChurn*VLOOKUP(HN58,ChurnSeasonTable,4,FALSE)),0)+IA34*(AnnualChurn*VLOOKUP(HN58,ChurnSeasonTable,4,FALSE))*POWER(1-(AnnualChurn*VLOOKUP(HN58,ChurnSeasonTable,4,FALSE)),1)+IA22*(AnnualChurn*VLOOKUP(HN58,ChurnSeasonTable,4,FALSE))*POWER(1-(AnnualChurn*VLOOKUP(HN58,ChurnSeasonTable,4,FALSE)),2)+IA10*(AnnualChurn*VLOOKUP(HN58,ChurnSeasonTable,4,FALSE))*POWER(1-(AnnualChurn*VLOOKUP(HN58,ChurnSeasonTable,4,FALSE)),3)</f>
        <v/>
      </c>
      <c r="IF58" s="12">
        <f>IF57+IB58-IB46*(AnnualChurn*VLOOKUP(HN58,ChurnSeasonTable,4,FALSE))*POWER(1-(AnnualChurn*VLOOKUP(HN58,ChurnSeasonTable,4,FALSE)),0)+IB34*(AnnualChurn*VLOOKUP(HN58,ChurnSeasonTable,4,FALSE))*POWER(1-(AnnualChurn*VLOOKUP(HN58,ChurnSeasonTable,4,FALSE)),1)+IB22*(AnnualChurn*VLOOKUP(HN58,ChurnSeasonTable,4,FALSE))*POWER(1-(AnnualChurn*VLOOKUP(HN58,ChurnSeasonTable,4,FALSE)),2)+IB10*(AnnualChurn*VLOOKUP(HN58,ChurnSeasonTable,4,FALSE))*POWER(1-(AnnualChurn*VLOOKUP(HN58,ChurnSeasonTable,4,FALSE)),3)</f>
        <v/>
      </c>
      <c r="IG58" s="12">
        <f>IC58+ID58+IE58+IF58</f>
        <v/>
      </c>
      <c r="IH58" s="9">
        <f>IC58*PriceEssMonthly*HQ58+ID58*PricePremMonthly*HQ58+IE58*PriceEssAnnual*HQ58/12+IF58*PricePremAnnual*HQ58/12</f>
        <v/>
      </c>
      <c r="II58" s="9">
        <f>IH58*12</f>
        <v/>
      </c>
      <c r="IJ58" s="12">
        <f>IC58*PriceEssMonthly*HQ58+ID58*PricePremMonthly*HQ58</f>
        <v/>
      </c>
      <c r="IK58" s="12">
        <f>IA58*PriceEssAnnual*HQ58+IB58*PricePremAnnual*HQ58</f>
        <v/>
      </c>
      <c r="IL58" s="12">
        <f>IA46*POWER(1-(AnnualChurn*VLOOKUP(HN58,ChurnSeasonTable,4,FALSE)),1)*PriceEssAnnual*HQ58+IA34*POWER(1-(AnnualChurn*VLOOKUP(HN58,ChurnSeasonTable,4,FALSE)),2)*PriceEssAnnual*HQ58+IA22*POWER(1-(AnnualChurn*VLOOKUP(HN58,ChurnSeasonTable,4,FALSE)),3)*PriceEssAnnual*HQ58+IA10*POWER(1-(AnnualChurn*VLOOKUP(HN58,ChurnSeasonTable,4,FALSE)),4)*PriceEssAnnual*HQ58+IB46*POWER(1-(AnnualChurn*VLOOKUP(HN58,ChurnSeasonTable,4,FALSE)),1)*PricePremAnnual*HQ58+IB34*POWER(1-(AnnualChurn*VLOOKUP(HN58,ChurnSeasonTable,4,FALSE)),2)*PricePremAnnual*HQ58+IB22*POWER(1-(AnnualChurn*VLOOKUP(HN58,ChurnSeasonTable,4,FALSE)),3)*PricePremAnnual*HQ58+IB10*POWER(1-(AnnualChurn*VLOOKUP(HN58,ChurnSeasonTable,4,FALSE)),4)*PricePremAnnual*HQ58</f>
        <v/>
      </c>
      <c r="IM58" s="9">
        <f>IJ58+IK58+IL58</f>
        <v/>
      </c>
      <c r="IN58" s="12">
        <f>SUM(IM47:IM58)</f>
        <v/>
      </c>
      <c r="IO58" s="12">
        <f>OR(IO57,IN58&gt;=VATThreshold)</f>
        <v/>
      </c>
      <c r="IP58" s="9">
        <f>IF(IO58,IM58/(1+VATRate),IM58)</f>
        <v/>
      </c>
      <c r="IQ58" s="12">
        <f>IM58-IP58</f>
        <v/>
      </c>
      <c r="IR58" s="12">
        <f>IF(IO58=0,0,IF(HN58=1,SUMPRODUCT(--(($HO$5:$HO58=$HO58-1)*($HN$5:$HN58&gt;=10)*($HN$5:$HN58&lt;=12)),$IQ$5:$IQ58),IF(HN58=4,SUMPRODUCT(--(($HO$5:$HO58=$HO58)*($HN$5:$HN58&gt;=1)*($HN$5:$HN58&lt;=3)),$IQ$5:$IQ58),IF(HN58=7,SUMPRODUCT(--(($HO$5:$HO58=$HO58)*($HN$5:$HN58&gt;=4)*($HN$5:$HN58&lt;=6)),$IQ$5:$IQ58),IF(HN58=10,SUMPRODUCT(--(($HO$5:$HO58=$HO58)*($HN$5:$HN58&gt;=7)*($HN$5:$HN58&lt;=9)),$IQ$5:$IQ58),0)))))</f>
        <v/>
      </c>
      <c r="IS58" s="12">
        <f>IS57+IQ58-IR58</f>
        <v/>
      </c>
      <c r="IT58" s="12">
        <f>IF(ProviderDelay&gt;=1,IP57*ProviderShare,IP58*ProviderShare)</f>
        <v/>
      </c>
      <c r="IU58" s="12">
        <f>IM58*PaymentFee</f>
        <v/>
      </c>
      <c r="IV58" s="12">
        <f>IG58*OpsAI</f>
        <v/>
      </c>
      <c r="IW58" s="12">
        <f>MonthlyFixed</f>
        <v/>
      </c>
      <c r="IX58" s="12">
        <f>HU58*ReferralReward</f>
        <v/>
      </c>
      <c r="IY58" s="12">
        <f>HS58</f>
        <v/>
      </c>
      <c r="IZ58" s="9">
        <f>IP58-IT58-IU58-IV58-IW58-IX58-IY58</f>
        <v/>
      </c>
      <c r="JA58" s="9">
        <f>JA57+IM58-(IT58+IU58+IV58+IW58+IX58+IY58+IR58)</f>
        <v/>
      </c>
      <c r="JB58" s="12">
        <f>IF(IG58&gt;0,IH58/IG58,0)</f>
        <v/>
      </c>
      <c r="JC58" s="11">
        <f>IF(IG57&gt;0,MAX(0,(IG57+HV58-IG58)/IG57),0)</f>
        <v/>
      </c>
      <c r="JE58" s="12" t="n">
        <v>54</v>
      </c>
      <c r="JF58" s="12">
        <f>MOD(JE58-1+LaunchMonth-1,12)+1</f>
        <v/>
      </c>
      <c r="JG58" s="12">
        <f>INT((JE58-1+LaunchMonth-1)/12)+1</f>
        <v/>
      </c>
      <c r="JH58" s="12">
        <f>VLOOKUP(JF58,SeasonTable,2,FALSE)</f>
        <v/>
      </c>
      <c r="JI58" s="12">
        <f>(1+InflationRate)^INT((JE58-1)/12)</f>
        <v/>
      </c>
      <c r="JJ58" s="11">
        <f>'Sens - Churn'!$A$16*VLOOKUP(JF58,ChurnSeasonTable,4,FALSE)</f>
        <v/>
      </c>
      <c r="JK58" s="12">
        <f>MIN(MAX(MktMin19plus,KE57*MktPct19plus),MAX(0,KS57-CashBuffer))</f>
        <v/>
      </c>
      <c r="JL58" s="12">
        <f>IF(JK58&gt;0,MAX(1,ROUND(JK58/CAC*JH58,0)),0)</f>
        <v/>
      </c>
      <c r="JM58" s="12">
        <f>IF(JL58&gt;0,ROUND(JL58*ReferralMix/(1-ReferralMix),0),0)</f>
        <v/>
      </c>
      <c r="JN58" s="12">
        <f>JL58+JM58</f>
        <v/>
      </c>
      <c r="JO58" s="12">
        <f>ROUND(JN58*(1-AnnualMix),0)</f>
        <v/>
      </c>
      <c r="JP58" s="12">
        <f>JN58-JO58</f>
        <v/>
      </c>
      <c r="JQ58" s="12">
        <f>ROUND(JO58*EssentialMix,0)</f>
        <v/>
      </c>
      <c r="JR58" s="12">
        <f>JO58-JQ58</f>
        <v/>
      </c>
      <c r="JS58" s="12">
        <f>ROUND(JP58*EssentialMix,0)</f>
        <v/>
      </c>
      <c r="JT58" s="12">
        <f>JP58-JS58</f>
        <v/>
      </c>
      <c r="JU58" s="12">
        <f>JQ58+JQ57+JQ56+MAX(0,JU57-JQ57-JQ56)*(1-JJ58)</f>
        <v/>
      </c>
      <c r="JV58" s="12">
        <f>JR58+JR57+JR56+MAX(0,JV57-JR57-JR56)*(1-JJ58)</f>
        <v/>
      </c>
      <c r="JW58" s="12">
        <f>JW57+JS58-JS46*(AnnualChurn*VLOOKUP(JF58,ChurnSeasonTable,4,FALSE))*POWER(1-(AnnualChurn*VLOOKUP(JF58,ChurnSeasonTable,4,FALSE)),0)+JS34*(AnnualChurn*VLOOKUP(JF58,ChurnSeasonTable,4,FALSE))*POWER(1-(AnnualChurn*VLOOKUP(JF58,ChurnSeasonTable,4,FALSE)),1)+JS22*(AnnualChurn*VLOOKUP(JF58,ChurnSeasonTable,4,FALSE))*POWER(1-(AnnualChurn*VLOOKUP(JF58,ChurnSeasonTable,4,FALSE)),2)+JS10*(AnnualChurn*VLOOKUP(JF58,ChurnSeasonTable,4,FALSE))*POWER(1-(AnnualChurn*VLOOKUP(JF58,ChurnSeasonTable,4,FALSE)),3)</f>
        <v/>
      </c>
      <c r="JX58" s="12">
        <f>JX57+JT58-JT46*(AnnualChurn*VLOOKUP(JF58,ChurnSeasonTable,4,FALSE))*POWER(1-(AnnualChurn*VLOOKUP(JF58,ChurnSeasonTable,4,FALSE)),0)+JT34*(AnnualChurn*VLOOKUP(JF58,ChurnSeasonTable,4,FALSE))*POWER(1-(AnnualChurn*VLOOKUP(JF58,ChurnSeasonTable,4,FALSE)),1)+JT22*(AnnualChurn*VLOOKUP(JF58,ChurnSeasonTable,4,FALSE))*POWER(1-(AnnualChurn*VLOOKUP(JF58,ChurnSeasonTable,4,FALSE)),2)+JT10*(AnnualChurn*VLOOKUP(JF58,ChurnSeasonTable,4,FALSE))*POWER(1-(AnnualChurn*VLOOKUP(JF58,ChurnSeasonTable,4,FALSE)),3)</f>
        <v/>
      </c>
      <c r="JY58" s="12">
        <f>JU58+JV58+JW58+JX58</f>
        <v/>
      </c>
      <c r="JZ58" s="9">
        <f>JU58*PriceEssMonthly*JI58+JV58*PricePremMonthly*JI58+JW58*PriceEssAnnual*JI58/12+JX58*PricePremAnnual*JI58/12</f>
        <v/>
      </c>
      <c r="KA58" s="9">
        <f>JZ58*12</f>
        <v/>
      </c>
      <c r="KB58" s="12">
        <f>JU58*PriceEssMonthly*JI58+JV58*PricePremMonthly*JI58</f>
        <v/>
      </c>
      <c r="KC58" s="12">
        <f>JS58*PriceEssAnnual*JI58+JT58*PricePremAnnual*JI58</f>
        <v/>
      </c>
      <c r="KD58" s="12">
        <f>JS46*POWER(1-(AnnualChurn*VLOOKUP(JF58,ChurnSeasonTable,4,FALSE)),1)*PriceEssAnnual*JI58+JS34*POWER(1-(AnnualChurn*VLOOKUP(JF58,ChurnSeasonTable,4,FALSE)),2)*PriceEssAnnual*JI58+JS22*POWER(1-(AnnualChurn*VLOOKUP(JF58,ChurnSeasonTable,4,FALSE)),3)*PriceEssAnnual*JI58+JS10*POWER(1-(AnnualChurn*VLOOKUP(JF58,ChurnSeasonTable,4,FALSE)),4)*PriceEssAnnual*JI58+JT46*POWER(1-(AnnualChurn*VLOOKUP(JF58,ChurnSeasonTable,4,FALSE)),1)*PricePremAnnual*JI58+JT34*POWER(1-(AnnualChurn*VLOOKUP(JF58,ChurnSeasonTable,4,FALSE)),2)*PricePremAnnual*JI58+JT22*POWER(1-(AnnualChurn*VLOOKUP(JF58,ChurnSeasonTable,4,FALSE)),3)*PricePremAnnual*JI58+JT10*POWER(1-(AnnualChurn*VLOOKUP(JF58,ChurnSeasonTable,4,FALSE)),4)*PricePremAnnual*JI58</f>
        <v/>
      </c>
      <c r="KE58" s="9">
        <f>KB58+KC58+KD58</f>
        <v/>
      </c>
      <c r="KF58" s="12">
        <f>SUM(KE47:KE58)</f>
        <v/>
      </c>
      <c r="KG58" s="12">
        <f>OR(KG57,KF58&gt;=VATThreshold)</f>
        <v/>
      </c>
      <c r="KH58" s="9">
        <f>IF(KG58,KE58/(1+VATRate),KE58)</f>
        <v/>
      </c>
      <c r="KI58" s="12">
        <f>KE58-KH58</f>
        <v/>
      </c>
      <c r="KJ58" s="12">
        <f>IF(KG58=0,0,IF(JF58=1,SUMPRODUCT(--(($JG$5:$JG58=$JG58-1)*($JF$5:$JF58&gt;=10)*($JF$5:$JF58&lt;=12)),$KI$5:$KI58),IF(JF58=4,SUMPRODUCT(--(($JG$5:$JG58=$JG58)*($JF$5:$JF58&gt;=1)*($JF$5:$JF58&lt;=3)),$KI$5:$KI58),IF(JF58=7,SUMPRODUCT(--(($JG$5:$JG58=$JG58)*($JF$5:$JF58&gt;=4)*($JF$5:$JF58&lt;=6)),$KI$5:$KI58),IF(JF58=10,SUMPRODUCT(--(($JG$5:$JG58=$JG58)*($JF$5:$JF58&gt;=7)*($JF$5:$JF58&lt;=9)),$KI$5:$KI58),0)))))</f>
        <v/>
      </c>
      <c r="KK58" s="12">
        <f>KK57+KI58-KJ58</f>
        <v/>
      </c>
      <c r="KL58" s="12">
        <f>IF(ProviderDelay&gt;=1,KH57*ProviderShare,KH58*ProviderShare)</f>
        <v/>
      </c>
      <c r="KM58" s="12">
        <f>KE58*PaymentFee</f>
        <v/>
      </c>
      <c r="KN58" s="12">
        <f>JY58*OpsAI</f>
        <v/>
      </c>
      <c r="KO58" s="12">
        <f>MonthlyFixed</f>
        <v/>
      </c>
      <c r="KP58" s="12">
        <f>JM58*ReferralReward</f>
        <v/>
      </c>
      <c r="KQ58" s="12">
        <f>JK58</f>
        <v/>
      </c>
      <c r="KR58" s="9">
        <f>KH58-KL58-KM58-KN58-KO58-KP58-KQ58</f>
        <v/>
      </c>
      <c r="KS58" s="9">
        <f>KS57+KE58-(KL58+KM58+KN58+KO58+KP58+KQ58+KJ58)</f>
        <v/>
      </c>
      <c r="KT58" s="12">
        <f>IF(JY58&gt;0,JZ58/JY58,0)</f>
        <v/>
      </c>
      <c r="KU58" s="11">
        <f>IF(JY57&gt;0,MAX(0,(JY57+JN58-JY58)/JY57),0)</f>
        <v/>
      </c>
      <c r="KW58" s="12" t="n">
        <v>54</v>
      </c>
      <c r="KX58" s="12">
        <f>MOD(KW58-1+LaunchMonth-1,12)+1</f>
        <v/>
      </c>
      <c r="KY58" s="12">
        <f>INT((KW58-1+LaunchMonth-1)/12)+1</f>
        <v/>
      </c>
      <c r="KZ58" s="12">
        <f>VLOOKUP(KX58,SeasonTable,2,FALSE)</f>
        <v/>
      </c>
      <c r="LA58" s="12">
        <f>(1+InflationRate)^INT((KW58-1)/12)</f>
        <v/>
      </c>
      <c r="LB58" s="11">
        <f>'Sens - Churn'!$A$17*VLOOKUP(KX58,ChurnSeasonTable,4,FALSE)</f>
        <v/>
      </c>
      <c r="LC58" s="12">
        <f>MIN(MAX(MktMin19plus,LW57*MktPct19plus),MAX(0,MK57-CashBuffer))</f>
        <v/>
      </c>
      <c r="LD58" s="12">
        <f>IF(LC58&gt;0,MAX(1,ROUND(LC58/CAC*KZ58,0)),0)</f>
        <v/>
      </c>
      <c r="LE58" s="12">
        <f>IF(LD58&gt;0,ROUND(LD58*ReferralMix/(1-ReferralMix),0),0)</f>
        <v/>
      </c>
      <c r="LF58" s="12">
        <f>LD58+LE58</f>
        <v/>
      </c>
      <c r="LG58" s="12">
        <f>ROUND(LF58*(1-AnnualMix),0)</f>
        <v/>
      </c>
      <c r="LH58" s="12">
        <f>LF58-LG58</f>
        <v/>
      </c>
      <c r="LI58" s="12">
        <f>ROUND(LG58*EssentialMix,0)</f>
        <v/>
      </c>
      <c r="LJ58" s="12">
        <f>LG58-LI58</f>
        <v/>
      </c>
      <c r="LK58" s="12">
        <f>ROUND(LH58*EssentialMix,0)</f>
        <v/>
      </c>
      <c r="LL58" s="12">
        <f>LH58-LK58</f>
        <v/>
      </c>
      <c r="LM58" s="12">
        <f>LI58+LI57+LI56+MAX(0,LM57-LI57-LI56)*(1-LB58)</f>
        <v/>
      </c>
      <c r="LN58" s="12">
        <f>LJ58+LJ57+LJ56+MAX(0,LN57-LJ57-LJ56)*(1-LB58)</f>
        <v/>
      </c>
      <c r="LO58" s="12">
        <f>LO57+LK58-LK46*(AnnualChurn*VLOOKUP(KX58,ChurnSeasonTable,4,FALSE))*POWER(1-(AnnualChurn*VLOOKUP(KX58,ChurnSeasonTable,4,FALSE)),0)+LK34*(AnnualChurn*VLOOKUP(KX58,ChurnSeasonTable,4,FALSE))*POWER(1-(AnnualChurn*VLOOKUP(KX58,ChurnSeasonTable,4,FALSE)),1)+LK22*(AnnualChurn*VLOOKUP(KX58,ChurnSeasonTable,4,FALSE))*POWER(1-(AnnualChurn*VLOOKUP(KX58,ChurnSeasonTable,4,FALSE)),2)+LK10*(AnnualChurn*VLOOKUP(KX58,ChurnSeasonTable,4,FALSE))*POWER(1-(AnnualChurn*VLOOKUP(KX58,ChurnSeasonTable,4,FALSE)),3)</f>
        <v/>
      </c>
      <c r="LP58" s="12">
        <f>LP57+LL58-LL46*(AnnualChurn*VLOOKUP(KX58,ChurnSeasonTable,4,FALSE))*POWER(1-(AnnualChurn*VLOOKUP(KX58,ChurnSeasonTable,4,FALSE)),0)+LL34*(AnnualChurn*VLOOKUP(KX58,ChurnSeasonTable,4,FALSE))*POWER(1-(AnnualChurn*VLOOKUP(KX58,ChurnSeasonTable,4,FALSE)),1)+LL22*(AnnualChurn*VLOOKUP(KX58,ChurnSeasonTable,4,FALSE))*POWER(1-(AnnualChurn*VLOOKUP(KX58,ChurnSeasonTable,4,FALSE)),2)+LL10*(AnnualChurn*VLOOKUP(KX58,ChurnSeasonTable,4,FALSE))*POWER(1-(AnnualChurn*VLOOKUP(KX58,ChurnSeasonTable,4,FALSE)),3)</f>
        <v/>
      </c>
      <c r="LQ58" s="12">
        <f>LM58+LN58+LO58+LP58</f>
        <v/>
      </c>
      <c r="LR58" s="9">
        <f>LM58*PriceEssMonthly*LA58+LN58*PricePremMonthly*LA58+LO58*PriceEssAnnual*LA58/12+LP58*PricePremAnnual*LA58/12</f>
        <v/>
      </c>
      <c r="LS58" s="9">
        <f>LR58*12</f>
        <v/>
      </c>
      <c r="LT58" s="12">
        <f>LM58*PriceEssMonthly*LA58+LN58*PricePremMonthly*LA58</f>
        <v/>
      </c>
      <c r="LU58" s="12">
        <f>LK58*PriceEssAnnual*LA58+LL58*PricePremAnnual*LA58</f>
        <v/>
      </c>
      <c r="LV58" s="12">
        <f>LK46*POWER(1-(AnnualChurn*VLOOKUP(KX58,ChurnSeasonTable,4,FALSE)),1)*PriceEssAnnual*LA58+LK34*POWER(1-(AnnualChurn*VLOOKUP(KX58,ChurnSeasonTable,4,FALSE)),2)*PriceEssAnnual*LA58+LK22*POWER(1-(AnnualChurn*VLOOKUP(KX58,ChurnSeasonTable,4,FALSE)),3)*PriceEssAnnual*LA58+LK10*POWER(1-(AnnualChurn*VLOOKUP(KX58,ChurnSeasonTable,4,FALSE)),4)*PriceEssAnnual*LA58+LL46*POWER(1-(AnnualChurn*VLOOKUP(KX58,ChurnSeasonTable,4,FALSE)),1)*PricePremAnnual*LA58+LL34*POWER(1-(AnnualChurn*VLOOKUP(KX58,ChurnSeasonTable,4,FALSE)),2)*PricePremAnnual*LA58+LL22*POWER(1-(AnnualChurn*VLOOKUP(KX58,ChurnSeasonTable,4,FALSE)),3)*PricePremAnnual*LA58+LL10*POWER(1-(AnnualChurn*VLOOKUP(KX58,ChurnSeasonTable,4,FALSE)),4)*PricePremAnnual*LA58</f>
        <v/>
      </c>
      <c r="LW58" s="9">
        <f>LT58+LU58+LV58</f>
        <v/>
      </c>
      <c r="LX58" s="12">
        <f>SUM(LW47:LW58)</f>
        <v/>
      </c>
      <c r="LY58" s="12">
        <f>OR(LY57,LX58&gt;=VATThreshold)</f>
        <v/>
      </c>
      <c r="LZ58" s="9">
        <f>IF(LY58,LW58/(1+VATRate),LW58)</f>
        <v/>
      </c>
      <c r="MA58" s="12">
        <f>LW58-LZ58</f>
        <v/>
      </c>
      <c r="MB58" s="12">
        <f>IF(LY58=0,0,IF(KX58=1,SUMPRODUCT(--(($KY$5:$KY58=$KY58-1)*($KX$5:$KX58&gt;=10)*($KX$5:$KX58&lt;=12)),$MA$5:$MA58),IF(KX58=4,SUMPRODUCT(--(($KY$5:$KY58=$KY58)*($KX$5:$KX58&gt;=1)*($KX$5:$KX58&lt;=3)),$MA$5:$MA58),IF(KX58=7,SUMPRODUCT(--(($KY$5:$KY58=$KY58)*($KX$5:$KX58&gt;=4)*($KX$5:$KX58&lt;=6)),$MA$5:$MA58),IF(KX58=10,SUMPRODUCT(--(($KY$5:$KY58=$KY58)*($KX$5:$KX58&gt;=7)*($KX$5:$KX58&lt;=9)),$MA$5:$MA58),0)))))</f>
        <v/>
      </c>
      <c r="MC58" s="12">
        <f>MC57+MA58-MB58</f>
        <v/>
      </c>
      <c r="MD58" s="12">
        <f>IF(ProviderDelay&gt;=1,LZ57*ProviderShare,LZ58*ProviderShare)</f>
        <v/>
      </c>
      <c r="ME58" s="12">
        <f>LW58*PaymentFee</f>
        <v/>
      </c>
      <c r="MF58" s="12">
        <f>LQ58*OpsAI</f>
        <v/>
      </c>
      <c r="MG58" s="12">
        <f>MonthlyFixed</f>
        <v/>
      </c>
      <c r="MH58" s="12">
        <f>LE58*ReferralReward</f>
        <v/>
      </c>
      <c r="MI58" s="12">
        <f>LC58</f>
        <v/>
      </c>
      <c r="MJ58" s="9">
        <f>LZ58-MD58-ME58-MF58-MG58-MH58-MI58</f>
        <v/>
      </c>
      <c r="MK58" s="9">
        <f>MK57+LW58-(MD58+ME58+MF58+MG58+MH58+MI58+MB58)</f>
        <v/>
      </c>
      <c r="ML58" s="12">
        <f>IF(LQ58&gt;0,LR58/LQ58,0)</f>
        <v/>
      </c>
      <c r="MM58" s="11">
        <f>IF(LQ57&gt;0,MAX(0,(LQ57+LF58-LQ58)/LQ57),0)</f>
        <v/>
      </c>
      <c r="MO58" s="12" t="n">
        <v>54</v>
      </c>
      <c r="MP58" s="12">
        <f>MOD(MO58-1+LaunchMonth-1,12)+1</f>
        <v/>
      </c>
      <c r="MQ58" s="12">
        <f>INT((MO58-1+LaunchMonth-1)/12)+1</f>
        <v/>
      </c>
      <c r="MR58" s="12">
        <f>VLOOKUP(MP58,SeasonTable,2,FALSE)</f>
        <v/>
      </c>
      <c r="MS58" s="12">
        <f>(1+InflationRate)^INT((MO58-1)/12)</f>
        <v/>
      </c>
      <c r="MT58" s="11">
        <f>'Sens - Churn'!$A$18*VLOOKUP(MP58,ChurnSeasonTable,4,FALSE)</f>
        <v/>
      </c>
      <c r="MU58" s="12">
        <f>MIN(MAX(MktMin19plus,NO57*MktPct19plus),MAX(0,OC57-CashBuffer))</f>
        <v/>
      </c>
      <c r="MV58" s="12">
        <f>IF(MU58&gt;0,MAX(1,ROUND(MU58/CAC*MR58,0)),0)</f>
        <v/>
      </c>
      <c r="MW58" s="12">
        <f>IF(MV58&gt;0,ROUND(MV58*ReferralMix/(1-ReferralMix),0),0)</f>
        <v/>
      </c>
      <c r="MX58" s="12">
        <f>MV58+MW58</f>
        <v/>
      </c>
      <c r="MY58" s="12">
        <f>ROUND(MX58*(1-AnnualMix),0)</f>
        <v/>
      </c>
      <c r="MZ58" s="12">
        <f>MX58-MY58</f>
        <v/>
      </c>
      <c r="NA58" s="12">
        <f>ROUND(MY58*EssentialMix,0)</f>
        <v/>
      </c>
      <c r="NB58" s="12">
        <f>MY58-NA58</f>
        <v/>
      </c>
      <c r="NC58" s="12">
        <f>ROUND(MZ58*EssentialMix,0)</f>
        <v/>
      </c>
      <c r="ND58" s="12">
        <f>MZ58-NC58</f>
        <v/>
      </c>
      <c r="NE58" s="12">
        <f>NA58+NA57+NA56+MAX(0,NE57-NA57-NA56)*(1-MT58)</f>
        <v/>
      </c>
      <c r="NF58" s="12">
        <f>NB58+NB57+NB56+MAX(0,NF57-NB57-NB56)*(1-MT58)</f>
        <v/>
      </c>
      <c r="NG58" s="12">
        <f>NG57+NC58-NC46*(AnnualChurn*VLOOKUP(MP58,ChurnSeasonTable,4,FALSE))*POWER(1-(AnnualChurn*VLOOKUP(MP58,ChurnSeasonTable,4,FALSE)),0)+NC34*(AnnualChurn*VLOOKUP(MP58,ChurnSeasonTable,4,FALSE))*POWER(1-(AnnualChurn*VLOOKUP(MP58,ChurnSeasonTable,4,FALSE)),1)+NC22*(AnnualChurn*VLOOKUP(MP58,ChurnSeasonTable,4,FALSE))*POWER(1-(AnnualChurn*VLOOKUP(MP58,ChurnSeasonTable,4,FALSE)),2)+NC10*(AnnualChurn*VLOOKUP(MP58,ChurnSeasonTable,4,FALSE))*POWER(1-(AnnualChurn*VLOOKUP(MP58,ChurnSeasonTable,4,FALSE)),3)</f>
        <v/>
      </c>
      <c r="NH58" s="12">
        <f>NH57+ND58-ND46*(AnnualChurn*VLOOKUP(MP58,ChurnSeasonTable,4,FALSE))*POWER(1-(AnnualChurn*VLOOKUP(MP58,ChurnSeasonTable,4,FALSE)),0)+ND34*(AnnualChurn*VLOOKUP(MP58,ChurnSeasonTable,4,FALSE))*POWER(1-(AnnualChurn*VLOOKUP(MP58,ChurnSeasonTable,4,FALSE)),1)+ND22*(AnnualChurn*VLOOKUP(MP58,ChurnSeasonTable,4,FALSE))*POWER(1-(AnnualChurn*VLOOKUP(MP58,ChurnSeasonTable,4,FALSE)),2)+ND10*(AnnualChurn*VLOOKUP(MP58,ChurnSeasonTable,4,FALSE))*POWER(1-(AnnualChurn*VLOOKUP(MP58,ChurnSeasonTable,4,FALSE)),3)</f>
        <v/>
      </c>
      <c r="NI58" s="12">
        <f>NE58+NF58+NG58+NH58</f>
        <v/>
      </c>
      <c r="NJ58" s="9">
        <f>NE58*PriceEssMonthly*MS58+NF58*PricePremMonthly*MS58+NG58*PriceEssAnnual*MS58/12+NH58*PricePremAnnual*MS58/12</f>
        <v/>
      </c>
      <c r="NK58" s="9">
        <f>NJ58*12</f>
        <v/>
      </c>
      <c r="NL58" s="12">
        <f>NE58*PriceEssMonthly*MS58+NF58*PricePremMonthly*MS58</f>
        <v/>
      </c>
      <c r="NM58" s="12">
        <f>NC58*PriceEssAnnual*MS58+ND58*PricePremAnnual*MS58</f>
        <v/>
      </c>
      <c r="NN58" s="12">
        <f>NC46*POWER(1-(AnnualChurn*VLOOKUP(MP58,ChurnSeasonTable,4,FALSE)),1)*PriceEssAnnual*MS58+NC34*POWER(1-(AnnualChurn*VLOOKUP(MP58,ChurnSeasonTable,4,FALSE)),2)*PriceEssAnnual*MS58+NC22*POWER(1-(AnnualChurn*VLOOKUP(MP58,ChurnSeasonTable,4,FALSE)),3)*PriceEssAnnual*MS58+NC10*POWER(1-(AnnualChurn*VLOOKUP(MP58,ChurnSeasonTable,4,FALSE)),4)*PriceEssAnnual*MS58+ND46*POWER(1-(AnnualChurn*VLOOKUP(MP58,ChurnSeasonTable,4,FALSE)),1)*PricePremAnnual*MS58+ND34*POWER(1-(AnnualChurn*VLOOKUP(MP58,ChurnSeasonTable,4,FALSE)),2)*PricePremAnnual*MS58+ND22*POWER(1-(AnnualChurn*VLOOKUP(MP58,ChurnSeasonTable,4,FALSE)),3)*PricePremAnnual*MS58+ND10*POWER(1-(AnnualChurn*VLOOKUP(MP58,ChurnSeasonTable,4,FALSE)),4)*PricePremAnnual*MS58</f>
        <v/>
      </c>
      <c r="NO58" s="9">
        <f>NL58+NM58+NN58</f>
        <v/>
      </c>
      <c r="NP58" s="12">
        <f>SUM(NO47:NO58)</f>
        <v/>
      </c>
      <c r="NQ58" s="12">
        <f>OR(NQ57,NP58&gt;=VATThreshold)</f>
        <v/>
      </c>
      <c r="NR58" s="9">
        <f>IF(NQ58,NO58/(1+VATRate),NO58)</f>
        <v/>
      </c>
      <c r="NS58" s="12">
        <f>NO58-NR58</f>
        <v/>
      </c>
      <c r="NT58" s="12">
        <f>IF(NQ58=0,0,IF(MP58=1,SUMPRODUCT(--(($MQ$5:$MQ58=$MQ58-1)*($MP$5:$MP58&gt;=10)*($MP$5:$MP58&lt;=12)),$NS$5:$NS58),IF(MP58=4,SUMPRODUCT(--(($MQ$5:$MQ58=$MQ58)*($MP$5:$MP58&gt;=1)*($MP$5:$MP58&lt;=3)),$NS$5:$NS58),IF(MP58=7,SUMPRODUCT(--(($MQ$5:$MQ58=$MQ58)*($MP$5:$MP58&gt;=4)*($MP$5:$MP58&lt;=6)),$NS$5:$NS58),IF(MP58=10,SUMPRODUCT(--(($MQ$5:$MQ58=$MQ58)*($MP$5:$MP58&gt;=7)*($MP$5:$MP58&lt;=9)),$NS$5:$NS58),0)))))</f>
        <v/>
      </c>
      <c r="NU58" s="12">
        <f>NU57+NS58-NT58</f>
        <v/>
      </c>
      <c r="NV58" s="12">
        <f>IF(ProviderDelay&gt;=1,NR57*ProviderShare,NR58*ProviderShare)</f>
        <v/>
      </c>
      <c r="NW58" s="12">
        <f>NO58*PaymentFee</f>
        <v/>
      </c>
      <c r="NX58" s="12">
        <f>NI58*OpsAI</f>
        <v/>
      </c>
      <c r="NY58" s="12">
        <f>MonthlyFixed</f>
        <v/>
      </c>
      <c r="NZ58" s="12">
        <f>MW58*ReferralReward</f>
        <v/>
      </c>
      <c r="OA58" s="12">
        <f>MU58</f>
        <v/>
      </c>
      <c r="OB58" s="9">
        <f>NR58-NV58-NW58-NX58-NY58-NZ58-OA58</f>
        <v/>
      </c>
      <c r="OC58" s="9">
        <f>OC57+NO58-(NV58+NW58+NX58+NY58+NZ58+OA58+NT58)</f>
        <v/>
      </c>
      <c r="OD58" s="12">
        <f>IF(NI58&gt;0,NJ58/NI58,0)</f>
        <v/>
      </c>
      <c r="OE58" s="11">
        <f>IF(NI57&gt;0,MAX(0,(NI57+MX58-NI58)/NI57),0)</f>
        <v/>
      </c>
      <c r="OG58" s="12" t="n">
        <v>54</v>
      </c>
      <c r="OH58" s="12">
        <f>MOD(OG58-1+LaunchMonth-1,12)+1</f>
        <v/>
      </c>
      <c r="OI58" s="12">
        <f>INT((OG58-1+LaunchMonth-1)/12)+1</f>
        <v/>
      </c>
      <c r="OJ58" s="12">
        <f>VLOOKUP(OH58,SeasonTable,2,FALSE)</f>
        <v/>
      </c>
      <c r="OK58" s="12">
        <f>(1+InflationRate)^INT((OG58-1)/12)</f>
        <v/>
      </c>
      <c r="OL58" s="11">
        <f>'Sens - Churn'!$A$19*VLOOKUP(OH58,ChurnSeasonTable,4,FALSE)</f>
        <v/>
      </c>
      <c r="OM58" s="12">
        <f>MIN(MAX(MktMin19plus,PG57*MktPct19plus),MAX(0,PU57-CashBuffer))</f>
        <v/>
      </c>
      <c r="ON58" s="12">
        <f>IF(OM58&gt;0,MAX(1,ROUND(OM58/CAC*OJ58,0)),0)</f>
        <v/>
      </c>
      <c r="OO58" s="12">
        <f>IF(ON58&gt;0,ROUND(ON58*ReferralMix/(1-ReferralMix),0),0)</f>
        <v/>
      </c>
      <c r="OP58" s="12">
        <f>ON58+OO58</f>
        <v/>
      </c>
      <c r="OQ58" s="12">
        <f>ROUND(OP58*(1-AnnualMix),0)</f>
        <v/>
      </c>
      <c r="OR58" s="12">
        <f>OP58-OQ58</f>
        <v/>
      </c>
      <c r="OS58" s="12">
        <f>ROUND(OQ58*EssentialMix,0)</f>
        <v/>
      </c>
      <c r="OT58" s="12">
        <f>OQ58-OS58</f>
        <v/>
      </c>
      <c r="OU58" s="12">
        <f>ROUND(OR58*EssentialMix,0)</f>
        <v/>
      </c>
      <c r="OV58" s="12">
        <f>OR58-OU58</f>
        <v/>
      </c>
      <c r="OW58" s="12">
        <f>OS58+OS57+OS56+MAX(0,OW57-OS57-OS56)*(1-OL58)</f>
        <v/>
      </c>
      <c r="OX58" s="12">
        <f>OT58+OT57+OT56+MAX(0,OX57-OT57-OT56)*(1-OL58)</f>
        <v/>
      </c>
      <c r="OY58" s="12">
        <f>OY57+OU58-OU46*(AnnualChurn*VLOOKUP(OH58,ChurnSeasonTable,4,FALSE))*POWER(1-(AnnualChurn*VLOOKUP(OH58,ChurnSeasonTable,4,FALSE)),0)+OU34*(AnnualChurn*VLOOKUP(OH58,ChurnSeasonTable,4,FALSE))*POWER(1-(AnnualChurn*VLOOKUP(OH58,ChurnSeasonTable,4,FALSE)),1)+OU22*(AnnualChurn*VLOOKUP(OH58,ChurnSeasonTable,4,FALSE))*POWER(1-(AnnualChurn*VLOOKUP(OH58,ChurnSeasonTable,4,FALSE)),2)+OU10*(AnnualChurn*VLOOKUP(OH58,ChurnSeasonTable,4,FALSE))*POWER(1-(AnnualChurn*VLOOKUP(OH58,ChurnSeasonTable,4,FALSE)),3)</f>
        <v/>
      </c>
      <c r="OZ58" s="12">
        <f>OZ57+OV58-OV46*(AnnualChurn*VLOOKUP(OH58,ChurnSeasonTable,4,FALSE))*POWER(1-(AnnualChurn*VLOOKUP(OH58,ChurnSeasonTable,4,FALSE)),0)+OV34*(AnnualChurn*VLOOKUP(OH58,ChurnSeasonTable,4,FALSE))*POWER(1-(AnnualChurn*VLOOKUP(OH58,ChurnSeasonTable,4,FALSE)),1)+OV22*(AnnualChurn*VLOOKUP(OH58,ChurnSeasonTable,4,FALSE))*POWER(1-(AnnualChurn*VLOOKUP(OH58,ChurnSeasonTable,4,FALSE)),2)+OV10*(AnnualChurn*VLOOKUP(OH58,ChurnSeasonTable,4,FALSE))*POWER(1-(AnnualChurn*VLOOKUP(OH58,ChurnSeasonTable,4,FALSE)),3)</f>
        <v/>
      </c>
      <c r="PA58" s="12">
        <f>OW58+OX58+OY58+OZ58</f>
        <v/>
      </c>
      <c r="PB58" s="9">
        <f>OW58*PriceEssMonthly*OK58+OX58*PricePremMonthly*OK58+OY58*PriceEssAnnual*OK58/12+OZ58*PricePremAnnual*OK58/12</f>
        <v/>
      </c>
      <c r="PC58" s="9">
        <f>PB58*12</f>
        <v/>
      </c>
      <c r="PD58" s="12">
        <f>OW58*PriceEssMonthly*OK58+OX58*PricePremMonthly*OK58</f>
        <v/>
      </c>
      <c r="PE58" s="12">
        <f>OU58*PriceEssAnnual*OK58+OV58*PricePremAnnual*OK58</f>
        <v/>
      </c>
      <c r="PF58" s="12">
        <f>OU46*POWER(1-(AnnualChurn*VLOOKUP(OH58,ChurnSeasonTable,4,FALSE)),1)*PriceEssAnnual*OK58+OU34*POWER(1-(AnnualChurn*VLOOKUP(OH58,ChurnSeasonTable,4,FALSE)),2)*PriceEssAnnual*OK58+OU22*POWER(1-(AnnualChurn*VLOOKUP(OH58,ChurnSeasonTable,4,FALSE)),3)*PriceEssAnnual*OK58+OU10*POWER(1-(AnnualChurn*VLOOKUP(OH58,ChurnSeasonTable,4,FALSE)),4)*PriceEssAnnual*OK58+OV46*POWER(1-(AnnualChurn*VLOOKUP(OH58,ChurnSeasonTable,4,FALSE)),1)*PricePremAnnual*OK58+OV34*POWER(1-(AnnualChurn*VLOOKUP(OH58,ChurnSeasonTable,4,FALSE)),2)*PricePremAnnual*OK58+OV22*POWER(1-(AnnualChurn*VLOOKUP(OH58,ChurnSeasonTable,4,FALSE)),3)*PricePremAnnual*OK58+OV10*POWER(1-(AnnualChurn*VLOOKUP(OH58,ChurnSeasonTable,4,FALSE)),4)*PricePremAnnual*OK58</f>
        <v/>
      </c>
      <c r="PG58" s="9">
        <f>PD58+PE58+PF58</f>
        <v/>
      </c>
      <c r="PH58" s="12">
        <f>SUM(PG47:PG58)</f>
        <v/>
      </c>
      <c r="PI58" s="12">
        <f>OR(PI57,PH58&gt;=VATThreshold)</f>
        <v/>
      </c>
      <c r="PJ58" s="9">
        <f>IF(PI58,PG58/(1+VATRate),PG58)</f>
        <v/>
      </c>
      <c r="PK58" s="12">
        <f>PG58-PJ58</f>
        <v/>
      </c>
      <c r="PL58" s="12">
        <f>IF(PI58=0,0,IF(OH58=1,SUMPRODUCT(--(($OI$5:$OI58=$OI58-1)*($OH$5:$OH58&gt;=10)*($OH$5:$OH58&lt;=12)),$PK$5:$PK58),IF(OH58=4,SUMPRODUCT(--(($OI$5:$OI58=$OI58)*($OH$5:$OH58&gt;=1)*($OH$5:$OH58&lt;=3)),$PK$5:$PK58),IF(OH58=7,SUMPRODUCT(--(($OI$5:$OI58=$OI58)*($OH$5:$OH58&gt;=4)*($OH$5:$OH58&lt;=6)),$PK$5:$PK58),IF(OH58=10,SUMPRODUCT(--(($OI$5:$OI58=$OI58)*($OH$5:$OH58&gt;=7)*($OH$5:$OH58&lt;=9)),$PK$5:$PK58),0)))))</f>
        <v/>
      </c>
      <c r="PM58" s="12">
        <f>PM57+PK58-PL58</f>
        <v/>
      </c>
      <c r="PN58" s="12">
        <f>IF(ProviderDelay&gt;=1,PJ57*ProviderShare,PJ58*ProviderShare)</f>
        <v/>
      </c>
      <c r="PO58" s="12">
        <f>PG58*PaymentFee</f>
        <v/>
      </c>
      <c r="PP58" s="12">
        <f>PA58*OpsAI</f>
        <v/>
      </c>
      <c r="PQ58" s="12">
        <f>MonthlyFixed</f>
        <v/>
      </c>
      <c r="PR58" s="12">
        <f>OO58*ReferralReward</f>
        <v/>
      </c>
      <c r="PS58" s="12">
        <f>OM58</f>
        <v/>
      </c>
      <c r="PT58" s="9">
        <f>PJ58-PN58-PO58-PP58-PQ58-PR58-PS58</f>
        <v/>
      </c>
      <c r="PU58" s="9">
        <f>PU57+PG58-(PN58+PO58+PP58+PQ58+PR58+PS58+PL58)</f>
        <v/>
      </c>
      <c r="PV58" s="12">
        <f>IF(PA58&gt;0,PB58/PA58,0)</f>
        <v/>
      </c>
      <c r="PW58" s="11">
        <f>IF(PA57&gt;0,MAX(0,(PA57+OP58-PA58)/PA57),0)</f>
        <v/>
      </c>
      <c r="PY58" s="12" t="n">
        <v>54</v>
      </c>
      <c r="PZ58" s="12">
        <f>MOD(PY58-1+LaunchMonth-1,12)+1</f>
        <v/>
      </c>
      <c r="QA58" s="12">
        <f>INT((PY58-1+LaunchMonth-1)/12)+1</f>
        <v/>
      </c>
      <c r="QB58" s="12">
        <f>VLOOKUP(PZ58,SeasonTable,2,FALSE)</f>
        <v/>
      </c>
      <c r="QC58" s="12">
        <f>(1+InflationRate)^INT((PY58-1)/12)</f>
        <v/>
      </c>
      <c r="QD58" s="11">
        <f>'Sens - Churn'!$A$20*VLOOKUP(PZ58,ChurnSeasonTable,4,FALSE)</f>
        <v/>
      </c>
      <c r="QE58" s="12">
        <f>MIN(MAX(MktMin19plus,QY57*MktPct19plus),MAX(0,RM57-CashBuffer))</f>
        <v/>
      </c>
      <c r="QF58" s="12">
        <f>IF(QE58&gt;0,MAX(1,ROUND(QE58/CAC*QB58,0)),0)</f>
        <v/>
      </c>
      <c r="QG58" s="12">
        <f>IF(QF58&gt;0,ROUND(QF58*ReferralMix/(1-ReferralMix),0),0)</f>
        <v/>
      </c>
      <c r="QH58" s="12">
        <f>QF58+QG58</f>
        <v/>
      </c>
      <c r="QI58" s="12">
        <f>ROUND(QH58*(1-AnnualMix),0)</f>
        <v/>
      </c>
      <c r="QJ58" s="12">
        <f>QH58-QI58</f>
        <v/>
      </c>
      <c r="QK58" s="12">
        <f>ROUND(QI58*EssentialMix,0)</f>
        <v/>
      </c>
      <c r="QL58" s="12">
        <f>QI58-QK58</f>
        <v/>
      </c>
      <c r="QM58" s="12">
        <f>ROUND(QJ58*EssentialMix,0)</f>
        <v/>
      </c>
      <c r="QN58" s="12">
        <f>QJ58-QM58</f>
        <v/>
      </c>
      <c r="QO58" s="12">
        <f>QK58+QK57+QK56+MAX(0,QO57-QK57-QK56)*(1-QD58)</f>
        <v/>
      </c>
      <c r="QP58" s="12">
        <f>QL58+QL57+QL56+MAX(0,QP57-QL57-QL56)*(1-QD58)</f>
        <v/>
      </c>
      <c r="QQ58" s="12">
        <f>QQ57+QM58-QM46*(AnnualChurn*VLOOKUP(PZ58,ChurnSeasonTable,4,FALSE))*POWER(1-(AnnualChurn*VLOOKUP(PZ58,ChurnSeasonTable,4,FALSE)),0)+QM34*(AnnualChurn*VLOOKUP(PZ58,ChurnSeasonTable,4,FALSE))*POWER(1-(AnnualChurn*VLOOKUP(PZ58,ChurnSeasonTable,4,FALSE)),1)+QM22*(AnnualChurn*VLOOKUP(PZ58,ChurnSeasonTable,4,FALSE))*POWER(1-(AnnualChurn*VLOOKUP(PZ58,ChurnSeasonTable,4,FALSE)),2)+QM10*(AnnualChurn*VLOOKUP(PZ58,ChurnSeasonTable,4,FALSE))*POWER(1-(AnnualChurn*VLOOKUP(PZ58,ChurnSeasonTable,4,FALSE)),3)</f>
        <v/>
      </c>
      <c r="QR58" s="12">
        <f>QR57+QN58-QN46*(AnnualChurn*VLOOKUP(PZ58,ChurnSeasonTable,4,FALSE))*POWER(1-(AnnualChurn*VLOOKUP(PZ58,ChurnSeasonTable,4,FALSE)),0)+QN34*(AnnualChurn*VLOOKUP(PZ58,ChurnSeasonTable,4,FALSE))*POWER(1-(AnnualChurn*VLOOKUP(PZ58,ChurnSeasonTable,4,FALSE)),1)+QN22*(AnnualChurn*VLOOKUP(PZ58,ChurnSeasonTable,4,FALSE))*POWER(1-(AnnualChurn*VLOOKUP(PZ58,ChurnSeasonTable,4,FALSE)),2)+QN10*(AnnualChurn*VLOOKUP(PZ58,ChurnSeasonTable,4,FALSE))*POWER(1-(AnnualChurn*VLOOKUP(PZ58,ChurnSeasonTable,4,FALSE)),3)</f>
        <v/>
      </c>
      <c r="QS58" s="12">
        <f>QO58+QP58+QQ58+QR58</f>
        <v/>
      </c>
      <c r="QT58" s="9">
        <f>QO58*PriceEssMonthly*QC58+QP58*PricePremMonthly*QC58+QQ58*PriceEssAnnual*QC58/12+QR58*PricePremAnnual*QC58/12</f>
        <v/>
      </c>
      <c r="QU58" s="9">
        <f>QT58*12</f>
        <v/>
      </c>
      <c r="QV58" s="12">
        <f>QO58*PriceEssMonthly*QC58+QP58*PricePremMonthly*QC58</f>
        <v/>
      </c>
      <c r="QW58" s="12">
        <f>QM58*PriceEssAnnual*QC58+QN58*PricePremAnnual*QC58</f>
        <v/>
      </c>
      <c r="QX58" s="12">
        <f>QM46*POWER(1-(AnnualChurn*VLOOKUP(PZ58,ChurnSeasonTable,4,FALSE)),1)*PriceEssAnnual*QC58+QM34*POWER(1-(AnnualChurn*VLOOKUP(PZ58,ChurnSeasonTable,4,FALSE)),2)*PriceEssAnnual*QC58+QM22*POWER(1-(AnnualChurn*VLOOKUP(PZ58,ChurnSeasonTable,4,FALSE)),3)*PriceEssAnnual*QC58+QM10*POWER(1-(AnnualChurn*VLOOKUP(PZ58,ChurnSeasonTable,4,FALSE)),4)*PriceEssAnnual*QC58+QN46*POWER(1-(AnnualChurn*VLOOKUP(PZ58,ChurnSeasonTable,4,FALSE)),1)*PricePremAnnual*QC58+QN34*POWER(1-(AnnualChurn*VLOOKUP(PZ58,ChurnSeasonTable,4,FALSE)),2)*PricePremAnnual*QC58+QN22*POWER(1-(AnnualChurn*VLOOKUP(PZ58,ChurnSeasonTable,4,FALSE)),3)*PricePremAnnual*QC58+QN10*POWER(1-(AnnualChurn*VLOOKUP(PZ58,ChurnSeasonTable,4,FALSE)),4)*PricePremAnnual*QC58</f>
        <v/>
      </c>
      <c r="QY58" s="9">
        <f>QV58+QW58+QX58</f>
        <v/>
      </c>
      <c r="QZ58" s="12">
        <f>SUM(QY47:QY58)</f>
        <v/>
      </c>
      <c r="RA58" s="12">
        <f>OR(RA57,QZ58&gt;=VATThreshold)</f>
        <v/>
      </c>
      <c r="RB58" s="9">
        <f>IF(RA58,QY58/(1+VATRate),QY58)</f>
        <v/>
      </c>
      <c r="RC58" s="12">
        <f>QY58-RB58</f>
        <v/>
      </c>
      <c r="RD58" s="12">
        <f>IF(RA58=0,0,IF(PZ58=1,SUMPRODUCT(--(($QA$5:$QA58=$QA58-1)*($PZ$5:$PZ58&gt;=10)*($PZ$5:$PZ58&lt;=12)),$RC$5:$RC58),IF(PZ58=4,SUMPRODUCT(--(($QA$5:$QA58=$QA58)*($PZ$5:$PZ58&gt;=1)*($PZ$5:$PZ58&lt;=3)),$RC$5:$RC58),IF(PZ58=7,SUMPRODUCT(--(($QA$5:$QA58=$QA58)*($PZ$5:$PZ58&gt;=4)*($PZ$5:$PZ58&lt;=6)),$RC$5:$RC58),IF(PZ58=10,SUMPRODUCT(--(($QA$5:$QA58=$QA58)*($PZ$5:$PZ58&gt;=7)*($PZ$5:$PZ58&lt;=9)),$RC$5:$RC58),0)))))</f>
        <v/>
      </c>
      <c r="RE58" s="12">
        <f>RE57+RC58-RD58</f>
        <v/>
      </c>
      <c r="RF58" s="12">
        <f>IF(ProviderDelay&gt;=1,RB57*ProviderShare,RB58*ProviderShare)</f>
        <v/>
      </c>
      <c r="RG58" s="12">
        <f>QY58*PaymentFee</f>
        <v/>
      </c>
      <c r="RH58" s="12">
        <f>QS58*OpsAI</f>
        <v/>
      </c>
      <c r="RI58" s="12">
        <f>MonthlyFixed</f>
        <v/>
      </c>
      <c r="RJ58" s="12">
        <f>QG58*ReferralReward</f>
        <v/>
      </c>
      <c r="RK58" s="12">
        <f>QE58</f>
        <v/>
      </c>
      <c r="RL58" s="9">
        <f>RB58-RF58-RG58-RH58-RI58-RJ58-RK58</f>
        <v/>
      </c>
      <c r="RM58" s="9">
        <f>RM57+QY58-(RF58+RG58+RH58+RI58+RJ58+RK58+RD58)</f>
        <v/>
      </c>
      <c r="RN58" s="12">
        <f>IF(QS58&gt;0,QT58/QS58,0)</f>
        <v/>
      </c>
      <c r="RO58" s="11">
        <f>IF(QS57&gt;0,MAX(0,(QS57+QH58-QS58)/QS57),0)</f>
        <v/>
      </c>
      <c r="RQ58" s="12" t="n">
        <v>54</v>
      </c>
      <c r="RR58" s="12">
        <f>MOD(RQ58-1+LaunchMonth-1,12)+1</f>
        <v/>
      </c>
      <c r="RS58" s="12">
        <f>INT((RQ58-1+LaunchMonth-1)/12)+1</f>
        <v/>
      </c>
      <c r="RT58" s="12">
        <f>VLOOKUP(RR58,SeasonTable,2,FALSE)</f>
        <v/>
      </c>
      <c r="RU58" s="12">
        <f>(1+InflationRate)^INT((RQ58-1)/12)</f>
        <v/>
      </c>
      <c r="RV58" s="11">
        <f>'Sens - Churn'!$A$21*VLOOKUP(RR58,ChurnSeasonTable,4,FALSE)</f>
        <v/>
      </c>
      <c r="RW58" s="12">
        <f>MIN(MAX(MktMin19plus,SQ57*MktPct19plus),MAX(0,TE57-CashBuffer))</f>
        <v/>
      </c>
      <c r="RX58" s="12">
        <f>IF(RW58&gt;0,MAX(1,ROUND(RW58/CAC*RT58,0)),0)</f>
        <v/>
      </c>
      <c r="RY58" s="12">
        <f>IF(RX58&gt;0,ROUND(RX58*ReferralMix/(1-ReferralMix),0),0)</f>
        <v/>
      </c>
      <c r="RZ58" s="12">
        <f>RX58+RY58</f>
        <v/>
      </c>
      <c r="SA58" s="12">
        <f>ROUND(RZ58*(1-AnnualMix),0)</f>
        <v/>
      </c>
      <c r="SB58" s="12">
        <f>RZ58-SA58</f>
        <v/>
      </c>
      <c r="SC58" s="12">
        <f>ROUND(SA58*EssentialMix,0)</f>
        <v/>
      </c>
      <c r="SD58" s="12">
        <f>SA58-SC58</f>
        <v/>
      </c>
      <c r="SE58" s="12">
        <f>ROUND(SB58*EssentialMix,0)</f>
        <v/>
      </c>
      <c r="SF58" s="12">
        <f>SB58-SE58</f>
        <v/>
      </c>
      <c r="SG58" s="12">
        <f>SC58+SC57+SC56+MAX(0,SG57-SC57-SC56)*(1-RV58)</f>
        <v/>
      </c>
      <c r="SH58" s="12">
        <f>SD58+SD57+SD56+MAX(0,SH57-SD57-SD56)*(1-RV58)</f>
        <v/>
      </c>
      <c r="SI58" s="12">
        <f>SI57+SE58-SE46*(AnnualChurn*VLOOKUP(RR58,ChurnSeasonTable,4,FALSE))*POWER(1-(AnnualChurn*VLOOKUP(RR58,ChurnSeasonTable,4,FALSE)),0)+SE34*(AnnualChurn*VLOOKUP(RR58,ChurnSeasonTable,4,FALSE))*POWER(1-(AnnualChurn*VLOOKUP(RR58,ChurnSeasonTable,4,FALSE)),1)+SE22*(AnnualChurn*VLOOKUP(RR58,ChurnSeasonTable,4,FALSE))*POWER(1-(AnnualChurn*VLOOKUP(RR58,ChurnSeasonTable,4,FALSE)),2)+SE10*(AnnualChurn*VLOOKUP(RR58,ChurnSeasonTable,4,FALSE))*POWER(1-(AnnualChurn*VLOOKUP(RR58,ChurnSeasonTable,4,FALSE)),3)</f>
        <v/>
      </c>
      <c r="SJ58" s="12">
        <f>SJ57+SF58-SF46*(AnnualChurn*VLOOKUP(RR58,ChurnSeasonTable,4,FALSE))*POWER(1-(AnnualChurn*VLOOKUP(RR58,ChurnSeasonTable,4,FALSE)),0)+SF34*(AnnualChurn*VLOOKUP(RR58,ChurnSeasonTable,4,FALSE))*POWER(1-(AnnualChurn*VLOOKUP(RR58,ChurnSeasonTable,4,FALSE)),1)+SF22*(AnnualChurn*VLOOKUP(RR58,ChurnSeasonTable,4,FALSE))*POWER(1-(AnnualChurn*VLOOKUP(RR58,ChurnSeasonTable,4,FALSE)),2)+SF10*(AnnualChurn*VLOOKUP(RR58,ChurnSeasonTable,4,FALSE))*POWER(1-(AnnualChurn*VLOOKUP(RR58,ChurnSeasonTable,4,FALSE)),3)</f>
        <v/>
      </c>
      <c r="SK58" s="12">
        <f>SG58+SH58+SI58+SJ58</f>
        <v/>
      </c>
      <c r="SL58" s="9">
        <f>SG58*PriceEssMonthly*RU58+SH58*PricePremMonthly*RU58+SI58*PriceEssAnnual*RU58/12+SJ58*PricePremAnnual*RU58/12</f>
        <v/>
      </c>
      <c r="SM58" s="9">
        <f>SL58*12</f>
        <v/>
      </c>
      <c r="SN58" s="12">
        <f>SG58*PriceEssMonthly*RU58+SH58*PricePremMonthly*RU58</f>
        <v/>
      </c>
      <c r="SO58" s="12">
        <f>SE58*PriceEssAnnual*RU58+SF58*PricePremAnnual*RU58</f>
        <v/>
      </c>
      <c r="SP58" s="12">
        <f>SE46*POWER(1-(AnnualChurn*VLOOKUP(RR58,ChurnSeasonTable,4,FALSE)),1)*PriceEssAnnual*RU58+SE34*POWER(1-(AnnualChurn*VLOOKUP(RR58,ChurnSeasonTable,4,FALSE)),2)*PriceEssAnnual*RU58+SE22*POWER(1-(AnnualChurn*VLOOKUP(RR58,ChurnSeasonTable,4,FALSE)),3)*PriceEssAnnual*RU58+SE10*POWER(1-(AnnualChurn*VLOOKUP(RR58,ChurnSeasonTable,4,FALSE)),4)*PriceEssAnnual*RU58+SF46*POWER(1-(AnnualChurn*VLOOKUP(RR58,ChurnSeasonTable,4,FALSE)),1)*PricePremAnnual*RU58+SF34*POWER(1-(AnnualChurn*VLOOKUP(RR58,ChurnSeasonTable,4,FALSE)),2)*PricePremAnnual*RU58+SF22*POWER(1-(AnnualChurn*VLOOKUP(RR58,ChurnSeasonTable,4,FALSE)),3)*PricePremAnnual*RU58+SF10*POWER(1-(AnnualChurn*VLOOKUP(RR58,ChurnSeasonTable,4,FALSE)),4)*PricePremAnnual*RU58</f>
        <v/>
      </c>
      <c r="SQ58" s="9">
        <f>SN58+SO58+SP58</f>
        <v/>
      </c>
      <c r="SR58" s="12">
        <f>SUM(SQ47:SQ58)</f>
        <v/>
      </c>
      <c r="SS58" s="12">
        <f>OR(SS57,SR58&gt;=VATThreshold)</f>
        <v/>
      </c>
      <c r="ST58" s="9">
        <f>IF(SS58,SQ58/(1+VATRate),SQ58)</f>
        <v/>
      </c>
      <c r="SU58" s="12">
        <f>SQ58-ST58</f>
        <v/>
      </c>
      <c r="SV58" s="12">
        <f>IF(SS58=0,0,IF(RR58=1,SUMPRODUCT(--(($RS$5:$RS58=$RS58-1)*($RR$5:$RR58&gt;=10)*($RR$5:$RR58&lt;=12)),$SU$5:$SU58),IF(RR58=4,SUMPRODUCT(--(($RS$5:$RS58=$RS58)*($RR$5:$RR58&gt;=1)*($RR$5:$RR58&lt;=3)),$SU$5:$SU58),IF(RR58=7,SUMPRODUCT(--(($RS$5:$RS58=$RS58)*($RR$5:$RR58&gt;=4)*($RR$5:$RR58&lt;=6)),$SU$5:$SU58),IF(RR58=10,SUMPRODUCT(--(($RS$5:$RS58=$RS58)*($RR$5:$RR58&gt;=7)*($RR$5:$RR58&lt;=9)),$SU$5:$SU58),0)))))</f>
        <v/>
      </c>
      <c r="SW58" s="12">
        <f>SW57+SU58-SV58</f>
        <v/>
      </c>
      <c r="SX58" s="12">
        <f>IF(ProviderDelay&gt;=1,ST57*ProviderShare,ST58*ProviderShare)</f>
        <v/>
      </c>
      <c r="SY58" s="12">
        <f>SQ58*PaymentFee</f>
        <v/>
      </c>
      <c r="SZ58" s="12">
        <f>SK58*OpsAI</f>
        <v/>
      </c>
      <c r="TA58" s="12">
        <f>MonthlyFixed</f>
        <v/>
      </c>
      <c r="TB58" s="12">
        <f>RY58*ReferralReward</f>
        <v/>
      </c>
      <c r="TC58" s="12">
        <f>RW58</f>
        <v/>
      </c>
      <c r="TD58" s="9">
        <f>ST58-SX58-SY58-SZ58-TA58-TB58-TC58</f>
        <v/>
      </c>
      <c r="TE58" s="9">
        <f>TE57+SQ58-(SX58+SY58+SZ58+TA58+TB58+TC58+SV58)</f>
        <v/>
      </c>
      <c r="TF58" s="12">
        <f>IF(SK58&gt;0,SL58/SK58,0)</f>
        <v/>
      </c>
      <c r="TG58" s="11">
        <f>IF(SK57&gt;0,MAX(0,(SK57+RZ58-SK58)/SK57),0)</f>
        <v/>
      </c>
      <c r="TI58" s="12" t="n">
        <v>54</v>
      </c>
      <c r="TJ58" s="12">
        <f>MOD(TI58-1+LaunchMonth-1,12)+1</f>
        <v/>
      </c>
      <c r="TK58" s="12">
        <f>INT((TI58-1+LaunchMonth-1)/12)+1</f>
        <v/>
      </c>
      <c r="TL58" s="12">
        <f>VLOOKUP(TJ58,SeasonTable,2,FALSE)</f>
        <v/>
      </c>
      <c r="TM58" s="12">
        <f>(1+InflationRate)^INT((TI58-1)/12)</f>
        <v/>
      </c>
      <c r="TN58" s="11">
        <f>MonthlyChurn*VLOOKUP(TJ58,ChurnSeasonTable,4,FALSE)</f>
        <v/>
      </c>
      <c r="TO58" s="12">
        <f>MIN(MAX(MktMin19plus,UI57*MktPct19plus),MAX(0,UW57-CashBuffer))</f>
        <v/>
      </c>
      <c r="TP58" s="12">
        <f>IF(TO58&gt;0,MAX(1,ROUND(TO58/CAC*TL58,0)),0)</f>
        <v/>
      </c>
      <c r="TQ58" s="12">
        <f>IF(TP58&gt;0,ROUND(TP58*ReferralMix/(1-ReferralMix),0),0)</f>
        <v/>
      </c>
      <c r="TR58" s="12">
        <f>TP58+TQ58</f>
        <v/>
      </c>
      <c r="TS58" s="12">
        <f>ROUND(TR58*(1-'Sens - Annual Mix'!$A$9),0)</f>
        <v/>
      </c>
      <c r="TT58" s="12">
        <f>TR58-TS58</f>
        <v/>
      </c>
      <c r="TU58" s="12">
        <f>ROUND(TS58*EssentialMix,0)</f>
        <v/>
      </c>
      <c r="TV58" s="12">
        <f>TS58-TU58</f>
        <v/>
      </c>
      <c r="TW58" s="12">
        <f>ROUND(TT58*EssentialMix,0)</f>
        <v/>
      </c>
      <c r="TX58" s="12">
        <f>TT58-TW58</f>
        <v/>
      </c>
      <c r="TY58" s="12">
        <f>TU58+TU57+TU56+MAX(0,TY57-TU57-TU56)*(1-TN58)</f>
        <v/>
      </c>
      <c r="TZ58" s="12">
        <f>TV58+TV57+TV56+MAX(0,TZ57-TV57-TV56)*(1-TN58)</f>
        <v/>
      </c>
      <c r="UA58" s="12">
        <f>UA57+TW58-TW46*(AnnualChurn*VLOOKUP(TJ58,ChurnSeasonTable,4,FALSE))*POWER(1-(AnnualChurn*VLOOKUP(TJ58,ChurnSeasonTable,4,FALSE)),0)+TW34*(AnnualChurn*VLOOKUP(TJ58,ChurnSeasonTable,4,FALSE))*POWER(1-(AnnualChurn*VLOOKUP(TJ58,ChurnSeasonTable,4,FALSE)),1)+TW22*(AnnualChurn*VLOOKUP(TJ58,ChurnSeasonTable,4,FALSE))*POWER(1-(AnnualChurn*VLOOKUP(TJ58,ChurnSeasonTable,4,FALSE)),2)+TW10*(AnnualChurn*VLOOKUP(TJ58,ChurnSeasonTable,4,FALSE))*POWER(1-(AnnualChurn*VLOOKUP(TJ58,ChurnSeasonTable,4,FALSE)),3)</f>
        <v/>
      </c>
      <c r="UB58" s="12">
        <f>UB57+TX58-TX46*(AnnualChurn*VLOOKUP(TJ58,ChurnSeasonTable,4,FALSE))*POWER(1-(AnnualChurn*VLOOKUP(TJ58,ChurnSeasonTable,4,FALSE)),0)+TX34*(AnnualChurn*VLOOKUP(TJ58,ChurnSeasonTable,4,FALSE))*POWER(1-(AnnualChurn*VLOOKUP(TJ58,ChurnSeasonTable,4,FALSE)),1)+TX22*(AnnualChurn*VLOOKUP(TJ58,ChurnSeasonTable,4,FALSE))*POWER(1-(AnnualChurn*VLOOKUP(TJ58,ChurnSeasonTable,4,FALSE)),2)+TX10*(AnnualChurn*VLOOKUP(TJ58,ChurnSeasonTable,4,FALSE))*POWER(1-(AnnualChurn*VLOOKUP(TJ58,ChurnSeasonTable,4,FALSE)),3)</f>
        <v/>
      </c>
      <c r="UC58" s="12">
        <f>TY58+TZ58+UA58+UB58</f>
        <v/>
      </c>
      <c r="UD58" s="9">
        <f>TY58*PriceEssMonthly*TM58+TZ58*PricePremMonthly*TM58+UA58*PriceEssAnnual*TM58/12+UB58*PricePremAnnual*TM58/12</f>
        <v/>
      </c>
      <c r="UE58" s="9">
        <f>UD58*12</f>
        <v/>
      </c>
      <c r="UF58" s="12">
        <f>TY58*PriceEssMonthly*TM58+TZ58*PricePremMonthly*TM58</f>
        <v/>
      </c>
      <c r="UG58" s="12">
        <f>TW58*PriceEssAnnual*TM58+TX58*PricePremAnnual*TM58</f>
        <v/>
      </c>
      <c r="UH58" s="12">
        <f>TW46*POWER(1-(AnnualChurn*VLOOKUP(TJ58,ChurnSeasonTable,4,FALSE)),1)*PriceEssAnnual*TM58+TW34*POWER(1-(AnnualChurn*VLOOKUP(TJ58,ChurnSeasonTable,4,FALSE)),2)*PriceEssAnnual*TM58+TW22*POWER(1-(AnnualChurn*VLOOKUP(TJ58,ChurnSeasonTable,4,FALSE)),3)*PriceEssAnnual*TM58+TW10*POWER(1-(AnnualChurn*VLOOKUP(TJ58,ChurnSeasonTable,4,FALSE)),4)*PriceEssAnnual*TM58+TX46*POWER(1-(AnnualChurn*VLOOKUP(TJ58,ChurnSeasonTable,4,FALSE)),1)*PricePremAnnual*TM58+TX34*POWER(1-(AnnualChurn*VLOOKUP(TJ58,ChurnSeasonTable,4,FALSE)),2)*PricePremAnnual*TM58+TX22*POWER(1-(AnnualChurn*VLOOKUP(TJ58,ChurnSeasonTable,4,FALSE)),3)*PricePremAnnual*TM58+TX10*POWER(1-(AnnualChurn*VLOOKUP(TJ58,ChurnSeasonTable,4,FALSE)),4)*PricePremAnnual*TM58</f>
        <v/>
      </c>
      <c r="UI58" s="9">
        <f>UF58+UG58+UH58</f>
        <v/>
      </c>
      <c r="UJ58" s="12">
        <f>SUM(UI47:UI58)</f>
        <v/>
      </c>
      <c r="UK58" s="12">
        <f>OR(UK57,UJ58&gt;=VATThreshold)</f>
        <v/>
      </c>
      <c r="UL58" s="9">
        <f>IF(UK58,UI58/(1+VATRate),UI58)</f>
        <v/>
      </c>
      <c r="UM58" s="12">
        <f>UI58-UL58</f>
        <v/>
      </c>
      <c r="UN58" s="12">
        <f>IF(UK58=0,0,IF(TJ58=1,SUMPRODUCT(--(($TK$5:$TK58=$TK58-1)*($TJ$5:$TJ58&gt;=10)*($TJ$5:$TJ58&lt;=12)),$UM$5:$UM58),IF(TJ58=4,SUMPRODUCT(--(($TK$5:$TK58=$TK58)*($TJ$5:$TJ58&gt;=1)*($TJ$5:$TJ58&lt;=3)),$UM$5:$UM58),IF(TJ58=7,SUMPRODUCT(--(($TK$5:$TK58=$TK58)*($TJ$5:$TJ58&gt;=4)*($TJ$5:$TJ58&lt;=6)),$UM$5:$UM58),IF(TJ58=10,SUMPRODUCT(--(($TK$5:$TK58=$TK58)*($TJ$5:$TJ58&gt;=7)*($TJ$5:$TJ58&lt;=9)),$UM$5:$UM58),0)))))</f>
        <v/>
      </c>
      <c r="UO58" s="12">
        <f>UO57+UM58-UN58</f>
        <v/>
      </c>
      <c r="UP58" s="12">
        <f>IF(ProviderDelay&gt;=1,UL57*ProviderShare,UL58*ProviderShare)</f>
        <v/>
      </c>
      <c r="UQ58" s="12">
        <f>UI58*PaymentFee</f>
        <v/>
      </c>
      <c r="UR58" s="12">
        <f>UC58*OpsAI</f>
        <v/>
      </c>
      <c r="US58" s="12">
        <f>MonthlyFixed</f>
        <v/>
      </c>
      <c r="UT58" s="12">
        <f>TQ58*ReferralReward</f>
        <v/>
      </c>
      <c r="UU58" s="12">
        <f>TO58</f>
        <v/>
      </c>
      <c r="UV58" s="9">
        <f>UL58-UP58-UQ58-UR58-US58-UT58-UU58</f>
        <v/>
      </c>
      <c r="UW58" s="9">
        <f>UW57+UI58-(UP58+UQ58+UR58+US58+UT58+UU58+UN58)</f>
        <v/>
      </c>
      <c r="UX58" s="12">
        <f>IF(UC58&gt;0,UD58/UC58,0)</f>
        <v/>
      </c>
      <c r="UY58" s="11">
        <f>IF(UC57&gt;0,MAX(0,(UC57+TR58-UC58)/UC57),0)</f>
        <v/>
      </c>
      <c r="VA58" s="12" t="n">
        <v>54</v>
      </c>
      <c r="VB58" s="12">
        <f>MOD(VA58-1+LaunchMonth-1,12)+1</f>
        <v/>
      </c>
      <c r="VC58" s="12">
        <f>INT((VA58-1+LaunchMonth-1)/12)+1</f>
        <v/>
      </c>
      <c r="VD58" s="12">
        <f>VLOOKUP(VB58,SeasonTable,2,FALSE)</f>
        <v/>
      </c>
      <c r="VE58" s="12">
        <f>(1+InflationRate)^INT((VA58-1)/12)</f>
        <v/>
      </c>
      <c r="VF58" s="11">
        <f>MonthlyChurn*VLOOKUP(VB58,ChurnSeasonTable,4,FALSE)</f>
        <v/>
      </c>
      <c r="VG58" s="12">
        <f>MIN(MAX(MktMin19plus,WA57*MktPct19plus),MAX(0,WO57-CashBuffer))</f>
        <v/>
      </c>
      <c r="VH58" s="12">
        <f>IF(VG58&gt;0,MAX(1,ROUND(VG58/CAC*VD58,0)),0)</f>
        <v/>
      </c>
      <c r="VI58" s="12">
        <f>IF(VH58&gt;0,ROUND(VH58*ReferralMix/(1-ReferralMix),0),0)</f>
        <v/>
      </c>
      <c r="VJ58" s="12">
        <f>VH58+VI58</f>
        <v/>
      </c>
      <c r="VK58" s="12">
        <f>ROUND(VJ58*(1-'Sens - Annual Mix'!$A$10),0)</f>
        <v/>
      </c>
      <c r="VL58" s="12">
        <f>VJ58-VK58</f>
        <v/>
      </c>
      <c r="VM58" s="12">
        <f>ROUND(VK58*EssentialMix,0)</f>
        <v/>
      </c>
      <c r="VN58" s="12">
        <f>VK58-VM58</f>
        <v/>
      </c>
      <c r="VO58" s="12">
        <f>ROUND(VL58*EssentialMix,0)</f>
        <v/>
      </c>
      <c r="VP58" s="12">
        <f>VL58-VO58</f>
        <v/>
      </c>
      <c r="VQ58" s="12">
        <f>VM58+VM57+VM56+MAX(0,VQ57-VM57-VM56)*(1-VF58)</f>
        <v/>
      </c>
      <c r="VR58" s="12">
        <f>VN58+VN57+VN56+MAX(0,VR57-VN57-VN56)*(1-VF58)</f>
        <v/>
      </c>
      <c r="VS58" s="12">
        <f>VS57+VO58-VO46*(AnnualChurn*VLOOKUP(VB58,ChurnSeasonTable,4,FALSE))*POWER(1-(AnnualChurn*VLOOKUP(VB58,ChurnSeasonTable,4,FALSE)),0)+VO34*(AnnualChurn*VLOOKUP(VB58,ChurnSeasonTable,4,FALSE))*POWER(1-(AnnualChurn*VLOOKUP(VB58,ChurnSeasonTable,4,FALSE)),1)+VO22*(AnnualChurn*VLOOKUP(VB58,ChurnSeasonTable,4,FALSE))*POWER(1-(AnnualChurn*VLOOKUP(VB58,ChurnSeasonTable,4,FALSE)),2)+VO10*(AnnualChurn*VLOOKUP(VB58,ChurnSeasonTable,4,FALSE))*POWER(1-(AnnualChurn*VLOOKUP(VB58,ChurnSeasonTable,4,FALSE)),3)</f>
        <v/>
      </c>
      <c r="VT58" s="12">
        <f>VT57+VP58-VP46*(AnnualChurn*VLOOKUP(VB58,ChurnSeasonTable,4,FALSE))*POWER(1-(AnnualChurn*VLOOKUP(VB58,ChurnSeasonTable,4,FALSE)),0)+VP34*(AnnualChurn*VLOOKUP(VB58,ChurnSeasonTable,4,FALSE))*POWER(1-(AnnualChurn*VLOOKUP(VB58,ChurnSeasonTable,4,FALSE)),1)+VP22*(AnnualChurn*VLOOKUP(VB58,ChurnSeasonTable,4,FALSE))*POWER(1-(AnnualChurn*VLOOKUP(VB58,ChurnSeasonTable,4,FALSE)),2)+VP10*(AnnualChurn*VLOOKUP(VB58,ChurnSeasonTable,4,FALSE))*POWER(1-(AnnualChurn*VLOOKUP(VB58,ChurnSeasonTable,4,FALSE)),3)</f>
        <v/>
      </c>
      <c r="VU58" s="12">
        <f>VQ58+VR58+VS58+VT58</f>
        <v/>
      </c>
      <c r="VV58" s="9">
        <f>VQ58*PriceEssMonthly*VE58+VR58*PricePremMonthly*VE58+VS58*PriceEssAnnual*VE58/12+VT58*PricePremAnnual*VE58/12</f>
        <v/>
      </c>
      <c r="VW58" s="9">
        <f>VV58*12</f>
        <v/>
      </c>
      <c r="VX58" s="12">
        <f>VQ58*PriceEssMonthly*VE58+VR58*PricePremMonthly*VE58</f>
        <v/>
      </c>
      <c r="VY58" s="12">
        <f>VO58*PriceEssAnnual*VE58+VP58*PricePremAnnual*VE58</f>
        <v/>
      </c>
      <c r="VZ58" s="12">
        <f>VO46*POWER(1-(AnnualChurn*VLOOKUP(VB58,ChurnSeasonTable,4,FALSE)),1)*PriceEssAnnual*VE58+VO34*POWER(1-(AnnualChurn*VLOOKUP(VB58,ChurnSeasonTable,4,FALSE)),2)*PriceEssAnnual*VE58+VO22*POWER(1-(AnnualChurn*VLOOKUP(VB58,ChurnSeasonTable,4,FALSE)),3)*PriceEssAnnual*VE58+VO10*POWER(1-(AnnualChurn*VLOOKUP(VB58,ChurnSeasonTable,4,FALSE)),4)*PriceEssAnnual*VE58+VP46*POWER(1-(AnnualChurn*VLOOKUP(VB58,ChurnSeasonTable,4,FALSE)),1)*PricePremAnnual*VE58+VP34*POWER(1-(AnnualChurn*VLOOKUP(VB58,ChurnSeasonTable,4,FALSE)),2)*PricePremAnnual*VE58+VP22*POWER(1-(AnnualChurn*VLOOKUP(VB58,ChurnSeasonTable,4,FALSE)),3)*PricePremAnnual*VE58+VP10*POWER(1-(AnnualChurn*VLOOKUP(VB58,ChurnSeasonTable,4,FALSE)),4)*PricePremAnnual*VE58</f>
        <v/>
      </c>
      <c r="WA58" s="9">
        <f>VX58+VY58+VZ58</f>
        <v/>
      </c>
      <c r="WB58" s="12">
        <f>SUM(WA47:WA58)</f>
        <v/>
      </c>
      <c r="WC58" s="12">
        <f>OR(WC57,WB58&gt;=VATThreshold)</f>
        <v/>
      </c>
      <c r="WD58" s="9">
        <f>IF(WC58,WA58/(1+VATRate),WA58)</f>
        <v/>
      </c>
      <c r="WE58" s="12">
        <f>WA58-WD58</f>
        <v/>
      </c>
      <c r="WF58" s="12">
        <f>IF(WC58=0,0,IF(VB58=1,SUMPRODUCT(--(($VC$5:$VC58=$VC58-1)*($VB$5:$VB58&gt;=10)*($VB$5:$VB58&lt;=12)),$WE$5:$WE58),IF(VB58=4,SUMPRODUCT(--(($VC$5:$VC58=$VC58)*($VB$5:$VB58&gt;=1)*($VB$5:$VB58&lt;=3)),$WE$5:$WE58),IF(VB58=7,SUMPRODUCT(--(($VC$5:$VC58=$VC58)*($VB$5:$VB58&gt;=4)*($VB$5:$VB58&lt;=6)),$WE$5:$WE58),IF(VB58=10,SUMPRODUCT(--(($VC$5:$VC58=$VC58)*($VB$5:$VB58&gt;=7)*($VB$5:$VB58&lt;=9)),$WE$5:$WE58),0)))))</f>
        <v/>
      </c>
      <c r="WG58" s="12">
        <f>WG57+WE58-WF58</f>
        <v/>
      </c>
      <c r="WH58" s="12">
        <f>IF(ProviderDelay&gt;=1,WD57*ProviderShare,WD58*ProviderShare)</f>
        <v/>
      </c>
      <c r="WI58" s="12">
        <f>WA58*PaymentFee</f>
        <v/>
      </c>
      <c r="WJ58" s="12">
        <f>VU58*OpsAI</f>
        <v/>
      </c>
      <c r="WK58" s="12">
        <f>MonthlyFixed</f>
        <v/>
      </c>
      <c r="WL58" s="12">
        <f>VI58*ReferralReward</f>
        <v/>
      </c>
      <c r="WM58" s="12">
        <f>VG58</f>
        <v/>
      </c>
      <c r="WN58" s="9">
        <f>WD58-WH58-WI58-WJ58-WK58-WL58-WM58</f>
        <v/>
      </c>
      <c r="WO58" s="9">
        <f>WO57+WA58-(WH58+WI58+WJ58+WK58+WL58+WM58+WF58)</f>
        <v/>
      </c>
      <c r="WP58" s="12">
        <f>IF(VU58&gt;0,VV58/VU58,0)</f>
        <v/>
      </c>
      <c r="WQ58" s="11">
        <f>IF(VU57&gt;0,MAX(0,(VU57+VJ58-VU58)/VU57),0)</f>
        <v/>
      </c>
      <c r="WS58" s="12" t="n">
        <v>54</v>
      </c>
      <c r="WT58" s="12">
        <f>MOD(WS58-1+LaunchMonth-1,12)+1</f>
        <v/>
      </c>
      <c r="WU58" s="12">
        <f>INT((WS58-1+LaunchMonth-1)/12)+1</f>
        <v/>
      </c>
      <c r="WV58" s="12">
        <f>VLOOKUP(WT58,SeasonTable,2,FALSE)</f>
        <v/>
      </c>
      <c r="WW58" s="12">
        <f>(1+InflationRate)^INT((WS58-1)/12)</f>
        <v/>
      </c>
      <c r="WX58" s="11">
        <f>MonthlyChurn*VLOOKUP(WT58,ChurnSeasonTable,4,FALSE)</f>
        <v/>
      </c>
      <c r="WY58" s="12">
        <f>MIN(MAX(MktMin19plus,XS57*MktPct19plus),MAX(0,YG57-CashBuffer))</f>
        <v/>
      </c>
      <c r="WZ58" s="12">
        <f>IF(WY58&gt;0,MAX(1,ROUND(WY58/CAC*WV58,0)),0)</f>
        <v/>
      </c>
      <c r="XA58" s="12">
        <f>IF(WZ58&gt;0,ROUND(WZ58*ReferralMix/(1-ReferralMix),0),0)</f>
        <v/>
      </c>
      <c r="XB58" s="12">
        <f>WZ58+XA58</f>
        <v/>
      </c>
      <c r="XC58" s="12">
        <f>ROUND(XB58*(1-'Sens - Annual Mix'!$A$11),0)</f>
        <v/>
      </c>
      <c r="XD58" s="12">
        <f>XB58-XC58</f>
        <v/>
      </c>
      <c r="XE58" s="12">
        <f>ROUND(XC58*EssentialMix,0)</f>
        <v/>
      </c>
      <c r="XF58" s="12">
        <f>XC58-XE58</f>
        <v/>
      </c>
      <c r="XG58" s="12">
        <f>ROUND(XD58*EssentialMix,0)</f>
        <v/>
      </c>
      <c r="XH58" s="12">
        <f>XD58-XG58</f>
        <v/>
      </c>
      <c r="XI58" s="12">
        <f>XE58+XE57+XE56+MAX(0,XI57-XE57-XE56)*(1-WX58)</f>
        <v/>
      </c>
      <c r="XJ58" s="12">
        <f>XF58+XF57+XF56+MAX(0,XJ57-XF57-XF56)*(1-WX58)</f>
        <v/>
      </c>
      <c r="XK58" s="12">
        <f>XK57+XG58-XG46*(AnnualChurn*VLOOKUP(WT58,ChurnSeasonTable,4,FALSE))*POWER(1-(AnnualChurn*VLOOKUP(WT58,ChurnSeasonTable,4,FALSE)),0)+XG34*(AnnualChurn*VLOOKUP(WT58,ChurnSeasonTable,4,FALSE))*POWER(1-(AnnualChurn*VLOOKUP(WT58,ChurnSeasonTable,4,FALSE)),1)+XG22*(AnnualChurn*VLOOKUP(WT58,ChurnSeasonTable,4,FALSE))*POWER(1-(AnnualChurn*VLOOKUP(WT58,ChurnSeasonTable,4,FALSE)),2)+XG10*(AnnualChurn*VLOOKUP(WT58,ChurnSeasonTable,4,FALSE))*POWER(1-(AnnualChurn*VLOOKUP(WT58,ChurnSeasonTable,4,FALSE)),3)</f>
        <v/>
      </c>
      <c r="XL58" s="12">
        <f>XL57+XH58-XH46*(AnnualChurn*VLOOKUP(WT58,ChurnSeasonTable,4,FALSE))*POWER(1-(AnnualChurn*VLOOKUP(WT58,ChurnSeasonTable,4,FALSE)),0)+XH34*(AnnualChurn*VLOOKUP(WT58,ChurnSeasonTable,4,FALSE))*POWER(1-(AnnualChurn*VLOOKUP(WT58,ChurnSeasonTable,4,FALSE)),1)+XH22*(AnnualChurn*VLOOKUP(WT58,ChurnSeasonTable,4,FALSE))*POWER(1-(AnnualChurn*VLOOKUP(WT58,ChurnSeasonTable,4,FALSE)),2)+XH10*(AnnualChurn*VLOOKUP(WT58,ChurnSeasonTable,4,FALSE))*POWER(1-(AnnualChurn*VLOOKUP(WT58,ChurnSeasonTable,4,FALSE)),3)</f>
        <v/>
      </c>
      <c r="XM58" s="12">
        <f>XI58+XJ58+XK58+XL58</f>
        <v/>
      </c>
      <c r="XN58" s="9">
        <f>XI58*PriceEssMonthly*WW58+XJ58*PricePremMonthly*WW58+XK58*PriceEssAnnual*WW58/12+XL58*PricePremAnnual*WW58/12</f>
        <v/>
      </c>
      <c r="XO58" s="9">
        <f>XN58*12</f>
        <v/>
      </c>
      <c r="XP58" s="12">
        <f>XI58*PriceEssMonthly*WW58+XJ58*PricePremMonthly*WW58</f>
        <v/>
      </c>
      <c r="XQ58" s="12">
        <f>XG58*PriceEssAnnual*WW58+XH58*PricePremAnnual*WW58</f>
        <v/>
      </c>
      <c r="XR58" s="12">
        <f>XG46*POWER(1-(AnnualChurn*VLOOKUP(WT58,ChurnSeasonTable,4,FALSE)),1)*PriceEssAnnual*WW58+XG34*POWER(1-(AnnualChurn*VLOOKUP(WT58,ChurnSeasonTable,4,FALSE)),2)*PriceEssAnnual*WW58+XG22*POWER(1-(AnnualChurn*VLOOKUP(WT58,ChurnSeasonTable,4,FALSE)),3)*PriceEssAnnual*WW58+XG10*POWER(1-(AnnualChurn*VLOOKUP(WT58,ChurnSeasonTable,4,FALSE)),4)*PriceEssAnnual*WW58+XH46*POWER(1-(AnnualChurn*VLOOKUP(WT58,ChurnSeasonTable,4,FALSE)),1)*PricePremAnnual*WW58+XH34*POWER(1-(AnnualChurn*VLOOKUP(WT58,ChurnSeasonTable,4,FALSE)),2)*PricePremAnnual*WW58+XH22*POWER(1-(AnnualChurn*VLOOKUP(WT58,ChurnSeasonTable,4,FALSE)),3)*PricePremAnnual*WW58+XH10*POWER(1-(AnnualChurn*VLOOKUP(WT58,ChurnSeasonTable,4,FALSE)),4)*PricePremAnnual*WW58</f>
        <v/>
      </c>
      <c r="XS58" s="9">
        <f>XP58+XQ58+XR58</f>
        <v/>
      </c>
      <c r="XT58" s="12">
        <f>SUM(XS47:XS58)</f>
        <v/>
      </c>
      <c r="XU58" s="12">
        <f>OR(XU57,XT58&gt;=VATThreshold)</f>
        <v/>
      </c>
      <c r="XV58" s="9">
        <f>IF(XU58,XS58/(1+VATRate),XS58)</f>
        <v/>
      </c>
      <c r="XW58" s="12">
        <f>XS58-XV58</f>
        <v/>
      </c>
      <c r="XX58" s="12">
        <f>IF(XU58=0,0,IF(WT58=1,SUMPRODUCT(--(($WU$5:$WU58=$WU58-1)*($WT$5:$WT58&gt;=10)*($WT$5:$WT58&lt;=12)),$XW$5:$XW58),IF(WT58=4,SUMPRODUCT(--(($WU$5:$WU58=$WU58)*($WT$5:$WT58&gt;=1)*($WT$5:$WT58&lt;=3)),$XW$5:$XW58),IF(WT58=7,SUMPRODUCT(--(($WU$5:$WU58=$WU58)*($WT$5:$WT58&gt;=4)*($WT$5:$WT58&lt;=6)),$XW$5:$XW58),IF(WT58=10,SUMPRODUCT(--(($WU$5:$WU58=$WU58)*($WT$5:$WT58&gt;=7)*($WT$5:$WT58&lt;=9)),$XW$5:$XW58),0)))))</f>
        <v/>
      </c>
      <c r="XY58" s="12">
        <f>XY57+XW58-XX58</f>
        <v/>
      </c>
      <c r="XZ58" s="12">
        <f>IF(ProviderDelay&gt;=1,XV57*ProviderShare,XV58*ProviderShare)</f>
        <v/>
      </c>
      <c r="YA58" s="12">
        <f>XS58*PaymentFee</f>
        <v/>
      </c>
      <c r="YB58" s="12">
        <f>XM58*OpsAI</f>
        <v/>
      </c>
      <c r="YC58" s="12">
        <f>MonthlyFixed</f>
        <v/>
      </c>
      <c r="YD58" s="12">
        <f>XA58*ReferralReward</f>
        <v/>
      </c>
      <c r="YE58" s="12">
        <f>WY58</f>
        <v/>
      </c>
      <c r="YF58" s="9">
        <f>XV58-XZ58-YA58-YB58-YC58-YD58-YE58</f>
        <v/>
      </c>
      <c r="YG58" s="9">
        <f>YG57+XS58-(XZ58+YA58+YB58+YC58+YD58+YE58+XX58)</f>
        <v/>
      </c>
      <c r="YH58" s="12">
        <f>IF(XM58&gt;0,XN58/XM58,0)</f>
        <v/>
      </c>
      <c r="YI58" s="11">
        <f>IF(XM57&gt;0,MAX(0,(XM57+XB58-XM58)/XM57),0)</f>
        <v/>
      </c>
      <c r="YK58" s="12" t="n">
        <v>54</v>
      </c>
      <c r="YL58" s="12">
        <f>MOD(YK58-1+LaunchMonth-1,12)+1</f>
        <v/>
      </c>
      <c r="YM58" s="12">
        <f>INT((YK58-1+LaunchMonth-1)/12)+1</f>
        <v/>
      </c>
      <c r="YN58" s="12">
        <f>VLOOKUP(YL58,SeasonTable,2,FALSE)</f>
        <v/>
      </c>
      <c r="YO58" s="12">
        <f>(1+InflationRate)^INT((YK58-1)/12)</f>
        <v/>
      </c>
      <c r="YP58" s="11">
        <f>MonthlyChurn*VLOOKUP(YL58,ChurnSeasonTable,4,FALSE)</f>
        <v/>
      </c>
      <c r="YQ58" s="12">
        <f>MIN(MAX(MktMin19plus,ZK57*MktPct19plus),MAX(0,ZY57-CashBuffer))</f>
        <v/>
      </c>
      <c r="YR58" s="12">
        <f>IF(YQ58&gt;0,MAX(1,ROUND(YQ58/CAC*YN58,0)),0)</f>
        <v/>
      </c>
      <c r="YS58" s="12">
        <f>IF(YR58&gt;0,ROUND(YR58*ReferralMix/(1-ReferralMix),0),0)</f>
        <v/>
      </c>
      <c r="YT58" s="12">
        <f>YR58+YS58</f>
        <v/>
      </c>
      <c r="YU58" s="12">
        <f>ROUND(YT58*(1-'Sens - Annual Mix'!$A$12),0)</f>
        <v/>
      </c>
      <c r="YV58" s="12">
        <f>YT58-YU58</f>
        <v/>
      </c>
      <c r="YW58" s="12">
        <f>ROUND(YU58*EssentialMix,0)</f>
        <v/>
      </c>
      <c r="YX58" s="12">
        <f>YU58-YW58</f>
        <v/>
      </c>
      <c r="YY58" s="12">
        <f>ROUND(YV58*EssentialMix,0)</f>
        <v/>
      </c>
      <c r="YZ58" s="12">
        <f>YV58-YY58</f>
        <v/>
      </c>
      <c r="ZA58" s="12">
        <f>YW58+YW57+YW56+MAX(0,ZA57-YW57-YW56)*(1-YP58)</f>
        <v/>
      </c>
      <c r="ZB58" s="12">
        <f>YX58+YX57+YX56+MAX(0,ZB57-YX57-YX56)*(1-YP58)</f>
        <v/>
      </c>
      <c r="ZC58" s="12">
        <f>ZC57+YY58-YY46*(AnnualChurn*VLOOKUP(YL58,ChurnSeasonTable,4,FALSE))*POWER(1-(AnnualChurn*VLOOKUP(YL58,ChurnSeasonTable,4,FALSE)),0)+YY34*(AnnualChurn*VLOOKUP(YL58,ChurnSeasonTable,4,FALSE))*POWER(1-(AnnualChurn*VLOOKUP(YL58,ChurnSeasonTable,4,FALSE)),1)+YY22*(AnnualChurn*VLOOKUP(YL58,ChurnSeasonTable,4,FALSE))*POWER(1-(AnnualChurn*VLOOKUP(YL58,ChurnSeasonTable,4,FALSE)),2)+YY10*(AnnualChurn*VLOOKUP(YL58,ChurnSeasonTable,4,FALSE))*POWER(1-(AnnualChurn*VLOOKUP(YL58,ChurnSeasonTable,4,FALSE)),3)</f>
        <v/>
      </c>
      <c r="ZD58" s="12">
        <f>ZD57+YZ58-YZ46*(AnnualChurn*VLOOKUP(YL58,ChurnSeasonTable,4,FALSE))*POWER(1-(AnnualChurn*VLOOKUP(YL58,ChurnSeasonTable,4,FALSE)),0)+YZ34*(AnnualChurn*VLOOKUP(YL58,ChurnSeasonTable,4,FALSE))*POWER(1-(AnnualChurn*VLOOKUP(YL58,ChurnSeasonTable,4,FALSE)),1)+YZ22*(AnnualChurn*VLOOKUP(YL58,ChurnSeasonTable,4,FALSE))*POWER(1-(AnnualChurn*VLOOKUP(YL58,ChurnSeasonTable,4,FALSE)),2)+YZ10*(AnnualChurn*VLOOKUP(YL58,ChurnSeasonTable,4,FALSE))*POWER(1-(AnnualChurn*VLOOKUP(YL58,ChurnSeasonTable,4,FALSE)),3)</f>
        <v/>
      </c>
      <c r="ZE58" s="12">
        <f>ZA58+ZB58+ZC58+ZD58</f>
        <v/>
      </c>
      <c r="ZF58" s="9">
        <f>ZA58*PriceEssMonthly*YO58+ZB58*PricePremMonthly*YO58+ZC58*PriceEssAnnual*YO58/12+ZD58*PricePremAnnual*YO58/12</f>
        <v/>
      </c>
      <c r="ZG58" s="9">
        <f>ZF58*12</f>
        <v/>
      </c>
      <c r="ZH58" s="12">
        <f>ZA58*PriceEssMonthly*YO58+ZB58*PricePremMonthly*YO58</f>
        <v/>
      </c>
      <c r="ZI58" s="12">
        <f>YY58*PriceEssAnnual*YO58+YZ58*PricePremAnnual*YO58</f>
        <v/>
      </c>
      <c r="ZJ58" s="12">
        <f>YY46*POWER(1-(AnnualChurn*VLOOKUP(YL58,ChurnSeasonTable,4,FALSE)),1)*PriceEssAnnual*YO58+YY34*POWER(1-(AnnualChurn*VLOOKUP(YL58,ChurnSeasonTable,4,FALSE)),2)*PriceEssAnnual*YO58+YY22*POWER(1-(AnnualChurn*VLOOKUP(YL58,ChurnSeasonTable,4,FALSE)),3)*PriceEssAnnual*YO58+YY10*POWER(1-(AnnualChurn*VLOOKUP(YL58,ChurnSeasonTable,4,FALSE)),4)*PriceEssAnnual*YO58+YZ46*POWER(1-(AnnualChurn*VLOOKUP(YL58,ChurnSeasonTable,4,FALSE)),1)*PricePremAnnual*YO58+YZ34*POWER(1-(AnnualChurn*VLOOKUP(YL58,ChurnSeasonTable,4,FALSE)),2)*PricePremAnnual*YO58+YZ22*POWER(1-(AnnualChurn*VLOOKUP(YL58,ChurnSeasonTable,4,FALSE)),3)*PricePremAnnual*YO58+YZ10*POWER(1-(AnnualChurn*VLOOKUP(YL58,ChurnSeasonTable,4,FALSE)),4)*PricePremAnnual*YO58</f>
        <v/>
      </c>
      <c r="ZK58" s="9">
        <f>ZH58+ZI58+ZJ58</f>
        <v/>
      </c>
      <c r="ZL58" s="12">
        <f>SUM(ZK47:ZK58)</f>
        <v/>
      </c>
      <c r="ZM58" s="12">
        <f>OR(ZM57,ZL58&gt;=VATThreshold)</f>
        <v/>
      </c>
      <c r="ZN58" s="9">
        <f>IF(ZM58,ZK58/(1+VATRate),ZK58)</f>
        <v/>
      </c>
      <c r="ZO58" s="12">
        <f>ZK58-ZN58</f>
        <v/>
      </c>
      <c r="ZP58" s="12">
        <f>IF(ZM58=0,0,IF(YL58=1,SUMPRODUCT(--(($YM$5:$YM58=$YM58-1)*($YL$5:$YL58&gt;=10)*($YL$5:$YL58&lt;=12)),$ZO$5:$ZO58),IF(YL58=4,SUMPRODUCT(--(($YM$5:$YM58=$YM58)*($YL$5:$YL58&gt;=1)*($YL$5:$YL58&lt;=3)),$ZO$5:$ZO58),IF(YL58=7,SUMPRODUCT(--(($YM$5:$YM58=$YM58)*($YL$5:$YL58&gt;=4)*($YL$5:$YL58&lt;=6)),$ZO$5:$ZO58),IF(YL58=10,SUMPRODUCT(--(($YM$5:$YM58=$YM58)*($YL$5:$YL58&gt;=7)*($YL$5:$YL58&lt;=9)),$ZO$5:$ZO58),0)))))</f>
        <v/>
      </c>
      <c r="ZQ58" s="12">
        <f>ZQ57+ZO58-ZP58</f>
        <v/>
      </c>
      <c r="ZR58" s="12">
        <f>IF(ProviderDelay&gt;=1,ZN57*ProviderShare,ZN58*ProviderShare)</f>
        <v/>
      </c>
      <c r="ZS58" s="12">
        <f>ZK58*PaymentFee</f>
        <v/>
      </c>
      <c r="ZT58" s="12">
        <f>ZE58*OpsAI</f>
        <v/>
      </c>
      <c r="ZU58" s="12">
        <f>MonthlyFixed</f>
        <v/>
      </c>
      <c r="ZV58" s="12">
        <f>YS58*ReferralReward</f>
        <v/>
      </c>
      <c r="ZW58" s="12">
        <f>YQ58</f>
        <v/>
      </c>
      <c r="ZX58" s="9">
        <f>ZN58-ZR58-ZS58-ZT58-ZU58-ZV58-ZW58</f>
        <v/>
      </c>
      <c r="ZY58" s="9">
        <f>ZY57+ZK58-(ZR58+ZS58+ZT58+ZU58+ZV58+ZW58+ZP58)</f>
        <v/>
      </c>
      <c r="ZZ58" s="12">
        <f>IF(ZE58&gt;0,ZF58/ZE58,0)</f>
        <v/>
      </c>
      <c r="AAA58" s="11">
        <f>IF(ZE57&gt;0,MAX(0,(ZE57+YT58-ZE58)/ZE57),0)</f>
        <v/>
      </c>
      <c r="AAC58" s="12" t="n">
        <v>54</v>
      </c>
      <c r="AAD58" s="12">
        <f>MOD(AAC58-1+LaunchMonth-1,12)+1</f>
        <v/>
      </c>
      <c r="AAE58" s="12">
        <f>INT((AAC58-1+LaunchMonth-1)/12)+1</f>
        <v/>
      </c>
      <c r="AAF58" s="12">
        <f>VLOOKUP(AAD58,SeasonTable,2,FALSE)</f>
        <v/>
      </c>
      <c r="AAG58" s="12">
        <f>(1+InflationRate)^INT((AAC58-1)/12)</f>
        <v/>
      </c>
      <c r="AAH58" s="11">
        <f>MonthlyChurn*VLOOKUP(AAD58,ChurnSeasonTable,4,FALSE)</f>
        <v/>
      </c>
      <c r="AAI58" s="12">
        <f>MIN(MAX(MktMin19plus,ABC57*MktPct19plus),MAX(0,ABQ57-CashBuffer))</f>
        <v/>
      </c>
      <c r="AAJ58" s="12">
        <f>IF(AAI58&gt;0,MAX(1,ROUND(AAI58/CAC*AAF58,0)),0)</f>
        <v/>
      </c>
      <c r="AAK58" s="12">
        <f>IF(AAJ58&gt;0,ROUND(AAJ58*ReferralMix/(1-ReferralMix),0),0)</f>
        <v/>
      </c>
      <c r="AAL58" s="12">
        <f>AAJ58+AAK58</f>
        <v/>
      </c>
      <c r="AAM58" s="12">
        <f>ROUND(AAL58*(1-'Sens - Annual Mix'!$A$13),0)</f>
        <v/>
      </c>
      <c r="AAN58" s="12">
        <f>AAL58-AAM58</f>
        <v/>
      </c>
      <c r="AAO58" s="12">
        <f>ROUND(AAM58*EssentialMix,0)</f>
        <v/>
      </c>
      <c r="AAP58" s="12">
        <f>AAM58-AAO58</f>
        <v/>
      </c>
      <c r="AAQ58" s="12">
        <f>ROUND(AAN58*EssentialMix,0)</f>
        <v/>
      </c>
      <c r="AAR58" s="12">
        <f>AAN58-AAQ58</f>
        <v/>
      </c>
      <c r="AAS58" s="12">
        <f>AAO58+AAO57+AAO56+MAX(0,AAS57-AAO57-AAO56)*(1-AAH58)</f>
        <v/>
      </c>
      <c r="AAT58" s="12">
        <f>AAP58+AAP57+AAP56+MAX(0,AAT57-AAP57-AAP56)*(1-AAH58)</f>
        <v/>
      </c>
      <c r="AAU58" s="12">
        <f>AAU57+AAQ58-AAQ46*(AnnualChurn*VLOOKUP(AAD58,ChurnSeasonTable,4,FALSE))*POWER(1-(AnnualChurn*VLOOKUP(AAD58,ChurnSeasonTable,4,FALSE)),0)+AAQ34*(AnnualChurn*VLOOKUP(AAD58,ChurnSeasonTable,4,FALSE))*POWER(1-(AnnualChurn*VLOOKUP(AAD58,ChurnSeasonTable,4,FALSE)),1)+AAQ22*(AnnualChurn*VLOOKUP(AAD58,ChurnSeasonTable,4,FALSE))*POWER(1-(AnnualChurn*VLOOKUP(AAD58,ChurnSeasonTable,4,FALSE)),2)+AAQ10*(AnnualChurn*VLOOKUP(AAD58,ChurnSeasonTable,4,FALSE))*POWER(1-(AnnualChurn*VLOOKUP(AAD58,ChurnSeasonTable,4,FALSE)),3)</f>
        <v/>
      </c>
      <c r="AAV58" s="12">
        <f>AAV57+AAR58-AAR46*(AnnualChurn*VLOOKUP(AAD58,ChurnSeasonTable,4,FALSE))*POWER(1-(AnnualChurn*VLOOKUP(AAD58,ChurnSeasonTable,4,FALSE)),0)+AAR34*(AnnualChurn*VLOOKUP(AAD58,ChurnSeasonTable,4,FALSE))*POWER(1-(AnnualChurn*VLOOKUP(AAD58,ChurnSeasonTable,4,FALSE)),1)+AAR22*(AnnualChurn*VLOOKUP(AAD58,ChurnSeasonTable,4,FALSE))*POWER(1-(AnnualChurn*VLOOKUP(AAD58,ChurnSeasonTable,4,FALSE)),2)+AAR10*(AnnualChurn*VLOOKUP(AAD58,ChurnSeasonTable,4,FALSE))*POWER(1-(AnnualChurn*VLOOKUP(AAD58,ChurnSeasonTable,4,FALSE)),3)</f>
        <v/>
      </c>
      <c r="AAW58" s="12">
        <f>AAS58+AAT58+AAU58+AAV58</f>
        <v/>
      </c>
      <c r="AAX58" s="9">
        <f>AAS58*PriceEssMonthly*AAG58+AAT58*PricePremMonthly*AAG58+AAU58*PriceEssAnnual*AAG58/12+AAV58*PricePremAnnual*AAG58/12</f>
        <v/>
      </c>
      <c r="AAY58" s="9">
        <f>AAX58*12</f>
        <v/>
      </c>
      <c r="AAZ58" s="12">
        <f>AAS58*PriceEssMonthly*AAG58+AAT58*PricePremMonthly*AAG58</f>
        <v/>
      </c>
      <c r="ABA58" s="12">
        <f>AAQ58*PriceEssAnnual*AAG58+AAR58*PricePremAnnual*AAG58</f>
        <v/>
      </c>
      <c r="ABB58" s="12">
        <f>AAQ46*POWER(1-(AnnualChurn*VLOOKUP(AAD58,ChurnSeasonTable,4,FALSE)),1)*PriceEssAnnual*AAG58+AAQ34*POWER(1-(AnnualChurn*VLOOKUP(AAD58,ChurnSeasonTable,4,FALSE)),2)*PriceEssAnnual*AAG58+AAQ22*POWER(1-(AnnualChurn*VLOOKUP(AAD58,ChurnSeasonTable,4,FALSE)),3)*PriceEssAnnual*AAG58+AAQ10*POWER(1-(AnnualChurn*VLOOKUP(AAD58,ChurnSeasonTable,4,FALSE)),4)*PriceEssAnnual*AAG58+AAR46*POWER(1-(AnnualChurn*VLOOKUP(AAD58,ChurnSeasonTable,4,FALSE)),1)*PricePremAnnual*AAG58+AAR34*POWER(1-(AnnualChurn*VLOOKUP(AAD58,ChurnSeasonTable,4,FALSE)),2)*PricePremAnnual*AAG58+AAR22*POWER(1-(AnnualChurn*VLOOKUP(AAD58,ChurnSeasonTable,4,FALSE)),3)*PricePremAnnual*AAG58+AAR10*POWER(1-(AnnualChurn*VLOOKUP(AAD58,ChurnSeasonTable,4,FALSE)),4)*PricePremAnnual*AAG58</f>
        <v/>
      </c>
      <c r="ABC58" s="9">
        <f>AAZ58+ABA58+ABB58</f>
        <v/>
      </c>
      <c r="ABD58" s="12">
        <f>SUM(ABC47:ABC58)</f>
        <v/>
      </c>
      <c r="ABE58" s="12">
        <f>OR(ABE57,ABD58&gt;=VATThreshold)</f>
        <v/>
      </c>
      <c r="ABF58" s="9">
        <f>IF(ABE58,ABC58/(1+VATRate),ABC58)</f>
        <v/>
      </c>
      <c r="ABG58" s="12">
        <f>ABC58-ABF58</f>
        <v/>
      </c>
      <c r="ABH58" s="12">
        <f>IF(ABE58=0,0,IF(AAD58=1,SUMPRODUCT(--(($AAE$5:$AAE58=$AAE58-1)*($AAD$5:$AAD58&gt;=10)*($AAD$5:$AAD58&lt;=12)),$ABG$5:$ABG58),IF(AAD58=4,SUMPRODUCT(--(($AAE$5:$AAE58=$AAE58)*($AAD$5:$AAD58&gt;=1)*($AAD$5:$AAD58&lt;=3)),$ABG$5:$ABG58),IF(AAD58=7,SUMPRODUCT(--(($AAE$5:$AAE58=$AAE58)*($AAD$5:$AAD58&gt;=4)*($AAD$5:$AAD58&lt;=6)),$ABG$5:$ABG58),IF(AAD58=10,SUMPRODUCT(--(($AAE$5:$AAE58=$AAE58)*($AAD$5:$AAD58&gt;=7)*($AAD$5:$AAD58&lt;=9)),$ABG$5:$ABG58),0)))))</f>
        <v/>
      </c>
      <c r="ABI58" s="12">
        <f>ABI57+ABG58-ABH58</f>
        <v/>
      </c>
      <c r="ABJ58" s="12">
        <f>IF(ProviderDelay&gt;=1,ABF57*ProviderShare,ABF58*ProviderShare)</f>
        <v/>
      </c>
      <c r="ABK58" s="12">
        <f>ABC58*PaymentFee</f>
        <v/>
      </c>
      <c r="ABL58" s="12">
        <f>AAW58*OpsAI</f>
        <v/>
      </c>
      <c r="ABM58" s="12">
        <f>MonthlyFixed</f>
        <v/>
      </c>
      <c r="ABN58" s="12">
        <f>AAK58*ReferralReward</f>
        <v/>
      </c>
      <c r="ABO58" s="12">
        <f>AAI58</f>
        <v/>
      </c>
      <c r="ABP58" s="9">
        <f>ABF58-ABJ58-ABK58-ABL58-ABM58-ABN58-ABO58</f>
        <v/>
      </c>
      <c r="ABQ58" s="9">
        <f>ABQ57+ABC58-(ABJ58+ABK58+ABL58+ABM58+ABN58+ABO58+ABH58)</f>
        <v/>
      </c>
      <c r="ABR58" s="12">
        <f>IF(AAW58&gt;0,AAX58/AAW58,0)</f>
        <v/>
      </c>
      <c r="ABS58" s="11">
        <f>IF(AAW57&gt;0,MAX(0,(AAW57+AAL58-AAW58)/AAW57),0)</f>
        <v/>
      </c>
      <c r="ABU58" s="12" t="n">
        <v>54</v>
      </c>
      <c r="ABV58" s="12">
        <f>MOD(ABU58-1+LaunchMonth-1,12)+1</f>
        <v/>
      </c>
      <c r="ABW58" s="12">
        <f>INT((ABU58-1+LaunchMonth-1)/12)+1</f>
        <v/>
      </c>
      <c r="ABX58" s="12">
        <f>VLOOKUP(ABV58,SeasonTable,2,FALSE)</f>
        <v/>
      </c>
      <c r="ABY58" s="12">
        <f>(1+InflationRate)^INT((ABU58-1)/12)</f>
        <v/>
      </c>
      <c r="ABZ58" s="11">
        <f>MonthlyChurn*VLOOKUP(ABV58,ChurnSeasonTable,4,FALSE)</f>
        <v/>
      </c>
      <c r="ACA58" s="12">
        <f>MIN(MAX(MktMin19plus,ACU57*MktPct19plus),MAX(0,ADI57-CashBuffer))</f>
        <v/>
      </c>
      <c r="ACB58" s="12">
        <f>IF(ACA58&gt;0,MAX(1,ROUND(ACA58/CAC*ABX58,0)),0)</f>
        <v/>
      </c>
      <c r="ACC58" s="12">
        <f>IF(ACB58&gt;0,ROUND(ACB58*ReferralMix/(1-ReferralMix),0),0)</f>
        <v/>
      </c>
      <c r="ACD58" s="12">
        <f>ACB58+ACC58</f>
        <v/>
      </c>
      <c r="ACE58" s="12">
        <f>ROUND(ACD58*(1-'Sens - Annual Mix'!$A$14),0)</f>
        <v/>
      </c>
      <c r="ACF58" s="12">
        <f>ACD58-ACE58</f>
        <v/>
      </c>
      <c r="ACG58" s="12">
        <f>ROUND(ACE58*EssentialMix,0)</f>
        <v/>
      </c>
      <c r="ACH58" s="12">
        <f>ACE58-ACG58</f>
        <v/>
      </c>
      <c r="ACI58" s="12">
        <f>ROUND(ACF58*EssentialMix,0)</f>
        <v/>
      </c>
      <c r="ACJ58" s="12">
        <f>ACF58-ACI58</f>
        <v/>
      </c>
      <c r="ACK58" s="12">
        <f>ACG58+ACG57+ACG56+MAX(0,ACK57-ACG57-ACG56)*(1-ABZ58)</f>
        <v/>
      </c>
      <c r="ACL58" s="12">
        <f>ACH58+ACH57+ACH56+MAX(0,ACL57-ACH57-ACH56)*(1-ABZ58)</f>
        <v/>
      </c>
      <c r="ACM58" s="12">
        <f>ACM57+ACI58-ACI46*(AnnualChurn*VLOOKUP(ABV58,ChurnSeasonTable,4,FALSE))*POWER(1-(AnnualChurn*VLOOKUP(ABV58,ChurnSeasonTable,4,FALSE)),0)+ACI34*(AnnualChurn*VLOOKUP(ABV58,ChurnSeasonTable,4,FALSE))*POWER(1-(AnnualChurn*VLOOKUP(ABV58,ChurnSeasonTable,4,FALSE)),1)+ACI22*(AnnualChurn*VLOOKUP(ABV58,ChurnSeasonTable,4,FALSE))*POWER(1-(AnnualChurn*VLOOKUP(ABV58,ChurnSeasonTable,4,FALSE)),2)+ACI10*(AnnualChurn*VLOOKUP(ABV58,ChurnSeasonTable,4,FALSE))*POWER(1-(AnnualChurn*VLOOKUP(ABV58,ChurnSeasonTable,4,FALSE)),3)</f>
        <v/>
      </c>
      <c r="ACN58" s="12">
        <f>ACN57+ACJ58-ACJ46*(AnnualChurn*VLOOKUP(ABV58,ChurnSeasonTable,4,FALSE))*POWER(1-(AnnualChurn*VLOOKUP(ABV58,ChurnSeasonTable,4,FALSE)),0)+ACJ34*(AnnualChurn*VLOOKUP(ABV58,ChurnSeasonTable,4,FALSE))*POWER(1-(AnnualChurn*VLOOKUP(ABV58,ChurnSeasonTable,4,FALSE)),1)+ACJ22*(AnnualChurn*VLOOKUP(ABV58,ChurnSeasonTable,4,FALSE))*POWER(1-(AnnualChurn*VLOOKUP(ABV58,ChurnSeasonTable,4,FALSE)),2)+ACJ10*(AnnualChurn*VLOOKUP(ABV58,ChurnSeasonTable,4,FALSE))*POWER(1-(AnnualChurn*VLOOKUP(ABV58,ChurnSeasonTable,4,FALSE)),3)</f>
        <v/>
      </c>
      <c r="ACO58" s="12">
        <f>ACK58+ACL58+ACM58+ACN58</f>
        <v/>
      </c>
      <c r="ACP58" s="9">
        <f>ACK58*PriceEssMonthly*ABY58+ACL58*PricePremMonthly*ABY58+ACM58*PriceEssAnnual*ABY58/12+ACN58*PricePremAnnual*ABY58/12</f>
        <v/>
      </c>
      <c r="ACQ58" s="9">
        <f>ACP58*12</f>
        <v/>
      </c>
      <c r="ACR58" s="12">
        <f>ACK58*PriceEssMonthly*ABY58+ACL58*PricePremMonthly*ABY58</f>
        <v/>
      </c>
      <c r="ACS58" s="12">
        <f>ACI58*PriceEssAnnual*ABY58+ACJ58*PricePremAnnual*ABY58</f>
        <v/>
      </c>
      <c r="ACT58" s="12">
        <f>ACI46*POWER(1-(AnnualChurn*VLOOKUP(ABV58,ChurnSeasonTable,4,FALSE)),1)*PriceEssAnnual*ABY58+ACI34*POWER(1-(AnnualChurn*VLOOKUP(ABV58,ChurnSeasonTable,4,FALSE)),2)*PriceEssAnnual*ABY58+ACI22*POWER(1-(AnnualChurn*VLOOKUP(ABV58,ChurnSeasonTable,4,FALSE)),3)*PriceEssAnnual*ABY58+ACI10*POWER(1-(AnnualChurn*VLOOKUP(ABV58,ChurnSeasonTable,4,FALSE)),4)*PriceEssAnnual*ABY58+ACJ46*POWER(1-(AnnualChurn*VLOOKUP(ABV58,ChurnSeasonTable,4,FALSE)),1)*PricePremAnnual*ABY58+ACJ34*POWER(1-(AnnualChurn*VLOOKUP(ABV58,ChurnSeasonTable,4,FALSE)),2)*PricePremAnnual*ABY58+ACJ22*POWER(1-(AnnualChurn*VLOOKUP(ABV58,ChurnSeasonTable,4,FALSE)),3)*PricePremAnnual*ABY58+ACJ10*POWER(1-(AnnualChurn*VLOOKUP(ABV58,ChurnSeasonTable,4,FALSE)),4)*PricePremAnnual*ABY58</f>
        <v/>
      </c>
      <c r="ACU58" s="9">
        <f>ACR58+ACS58+ACT58</f>
        <v/>
      </c>
      <c r="ACV58" s="12">
        <f>SUM(ACU47:ACU58)</f>
        <v/>
      </c>
      <c r="ACW58" s="12">
        <f>OR(ACW57,ACV58&gt;=VATThreshold)</f>
        <v/>
      </c>
      <c r="ACX58" s="9">
        <f>IF(ACW58,ACU58/(1+VATRate),ACU58)</f>
        <v/>
      </c>
      <c r="ACY58" s="12">
        <f>ACU58-ACX58</f>
        <v/>
      </c>
      <c r="ACZ58" s="12">
        <f>IF(ACW58=0,0,IF(ABV58=1,SUMPRODUCT(--(($ABW$5:$ABW58=$ABW58-1)*($ABV$5:$ABV58&gt;=10)*($ABV$5:$ABV58&lt;=12)),$ACY$5:$ACY58),IF(ABV58=4,SUMPRODUCT(--(($ABW$5:$ABW58=$ABW58)*($ABV$5:$ABV58&gt;=1)*($ABV$5:$ABV58&lt;=3)),$ACY$5:$ACY58),IF(ABV58=7,SUMPRODUCT(--(($ABW$5:$ABW58=$ABW58)*($ABV$5:$ABV58&gt;=4)*($ABV$5:$ABV58&lt;=6)),$ACY$5:$ACY58),IF(ABV58=10,SUMPRODUCT(--(($ABW$5:$ABW58=$ABW58)*($ABV$5:$ABV58&gt;=7)*($ABV$5:$ABV58&lt;=9)),$ACY$5:$ACY58),0)))))</f>
        <v/>
      </c>
      <c r="ADA58" s="12">
        <f>ADA57+ACY58-ACZ58</f>
        <v/>
      </c>
      <c r="ADB58" s="12">
        <f>IF(ProviderDelay&gt;=1,ACX57*ProviderShare,ACX58*ProviderShare)</f>
        <v/>
      </c>
      <c r="ADC58" s="12">
        <f>ACU58*PaymentFee</f>
        <v/>
      </c>
      <c r="ADD58" s="12">
        <f>ACO58*OpsAI</f>
        <v/>
      </c>
      <c r="ADE58" s="12">
        <f>MonthlyFixed</f>
        <v/>
      </c>
      <c r="ADF58" s="12">
        <f>ACC58*ReferralReward</f>
        <v/>
      </c>
      <c r="ADG58" s="12">
        <f>ACA58</f>
        <v/>
      </c>
      <c r="ADH58" s="9">
        <f>ACX58-ADB58-ADC58-ADD58-ADE58-ADF58-ADG58</f>
        <v/>
      </c>
      <c r="ADI58" s="9">
        <f>ADI57+ACU58-(ADB58+ADC58+ADD58+ADE58+ADF58+ADG58+ACZ58)</f>
        <v/>
      </c>
      <c r="ADJ58" s="12">
        <f>IF(ACO58&gt;0,ACP58/ACO58,0)</f>
        <v/>
      </c>
      <c r="ADK58" s="11">
        <f>IF(ACO57&gt;0,MAX(0,(ACO57+ACD58-ACO58)/ACO57),0)</f>
        <v/>
      </c>
      <c r="ADM58" s="12" t="n">
        <v>54</v>
      </c>
      <c r="ADN58" s="12">
        <f>MOD(ADM58-1+LaunchMonth-1,12)+1</f>
        <v/>
      </c>
      <c r="ADO58" s="12">
        <f>INT((ADM58-1+LaunchMonth-1)/12)+1</f>
        <v/>
      </c>
      <c r="ADP58" s="12">
        <f>VLOOKUP(ADN58,SeasonTable,2,FALSE)</f>
        <v/>
      </c>
      <c r="ADQ58" s="12">
        <f>(1+InflationRate)^INT((ADM58-1)/12)</f>
        <v/>
      </c>
      <c r="ADR58" s="11">
        <f>MonthlyChurn*VLOOKUP(ADN58,ChurnSeasonTable,4,FALSE)</f>
        <v/>
      </c>
      <c r="ADS58" s="12">
        <f>MIN(MAX(MktMin19plus,AEM57*MktPct19plus),MAX(0,AFA57-CashBuffer))</f>
        <v/>
      </c>
      <c r="ADT58" s="12">
        <f>IF(ADS58&gt;0,MAX(1,ROUND(ADS58/CAC*ADP58,0)),0)</f>
        <v/>
      </c>
      <c r="ADU58" s="12">
        <f>IF(ADT58&gt;0,ROUND(ADT58*ReferralMix/(1-ReferralMix),0),0)</f>
        <v/>
      </c>
      <c r="ADV58" s="12">
        <f>ADT58+ADU58</f>
        <v/>
      </c>
      <c r="ADW58" s="12">
        <f>ROUND(ADV58*(1-'Sens - Annual Mix'!$A$15),0)</f>
        <v/>
      </c>
      <c r="ADX58" s="12">
        <f>ADV58-ADW58</f>
        <v/>
      </c>
      <c r="ADY58" s="12">
        <f>ROUND(ADW58*EssentialMix,0)</f>
        <v/>
      </c>
      <c r="ADZ58" s="12">
        <f>ADW58-ADY58</f>
        <v/>
      </c>
      <c r="AEA58" s="12">
        <f>ROUND(ADX58*EssentialMix,0)</f>
        <v/>
      </c>
      <c r="AEB58" s="12">
        <f>ADX58-AEA58</f>
        <v/>
      </c>
      <c r="AEC58" s="12">
        <f>ADY58+ADY57+ADY56+MAX(0,AEC57-ADY57-ADY56)*(1-ADR58)</f>
        <v/>
      </c>
      <c r="AED58" s="12">
        <f>ADZ58+ADZ57+ADZ56+MAX(0,AED57-ADZ57-ADZ56)*(1-ADR58)</f>
        <v/>
      </c>
      <c r="AEE58" s="12">
        <f>AEE57+AEA58-AEA46*(AnnualChurn*VLOOKUP(ADN58,ChurnSeasonTable,4,FALSE))*POWER(1-(AnnualChurn*VLOOKUP(ADN58,ChurnSeasonTable,4,FALSE)),0)+AEA34*(AnnualChurn*VLOOKUP(ADN58,ChurnSeasonTable,4,FALSE))*POWER(1-(AnnualChurn*VLOOKUP(ADN58,ChurnSeasonTable,4,FALSE)),1)+AEA22*(AnnualChurn*VLOOKUP(ADN58,ChurnSeasonTable,4,FALSE))*POWER(1-(AnnualChurn*VLOOKUP(ADN58,ChurnSeasonTable,4,FALSE)),2)+AEA10*(AnnualChurn*VLOOKUP(ADN58,ChurnSeasonTable,4,FALSE))*POWER(1-(AnnualChurn*VLOOKUP(ADN58,ChurnSeasonTable,4,FALSE)),3)</f>
        <v/>
      </c>
      <c r="AEF58" s="12">
        <f>AEF57+AEB58-AEB46*(AnnualChurn*VLOOKUP(ADN58,ChurnSeasonTable,4,FALSE))*POWER(1-(AnnualChurn*VLOOKUP(ADN58,ChurnSeasonTable,4,FALSE)),0)+AEB34*(AnnualChurn*VLOOKUP(ADN58,ChurnSeasonTable,4,FALSE))*POWER(1-(AnnualChurn*VLOOKUP(ADN58,ChurnSeasonTable,4,FALSE)),1)+AEB22*(AnnualChurn*VLOOKUP(ADN58,ChurnSeasonTable,4,FALSE))*POWER(1-(AnnualChurn*VLOOKUP(ADN58,ChurnSeasonTable,4,FALSE)),2)+AEB10*(AnnualChurn*VLOOKUP(ADN58,ChurnSeasonTable,4,FALSE))*POWER(1-(AnnualChurn*VLOOKUP(ADN58,ChurnSeasonTable,4,FALSE)),3)</f>
        <v/>
      </c>
      <c r="AEG58" s="12">
        <f>AEC58+AED58+AEE58+AEF58</f>
        <v/>
      </c>
      <c r="AEH58" s="9">
        <f>AEC58*PriceEssMonthly*ADQ58+AED58*PricePremMonthly*ADQ58+AEE58*PriceEssAnnual*ADQ58/12+AEF58*PricePremAnnual*ADQ58/12</f>
        <v/>
      </c>
      <c r="AEI58" s="9">
        <f>AEH58*12</f>
        <v/>
      </c>
      <c r="AEJ58" s="12">
        <f>AEC58*PriceEssMonthly*ADQ58+AED58*PricePremMonthly*ADQ58</f>
        <v/>
      </c>
      <c r="AEK58" s="12">
        <f>AEA58*PriceEssAnnual*ADQ58+AEB58*PricePremAnnual*ADQ58</f>
        <v/>
      </c>
      <c r="AEL58" s="12">
        <f>AEA46*POWER(1-(AnnualChurn*VLOOKUP(ADN58,ChurnSeasonTable,4,FALSE)),1)*PriceEssAnnual*ADQ58+AEA34*POWER(1-(AnnualChurn*VLOOKUP(ADN58,ChurnSeasonTable,4,FALSE)),2)*PriceEssAnnual*ADQ58+AEA22*POWER(1-(AnnualChurn*VLOOKUP(ADN58,ChurnSeasonTable,4,FALSE)),3)*PriceEssAnnual*ADQ58+AEA10*POWER(1-(AnnualChurn*VLOOKUP(ADN58,ChurnSeasonTable,4,FALSE)),4)*PriceEssAnnual*ADQ58+AEB46*POWER(1-(AnnualChurn*VLOOKUP(ADN58,ChurnSeasonTable,4,FALSE)),1)*PricePremAnnual*ADQ58+AEB34*POWER(1-(AnnualChurn*VLOOKUP(ADN58,ChurnSeasonTable,4,FALSE)),2)*PricePremAnnual*ADQ58+AEB22*POWER(1-(AnnualChurn*VLOOKUP(ADN58,ChurnSeasonTable,4,FALSE)),3)*PricePremAnnual*ADQ58+AEB10*POWER(1-(AnnualChurn*VLOOKUP(ADN58,ChurnSeasonTable,4,FALSE)),4)*PricePremAnnual*ADQ58</f>
        <v/>
      </c>
      <c r="AEM58" s="9">
        <f>AEJ58+AEK58+AEL58</f>
        <v/>
      </c>
      <c r="AEN58" s="12">
        <f>SUM(AEM47:AEM58)</f>
        <v/>
      </c>
      <c r="AEO58" s="12">
        <f>OR(AEO57,AEN58&gt;=VATThreshold)</f>
        <v/>
      </c>
      <c r="AEP58" s="9">
        <f>IF(AEO58,AEM58/(1+VATRate),AEM58)</f>
        <v/>
      </c>
      <c r="AEQ58" s="12">
        <f>AEM58-AEP58</f>
        <v/>
      </c>
      <c r="AER58" s="12">
        <f>IF(AEO58=0,0,IF(ADN58=1,SUMPRODUCT(--(($ADO$5:$ADO58=$ADO58-1)*($ADN$5:$ADN58&gt;=10)*($ADN$5:$ADN58&lt;=12)),$AEQ$5:$AEQ58),IF(ADN58=4,SUMPRODUCT(--(($ADO$5:$ADO58=$ADO58)*($ADN$5:$ADN58&gt;=1)*($ADN$5:$ADN58&lt;=3)),$AEQ$5:$AEQ58),IF(ADN58=7,SUMPRODUCT(--(($ADO$5:$ADO58=$ADO58)*($ADN$5:$ADN58&gt;=4)*($ADN$5:$ADN58&lt;=6)),$AEQ$5:$AEQ58),IF(ADN58=10,SUMPRODUCT(--(($ADO$5:$ADO58=$ADO58)*($ADN$5:$ADN58&gt;=7)*($ADN$5:$ADN58&lt;=9)),$AEQ$5:$AEQ58),0)))))</f>
        <v/>
      </c>
      <c r="AES58" s="12">
        <f>AES57+AEQ58-AER58</f>
        <v/>
      </c>
      <c r="AET58" s="12">
        <f>IF(ProviderDelay&gt;=1,AEP57*ProviderShare,AEP58*ProviderShare)</f>
        <v/>
      </c>
      <c r="AEU58" s="12">
        <f>AEM58*PaymentFee</f>
        <v/>
      </c>
      <c r="AEV58" s="12">
        <f>AEG58*OpsAI</f>
        <v/>
      </c>
      <c r="AEW58" s="12">
        <f>MonthlyFixed</f>
        <v/>
      </c>
      <c r="AEX58" s="12">
        <f>ADU58*ReferralReward</f>
        <v/>
      </c>
      <c r="AEY58" s="12">
        <f>ADS58</f>
        <v/>
      </c>
      <c r="AEZ58" s="9">
        <f>AEP58-AET58-AEU58-AEV58-AEW58-AEX58-AEY58</f>
        <v/>
      </c>
      <c r="AFA58" s="9">
        <f>AFA57+AEM58-(AET58+AEU58+AEV58+AEW58+AEX58+AEY58+AER58)</f>
        <v/>
      </c>
      <c r="AFB58" s="12">
        <f>IF(AEG58&gt;0,AEH58/AEG58,0)</f>
        <v/>
      </c>
      <c r="AFC58" s="11">
        <f>IF(AEG57&gt;0,MAX(0,(AEG57+ADV58-AEG58)/AEG57),0)</f>
        <v/>
      </c>
      <c r="AFE58" s="12" t="n">
        <v>54</v>
      </c>
      <c r="AFF58" s="12">
        <f>MOD(AFE58-1+LaunchMonth-1,12)+1</f>
        <v/>
      </c>
      <c r="AFG58" s="12">
        <f>INT((AFE58-1+LaunchMonth-1)/12)+1</f>
        <v/>
      </c>
      <c r="AFH58" s="12">
        <f>VLOOKUP(AFF58,SeasonTable,2,FALSE)</f>
        <v/>
      </c>
      <c r="AFI58" s="12">
        <f>(1+InflationRate)^INT((AFE58-1)/12)</f>
        <v/>
      </c>
      <c r="AFJ58" s="11">
        <f>MonthlyChurn*VLOOKUP(AFF58,ChurnSeasonTable,4,FALSE)</f>
        <v/>
      </c>
      <c r="AFK58" s="12">
        <f>MIN(MAX(MktMin19plus,AGE57*MktPct19plus),MAX(0,AGS57-CashBuffer))</f>
        <v/>
      </c>
      <c r="AFL58" s="12">
        <f>IF(AFK58&gt;0,MAX(1,ROUND(AFK58/'Sens - CAC &amp; Marketing'!$A$9*AFH58,0)),0)</f>
        <v/>
      </c>
      <c r="AFM58" s="12">
        <f>IF(AFL58&gt;0,ROUND(AFL58*ReferralMix/(1-ReferralMix),0),0)</f>
        <v/>
      </c>
      <c r="AFN58" s="12">
        <f>AFL58+AFM58</f>
        <v/>
      </c>
      <c r="AFO58" s="12">
        <f>ROUND(AFN58*(1-AnnualMix),0)</f>
        <v/>
      </c>
      <c r="AFP58" s="12">
        <f>AFN58-AFO58</f>
        <v/>
      </c>
      <c r="AFQ58" s="12">
        <f>ROUND(AFO58*EssentialMix,0)</f>
        <v/>
      </c>
      <c r="AFR58" s="12">
        <f>AFO58-AFQ58</f>
        <v/>
      </c>
      <c r="AFS58" s="12">
        <f>ROUND(AFP58*EssentialMix,0)</f>
        <v/>
      </c>
      <c r="AFT58" s="12">
        <f>AFP58-AFS58</f>
        <v/>
      </c>
      <c r="AFU58" s="12">
        <f>AFQ58+AFQ57+AFQ56+MAX(0,AFU57-AFQ57-AFQ56)*(1-AFJ58)</f>
        <v/>
      </c>
      <c r="AFV58" s="12">
        <f>AFR58+AFR57+AFR56+MAX(0,AFV57-AFR57-AFR56)*(1-AFJ58)</f>
        <v/>
      </c>
      <c r="AFW58" s="12">
        <f>AFW57+AFS58-AFS46*(AnnualChurn*VLOOKUP(AFF58,ChurnSeasonTable,4,FALSE))*POWER(1-(AnnualChurn*VLOOKUP(AFF58,ChurnSeasonTable,4,FALSE)),0)+AFS34*(AnnualChurn*VLOOKUP(AFF58,ChurnSeasonTable,4,FALSE))*POWER(1-(AnnualChurn*VLOOKUP(AFF58,ChurnSeasonTable,4,FALSE)),1)+AFS22*(AnnualChurn*VLOOKUP(AFF58,ChurnSeasonTable,4,FALSE))*POWER(1-(AnnualChurn*VLOOKUP(AFF58,ChurnSeasonTable,4,FALSE)),2)+AFS10*(AnnualChurn*VLOOKUP(AFF58,ChurnSeasonTable,4,FALSE))*POWER(1-(AnnualChurn*VLOOKUP(AFF58,ChurnSeasonTable,4,FALSE)),3)</f>
        <v/>
      </c>
      <c r="AFX58" s="12">
        <f>AFX57+AFT58-AFT46*(AnnualChurn*VLOOKUP(AFF58,ChurnSeasonTable,4,FALSE))*POWER(1-(AnnualChurn*VLOOKUP(AFF58,ChurnSeasonTable,4,FALSE)),0)+AFT34*(AnnualChurn*VLOOKUP(AFF58,ChurnSeasonTable,4,FALSE))*POWER(1-(AnnualChurn*VLOOKUP(AFF58,ChurnSeasonTable,4,FALSE)),1)+AFT22*(AnnualChurn*VLOOKUP(AFF58,ChurnSeasonTable,4,FALSE))*POWER(1-(AnnualChurn*VLOOKUP(AFF58,ChurnSeasonTable,4,FALSE)),2)+AFT10*(AnnualChurn*VLOOKUP(AFF58,ChurnSeasonTable,4,FALSE))*POWER(1-(AnnualChurn*VLOOKUP(AFF58,ChurnSeasonTable,4,FALSE)),3)</f>
        <v/>
      </c>
      <c r="AFY58" s="12">
        <f>AFU58+AFV58+AFW58+AFX58</f>
        <v/>
      </c>
      <c r="AFZ58" s="9">
        <f>AFU58*PriceEssMonthly*AFI58+AFV58*PricePremMonthly*AFI58+AFW58*PriceEssAnnual*AFI58/12+AFX58*PricePremAnnual*AFI58/12</f>
        <v/>
      </c>
      <c r="AGA58" s="9">
        <f>AFZ58*12</f>
        <v/>
      </c>
      <c r="AGB58" s="12">
        <f>AFU58*PriceEssMonthly*AFI58+AFV58*PricePremMonthly*AFI58</f>
        <v/>
      </c>
      <c r="AGC58" s="12">
        <f>AFS58*PriceEssAnnual*AFI58+AFT58*PricePremAnnual*AFI58</f>
        <v/>
      </c>
      <c r="AGD58" s="12">
        <f>AFS46*POWER(1-(AnnualChurn*VLOOKUP(AFF58,ChurnSeasonTable,4,FALSE)),1)*PriceEssAnnual*AFI58+AFS34*POWER(1-(AnnualChurn*VLOOKUP(AFF58,ChurnSeasonTable,4,FALSE)),2)*PriceEssAnnual*AFI58+AFS22*POWER(1-(AnnualChurn*VLOOKUP(AFF58,ChurnSeasonTable,4,FALSE)),3)*PriceEssAnnual*AFI58+AFS10*POWER(1-(AnnualChurn*VLOOKUP(AFF58,ChurnSeasonTable,4,FALSE)),4)*PriceEssAnnual*AFI58+AFT46*POWER(1-(AnnualChurn*VLOOKUP(AFF58,ChurnSeasonTable,4,FALSE)),1)*PricePremAnnual*AFI58+AFT34*POWER(1-(AnnualChurn*VLOOKUP(AFF58,ChurnSeasonTable,4,FALSE)),2)*PricePremAnnual*AFI58+AFT22*POWER(1-(AnnualChurn*VLOOKUP(AFF58,ChurnSeasonTable,4,FALSE)),3)*PricePremAnnual*AFI58+AFT10*POWER(1-(AnnualChurn*VLOOKUP(AFF58,ChurnSeasonTable,4,FALSE)),4)*PricePremAnnual*AFI58</f>
        <v/>
      </c>
      <c r="AGE58" s="9">
        <f>AGB58+AGC58+AGD58</f>
        <v/>
      </c>
      <c r="AGF58" s="12">
        <f>SUM(AGE47:AGE58)</f>
        <v/>
      </c>
      <c r="AGG58" s="12">
        <f>OR(AGG57,AGF58&gt;=VATThreshold)</f>
        <v/>
      </c>
      <c r="AGH58" s="9">
        <f>IF(AGG58,AGE58/(1+VATRate),AGE58)</f>
        <v/>
      </c>
      <c r="AGI58" s="12">
        <f>AGE58-AGH58</f>
        <v/>
      </c>
      <c r="AGJ58" s="12">
        <f>IF(AGG58=0,0,IF(AFF58=1,SUMPRODUCT(--(($AFG$5:$AFG58=$AFG58-1)*($AFF$5:$AFF58&gt;=10)*($AFF$5:$AFF58&lt;=12)),$AGI$5:$AGI58),IF(AFF58=4,SUMPRODUCT(--(($AFG$5:$AFG58=$AFG58)*($AFF$5:$AFF58&gt;=1)*($AFF$5:$AFF58&lt;=3)),$AGI$5:$AGI58),IF(AFF58=7,SUMPRODUCT(--(($AFG$5:$AFG58=$AFG58)*($AFF$5:$AFF58&gt;=4)*($AFF$5:$AFF58&lt;=6)),$AGI$5:$AGI58),IF(AFF58=10,SUMPRODUCT(--(($AFG$5:$AFG58=$AFG58)*($AFF$5:$AFF58&gt;=7)*($AFF$5:$AFF58&lt;=9)),$AGI$5:$AGI58),0)))))</f>
        <v/>
      </c>
      <c r="AGK58" s="12">
        <f>AGK57+AGI58-AGJ58</f>
        <v/>
      </c>
      <c r="AGL58" s="12">
        <f>IF(ProviderDelay&gt;=1,AGH57*ProviderShare,AGH58*ProviderShare)</f>
        <v/>
      </c>
      <c r="AGM58" s="12">
        <f>AGE58*PaymentFee</f>
        <v/>
      </c>
      <c r="AGN58" s="12">
        <f>AFY58*OpsAI</f>
        <v/>
      </c>
      <c r="AGO58" s="12">
        <f>MonthlyFixed</f>
        <v/>
      </c>
      <c r="AGP58" s="12">
        <f>AFM58*ReferralReward</f>
        <v/>
      </c>
      <c r="AGQ58" s="12">
        <f>AFK58</f>
        <v/>
      </c>
      <c r="AGR58" s="9">
        <f>AGH58-AGL58-AGM58-AGN58-AGO58-AGP58-AGQ58</f>
        <v/>
      </c>
      <c r="AGS58" s="9">
        <f>AGS57+AGE58-(AGL58+AGM58+AGN58+AGO58+AGP58+AGQ58+AGJ58)</f>
        <v/>
      </c>
      <c r="AGT58" s="12">
        <f>IF(AFY58&gt;0,AFZ58/AFY58,0)</f>
        <v/>
      </c>
      <c r="AGU58" s="11">
        <f>IF(AFY57&gt;0,MAX(0,(AFY57+AFN58-AFY58)/AFY57),0)</f>
        <v/>
      </c>
      <c r="AGW58" s="12" t="n">
        <v>54</v>
      </c>
      <c r="AGX58" s="12">
        <f>MOD(AGW58-1+LaunchMonth-1,12)+1</f>
        <v/>
      </c>
      <c r="AGY58" s="12">
        <f>INT((AGW58-1+LaunchMonth-1)/12)+1</f>
        <v/>
      </c>
      <c r="AGZ58" s="12">
        <f>VLOOKUP(AGX58,SeasonTable,2,FALSE)</f>
        <v/>
      </c>
      <c r="AHA58" s="12">
        <f>(1+InflationRate)^INT((AGW58-1)/12)</f>
        <v/>
      </c>
      <c r="AHB58" s="11">
        <f>MonthlyChurn*VLOOKUP(AGX58,ChurnSeasonTable,4,FALSE)</f>
        <v/>
      </c>
      <c r="AHC58" s="12">
        <f>MIN(MAX(MktMin19plus,AHW57*MktPct19plus),MAX(0,AIK57-CashBuffer))</f>
        <v/>
      </c>
      <c r="AHD58" s="12">
        <f>IF(AHC58&gt;0,MAX(1,ROUND(AHC58/'Sens - CAC &amp; Marketing'!$A$10*AGZ58,0)),0)</f>
        <v/>
      </c>
      <c r="AHE58" s="12">
        <f>IF(AHD58&gt;0,ROUND(AHD58*ReferralMix/(1-ReferralMix),0),0)</f>
        <v/>
      </c>
      <c r="AHF58" s="12">
        <f>AHD58+AHE58</f>
        <v/>
      </c>
      <c r="AHG58" s="12">
        <f>ROUND(AHF58*(1-AnnualMix),0)</f>
        <v/>
      </c>
      <c r="AHH58" s="12">
        <f>AHF58-AHG58</f>
        <v/>
      </c>
      <c r="AHI58" s="12">
        <f>ROUND(AHG58*EssentialMix,0)</f>
        <v/>
      </c>
      <c r="AHJ58" s="12">
        <f>AHG58-AHI58</f>
        <v/>
      </c>
      <c r="AHK58" s="12">
        <f>ROUND(AHH58*EssentialMix,0)</f>
        <v/>
      </c>
      <c r="AHL58" s="12">
        <f>AHH58-AHK58</f>
        <v/>
      </c>
      <c r="AHM58" s="12">
        <f>AHI58+AHI57+AHI56+MAX(0,AHM57-AHI57-AHI56)*(1-AHB58)</f>
        <v/>
      </c>
      <c r="AHN58" s="12">
        <f>AHJ58+AHJ57+AHJ56+MAX(0,AHN57-AHJ57-AHJ56)*(1-AHB58)</f>
        <v/>
      </c>
      <c r="AHO58" s="12">
        <f>AHO57+AHK58-AHK46*(AnnualChurn*VLOOKUP(AGX58,ChurnSeasonTable,4,FALSE))*POWER(1-(AnnualChurn*VLOOKUP(AGX58,ChurnSeasonTable,4,FALSE)),0)+AHK34*(AnnualChurn*VLOOKUP(AGX58,ChurnSeasonTable,4,FALSE))*POWER(1-(AnnualChurn*VLOOKUP(AGX58,ChurnSeasonTable,4,FALSE)),1)+AHK22*(AnnualChurn*VLOOKUP(AGX58,ChurnSeasonTable,4,FALSE))*POWER(1-(AnnualChurn*VLOOKUP(AGX58,ChurnSeasonTable,4,FALSE)),2)+AHK10*(AnnualChurn*VLOOKUP(AGX58,ChurnSeasonTable,4,FALSE))*POWER(1-(AnnualChurn*VLOOKUP(AGX58,ChurnSeasonTable,4,FALSE)),3)</f>
        <v/>
      </c>
      <c r="AHP58" s="12">
        <f>AHP57+AHL58-AHL46*(AnnualChurn*VLOOKUP(AGX58,ChurnSeasonTable,4,FALSE))*POWER(1-(AnnualChurn*VLOOKUP(AGX58,ChurnSeasonTable,4,FALSE)),0)+AHL34*(AnnualChurn*VLOOKUP(AGX58,ChurnSeasonTable,4,FALSE))*POWER(1-(AnnualChurn*VLOOKUP(AGX58,ChurnSeasonTable,4,FALSE)),1)+AHL22*(AnnualChurn*VLOOKUP(AGX58,ChurnSeasonTable,4,FALSE))*POWER(1-(AnnualChurn*VLOOKUP(AGX58,ChurnSeasonTable,4,FALSE)),2)+AHL10*(AnnualChurn*VLOOKUP(AGX58,ChurnSeasonTable,4,FALSE))*POWER(1-(AnnualChurn*VLOOKUP(AGX58,ChurnSeasonTable,4,FALSE)),3)</f>
        <v/>
      </c>
      <c r="AHQ58" s="12">
        <f>AHM58+AHN58+AHO58+AHP58</f>
        <v/>
      </c>
      <c r="AHR58" s="9">
        <f>AHM58*PriceEssMonthly*AHA58+AHN58*PricePremMonthly*AHA58+AHO58*PriceEssAnnual*AHA58/12+AHP58*PricePremAnnual*AHA58/12</f>
        <v/>
      </c>
      <c r="AHS58" s="9">
        <f>AHR58*12</f>
        <v/>
      </c>
      <c r="AHT58" s="12">
        <f>AHM58*PriceEssMonthly*AHA58+AHN58*PricePremMonthly*AHA58</f>
        <v/>
      </c>
      <c r="AHU58" s="12">
        <f>AHK58*PriceEssAnnual*AHA58+AHL58*PricePremAnnual*AHA58</f>
        <v/>
      </c>
      <c r="AHV58" s="12">
        <f>AHK46*POWER(1-(AnnualChurn*VLOOKUP(AGX58,ChurnSeasonTable,4,FALSE)),1)*PriceEssAnnual*AHA58+AHK34*POWER(1-(AnnualChurn*VLOOKUP(AGX58,ChurnSeasonTable,4,FALSE)),2)*PriceEssAnnual*AHA58+AHK22*POWER(1-(AnnualChurn*VLOOKUP(AGX58,ChurnSeasonTable,4,FALSE)),3)*PriceEssAnnual*AHA58+AHK10*POWER(1-(AnnualChurn*VLOOKUP(AGX58,ChurnSeasonTable,4,FALSE)),4)*PriceEssAnnual*AHA58+AHL46*POWER(1-(AnnualChurn*VLOOKUP(AGX58,ChurnSeasonTable,4,FALSE)),1)*PricePremAnnual*AHA58+AHL34*POWER(1-(AnnualChurn*VLOOKUP(AGX58,ChurnSeasonTable,4,FALSE)),2)*PricePremAnnual*AHA58+AHL22*POWER(1-(AnnualChurn*VLOOKUP(AGX58,ChurnSeasonTable,4,FALSE)),3)*PricePremAnnual*AHA58+AHL10*POWER(1-(AnnualChurn*VLOOKUP(AGX58,ChurnSeasonTable,4,FALSE)),4)*PricePremAnnual*AHA58</f>
        <v/>
      </c>
      <c r="AHW58" s="9">
        <f>AHT58+AHU58+AHV58</f>
        <v/>
      </c>
      <c r="AHX58" s="12">
        <f>SUM(AHW47:AHW58)</f>
        <v/>
      </c>
      <c r="AHY58" s="12">
        <f>OR(AHY57,AHX58&gt;=VATThreshold)</f>
        <v/>
      </c>
      <c r="AHZ58" s="9">
        <f>IF(AHY58,AHW58/(1+VATRate),AHW58)</f>
        <v/>
      </c>
      <c r="AIA58" s="12">
        <f>AHW58-AHZ58</f>
        <v/>
      </c>
      <c r="AIB58" s="12">
        <f>IF(AHY58=0,0,IF(AGX58=1,SUMPRODUCT(--(($AGY$5:$AGY58=$AGY58-1)*($AGX$5:$AGX58&gt;=10)*($AGX$5:$AGX58&lt;=12)),$AIA$5:$AIA58),IF(AGX58=4,SUMPRODUCT(--(($AGY$5:$AGY58=$AGY58)*($AGX$5:$AGX58&gt;=1)*($AGX$5:$AGX58&lt;=3)),$AIA$5:$AIA58),IF(AGX58=7,SUMPRODUCT(--(($AGY$5:$AGY58=$AGY58)*($AGX$5:$AGX58&gt;=4)*($AGX$5:$AGX58&lt;=6)),$AIA$5:$AIA58),IF(AGX58=10,SUMPRODUCT(--(($AGY$5:$AGY58=$AGY58)*($AGX$5:$AGX58&gt;=7)*($AGX$5:$AGX58&lt;=9)),$AIA$5:$AIA58),0)))))</f>
        <v/>
      </c>
      <c r="AIC58" s="12">
        <f>AIC57+AIA58-AIB58</f>
        <v/>
      </c>
      <c r="AID58" s="12">
        <f>IF(ProviderDelay&gt;=1,AHZ57*ProviderShare,AHZ58*ProviderShare)</f>
        <v/>
      </c>
      <c r="AIE58" s="12">
        <f>AHW58*PaymentFee</f>
        <v/>
      </c>
      <c r="AIF58" s="12">
        <f>AHQ58*OpsAI</f>
        <v/>
      </c>
      <c r="AIG58" s="12">
        <f>MonthlyFixed</f>
        <v/>
      </c>
      <c r="AIH58" s="12">
        <f>AHE58*ReferralReward</f>
        <v/>
      </c>
      <c r="AII58" s="12">
        <f>AHC58</f>
        <v/>
      </c>
      <c r="AIJ58" s="9">
        <f>AHZ58-AID58-AIE58-AIF58-AIG58-AIH58-AII58</f>
        <v/>
      </c>
      <c r="AIK58" s="9">
        <f>AIK57+AHW58-(AID58+AIE58+AIF58+AIG58+AIH58+AII58+AIB58)</f>
        <v/>
      </c>
      <c r="AIL58" s="12">
        <f>IF(AHQ58&gt;0,AHR58/AHQ58,0)</f>
        <v/>
      </c>
      <c r="AIM58" s="11">
        <f>IF(AHQ57&gt;0,MAX(0,(AHQ57+AHF58-AHQ58)/AHQ57),0)</f>
        <v/>
      </c>
      <c r="AIO58" s="12" t="n">
        <v>54</v>
      </c>
      <c r="AIP58" s="12">
        <f>MOD(AIO58-1+LaunchMonth-1,12)+1</f>
        <v/>
      </c>
      <c r="AIQ58" s="12">
        <f>INT((AIO58-1+LaunchMonth-1)/12)+1</f>
        <v/>
      </c>
      <c r="AIR58" s="12">
        <f>VLOOKUP(AIP58,SeasonTable,2,FALSE)</f>
        <v/>
      </c>
      <c r="AIS58" s="12">
        <f>(1+InflationRate)^INT((AIO58-1)/12)</f>
        <v/>
      </c>
      <c r="AIT58" s="11">
        <f>MonthlyChurn*VLOOKUP(AIP58,ChurnSeasonTable,4,FALSE)</f>
        <v/>
      </c>
      <c r="AIU58" s="12">
        <f>MIN(MAX(MktMin19plus,AJO57*MktPct19plus),MAX(0,AKC57-CashBuffer))</f>
        <v/>
      </c>
      <c r="AIV58" s="12">
        <f>IF(AIU58&gt;0,MAX(1,ROUND(AIU58/'Sens - CAC &amp; Marketing'!$A$11*AIR58,0)),0)</f>
        <v/>
      </c>
      <c r="AIW58" s="12">
        <f>IF(AIV58&gt;0,ROUND(AIV58*ReferralMix/(1-ReferralMix),0),0)</f>
        <v/>
      </c>
      <c r="AIX58" s="12">
        <f>AIV58+AIW58</f>
        <v/>
      </c>
      <c r="AIY58" s="12">
        <f>ROUND(AIX58*(1-AnnualMix),0)</f>
        <v/>
      </c>
      <c r="AIZ58" s="12">
        <f>AIX58-AIY58</f>
        <v/>
      </c>
      <c r="AJA58" s="12">
        <f>ROUND(AIY58*EssentialMix,0)</f>
        <v/>
      </c>
      <c r="AJB58" s="12">
        <f>AIY58-AJA58</f>
        <v/>
      </c>
      <c r="AJC58" s="12">
        <f>ROUND(AIZ58*EssentialMix,0)</f>
        <v/>
      </c>
      <c r="AJD58" s="12">
        <f>AIZ58-AJC58</f>
        <v/>
      </c>
      <c r="AJE58" s="12">
        <f>AJA58+AJA57+AJA56+MAX(0,AJE57-AJA57-AJA56)*(1-AIT58)</f>
        <v/>
      </c>
      <c r="AJF58" s="12">
        <f>AJB58+AJB57+AJB56+MAX(0,AJF57-AJB57-AJB56)*(1-AIT58)</f>
        <v/>
      </c>
      <c r="AJG58" s="12">
        <f>AJG57+AJC58-AJC46*(AnnualChurn*VLOOKUP(AIP58,ChurnSeasonTable,4,FALSE))*POWER(1-(AnnualChurn*VLOOKUP(AIP58,ChurnSeasonTable,4,FALSE)),0)+AJC34*(AnnualChurn*VLOOKUP(AIP58,ChurnSeasonTable,4,FALSE))*POWER(1-(AnnualChurn*VLOOKUP(AIP58,ChurnSeasonTable,4,FALSE)),1)+AJC22*(AnnualChurn*VLOOKUP(AIP58,ChurnSeasonTable,4,FALSE))*POWER(1-(AnnualChurn*VLOOKUP(AIP58,ChurnSeasonTable,4,FALSE)),2)+AJC10*(AnnualChurn*VLOOKUP(AIP58,ChurnSeasonTable,4,FALSE))*POWER(1-(AnnualChurn*VLOOKUP(AIP58,ChurnSeasonTable,4,FALSE)),3)</f>
        <v/>
      </c>
      <c r="AJH58" s="12">
        <f>AJH57+AJD58-AJD46*(AnnualChurn*VLOOKUP(AIP58,ChurnSeasonTable,4,FALSE))*POWER(1-(AnnualChurn*VLOOKUP(AIP58,ChurnSeasonTable,4,FALSE)),0)+AJD34*(AnnualChurn*VLOOKUP(AIP58,ChurnSeasonTable,4,FALSE))*POWER(1-(AnnualChurn*VLOOKUP(AIP58,ChurnSeasonTable,4,FALSE)),1)+AJD22*(AnnualChurn*VLOOKUP(AIP58,ChurnSeasonTable,4,FALSE))*POWER(1-(AnnualChurn*VLOOKUP(AIP58,ChurnSeasonTable,4,FALSE)),2)+AJD10*(AnnualChurn*VLOOKUP(AIP58,ChurnSeasonTable,4,FALSE))*POWER(1-(AnnualChurn*VLOOKUP(AIP58,ChurnSeasonTable,4,FALSE)),3)</f>
        <v/>
      </c>
      <c r="AJI58" s="12">
        <f>AJE58+AJF58+AJG58+AJH58</f>
        <v/>
      </c>
      <c r="AJJ58" s="9">
        <f>AJE58*PriceEssMonthly*AIS58+AJF58*PricePremMonthly*AIS58+AJG58*PriceEssAnnual*AIS58/12+AJH58*PricePremAnnual*AIS58/12</f>
        <v/>
      </c>
      <c r="AJK58" s="9">
        <f>AJJ58*12</f>
        <v/>
      </c>
      <c r="AJL58" s="12">
        <f>AJE58*PriceEssMonthly*AIS58+AJF58*PricePremMonthly*AIS58</f>
        <v/>
      </c>
      <c r="AJM58" s="12">
        <f>AJC58*PriceEssAnnual*AIS58+AJD58*PricePremAnnual*AIS58</f>
        <v/>
      </c>
      <c r="AJN58" s="12">
        <f>AJC46*POWER(1-(AnnualChurn*VLOOKUP(AIP58,ChurnSeasonTable,4,FALSE)),1)*PriceEssAnnual*AIS58+AJC34*POWER(1-(AnnualChurn*VLOOKUP(AIP58,ChurnSeasonTable,4,FALSE)),2)*PriceEssAnnual*AIS58+AJC22*POWER(1-(AnnualChurn*VLOOKUP(AIP58,ChurnSeasonTable,4,FALSE)),3)*PriceEssAnnual*AIS58+AJC10*POWER(1-(AnnualChurn*VLOOKUP(AIP58,ChurnSeasonTable,4,FALSE)),4)*PriceEssAnnual*AIS58+AJD46*POWER(1-(AnnualChurn*VLOOKUP(AIP58,ChurnSeasonTable,4,FALSE)),1)*PricePremAnnual*AIS58+AJD34*POWER(1-(AnnualChurn*VLOOKUP(AIP58,ChurnSeasonTable,4,FALSE)),2)*PricePremAnnual*AIS58+AJD22*POWER(1-(AnnualChurn*VLOOKUP(AIP58,ChurnSeasonTable,4,FALSE)),3)*PricePremAnnual*AIS58+AJD10*POWER(1-(AnnualChurn*VLOOKUP(AIP58,ChurnSeasonTable,4,FALSE)),4)*PricePremAnnual*AIS58</f>
        <v/>
      </c>
      <c r="AJO58" s="9">
        <f>AJL58+AJM58+AJN58</f>
        <v/>
      </c>
      <c r="AJP58" s="12">
        <f>SUM(AJO47:AJO58)</f>
        <v/>
      </c>
      <c r="AJQ58" s="12">
        <f>OR(AJQ57,AJP58&gt;=VATThreshold)</f>
        <v/>
      </c>
      <c r="AJR58" s="9">
        <f>IF(AJQ58,AJO58/(1+VATRate),AJO58)</f>
        <v/>
      </c>
      <c r="AJS58" s="12">
        <f>AJO58-AJR58</f>
        <v/>
      </c>
      <c r="AJT58" s="12">
        <f>IF(AJQ58=0,0,IF(AIP58=1,SUMPRODUCT(--(($AIQ$5:$AIQ58=$AIQ58-1)*($AIP$5:$AIP58&gt;=10)*($AIP$5:$AIP58&lt;=12)),$AJS$5:$AJS58),IF(AIP58=4,SUMPRODUCT(--(($AIQ$5:$AIQ58=$AIQ58)*($AIP$5:$AIP58&gt;=1)*($AIP$5:$AIP58&lt;=3)),$AJS$5:$AJS58),IF(AIP58=7,SUMPRODUCT(--(($AIQ$5:$AIQ58=$AIQ58)*($AIP$5:$AIP58&gt;=4)*($AIP$5:$AIP58&lt;=6)),$AJS$5:$AJS58),IF(AIP58=10,SUMPRODUCT(--(($AIQ$5:$AIQ58=$AIQ58)*($AIP$5:$AIP58&gt;=7)*($AIP$5:$AIP58&lt;=9)),$AJS$5:$AJS58),0)))))</f>
        <v/>
      </c>
      <c r="AJU58" s="12">
        <f>AJU57+AJS58-AJT58</f>
        <v/>
      </c>
      <c r="AJV58" s="12">
        <f>IF(ProviderDelay&gt;=1,AJR57*ProviderShare,AJR58*ProviderShare)</f>
        <v/>
      </c>
      <c r="AJW58" s="12">
        <f>AJO58*PaymentFee</f>
        <v/>
      </c>
      <c r="AJX58" s="12">
        <f>AJI58*OpsAI</f>
        <v/>
      </c>
      <c r="AJY58" s="12">
        <f>MonthlyFixed</f>
        <v/>
      </c>
      <c r="AJZ58" s="12">
        <f>AIW58*ReferralReward</f>
        <v/>
      </c>
      <c r="AKA58" s="12">
        <f>AIU58</f>
        <v/>
      </c>
      <c r="AKB58" s="9">
        <f>AJR58-AJV58-AJW58-AJX58-AJY58-AJZ58-AKA58</f>
        <v/>
      </c>
      <c r="AKC58" s="9">
        <f>AKC57+AJO58-(AJV58+AJW58+AJX58+AJY58+AJZ58+AKA58+AJT58)</f>
        <v/>
      </c>
      <c r="AKD58" s="12">
        <f>IF(AJI58&gt;0,AJJ58/AJI58,0)</f>
        <v/>
      </c>
      <c r="AKE58" s="11">
        <f>IF(AJI57&gt;0,MAX(0,(AJI57+AIX58-AJI58)/AJI57),0)</f>
        <v/>
      </c>
      <c r="AKG58" s="12" t="n">
        <v>54</v>
      </c>
      <c r="AKH58" s="12">
        <f>MOD(AKG58-1+LaunchMonth-1,12)+1</f>
        <v/>
      </c>
      <c r="AKI58" s="12">
        <f>INT((AKG58-1+LaunchMonth-1)/12)+1</f>
        <v/>
      </c>
      <c r="AKJ58" s="12">
        <f>VLOOKUP(AKH58,SeasonTable,2,FALSE)</f>
        <v/>
      </c>
      <c r="AKK58" s="12">
        <f>(1+InflationRate)^INT((AKG58-1)/12)</f>
        <v/>
      </c>
      <c r="AKL58" s="11">
        <f>MonthlyChurn*VLOOKUP(AKH58,ChurnSeasonTable,4,FALSE)</f>
        <v/>
      </c>
      <c r="AKM58" s="12">
        <f>MIN(MAX(MktMin19plus,ALG57*MktPct19plus),MAX(0,ALU57-CashBuffer))</f>
        <v/>
      </c>
      <c r="AKN58" s="12">
        <f>IF(AKM58&gt;0,MAX(1,ROUND(AKM58/'Sens - CAC &amp; Marketing'!$A$12*AKJ58,0)),0)</f>
        <v/>
      </c>
      <c r="AKO58" s="12">
        <f>IF(AKN58&gt;0,ROUND(AKN58*ReferralMix/(1-ReferralMix),0),0)</f>
        <v/>
      </c>
      <c r="AKP58" s="12">
        <f>AKN58+AKO58</f>
        <v/>
      </c>
      <c r="AKQ58" s="12">
        <f>ROUND(AKP58*(1-AnnualMix),0)</f>
        <v/>
      </c>
      <c r="AKR58" s="12">
        <f>AKP58-AKQ58</f>
        <v/>
      </c>
      <c r="AKS58" s="12">
        <f>ROUND(AKQ58*EssentialMix,0)</f>
        <v/>
      </c>
      <c r="AKT58" s="12">
        <f>AKQ58-AKS58</f>
        <v/>
      </c>
      <c r="AKU58" s="12">
        <f>ROUND(AKR58*EssentialMix,0)</f>
        <v/>
      </c>
      <c r="AKV58" s="12">
        <f>AKR58-AKU58</f>
        <v/>
      </c>
      <c r="AKW58" s="12">
        <f>AKS58+AKS57+AKS56+MAX(0,AKW57-AKS57-AKS56)*(1-AKL58)</f>
        <v/>
      </c>
      <c r="AKX58" s="12">
        <f>AKT58+AKT57+AKT56+MAX(0,AKX57-AKT57-AKT56)*(1-AKL58)</f>
        <v/>
      </c>
      <c r="AKY58" s="12">
        <f>AKY57+AKU58-AKU46*(AnnualChurn*VLOOKUP(AKH58,ChurnSeasonTable,4,FALSE))*POWER(1-(AnnualChurn*VLOOKUP(AKH58,ChurnSeasonTable,4,FALSE)),0)+AKU34*(AnnualChurn*VLOOKUP(AKH58,ChurnSeasonTable,4,FALSE))*POWER(1-(AnnualChurn*VLOOKUP(AKH58,ChurnSeasonTable,4,FALSE)),1)+AKU22*(AnnualChurn*VLOOKUP(AKH58,ChurnSeasonTable,4,FALSE))*POWER(1-(AnnualChurn*VLOOKUP(AKH58,ChurnSeasonTable,4,FALSE)),2)+AKU10*(AnnualChurn*VLOOKUP(AKH58,ChurnSeasonTable,4,FALSE))*POWER(1-(AnnualChurn*VLOOKUP(AKH58,ChurnSeasonTable,4,FALSE)),3)</f>
        <v/>
      </c>
      <c r="AKZ58" s="12">
        <f>AKZ57+AKV58-AKV46*(AnnualChurn*VLOOKUP(AKH58,ChurnSeasonTable,4,FALSE))*POWER(1-(AnnualChurn*VLOOKUP(AKH58,ChurnSeasonTable,4,FALSE)),0)+AKV34*(AnnualChurn*VLOOKUP(AKH58,ChurnSeasonTable,4,FALSE))*POWER(1-(AnnualChurn*VLOOKUP(AKH58,ChurnSeasonTable,4,FALSE)),1)+AKV22*(AnnualChurn*VLOOKUP(AKH58,ChurnSeasonTable,4,FALSE))*POWER(1-(AnnualChurn*VLOOKUP(AKH58,ChurnSeasonTable,4,FALSE)),2)+AKV10*(AnnualChurn*VLOOKUP(AKH58,ChurnSeasonTable,4,FALSE))*POWER(1-(AnnualChurn*VLOOKUP(AKH58,ChurnSeasonTable,4,FALSE)),3)</f>
        <v/>
      </c>
      <c r="ALA58" s="12">
        <f>AKW58+AKX58+AKY58+AKZ58</f>
        <v/>
      </c>
      <c r="ALB58" s="9">
        <f>AKW58*PriceEssMonthly*AKK58+AKX58*PricePremMonthly*AKK58+AKY58*PriceEssAnnual*AKK58/12+AKZ58*PricePremAnnual*AKK58/12</f>
        <v/>
      </c>
      <c r="ALC58" s="9">
        <f>ALB58*12</f>
        <v/>
      </c>
      <c r="ALD58" s="12">
        <f>AKW58*PriceEssMonthly*AKK58+AKX58*PricePremMonthly*AKK58</f>
        <v/>
      </c>
      <c r="ALE58" s="12">
        <f>AKU58*PriceEssAnnual*AKK58+AKV58*PricePremAnnual*AKK58</f>
        <v/>
      </c>
      <c r="ALF58" s="12">
        <f>AKU46*POWER(1-(AnnualChurn*VLOOKUP(AKH58,ChurnSeasonTable,4,FALSE)),1)*PriceEssAnnual*AKK58+AKU34*POWER(1-(AnnualChurn*VLOOKUP(AKH58,ChurnSeasonTable,4,FALSE)),2)*PriceEssAnnual*AKK58+AKU22*POWER(1-(AnnualChurn*VLOOKUP(AKH58,ChurnSeasonTable,4,FALSE)),3)*PriceEssAnnual*AKK58+AKU10*POWER(1-(AnnualChurn*VLOOKUP(AKH58,ChurnSeasonTable,4,FALSE)),4)*PriceEssAnnual*AKK58+AKV46*POWER(1-(AnnualChurn*VLOOKUP(AKH58,ChurnSeasonTable,4,FALSE)),1)*PricePremAnnual*AKK58+AKV34*POWER(1-(AnnualChurn*VLOOKUP(AKH58,ChurnSeasonTable,4,FALSE)),2)*PricePremAnnual*AKK58+AKV22*POWER(1-(AnnualChurn*VLOOKUP(AKH58,ChurnSeasonTable,4,FALSE)),3)*PricePremAnnual*AKK58+AKV10*POWER(1-(AnnualChurn*VLOOKUP(AKH58,ChurnSeasonTable,4,FALSE)),4)*PricePremAnnual*AKK58</f>
        <v/>
      </c>
      <c r="ALG58" s="9">
        <f>ALD58+ALE58+ALF58</f>
        <v/>
      </c>
      <c r="ALH58" s="12">
        <f>SUM(ALG47:ALG58)</f>
        <v/>
      </c>
      <c r="ALI58" s="12">
        <f>OR(ALI57,ALH58&gt;=VATThreshold)</f>
        <v/>
      </c>
      <c r="ALJ58" s="9">
        <f>IF(ALI58,ALG58/(1+VATRate),ALG58)</f>
        <v/>
      </c>
      <c r="ALK58" s="12">
        <f>ALG58-ALJ58</f>
        <v/>
      </c>
      <c r="ALL58" s="12">
        <f>IF(ALI58=0,0,IF(AKH58=1,SUMPRODUCT(--(($AKI$5:$AKI58=$AKI58-1)*($AKH$5:$AKH58&gt;=10)*($AKH$5:$AKH58&lt;=12)),$ALK$5:$ALK58),IF(AKH58=4,SUMPRODUCT(--(($AKI$5:$AKI58=$AKI58)*($AKH$5:$AKH58&gt;=1)*($AKH$5:$AKH58&lt;=3)),$ALK$5:$ALK58),IF(AKH58=7,SUMPRODUCT(--(($AKI$5:$AKI58=$AKI58)*($AKH$5:$AKH58&gt;=4)*($AKH$5:$AKH58&lt;=6)),$ALK$5:$ALK58),IF(AKH58=10,SUMPRODUCT(--(($AKI$5:$AKI58=$AKI58)*($AKH$5:$AKH58&gt;=7)*($AKH$5:$AKH58&lt;=9)),$ALK$5:$ALK58),0)))))</f>
        <v/>
      </c>
      <c r="ALM58" s="12">
        <f>ALM57+ALK58-ALL58</f>
        <v/>
      </c>
      <c r="ALN58" s="12">
        <f>IF(ProviderDelay&gt;=1,ALJ57*ProviderShare,ALJ58*ProviderShare)</f>
        <v/>
      </c>
      <c r="ALO58" s="12">
        <f>ALG58*PaymentFee</f>
        <v/>
      </c>
      <c r="ALP58" s="12">
        <f>ALA58*OpsAI</f>
        <v/>
      </c>
      <c r="ALQ58" s="12">
        <f>MonthlyFixed</f>
        <v/>
      </c>
      <c r="ALR58" s="12">
        <f>AKO58*ReferralReward</f>
        <v/>
      </c>
      <c r="ALS58" s="12">
        <f>AKM58</f>
        <v/>
      </c>
      <c r="ALT58" s="9">
        <f>ALJ58-ALN58-ALO58-ALP58-ALQ58-ALR58-ALS58</f>
        <v/>
      </c>
      <c r="ALU58" s="9">
        <f>ALU57+ALG58-(ALN58+ALO58+ALP58+ALQ58+ALR58+ALS58+ALL58)</f>
        <v/>
      </c>
      <c r="ALV58" s="12">
        <f>IF(ALA58&gt;0,ALB58/ALA58,0)</f>
        <v/>
      </c>
      <c r="ALW58" s="11">
        <f>IF(ALA57&gt;0,MAX(0,(ALA57+AKP58-ALA58)/ALA57),0)</f>
        <v/>
      </c>
      <c r="ALY58" s="12" t="n">
        <v>54</v>
      </c>
      <c r="ALZ58" s="12">
        <f>MOD(ALY58-1+LaunchMonth-1,12)+1</f>
        <v/>
      </c>
      <c r="AMA58" s="12">
        <f>INT((ALY58-1+LaunchMonth-1)/12)+1</f>
        <v/>
      </c>
      <c r="AMB58" s="12">
        <f>VLOOKUP(ALZ58,SeasonTable,2,FALSE)</f>
        <v/>
      </c>
      <c r="AMC58" s="12">
        <f>(1+InflationRate)^INT((ALY58-1)/12)</f>
        <v/>
      </c>
      <c r="AMD58" s="11">
        <f>MonthlyChurn*VLOOKUP(ALZ58,ChurnSeasonTable,4,FALSE)</f>
        <v/>
      </c>
      <c r="AME58" s="12">
        <f>MIN(MAX(MktMin19plus,AMY57*MktPct19plus),MAX(0,ANM57-CashBuffer))</f>
        <v/>
      </c>
      <c r="AMF58" s="12">
        <f>IF(AME58&gt;0,MAX(1,ROUND(AME58/'Sens - CAC &amp; Marketing'!$A$13*AMB58,0)),0)</f>
        <v/>
      </c>
      <c r="AMG58" s="12">
        <f>IF(AMF58&gt;0,ROUND(AMF58*ReferralMix/(1-ReferralMix),0),0)</f>
        <v/>
      </c>
      <c r="AMH58" s="12">
        <f>AMF58+AMG58</f>
        <v/>
      </c>
      <c r="AMI58" s="12">
        <f>ROUND(AMH58*(1-AnnualMix),0)</f>
        <v/>
      </c>
      <c r="AMJ58" s="12">
        <f>AMH58-AMI58</f>
        <v/>
      </c>
      <c r="AMK58" s="12">
        <f>ROUND(AMI58*EssentialMix,0)</f>
        <v/>
      </c>
      <c r="AML58" s="12">
        <f>AMI58-AMK58</f>
        <v/>
      </c>
      <c r="AMM58" s="12">
        <f>ROUND(AMJ58*EssentialMix,0)</f>
        <v/>
      </c>
      <c r="AMN58" s="12">
        <f>AMJ58-AMM58</f>
        <v/>
      </c>
      <c r="AMO58" s="12">
        <f>AMK58+AMK57+AMK56+MAX(0,AMO57-AMK57-AMK56)*(1-AMD58)</f>
        <v/>
      </c>
      <c r="AMP58" s="12">
        <f>AML58+AML57+AML56+MAX(0,AMP57-AML57-AML56)*(1-AMD58)</f>
        <v/>
      </c>
      <c r="AMQ58" s="12">
        <f>AMQ57+AMM58-AMM46*(AnnualChurn*VLOOKUP(ALZ58,ChurnSeasonTable,4,FALSE))*POWER(1-(AnnualChurn*VLOOKUP(ALZ58,ChurnSeasonTable,4,FALSE)),0)+AMM34*(AnnualChurn*VLOOKUP(ALZ58,ChurnSeasonTable,4,FALSE))*POWER(1-(AnnualChurn*VLOOKUP(ALZ58,ChurnSeasonTable,4,FALSE)),1)+AMM22*(AnnualChurn*VLOOKUP(ALZ58,ChurnSeasonTable,4,FALSE))*POWER(1-(AnnualChurn*VLOOKUP(ALZ58,ChurnSeasonTable,4,FALSE)),2)+AMM10*(AnnualChurn*VLOOKUP(ALZ58,ChurnSeasonTable,4,FALSE))*POWER(1-(AnnualChurn*VLOOKUP(ALZ58,ChurnSeasonTable,4,FALSE)),3)</f>
        <v/>
      </c>
      <c r="AMR58" s="12">
        <f>AMR57+AMN58-AMN46*(AnnualChurn*VLOOKUP(ALZ58,ChurnSeasonTable,4,FALSE))*POWER(1-(AnnualChurn*VLOOKUP(ALZ58,ChurnSeasonTable,4,FALSE)),0)+AMN34*(AnnualChurn*VLOOKUP(ALZ58,ChurnSeasonTable,4,FALSE))*POWER(1-(AnnualChurn*VLOOKUP(ALZ58,ChurnSeasonTable,4,FALSE)),1)+AMN22*(AnnualChurn*VLOOKUP(ALZ58,ChurnSeasonTable,4,FALSE))*POWER(1-(AnnualChurn*VLOOKUP(ALZ58,ChurnSeasonTable,4,FALSE)),2)+AMN10*(AnnualChurn*VLOOKUP(ALZ58,ChurnSeasonTable,4,FALSE))*POWER(1-(AnnualChurn*VLOOKUP(ALZ58,ChurnSeasonTable,4,FALSE)),3)</f>
        <v/>
      </c>
      <c r="AMS58" s="12">
        <f>AMO58+AMP58+AMQ58+AMR58</f>
        <v/>
      </c>
      <c r="AMT58" s="9">
        <f>AMO58*PriceEssMonthly*AMC58+AMP58*PricePremMonthly*AMC58+AMQ58*PriceEssAnnual*AMC58/12+AMR58*PricePremAnnual*AMC58/12</f>
        <v/>
      </c>
      <c r="AMU58" s="9">
        <f>AMT58*12</f>
        <v/>
      </c>
      <c r="AMV58" s="12">
        <f>AMO58*PriceEssMonthly*AMC58+AMP58*PricePremMonthly*AMC58</f>
        <v/>
      </c>
      <c r="AMW58" s="12">
        <f>AMM58*PriceEssAnnual*AMC58+AMN58*PricePremAnnual*AMC58</f>
        <v/>
      </c>
      <c r="AMX58" s="12">
        <f>AMM46*POWER(1-(AnnualChurn*VLOOKUP(ALZ58,ChurnSeasonTable,4,FALSE)),1)*PriceEssAnnual*AMC58+AMM34*POWER(1-(AnnualChurn*VLOOKUP(ALZ58,ChurnSeasonTable,4,FALSE)),2)*PriceEssAnnual*AMC58+AMM22*POWER(1-(AnnualChurn*VLOOKUP(ALZ58,ChurnSeasonTable,4,FALSE)),3)*PriceEssAnnual*AMC58+AMM10*POWER(1-(AnnualChurn*VLOOKUP(ALZ58,ChurnSeasonTable,4,FALSE)),4)*PriceEssAnnual*AMC58+AMN46*POWER(1-(AnnualChurn*VLOOKUP(ALZ58,ChurnSeasonTable,4,FALSE)),1)*PricePremAnnual*AMC58+AMN34*POWER(1-(AnnualChurn*VLOOKUP(ALZ58,ChurnSeasonTable,4,FALSE)),2)*PricePremAnnual*AMC58+AMN22*POWER(1-(AnnualChurn*VLOOKUP(ALZ58,ChurnSeasonTable,4,FALSE)),3)*PricePremAnnual*AMC58+AMN10*POWER(1-(AnnualChurn*VLOOKUP(ALZ58,ChurnSeasonTable,4,FALSE)),4)*PricePremAnnual*AMC58</f>
        <v/>
      </c>
      <c r="AMY58" s="9">
        <f>AMV58+AMW58+AMX58</f>
        <v/>
      </c>
      <c r="AMZ58" s="12">
        <f>SUM(AMY47:AMY58)</f>
        <v/>
      </c>
      <c r="ANA58" s="12">
        <f>OR(ANA57,AMZ58&gt;=VATThreshold)</f>
        <v/>
      </c>
      <c r="ANB58" s="9">
        <f>IF(ANA58,AMY58/(1+VATRate),AMY58)</f>
        <v/>
      </c>
      <c r="ANC58" s="12">
        <f>AMY58-ANB58</f>
        <v/>
      </c>
      <c r="AND58" s="12">
        <f>IF(ANA58=0,0,IF(ALZ58=1,SUMPRODUCT(--(($AMA$5:$AMA58=$AMA58-1)*($ALZ$5:$ALZ58&gt;=10)*($ALZ$5:$ALZ58&lt;=12)),$ANC$5:$ANC58),IF(ALZ58=4,SUMPRODUCT(--(($AMA$5:$AMA58=$AMA58)*($ALZ$5:$ALZ58&gt;=1)*($ALZ$5:$ALZ58&lt;=3)),$ANC$5:$ANC58),IF(ALZ58=7,SUMPRODUCT(--(($AMA$5:$AMA58=$AMA58)*($ALZ$5:$ALZ58&gt;=4)*($ALZ$5:$ALZ58&lt;=6)),$ANC$5:$ANC58),IF(ALZ58=10,SUMPRODUCT(--(($AMA$5:$AMA58=$AMA58)*($ALZ$5:$ALZ58&gt;=7)*($ALZ$5:$ALZ58&lt;=9)),$ANC$5:$ANC58),0)))))</f>
        <v/>
      </c>
      <c r="ANE58" s="12">
        <f>ANE57+ANC58-AND58</f>
        <v/>
      </c>
      <c r="ANF58" s="12">
        <f>IF(ProviderDelay&gt;=1,ANB57*ProviderShare,ANB58*ProviderShare)</f>
        <v/>
      </c>
      <c r="ANG58" s="12">
        <f>AMY58*PaymentFee</f>
        <v/>
      </c>
      <c r="ANH58" s="12">
        <f>AMS58*OpsAI</f>
        <v/>
      </c>
      <c r="ANI58" s="12">
        <f>MonthlyFixed</f>
        <v/>
      </c>
      <c r="ANJ58" s="12">
        <f>AMG58*ReferralReward</f>
        <v/>
      </c>
      <c r="ANK58" s="12">
        <f>AME58</f>
        <v/>
      </c>
      <c r="ANL58" s="9">
        <f>ANB58-ANF58-ANG58-ANH58-ANI58-ANJ58-ANK58</f>
        <v/>
      </c>
      <c r="ANM58" s="9">
        <f>ANM57+AMY58-(ANF58+ANG58+ANH58+ANI58+ANJ58+ANK58+AND58)</f>
        <v/>
      </c>
      <c r="ANN58" s="12">
        <f>IF(AMS58&gt;0,AMT58/AMS58,0)</f>
        <v/>
      </c>
      <c r="ANO58" s="11">
        <f>IF(AMS57&gt;0,MAX(0,(AMS57+AMH58-AMS58)/AMS57),0)</f>
        <v/>
      </c>
      <c r="ANQ58" s="12" t="n">
        <v>54</v>
      </c>
      <c r="ANR58" s="12">
        <f>MOD(ANQ58-1+LaunchMonth-1,12)+1</f>
        <v/>
      </c>
      <c r="ANS58" s="12">
        <f>INT((ANQ58-1+LaunchMonth-1)/12)+1</f>
        <v/>
      </c>
      <c r="ANT58" s="12">
        <f>VLOOKUP(ANR58,SeasonTable,2,FALSE)</f>
        <v/>
      </c>
      <c r="ANU58" s="12">
        <f>(1+InflationRate)^INT((ANQ58-1)/12)</f>
        <v/>
      </c>
      <c r="ANV58" s="11">
        <f>MonthlyChurn*VLOOKUP(ANR58,ChurnSeasonTable,4,FALSE)</f>
        <v/>
      </c>
      <c r="ANW58" s="12">
        <f>MIN(MAX(MktMin19plus,AOQ57*MktPct19plus),MAX(0,APE57-CashBuffer))</f>
        <v/>
      </c>
      <c r="ANX58" s="12">
        <f>IF(ANW58&gt;0,MAX(1,ROUND(ANW58/'Sens - CAC &amp; Marketing'!$A$14*ANT58,0)),0)</f>
        <v/>
      </c>
      <c r="ANY58" s="12">
        <f>IF(ANX58&gt;0,ROUND(ANX58*ReferralMix/(1-ReferralMix),0),0)</f>
        <v/>
      </c>
      <c r="ANZ58" s="12">
        <f>ANX58+ANY58</f>
        <v/>
      </c>
      <c r="AOA58" s="12">
        <f>ROUND(ANZ58*(1-AnnualMix),0)</f>
        <v/>
      </c>
      <c r="AOB58" s="12">
        <f>ANZ58-AOA58</f>
        <v/>
      </c>
      <c r="AOC58" s="12">
        <f>ROUND(AOA58*EssentialMix,0)</f>
        <v/>
      </c>
      <c r="AOD58" s="12">
        <f>AOA58-AOC58</f>
        <v/>
      </c>
      <c r="AOE58" s="12">
        <f>ROUND(AOB58*EssentialMix,0)</f>
        <v/>
      </c>
      <c r="AOF58" s="12">
        <f>AOB58-AOE58</f>
        <v/>
      </c>
      <c r="AOG58" s="12">
        <f>AOC58+AOC57+AOC56+MAX(0,AOG57-AOC57-AOC56)*(1-ANV58)</f>
        <v/>
      </c>
      <c r="AOH58" s="12">
        <f>AOD58+AOD57+AOD56+MAX(0,AOH57-AOD57-AOD56)*(1-ANV58)</f>
        <v/>
      </c>
      <c r="AOI58" s="12">
        <f>AOI57+AOE58-AOE46*(AnnualChurn*VLOOKUP(ANR58,ChurnSeasonTable,4,FALSE))*POWER(1-(AnnualChurn*VLOOKUP(ANR58,ChurnSeasonTable,4,FALSE)),0)+AOE34*(AnnualChurn*VLOOKUP(ANR58,ChurnSeasonTable,4,FALSE))*POWER(1-(AnnualChurn*VLOOKUP(ANR58,ChurnSeasonTable,4,FALSE)),1)+AOE22*(AnnualChurn*VLOOKUP(ANR58,ChurnSeasonTable,4,FALSE))*POWER(1-(AnnualChurn*VLOOKUP(ANR58,ChurnSeasonTable,4,FALSE)),2)+AOE10*(AnnualChurn*VLOOKUP(ANR58,ChurnSeasonTable,4,FALSE))*POWER(1-(AnnualChurn*VLOOKUP(ANR58,ChurnSeasonTable,4,FALSE)),3)</f>
        <v/>
      </c>
      <c r="AOJ58" s="12">
        <f>AOJ57+AOF58-AOF46*(AnnualChurn*VLOOKUP(ANR58,ChurnSeasonTable,4,FALSE))*POWER(1-(AnnualChurn*VLOOKUP(ANR58,ChurnSeasonTable,4,FALSE)),0)+AOF34*(AnnualChurn*VLOOKUP(ANR58,ChurnSeasonTable,4,FALSE))*POWER(1-(AnnualChurn*VLOOKUP(ANR58,ChurnSeasonTable,4,FALSE)),1)+AOF22*(AnnualChurn*VLOOKUP(ANR58,ChurnSeasonTable,4,FALSE))*POWER(1-(AnnualChurn*VLOOKUP(ANR58,ChurnSeasonTable,4,FALSE)),2)+AOF10*(AnnualChurn*VLOOKUP(ANR58,ChurnSeasonTable,4,FALSE))*POWER(1-(AnnualChurn*VLOOKUP(ANR58,ChurnSeasonTable,4,FALSE)),3)</f>
        <v/>
      </c>
      <c r="AOK58" s="12">
        <f>AOG58+AOH58+AOI58+AOJ58</f>
        <v/>
      </c>
      <c r="AOL58" s="9">
        <f>AOG58*PriceEssMonthly*ANU58+AOH58*PricePremMonthly*ANU58+AOI58*PriceEssAnnual*ANU58/12+AOJ58*PricePremAnnual*ANU58/12</f>
        <v/>
      </c>
      <c r="AOM58" s="9">
        <f>AOL58*12</f>
        <v/>
      </c>
      <c r="AON58" s="12">
        <f>AOG58*PriceEssMonthly*ANU58+AOH58*PricePremMonthly*ANU58</f>
        <v/>
      </c>
      <c r="AOO58" s="12">
        <f>AOE58*PriceEssAnnual*ANU58+AOF58*PricePremAnnual*ANU58</f>
        <v/>
      </c>
      <c r="AOP58" s="12">
        <f>AOE46*POWER(1-(AnnualChurn*VLOOKUP(ANR58,ChurnSeasonTable,4,FALSE)),1)*PriceEssAnnual*ANU58+AOE34*POWER(1-(AnnualChurn*VLOOKUP(ANR58,ChurnSeasonTable,4,FALSE)),2)*PriceEssAnnual*ANU58+AOE22*POWER(1-(AnnualChurn*VLOOKUP(ANR58,ChurnSeasonTable,4,FALSE)),3)*PriceEssAnnual*ANU58+AOE10*POWER(1-(AnnualChurn*VLOOKUP(ANR58,ChurnSeasonTable,4,FALSE)),4)*PriceEssAnnual*ANU58+AOF46*POWER(1-(AnnualChurn*VLOOKUP(ANR58,ChurnSeasonTable,4,FALSE)),1)*PricePremAnnual*ANU58+AOF34*POWER(1-(AnnualChurn*VLOOKUP(ANR58,ChurnSeasonTable,4,FALSE)),2)*PricePremAnnual*ANU58+AOF22*POWER(1-(AnnualChurn*VLOOKUP(ANR58,ChurnSeasonTable,4,FALSE)),3)*PricePremAnnual*ANU58+AOF10*POWER(1-(AnnualChurn*VLOOKUP(ANR58,ChurnSeasonTable,4,FALSE)),4)*PricePremAnnual*ANU58</f>
        <v/>
      </c>
      <c r="AOQ58" s="9">
        <f>AON58+AOO58+AOP58</f>
        <v/>
      </c>
      <c r="AOR58" s="12">
        <f>SUM(AOQ47:AOQ58)</f>
        <v/>
      </c>
      <c r="AOS58" s="12">
        <f>OR(AOS57,AOR58&gt;=VATThreshold)</f>
        <v/>
      </c>
      <c r="AOT58" s="9">
        <f>IF(AOS58,AOQ58/(1+VATRate),AOQ58)</f>
        <v/>
      </c>
      <c r="AOU58" s="12">
        <f>AOQ58-AOT58</f>
        <v/>
      </c>
      <c r="AOV58" s="12">
        <f>IF(AOS58=0,0,IF(ANR58=1,SUMPRODUCT(--(($ANS$5:$ANS58=$ANS58-1)*($ANR$5:$ANR58&gt;=10)*($ANR$5:$ANR58&lt;=12)),$AOU$5:$AOU58),IF(ANR58=4,SUMPRODUCT(--(($ANS$5:$ANS58=$ANS58)*($ANR$5:$ANR58&gt;=1)*($ANR$5:$ANR58&lt;=3)),$AOU$5:$AOU58),IF(ANR58=7,SUMPRODUCT(--(($ANS$5:$ANS58=$ANS58)*($ANR$5:$ANR58&gt;=4)*($ANR$5:$ANR58&lt;=6)),$AOU$5:$AOU58),IF(ANR58=10,SUMPRODUCT(--(($ANS$5:$ANS58=$ANS58)*($ANR$5:$ANR58&gt;=7)*($ANR$5:$ANR58&lt;=9)),$AOU$5:$AOU58),0)))))</f>
        <v/>
      </c>
      <c r="AOW58" s="12">
        <f>AOW57+AOU58-AOV58</f>
        <v/>
      </c>
      <c r="AOX58" s="12">
        <f>IF(ProviderDelay&gt;=1,AOT57*ProviderShare,AOT58*ProviderShare)</f>
        <v/>
      </c>
      <c r="AOY58" s="12">
        <f>AOQ58*PaymentFee</f>
        <v/>
      </c>
      <c r="AOZ58" s="12">
        <f>AOK58*OpsAI</f>
        <v/>
      </c>
      <c r="APA58" s="12">
        <f>MonthlyFixed</f>
        <v/>
      </c>
      <c r="APB58" s="12">
        <f>ANY58*ReferralReward</f>
        <v/>
      </c>
      <c r="APC58" s="12">
        <f>ANW58</f>
        <v/>
      </c>
      <c r="APD58" s="9">
        <f>AOT58-AOX58-AOY58-AOZ58-APA58-APB58-APC58</f>
        <v/>
      </c>
      <c r="APE58" s="9">
        <f>APE57+AOQ58-(AOX58+AOY58+AOZ58+APA58+APB58+APC58+AOV58)</f>
        <v/>
      </c>
      <c r="APF58" s="12">
        <f>IF(AOK58&gt;0,AOL58/AOK58,0)</f>
        <v/>
      </c>
      <c r="APG58" s="11">
        <f>IF(AOK57&gt;0,MAX(0,(AOK57+ANZ58-AOK58)/AOK57),0)</f>
        <v/>
      </c>
      <c r="API58" s="12" t="n">
        <v>54</v>
      </c>
      <c r="APJ58" s="12">
        <f>MOD(API58-1+LaunchMonth-1,12)+1</f>
        <v/>
      </c>
      <c r="APK58" s="12">
        <f>INT((API58-1+LaunchMonth-1)/12)+1</f>
        <v/>
      </c>
      <c r="APL58" s="12">
        <f>VLOOKUP(APJ58,SeasonTable,2,FALSE)</f>
        <v/>
      </c>
      <c r="APM58" s="12">
        <f>(1+InflationRate)^INT((API58-1)/12)</f>
        <v/>
      </c>
      <c r="APN58" s="11">
        <f>MonthlyChurn*VLOOKUP(APJ58,ChurnSeasonTable,4,FALSE)</f>
        <v/>
      </c>
      <c r="APO58" s="12">
        <f>MIN(MAX(MktMin19plus,AQI57*MktPct19plus),MAX(0,AQW57-CashBuffer))</f>
        <v/>
      </c>
      <c r="APP58" s="12">
        <f>IF(APO58&gt;0,MAX(1,ROUND(APO58/'Sens - CAC &amp; Marketing'!$A$15*APL58,0)),0)</f>
        <v/>
      </c>
      <c r="APQ58" s="12">
        <f>IF(APP58&gt;0,ROUND(APP58*ReferralMix/(1-ReferralMix),0),0)</f>
        <v/>
      </c>
      <c r="APR58" s="12">
        <f>APP58+APQ58</f>
        <v/>
      </c>
      <c r="APS58" s="12">
        <f>ROUND(APR58*(1-AnnualMix),0)</f>
        <v/>
      </c>
      <c r="APT58" s="12">
        <f>APR58-APS58</f>
        <v/>
      </c>
      <c r="APU58" s="12">
        <f>ROUND(APS58*EssentialMix,0)</f>
        <v/>
      </c>
      <c r="APV58" s="12">
        <f>APS58-APU58</f>
        <v/>
      </c>
      <c r="APW58" s="12">
        <f>ROUND(APT58*EssentialMix,0)</f>
        <v/>
      </c>
      <c r="APX58" s="12">
        <f>APT58-APW58</f>
        <v/>
      </c>
      <c r="APY58" s="12">
        <f>APU58+APU57+APU56+MAX(0,APY57-APU57-APU56)*(1-APN58)</f>
        <v/>
      </c>
      <c r="APZ58" s="12">
        <f>APV58+APV57+APV56+MAX(0,APZ57-APV57-APV56)*(1-APN58)</f>
        <v/>
      </c>
      <c r="AQA58" s="12">
        <f>AQA57+APW58-APW46*(AnnualChurn*VLOOKUP(APJ58,ChurnSeasonTable,4,FALSE))*POWER(1-(AnnualChurn*VLOOKUP(APJ58,ChurnSeasonTable,4,FALSE)),0)+APW34*(AnnualChurn*VLOOKUP(APJ58,ChurnSeasonTable,4,FALSE))*POWER(1-(AnnualChurn*VLOOKUP(APJ58,ChurnSeasonTable,4,FALSE)),1)+APW22*(AnnualChurn*VLOOKUP(APJ58,ChurnSeasonTable,4,FALSE))*POWER(1-(AnnualChurn*VLOOKUP(APJ58,ChurnSeasonTable,4,FALSE)),2)+APW10*(AnnualChurn*VLOOKUP(APJ58,ChurnSeasonTable,4,FALSE))*POWER(1-(AnnualChurn*VLOOKUP(APJ58,ChurnSeasonTable,4,FALSE)),3)</f>
        <v/>
      </c>
      <c r="AQB58" s="12">
        <f>AQB57+APX58-APX46*(AnnualChurn*VLOOKUP(APJ58,ChurnSeasonTable,4,FALSE))*POWER(1-(AnnualChurn*VLOOKUP(APJ58,ChurnSeasonTable,4,FALSE)),0)+APX34*(AnnualChurn*VLOOKUP(APJ58,ChurnSeasonTable,4,FALSE))*POWER(1-(AnnualChurn*VLOOKUP(APJ58,ChurnSeasonTable,4,FALSE)),1)+APX22*(AnnualChurn*VLOOKUP(APJ58,ChurnSeasonTable,4,FALSE))*POWER(1-(AnnualChurn*VLOOKUP(APJ58,ChurnSeasonTable,4,FALSE)),2)+APX10*(AnnualChurn*VLOOKUP(APJ58,ChurnSeasonTable,4,FALSE))*POWER(1-(AnnualChurn*VLOOKUP(APJ58,ChurnSeasonTable,4,FALSE)),3)</f>
        <v/>
      </c>
      <c r="AQC58" s="12">
        <f>APY58+APZ58+AQA58+AQB58</f>
        <v/>
      </c>
      <c r="AQD58" s="9">
        <f>APY58*PriceEssMonthly*APM58+APZ58*PricePremMonthly*APM58+AQA58*PriceEssAnnual*APM58/12+AQB58*PricePremAnnual*APM58/12</f>
        <v/>
      </c>
      <c r="AQE58" s="9">
        <f>AQD58*12</f>
        <v/>
      </c>
      <c r="AQF58" s="12">
        <f>APY58*PriceEssMonthly*APM58+APZ58*PricePremMonthly*APM58</f>
        <v/>
      </c>
      <c r="AQG58" s="12">
        <f>APW58*PriceEssAnnual*APM58+APX58*PricePremAnnual*APM58</f>
        <v/>
      </c>
      <c r="AQH58" s="12">
        <f>APW46*POWER(1-(AnnualChurn*VLOOKUP(APJ58,ChurnSeasonTable,4,FALSE)),1)*PriceEssAnnual*APM58+APW34*POWER(1-(AnnualChurn*VLOOKUP(APJ58,ChurnSeasonTable,4,FALSE)),2)*PriceEssAnnual*APM58+APW22*POWER(1-(AnnualChurn*VLOOKUP(APJ58,ChurnSeasonTable,4,FALSE)),3)*PriceEssAnnual*APM58+APW10*POWER(1-(AnnualChurn*VLOOKUP(APJ58,ChurnSeasonTable,4,FALSE)),4)*PriceEssAnnual*APM58+APX46*POWER(1-(AnnualChurn*VLOOKUP(APJ58,ChurnSeasonTable,4,FALSE)),1)*PricePremAnnual*APM58+APX34*POWER(1-(AnnualChurn*VLOOKUP(APJ58,ChurnSeasonTable,4,FALSE)),2)*PricePremAnnual*APM58+APX22*POWER(1-(AnnualChurn*VLOOKUP(APJ58,ChurnSeasonTable,4,FALSE)),3)*PricePremAnnual*APM58+APX10*POWER(1-(AnnualChurn*VLOOKUP(APJ58,ChurnSeasonTable,4,FALSE)),4)*PricePremAnnual*APM58</f>
        <v/>
      </c>
      <c r="AQI58" s="9">
        <f>AQF58+AQG58+AQH58</f>
        <v/>
      </c>
      <c r="AQJ58" s="12">
        <f>SUM(AQI47:AQI58)</f>
        <v/>
      </c>
      <c r="AQK58" s="12">
        <f>OR(AQK57,AQJ58&gt;=VATThreshold)</f>
        <v/>
      </c>
      <c r="AQL58" s="9">
        <f>IF(AQK58,AQI58/(1+VATRate),AQI58)</f>
        <v/>
      </c>
      <c r="AQM58" s="12">
        <f>AQI58-AQL58</f>
        <v/>
      </c>
      <c r="AQN58" s="12">
        <f>IF(AQK58=0,0,IF(APJ58=1,SUMPRODUCT(--(($APK$5:$APK58=$APK58-1)*($APJ$5:$APJ58&gt;=10)*($APJ$5:$APJ58&lt;=12)),$AQM$5:$AQM58),IF(APJ58=4,SUMPRODUCT(--(($APK$5:$APK58=$APK58)*($APJ$5:$APJ58&gt;=1)*($APJ$5:$APJ58&lt;=3)),$AQM$5:$AQM58),IF(APJ58=7,SUMPRODUCT(--(($APK$5:$APK58=$APK58)*($APJ$5:$APJ58&gt;=4)*($APJ$5:$APJ58&lt;=6)),$AQM$5:$AQM58),IF(APJ58=10,SUMPRODUCT(--(($APK$5:$APK58=$APK58)*($APJ$5:$APJ58&gt;=7)*($APJ$5:$APJ58&lt;=9)),$AQM$5:$AQM58),0)))))</f>
        <v/>
      </c>
      <c r="AQO58" s="12">
        <f>AQO57+AQM58-AQN58</f>
        <v/>
      </c>
      <c r="AQP58" s="12">
        <f>IF(ProviderDelay&gt;=1,AQL57*ProviderShare,AQL58*ProviderShare)</f>
        <v/>
      </c>
      <c r="AQQ58" s="12">
        <f>AQI58*PaymentFee</f>
        <v/>
      </c>
      <c r="AQR58" s="12">
        <f>AQC58*OpsAI</f>
        <v/>
      </c>
      <c r="AQS58" s="12">
        <f>MonthlyFixed</f>
        <v/>
      </c>
      <c r="AQT58" s="12">
        <f>APQ58*ReferralReward</f>
        <v/>
      </c>
      <c r="AQU58" s="12">
        <f>APO58</f>
        <v/>
      </c>
      <c r="AQV58" s="9">
        <f>AQL58-AQP58-AQQ58-AQR58-AQS58-AQT58-AQU58</f>
        <v/>
      </c>
      <c r="AQW58" s="9">
        <f>AQW57+AQI58-(AQP58+AQQ58+AQR58+AQS58+AQT58+AQU58+AQN58)</f>
        <v/>
      </c>
      <c r="AQX58" s="12">
        <f>IF(AQC58&gt;0,AQD58/AQC58,0)</f>
        <v/>
      </c>
      <c r="AQY58" s="11">
        <f>IF(AQC57&gt;0,MAX(0,(AQC57+APR58-AQC58)/AQC57),0)</f>
        <v/>
      </c>
      <c r="ARA58" s="12" t="n">
        <v>54</v>
      </c>
      <c r="ARB58" s="12">
        <f>MOD(ARA58-1+LaunchMonth-1,12)+1</f>
        <v/>
      </c>
      <c r="ARC58" s="12">
        <f>INT((ARA58-1+LaunchMonth-1)/12)+1</f>
        <v/>
      </c>
      <c r="ARD58" s="12">
        <f>VLOOKUP(ARB58,WinterPivotSeasonTable,5,FALSE)</f>
        <v/>
      </c>
      <c r="ARE58" s="12">
        <f>(1+InflationRate)^INT((ARA58-1)/12)</f>
        <v/>
      </c>
      <c r="ARF58" s="11">
        <f>MonthlyChurn*VLOOKUP(ARB58,WinterPivotChurnTable,6,FALSE)</f>
        <v/>
      </c>
      <c r="ARG58" s="12">
        <f>MIN(MAX(MktMin19plus,ASA57*MktPct19plus),MAX(0,ASO57-CashBuffer))</f>
        <v/>
      </c>
      <c r="ARH58" s="12">
        <f>IF(ARG58&gt;0,MAX(1,ROUND(ARG58/CAC*ARD58,0)),0)</f>
        <v/>
      </c>
      <c r="ARI58" s="12">
        <f>IF(ARH58&gt;0,ROUND(ARH58*ReferralMix/(1-ReferralMix),0),0)</f>
        <v/>
      </c>
      <c r="ARJ58" s="12">
        <f>ARH58+ARI58</f>
        <v/>
      </c>
      <c r="ARK58" s="12">
        <f>ROUND(ARJ58*(1-AnnualMix),0)</f>
        <v/>
      </c>
      <c r="ARL58" s="12">
        <f>ARJ58-ARK58</f>
        <v/>
      </c>
      <c r="ARM58" s="12">
        <f>ROUND(ARK58*'Sens - Winter Pivot'!$B$6,0)</f>
        <v/>
      </c>
      <c r="ARN58" s="12">
        <f>ARK58-ARM58</f>
        <v/>
      </c>
      <c r="ARO58" s="12">
        <f>ROUND(ARL58*'Sens - Winter Pivot'!$B$6,0)</f>
        <v/>
      </c>
      <c r="ARP58" s="12">
        <f>ARL58-ARO58</f>
        <v/>
      </c>
      <c r="ARQ58" s="12">
        <f>ARM58+ARM57+ARM56+MAX(0,ARQ57-ARM57-ARM56)*(1-ARF58)</f>
        <v/>
      </c>
      <c r="ARR58" s="12">
        <f>ARN58+ARN57+ARN56+MAX(0,ARR57-ARN57-ARN56)*(1-ARF58)</f>
        <v/>
      </c>
      <c r="ARS58" s="12">
        <f>ARS57+ARO58-ARO46*(AnnualChurn*VLOOKUP(ARB58,WinterPivotChurnTable,6,FALSE))*POWER(1-(AnnualChurn*VLOOKUP(ARB58,WinterPivotChurnTable,6,FALSE)),0)+ARO34*(AnnualChurn*VLOOKUP(ARB58,WinterPivotChurnTable,6,FALSE))*POWER(1-(AnnualChurn*VLOOKUP(ARB58,WinterPivotChurnTable,6,FALSE)),1)+ARO22*(AnnualChurn*VLOOKUP(ARB58,WinterPivotChurnTable,6,FALSE))*POWER(1-(AnnualChurn*VLOOKUP(ARB58,WinterPivotChurnTable,6,FALSE)),2)+ARO10*(AnnualChurn*VLOOKUP(ARB58,WinterPivotChurnTable,6,FALSE))*POWER(1-(AnnualChurn*VLOOKUP(ARB58,WinterPivotChurnTable,6,FALSE)),3)</f>
        <v/>
      </c>
      <c r="ART58" s="12">
        <f>ART57+ARP58-ARP46*(AnnualChurn*VLOOKUP(ARB58,WinterPivotChurnTable,6,FALSE))*POWER(1-(AnnualChurn*VLOOKUP(ARB58,WinterPivotChurnTable,6,FALSE)),0)+ARP34*(AnnualChurn*VLOOKUP(ARB58,WinterPivotChurnTable,6,FALSE))*POWER(1-(AnnualChurn*VLOOKUP(ARB58,WinterPivotChurnTable,6,FALSE)),1)+ARP22*(AnnualChurn*VLOOKUP(ARB58,WinterPivotChurnTable,6,FALSE))*POWER(1-(AnnualChurn*VLOOKUP(ARB58,WinterPivotChurnTable,6,FALSE)),2)+ARP10*(AnnualChurn*VLOOKUP(ARB58,WinterPivotChurnTable,6,FALSE))*POWER(1-(AnnualChurn*VLOOKUP(ARB58,WinterPivotChurnTable,6,FALSE)),3)</f>
        <v/>
      </c>
      <c r="ARU58" s="12">
        <f>ARQ58+ARR58+ARS58+ART58</f>
        <v/>
      </c>
      <c r="ARV58" s="9">
        <f>ARQ58*PriceEssMonthly*ARE58+ARR58*(PricePremMonthly+'Sens - Winter Pivot'!$B$7)*ARE58+ARS58*PriceEssAnnual*ARE58/12+ART58*(PricePremAnnual+'Sens - Winter Pivot'!$B$7*12)*ARE58/12</f>
        <v/>
      </c>
      <c r="ARW58" s="9">
        <f>ARV58*12</f>
        <v/>
      </c>
      <c r="ARX58" s="12">
        <f>ARQ58*PriceEssMonthly*ARE58+ARR58*(PricePremMonthly+'Sens - Winter Pivot'!$B$7)*ARE58</f>
        <v/>
      </c>
      <c r="ARY58" s="12">
        <f>ARO58*PriceEssAnnual*ARE58+ARP58*(PricePremAnnual+'Sens - Winter Pivot'!$B$7*12)*ARE58</f>
        <v/>
      </c>
      <c r="ARZ58" s="12">
        <f>ARO46*POWER(1-(AnnualChurn*VLOOKUP(ARB58,WinterPivotChurnTable,6,FALSE)),1)*PriceEssAnnual*ARE58+ARO34*POWER(1-(AnnualChurn*VLOOKUP(ARB58,WinterPivotChurnTable,6,FALSE)),2)*PriceEssAnnual*ARE58+ARO22*POWER(1-(AnnualChurn*VLOOKUP(ARB58,WinterPivotChurnTable,6,FALSE)),3)*PriceEssAnnual*ARE58+ARO10*POWER(1-(AnnualChurn*VLOOKUP(ARB58,WinterPivotChurnTable,6,FALSE)),4)*PriceEssAnnual*ARE58+ARP46*POWER(1-(AnnualChurn*VLOOKUP(ARB58,WinterPivotChurnTable,6,FALSE)),1)*PricePremAnnual*ARE58+ARP34*POWER(1-(AnnualChurn*VLOOKUP(ARB58,WinterPivotChurnTable,6,FALSE)),2)*PricePremAnnual*ARE58+ARP22*POWER(1-(AnnualChurn*VLOOKUP(ARB58,WinterPivotChurnTable,6,FALSE)),3)*PricePremAnnual*ARE58+ARP10*POWER(1-(AnnualChurn*VLOOKUP(ARB58,WinterPivotChurnTable,6,FALSE)),4)*PricePremAnnual*ARE58</f>
        <v/>
      </c>
      <c r="ASA58" s="9">
        <f>ARX58+ARY58+ARZ58</f>
        <v/>
      </c>
      <c r="ASB58" s="12">
        <f>SUM(ASA47:ASA58)</f>
        <v/>
      </c>
      <c r="ASC58" s="12">
        <f>OR(ASC57,ASB58&gt;=VATThreshold)</f>
        <v/>
      </c>
      <c r="ASD58" s="9">
        <f>IF(ASC58,ASA58/(1+VATRate),ASA58)</f>
        <v/>
      </c>
      <c r="ASE58" s="12">
        <f>ASA58-ASD58</f>
        <v/>
      </c>
      <c r="ASF58" s="12">
        <f>IF(ASC58=0,0,IF(ARB58=1,SUMPRODUCT(--(($ARC$5:$ARC58=$ARC58-1)*($ARB$5:$ARB58&gt;=10)*($ARB$5:$ARB58&lt;=12)),$ASE$5:$ASE58),IF(ARB58=4,SUMPRODUCT(--(($ARC$5:$ARC58=$ARC58)*($ARB$5:$ARB58&gt;=1)*($ARB$5:$ARB58&lt;=3)),$ASE$5:$ASE58),IF(ARB58=7,SUMPRODUCT(--(($ARC$5:$ARC58=$ARC58)*($ARB$5:$ARB58&gt;=4)*($ARB$5:$ARB58&lt;=6)),$ASE$5:$ASE58),IF(ARB58=10,SUMPRODUCT(--(($ARC$5:$ARC58=$ARC58)*($ARB$5:$ARB58&gt;=7)*($ARB$5:$ARB58&lt;=9)),$ASE$5:$ASE58),0)))))</f>
        <v/>
      </c>
      <c r="ASG58" s="12">
        <f>ASG57+ASE58-ASF58</f>
        <v/>
      </c>
      <c r="ASH58" s="12">
        <f>IF(ProviderDelay&gt;=1,ASD57*ProviderShare,ASD58*ProviderShare)</f>
        <v/>
      </c>
      <c r="ASI58" s="12">
        <f>ASA58*PaymentFee</f>
        <v/>
      </c>
      <c r="ASJ58" s="12">
        <f>ARU58*OpsAI</f>
        <v/>
      </c>
      <c r="ASK58" s="12">
        <f>MonthlyFixed</f>
        <v/>
      </c>
      <c r="ASL58" s="12">
        <f>ARI58*ReferralReward</f>
        <v/>
      </c>
      <c r="ASM58" s="12">
        <f>ARG58</f>
        <v/>
      </c>
      <c r="ASN58" s="9">
        <f>ASD58-ASH58-ASI58-ASJ58-ASK58-ASL58-ASM58</f>
        <v/>
      </c>
      <c r="ASO58" s="9">
        <f>ASO57+ASA58-(ASH58+ASI58+ASJ58+ASK58+ASL58+ASM58+ASF58)</f>
        <v/>
      </c>
      <c r="ASP58" s="12">
        <f>IF(ARU58&gt;0,ARV58/ARU58,0)</f>
        <v/>
      </c>
      <c r="ASQ58" s="11">
        <f>IF(ARU57&gt;0,MAX(0,(ARU57+ARJ58-ARU58)/ARU57),0)</f>
        <v/>
      </c>
    </row>
    <row r="59">
      <c r="A59" s="12" t="n">
        <v>55</v>
      </c>
      <c r="B59" s="12">
        <f>MOD(A59-1+LaunchMonth-1,12)+1</f>
        <v/>
      </c>
      <c r="C59" s="12">
        <f>INT((A59-1+LaunchMonth-1)/12)+1</f>
        <v/>
      </c>
      <c r="D59" s="12">
        <f>VLOOKUP(B59,SeasonTable,2,FALSE)</f>
        <v/>
      </c>
      <c r="E59" s="12">
        <f>(1+InflationRate)^INT((A59-1)/12)</f>
        <v/>
      </c>
      <c r="F59" s="11">
        <f>'Sens - Scenarios'!$B$5*VLOOKUP(B59,ChurnSeasonTable,4,FALSE)</f>
        <v/>
      </c>
      <c r="G59" s="12">
        <f>MIN(MAX(MktMin19plus,AA58*MktPct19plus),MAX(0,AO58-CashBuffer))</f>
        <v/>
      </c>
      <c r="H59" s="12">
        <f>IF(G59&gt;0,MAX(1,ROUND(G59/'Sens - Scenarios'!$B$8*D59,0)),0)</f>
        <v/>
      </c>
      <c r="I59" s="12">
        <f>IF(H59&gt;0,ROUND(H59*ReferralMix/(1-ReferralMix),0),0)</f>
        <v/>
      </c>
      <c r="J59" s="12">
        <f>H59+I59</f>
        <v/>
      </c>
      <c r="K59" s="12">
        <f>ROUND(J59*(1-'Sens - Scenarios'!$B$7),0)</f>
        <v/>
      </c>
      <c r="L59" s="12">
        <f>J59-K59</f>
        <v/>
      </c>
      <c r="M59" s="12">
        <f>ROUND(K59*EssentialMix,0)</f>
        <v/>
      </c>
      <c r="N59" s="12">
        <f>K59-M59</f>
        <v/>
      </c>
      <c r="O59" s="12">
        <f>ROUND(L59*EssentialMix,0)</f>
        <v/>
      </c>
      <c r="P59" s="12">
        <f>L59-O59</f>
        <v/>
      </c>
      <c r="Q59" s="12">
        <f>M59+M58+M57+MAX(0,Q58-M58-M57)*(1-F59)</f>
        <v/>
      </c>
      <c r="R59" s="12">
        <f>N59+N58+N57+MAX(0,R58-N58-N57)*(1-F59)</f>
        <v/>
      </c>
      <c r="S59" s="12">
        <f>S58+O59-O47*('Sens - Scenarios'!$B$6*VLOOKUP(B59,ChurnSeasonTable,4,FALSE))*POWER(1-('Sens - Scenarios'!$B$6*VLOOKUP(B59,ChurnSeasonTable,4,FALSE)),0)+O35*('Sens - Scenarios'!$B$6*VLOOKUP(B59,ChurnSeasonTable,4,FALSE))*POWER(1-('Sens - Scenarios'!$B$6*VLOOKUP(B59,ChurnSeasonTable,4,FALSE)),1)+O23*('Sens - Scenarios'!$B$6*VLOOKUP(B59,ChurnSeasonTable,4,FALSE))*POWER(1-('Sens - Scenarios'!$B$6*VLOOKUP(B59,ChurnSeasonTable,4,FALSE)),2)+O11*('Sens - Scenarios'!$B$6*VLOOKUP(B59,ChurnSeasonTable,4,FALSE))*POWER(1-('Sens - Scenarios'!$B$6*VLOOKUP(B59,ChurnSeasonTable,4,FALSE)),3)</f>
        <v/>
      </c>
      <c r="T59" s="12">
        <f>T58+P59-P47*('Sens - Scenarios'!$B$6*VLOOKUP(B59,ChurnSeasonTable,4,FALSE))*POWER(1-('Sens - Scenarios'!$B$6*VLOOKUP(B59,ChurnSeasonTable,4,FALSE)),0)+P35*('Sens - Scenarios'!$B$6*VLOOKUP(B59,ChurnSeasonTable,4,FALSE))*POWER(1-('Sens - Scenarios'!$B$6*VLOOKUP(B59,ChurnSeasonTable,4,FALSE)),1)+P23*('Sens - Scenarios'!$B$6*VLOOKUP(B59,ChurnSeasonTable,4,FALSE))*POWER(1-('Sens - Scenarios'!$B$6*VLOOKUP(B59,ChurnSeasonTable,4,FALSE)),2)+P11*('Sens - Scenarios'!$B$6*VLOOKUP(B59,ChurnSeasonTable,4,FALSE))*POWER(1-('Sens - Scenarios'!$B$6*VLOOKUP(B59,ChurnSeasonTable,4,FALSE)),3)</f>
        <v/>
      </c>
      <c r="U59" s="12">
        <f>Q59+R59+S59+T59</f>
        <v/>
      </c>
      <c r="V59" s="9">
        <f>Q59*PriceEssMonthly*E59+R59*PricePremMonthly*E59+S59*PriceEssAnnual*E59/12+T59*PricePremAnnual*E59/12</f>
        <v/>
      </c>
      <c r="W59" s="9">
        <f>V59*12</f>
        <v/>
      </c>
      <c r="X59" s="12">
        <f>Q59*PriceEssMonthly*E59+R59*PricePremMonthly*E59</f>
        <v/>
      </c>
      <c r="Y59" s="12">
        <f>O59*PriceEssAnnual*E59+P59*PricePremAnnual*E59</f>
        <v/>
      </c>
      <c r="Z59" s="12">
        <f>O47*POWER(1-('Sens - Scenarios'!$B$6*VLOOKUP(B59,ChurnSeasonTable,4,FALSE)),1)*PriceEssAnnual*E59+O35*POWER(1-('Sens - Scenarios'!$B$6*VLOOKUP(B59,ChurnSeasonTable,4,FALSE)),2)*PriceEssAnnual*E59+O23*POWER(1-('Sens - Scenarios'!$B$6*VLOOKUP(B59,ChurnSeasonTable,4,FALSE)),3)*PriceEssAnnual*E59+O11*POWER(1-('Sens - Scenarios'!$B$6*VLOOKUP(B59,ChurnSeasonTable,4,FALSE)),4)*PriceEssAnnual*E59+P47*POWER(1-('Sens - Scenarios'!$B$6*VLOOKUP(B59,ChurnSeasonTable,4,FALSE)),1)*PricePremAnnual*E59+P35*POWER(1-('Sens - Scenarios'!$B$6*VLOOKUP(B59,ChurnSeasonTable,4,FALSE)),2)*PricePremAnnual*E59+P23*POWER(1-('Sens - Scenarios'!$B$6*VLOOKUP(B59,ChurnSeasonTable,4,FALSE)),3)*PricePremAnnual*E59+P11*POWER(1-('Sens - Scenarios'!$B$6*VLOOKUP(B59,ChurnSeasonTable,4,FALSE)),4)*PricePremAnnual*E59</f>
        <v/>
      </c>
      <c r="AA59" s="9">
        <f>X59+Y59+Z59</f>
        <v/>
      </c>
      <c r="AB59" s="12">
        <f>SUM(AA48:AA59)</f>
        <v/>
      </c>
      <c r="AC59" s="12">
        <f>OR(AC58,AB59&gt;=VATThreshold)</f>
        <v/>
      </c>
      <c r="AD59" s="9">
        <f>IF(AC59,AA59/(1+VATRate),AA59)</f>
        <v/>
      </c>
      <c r="AE59" s="12">
        <f>AA59-AD59</f>
        <v/>
      </c>
      <c r="AF59" s="12">
        <f>IF(AC59=0,0,IF(B59=1,SUMPRODUCT(--(($C$5:$C59=$C59-1)*($B$5:$B59&gt;=10)*($B$5:$B59&lt;=12)),$AE$5:$AE59),IF(B59=4,SUMPRODUCT(--(($C$5:$C59=$C59)*($B$5:$B59&gt;=1)*($B$5:$B59&lt;=3)),$AE$5:$AE59),IF(B59=7,SUMPRODUCT(--(($C$5:$C59=$C59)*($B$5:$B59&gt;=4)*($B$5:$B59&lt;=6)),$AE$5:$AE59),IF(B59=10,SUMPRODUCT(--(($C$5:$C59=$C59)*($B$5:$B59&gt;=7)*($B$5:$B59&lt;=9)),$AE$5:$AE59),0)))))</f>
        <v/>
      </c>
      <c r="AG59" s="12">
        <f>AG58+AE59-AF59</f>
        <v/>
      </c>
      <c r="AH59" s="12">
        <f>IF(ProviderDelay&gt;=1,AD58*ProviderShare,AD59*ProviderShare)</f>
        <v/>
      </c>
      <c r="AI59" s="12">
        <f>AA59*PaymentFee</f>
        <v/>
      </c>
      <c r="AJ59" s="12">
        <f>U59*OpsAI</f>
        <v/>
      </c>
      <c r="AK59" s="12">
        <f>MonthlyFixed</f>
        <v/>
      </c>
      <c r="AL59" s="12">
        <f>I59*ReferralReward</f>
        <v/>
      </c>
      <c r="AM59" s="12">
        <f>G59</f>
        <v/>
      </c>
      <c r="AN59" s="9">
        <f>AD59-AH59-AI59-AJ59-AK59-AL59-AM59</f>
        <v/>
      </c>
      <c r="AO59" s="9">
        <f>AO58+AA59-(AH59+AI59+AJ59+AK59+AL59+AM59+AF59)</f>
        <v/>
      </c>
      <c r="AP59" s="12">
        <f>IF(U59&gt;0,V59/U59,0)</f>
        <v/>
      </c>
      <c r="AQ59" s="11">
        <f>IF(U58&gt;0,MAX(0,(U58+J59-U59)/U58),0)</f>
        <v/>
      </c>
      <c r="AS59" s="12" t="n">
        <v>55</v>
      </c>
      <c r="AT59" s="12">
        <f>MOD(AS59-1+LaunchMonth-1,12)+1</f>
        <v/>
      </c>
      <c r="AU59" s="12">
        <f>INT((AS59-1+LaunchMonth-1)/12)+1</f>
        <v/>
      </c>
      <c r="AV59" s="12">
        <f>VLOOKUP(AT59,SeasonTable,2,FALSE)</f>
        <v/>
      </c>
      <c r="AW59" s="12">
        <f>(1+InflationRate)^INT((AS59-1)/12)</f>
        <v/>
      </c>
      <c r="AX59" s="11">
        <f>MonthlyChurn*VLOOKUP(AT59,ChurnSeasonTable,4,FALSE)</f>
        <v/>
      </c>
      <c r="AY59" s="12">
        <f>MIN(MAX(MktMin19plus,BS58*MktPct19plus),MAX(0,CG58-CashBuffer))</f>
        <v/>
      </c>
      <c r="AZ59" s="12">
        <f>IF(AY59&gt;0,MAX(1,ROUND(AY59/CAC*AV59,0)),0)</f>
        <v/>
      </c>
      <c r="BA59" s="12">
        <f>IF(AZ59&gt;0,ROUND(AZ59*ReferralMix/(1-ReferralMix),0),0)</f>
        <v/>
      </c>
      <c r="BB59" s="12">
        <f>AZ59+BA59</f>
        <v/>
      </c>
      <c r="BC59" s="12">
        <f>ROUND(BB59*(1-AnnualMix),0)</f>
        <v/>
      </c>
      <c r="BD59" s="12">
        <f>BB59-BC59</f>
        <v/>
      </c>
      <c r="BE59" s="12">
        <f>ROUND(BC59*EssentialMix,0)</f>
        <v/>
      </c>
      <c r="BF59" s="12">
        <f>BC59-BE59</f>
        <v/>
      </c>
      <c r="BG59" s="12">
        <f>ROUND(BD59*EssentialMix,0)</f>
        <v/>
      </c>
      <c r="BH59" s="12">
        <f>BD59-BG59</f>
        <v/>
      </c>
      <c r="BI59" s="12">
        <f>BE59+BE58+BE57+MAX(0,BI58-BE58-BE57)*(1-AX59)</f>
        <v/>
      </c>
      <c r="BJ59" s="12">
        <f>BF59+BF58+BF57+MAX(0,BJ58-BF58-BF57)*(1-AX59)</f>
        <v/>
      </c>
      <c r="BK59" s="12">
        <f>BK58+BG59-BG47*(AnnualChurn*VLOOKUP(AT59,ChurnSeasonTable,4,FALSE))*POWER(1-(AnnualChurn*VLOOKUP(AT59,ChurnSeasonTable,4,FALSE)),0)+BG35*(AnnualChurn*VLOOKUP(AT59,ChurnSeasonTable,4,FALSE))*POWER(1-(AnnualChurn*VLOOKUP(AT59,ChurnSeasonTable,4,FALSE)),1)+BG23*(AnnualChurn*VLOOKUP(AT59,ChurnSeasonTable,4,FALSE))*POWER(1-(AnnualChurn*VLOOKUP(AT59,ChurnSeasonTable,4,FALSE)),2)+BG11*(AnnualChurn*VLOOKUP(AT59,ChurnSeasonTable,4,FALSE))*POWER(1-(AnnualChurn*VLOOKUP(AT59,ChurnSeasonTable,4,FALSE)),3)</f>
        <v/>
      </c>
      <c r="BL59" s="12">
        <f>BL58+BH59-BH47*(AnnualChurn*VLOOKUP(AT59,ChurnSeasonTable,4,FALSE))*POWER(1-(AnnualChurn*VLOOKUP(AT59,ChurnSeasonTable,4,FALSE)),0)+BH35*(AnnualChurn*VLOOKUP(AT59,ChurnSeasonTable,4,FALSE))*POWER(1-(AnnualChurn*VLOOKUP(AT59,ChurnSeasonTable,4,FALSE)),1)+BH23*(AnnualChurn*VLOOKUP(AT59,ChurnSeasonTable,4,FALSE))*POWER(1-(AnnualChurn*VLOOKUP(AT59,ChurnSeasonTable,4,FALSE)),2)+BH11*(AnnualChurn*VLOOKUP(AT59,ChurnSeasonTable,4,FALSE))*POWER(1-(AnnualChurn*VLOOKUP(AT59,ChurnSeasonTable,4,FALSE)),3)</f>
        <v/>
      </c>
      <c r="BM59" s="12">
        <f>BI59+BJ59+BK59+BL59</f>
        <v/>
      </c>
      <c r="BN59" s="9">
        <f>BI59*PriceEssMonthly*AW59+BJ59*PricePremMonthly*AW59+BK59*PriceEssAnnual*AW59/12+BL59*PricePremAnnual*AW59/12</f>
        <v/>
      </c>
      <c r="BO59" s="9">
        <f>BN59*12</f>
        <v/>
      </c>
      <c r="BP59" s="12">
        <f>BI59*PriceEssMonthly*AW59+BJ59*PricePremMonthly*AW59</f>
        <v/>
      </c>
      <c r="BQ59" s="12">
        <f>BG59*PriceEssAnnual*AW59+BH59*PricePremAnnual*AW59</f>
        <v/>
      </c>
      <c r="BR59" s="12">
        <f>BG47*POWER(1-(AnnualChurn*VLOOKUP(AT59,ChurnSeasonTable,4,FALSE)),1)*PriceEssAnnual*AW59+BG35*POWER(1-(AnnualChurn*VLOOKUP(AT59,ChurnSeasonTable,4,FALSE)),2)*PriceEssAnnual*AW59+BG23*POWER(1-(AnnualChurn*VLOOKUP(AT59,ChurnSeasonTable,4,FALSE)),3)*PriceEssAnnual*AW59+BG11*POWER(1-(AnnualChurn*VLOOKUP(AT59,ChurnSeasonTable,4,FALSE)),4)*PriceEssAnnual*AW59+BH47*POWER(1-(AnnualChurn*VLOOKUP(AT59,ChurnSeasonTable,4,FALSE)),1)*PricePremAnnual*AW59+BH35*POWER(1-(AnnualChurn*VLOOKUP(AT59,ChurnSeasonTable,4,FALSE)),2)*PricePremAnnual*AW59+BH23*POWER(1-(AnnualChurn*VLOOKUP(AT59,ChurnSeasonTable,4,FALSE)),3)*PricePremAnnual*AW59+BH11*POWER(1-(AnnualChurn*VLOOKUP(AT59,ChurnSeasonTable,4,FALSE)),4)*PricePremAnnual*AW59</f>
        <v/>
      </c>
      <c r="BS59" s="9">
        <f>BP59+BQ59+BR59</f>
        <v/>
      </c>
      <c r="BT59" s="12">
        <f>SUM(BS48:BS59)</f>
        <v/>
      </c>
      <c r="BU59" s="12">
        <f>OR(BU58,BT59&gt;=VATThreshold)</f>
        <v/>
      </c>
      <c r="BV59" s="9">
        <f>IF(BU59,BS59/(1+VATRate),BS59)</f>
        <v/>
      </c>
      <c r="BW59" s="12">
        <f>BS59-BV59</f>
        <v/>
      </c>
      <c r="BX59" s="12">
        <f>IF(BU59=0,0,IF(AT59=1,SUMPRODUCT(--(($AU$5:$AU59=$AU59-1)*($AT$5:$AT59&gt;=10)*($AT$5:$AT59&lt;=12)),$BW$5:$BW59),IF(AT59=4,SUMPRODUCT(--(($AU$5:$AU59=$AU59)*($AT$5:$AT59&gt;=1)*($AT$5:$AT59&lt;=3)),$BW$5:$BW59),IF(AT59=7,SUMPRODUCT(--(($AU$5:$AU59=$AU59)*($AT$5:$AT59&gt;=4)*($AT$5:$AT59&lt;=6)),$BW$5:$BW59),IF(AT59=10,SUMPRODUCT(--(($AU$5:$AU59=$AU59)*($AT$5:$AT59&gt;=7)*($AT$5:$AT59&lt;=9)),$BW$5:$BW59),0)))))</f>
        <v/>
      </c>
      <c r="BY59" s="12">
        <f>BY58+BW59-BX59</f>
        <v/>
      </c>
      <c r="BZ59" s="12">
        <f>IF(ProviderDelay&gt;=1,BV58*ProviderShare,BV59*ProviderShare)</f>
        <v/>
      </c>
      <c r="CA59" s="12">
        <f>BS59*PaymentFee</f>
        <v/>
      </c>
      <c r="CB59" s="12">
        <f>BM59*OpsAI</f>
        <v/>
      </c>
      <c r="CC59" s="12">
        <f>MonthlyFixed</f>
        <v/>
      </c>
      <c r="CD59" s="12">
        <f>BA59*ReferralReward</f>
        <v/>
      </c>
      <c r="CE59" s="12">
        <f>AY59</f>
        <v/>
      </c>
      <c r="CF59" s="9">
        <f>BV59-BZ59-CA59-CB59-CC59-CD59-CE59</f>
        <v/>
      </c>
      <c r="CG59" s="9">
        <f>CG58+BS59-(BZ59+CA59+CB59+CC59+CD59+CE59+BX59)</f>
        <v/>
      </c>
      <c r="CH59" s="12">
        <f>IF(BM59&gt;0,BN59/BM59,0)</f>
        <v/>
      </c>
      <c r="CI59" s="11">
        <f>IF(BM58&gt;0,MAX(0,(BM58+BB59-BM59)/BM58),0)</f>
        <v/>
      </c>
      <c r="CK59" s="12" t="n">
        <v>55</v>
      </c>
      <c r="CL59" s="12">
        <f>MOD(CK59-1+LaunchMonth-1,12)+1</f>
        <v/>
      </c>
      <c r="CM59" s="12">
        <f>INT((CK59-1+LaunchMonth-1)/12)+1</f>
        <v/>
      </c>
      <c r="CN59" s="12">
        <f>VLOOKUP(CL59,SeasonTable,2,FALSE)</f>
        <v/>
      </c>
      <c r="CO59" s="12">
        <f>(1+InflationRate)^INT((CK59-1)/12)</f>
        <v/>
      </c>
      <c r="CP59" s="11">
        <f>'Sens - Scenarios'!$D$5*VLOOKUP(CL59,ChurnSeasonTable,4,FALSE)</f>
        <v/>
      </c>
      <c r="CQ59" s="12">
        <f>MIN(MAX(MktMin19plus,DK58*MktPct19plus),MAX(0,DY58-CashBuffer))</f>
        <v/>
      </c>
      <c r="CR59" s="12">
        <f>IF(CQ59&gt;0,MAX(1,ROUND(CQ59/'Sens - Scenarios'!$D$8*CN59,0)),0)</f>
        <v/>
      </c>
      <c r="CS59" s="12">
        <f>IF(CR59&gt;0,ROUND(CR59*ReferralMix/(1-ReferralMix),0),0)</f>
        <v/>
      </c>
      <c r="CT59" s="12">
        <f>CR59+CS59</f>
        <v/>
      </c>
      <c r="CU59" s="12">
        <f>ROUND(CT59*(1-'Sens - Scenarios'!$D$7),0)</f>
        <v/>
      </c>
      <c r="CV59" s="12">
        <f>CT59-CU59</f>
        <v/>
      </c>
      <c r="CW59" s="12">
        <f>ROUND(CU59*EssentialMix,0)</f>
        <v/>
      </c>
      <c r="CX59" s="12">
        <f>CU59-CW59</f>
        <v/>
      </c>
      <c r="CY59" s="12">
        <f>ROUND(CV59*EssentialMix,0)</f>
        <v/>
      </c>
      <c r="CZ59" s="12">
        <f>CV59-CY59</f>
        <v/>
      </c>
      <c r="DA59" s="12">
        <f>CW59+CW58+CW57+MAX(0,DA58-CW58-CW57)*(1-CP59)</f>
        <v/>
      </c>
      <c r="DB59" s="12">
        <f>CX59+CX58+CX57+MAX(0,DB58-CX58-CX57)*(1-CP59)</f>
        <v/>
      </c>
      <c r="DC59" s="12">
        <f>DC58+CY59-CY47*('Sens - Scenarios'!$D$6*VLOOKUP(CL59,ChurnSeasonTable,4,FALSE))*POWER(1-('Sens - Scenarios'!$D$6*VLOOKUP(CL59,ChurnSeasonTable,4,FALSE)),0)+CY35*('Sens - Scenarios'!$D$6*VLOOKUP(CL59,ChurnSeasonTable,4,FALSE))*POWER(1-('Sens - Scenarios'!$D$6*VLOOKUP(CL59,ChurnSeasonTable,4,FALSE)),1)+CY23*('Sens - Scenarios'!$D$6*VLOOKUP(CL59,ChurnSeasonTable,4,FALSE))*POWER(1-('Sens - Scenarios'!$D$6*VLOOKUP(CL59,ChurnSeasonTable,4,FALSE)),2)+CY11*('Sens - Scenarios'!$D$6*VLOOKUP(CL59,ChurnSeasonTable,4,FALSE))*POWER(1-('Sens - Scenarios'!$D$6*VLOOKUP(CL59,ChurnSeasonTable,4,FALSE)),3)</f>
        <v/>
      </c>
      <c r="DD59" s="12">
        <f>DD58+CZ59-CZ47*('Sens - Scenarios'!$D$6*VLOOKUP(CL59,ChurnSeasonTable,4,FALSE))*POWER(1-('Sens - Scenarios'!$D$6*VLOOKUP(CL59,ChurnSeasonTable,4,FALSE)),0)+CZ35*('Sens - Scenarios'!$D$6*VLOOKUP(CL59,ChurnSeasonTable,4,FALSE))*POWER(1-('Sens - Scenarios'!$D$6*VLOOKUP(CL59,ChurnSeasonTable,4,FALSE)),1)+CZ23*('Sens - Scenarios'!$D$6*VLOOKUP(CL59,ChurnSeasonTable,4,FALSE))*POWER(1-('Sens - Scenarios'!$D$6*VLOOKUP(CL59,ChurnSeasonTable,4,FALSE)),2)+CZ11*('Sens - Scenarios'!$D$6*VLOOKUP(CL59,ChurnSeasonTable,4,FALSE))*POWER(1-('Sens - Scenarios'!$D$6*VLOOKUP(CL59,ChurnSeasonTable,4,FALSE)),3)</f>
        <v/>
      </c>
      <c r="DE59" s="12">
        <f>DA59+DB59+DC59+DD59</f>
        <v/>
      </c>
      <c r="DF59" s="9">
        <f>DA59*PriceEssMonthly*CO59+DB59*PricePremMonthly*CO59+DC59*PriceEssAnnual*CO59/12+DD59*PricePremAnnual*CO59/12</f>
        <v/>
      </c>
      <c r="DG59" s="9">
        <f>DF59*12</f>
        <v/>
      </c>
      <c r="DH59" s="12">
        <f>DA59*PriceEssMonthly*CO59+DB59*PricePremMonthly*CO59</f>
        <v/>
      </c>
      <c r="DI59" s="12">
        <f>CY59*PriceEssAnnual*CO59+CZ59*PricePremAnnual*CO59</f>
        <v/>
      </c>
      <c r="DJ59" s="12">
        <f>CY47*POWER(1-('Sens - Scenarios'!$D$6*VLOOKUP(CL59,ChurnSeasonTable,4,FALSE)),1)*PriceEssAnnual*CO59+CY35*POWER(1-('Sens - Scenarios'!$D$6*VLOOKUP(CL59,ChurnSeasonTable,4,FALSE)),2)*PriceEssAnnual*CO59+CY23*POWER(1-('Sens - Scenarios'!$D$6*VLOOKUP(CL59,ChurnSeasonTable,4,FALSE)),3)*PriceEssAnnual*CO59+CY11*POWER(1-('Sens - Scenarios'!$D$6*VLOOKUP(CL59,ChurnSeasonTable,4,FALSE)),4)*PriceEssAnnual*CO59+CZ47*POWER(1-('Sens - Scenarios'!$D$6*VLOOKUP(CL59,ChurnSeasonTable,4,FALSE)),1)*PricePremAnnual*CO59+CZ35*POWER(1-('Sens - Scenarios'!$D$6*VLOOKUP(CL59,ChurnSeasonTable,4,FALSE)),2)*PricePremAnnual*CO59+CZ23*POWER(1-('Sens - Scenarios'!$D$6*VLOOKUP(CL59,ChurnSeasonTable,4,FALSE)),3)*PricePremAnnual*CO59+CZ11*POWER(1-('Sens - Scenarios'!$D$6*VLOOKUP(CL59,ChurnSeasonTable,4,FALSE)),4)*PricePremAnnual*CO59</f>
        <v/>
      </c>
      <c r="DK59" s="9">
        <f>DH59+DI59+DJ59</f>
        <v/>
      </c>
      <c r="DL59" s="12">
        <f>SUM(DK48:DK59)</f>
        <v/>
      </c>
      <c r="DM59" s="12">
        <f>OR(DM58,DL59&gt;=VATThreshold)</f>
        <v/>
      </c>
      <c r="DN59" s="9">
        <f>IF(DM59,DK59/(1+VATRate),DK59)</f>
        <v/>
      </c>
      <c r="DO59" s="12">
        <f>DK59-DN59</f>
        <v/>
      </c>
      <c r="DP59" s="12">
        <f>IF(DM59=0,0,IF(CL59=1,SUMPRODUCT(--(($CM$5:$CM59=$CM59-1)*($CL$5:$CL59&gt;=10)*($CL$5:$CL59&lt;=12)),$DO$5:$DO59),IF(CL59=4,SUMPRODUCT(--(($CM$5:$CM59=$CM59)*($CL$5:$CL59&gt;=1)*($CL$5:$CL59&lt;=3)),$DO$5:$DO59),IF(CL59=7,SUMPRODUCT(--(($CM$5:$CM59=$CM59)*($CL$5:$CL59&gt;=4)*($CL$5:$CL59&lt;=6)),$DO$5:$DO59),IF(CL59=10,SUMPRODUCT(--(($CM$5:$CM59=$CM59)*($CL$5:$CL59&gt;=7)*($CL$5:$CL59&lt;=9)),$DO$5:$DO59),0)))))</f>
        <v/>
      </c>
      <c r="DQ59" s="12">
        <f>DQ58+DO59-DP59</f>
        <v/>
      </c>
      <c r="DR59" s="12">
        <f>IF(ProviderDelay&gt;=1,DN58*ProviderShare,DN59*ProviderShare)</f>
        <v/>
      </c>
      <c r="DS59" s="12">
        <f>DK59*PaymentFee</f>
        <v/>
      </c>
      <c r="DT59" s="12">
        <f>DE59*OpsAI</f>
        <v/>
      </c>
      <c r="DU59" s="12">
        <f>MonthlyFixed</f>
        <v/>
      </c>
      <c r="DV59" s="12">
        <f>CS59*ReferralReward</f>
        <v/>
      </c>
      <c r="DW59" s="12">
        <f>CQ59</f>
        <v/>
      </c>
      <c r="DX59" s="9">
        <f>DN59-DR59-DS59-DT59-DU59-DV59-DW59</f>
        <v/>
      </c>
      <c r="DY59" s="9">
        <f>DY58+DK59-(DR59+DS59+DT59+DU59+DV59+DW59+DP59)</f>
        <v/>
      </c>
      <c r="DZ59" s="12">
        <f>IF(DE59&gt;0,DF59/DE59,0)</f>
        <v/>
      </c>
      <c r="EA59" s="11">
        <f>IF(DE58&gt;0,MAX(0,(DE58+CT59-DE59)/DE58),0)</f>
        <v/>
      </c>
      <c r="EC59" s="12" t="n">
        <v>55</v>
      </c>
      <c r="ED59" s="12">
        <f>MOD(EC59-1+LaunchMonth-1,12)+1</f>
        <v/>
      </c>
      <c r="EE59" s="12">
        <f>INT((EC59-1+LaunchMonth-1)/12)+1</f>
        <v/>
      </c>
      <c r="EF59" s="12">
        <f>VLOOKUP(ED59,SeasonTable,2,FALSE)</f>
        <v/>
      </c>
      <c r="EG59" s="12">
        <f>(1+InflationRate)^INT((EC59-1)/12)</f>
        <v/>
      </c>
      <c r="EH59" s="11">
        <f>'Sens - Churn'!$A$13*VLOOKUP(ED59,ChurnSeasonTable,4,FALSE)</f>
        <v/>
      </c>
      <c r="EI59" s="12">
        <f>MIN(MAX(MktMin19plus,FC58*MktPct19plus),MAX(0,FQ58-CashBuffer))</f>
        <v/>
      </c>
      <c r="EJ59" s="12">
        <f>IF(EI59&gt;0,MAX(1,ROUND(EI59/CAC*EF59,0)),0)</f>
        <v/>
      </c>
      <c r="EK59" s="12">
        <f>IF(EJ59&gt;0,ROUND(EJ59*ReferralMix/(1-ReferralMix),0),0)</f>
        <v/>
      </c>
      <c r="EL59" s="12">
        <f>EJ59+EK59</f>
        <v/>
      </c>
      <c r="EM59" s="12">
        <f>ROUND(EL59*(1-AnnualMix),0)</f>
        <v/>
      </c>
      <c r="EN59" s="12">
        <f>EL59-EM59</f>
        <v/>
      </c>
      <c r="EO59" s="12">
        <f>ROUND(EM59*EssentialMix,0)</f>
        <v/>
      </c>
      <c r="EP59" s="12">
        <f>EM59-EO59</f>
        <v/>
      </c>
      <c r="EQ59" s="12">
        <f>ROUND(EN59*EssentialMix,0)</f>
        <v/>
      </c>
      <c r="ER59" s="12">
        <f>EN59-EQ59</f>
        <v/>
      </c>
      <c r="ES59" s="12">
        <f>EO59+EO58+EO57+MAX(0,ES58-EO58-EO57)*(1-EH59)</f>
        <v/>
      </c>
      <c r="ET59" s="12">
        <f>EP59+EP58+EP57+MAX(0,ET58-EP58-EP57)*(1-EH59)</f>
        <v/>
      </c>
      <c r="EU59" s="12">
        <f>EU58+EQ59-EQ47*(AnnualChurn*VLOOKUP(ED59,ChurnSeasonTable,4,FALSE))*POWER(1-(AnnualChurn*VLOOKUP(ED59,ChurnSeasonTable,4,FALSE)),0)+EQ35*(AnnualChurn*VLOOKUP(ED59,ChurnSeasonTable,4,FALSE))*POWER(1-(AnnualChurn*VLOOKUP(ED59,ChurnSeasonTable,4,FALSE)),1)+EQ23*(AnnualChurn*VLOOKUP(ED59,ChurnSeasonTable,4,FALSE))*POWER(1-(AnnualChurn*VLOOKUP(ED59,ChurnSeasonTable,4,FALSE)),2)+EQ11*(AnnualChurn*VLOOKUP(ED59,ChurnSeasonTable,4,FALSE))*POWER(1-(AnnualChurn*VLOOKUP(ED59,ChurnSeasonTable,4,FALSE)),3)</f>
        <v/>
      </c>
      <c r="EV59" s="12">
        <f>EV58+ER59-ER47*(AnnualChurn*VLOOKUP(ED59,ChurnSeasonTable,4,FALSE))*POWER(1-(AnnualChurn*VLOOKUP(ED59,ChurnSeasonTable,4,FALSE)),0)+ER35*(AnnualChurn*VLOOKUP(ED59,ChurnSeasonTable,4,FALSE))*POWER(1-(AnnualChurn*VLOOKUP(ED59,ChurnSeasonTable,4,FALSE)),1)+ER23*(AnnualChurn*VLOOKUP(ED59,ChurnSeasonTable,4,FALSE))*POWER(1-(AnnualChurn*VLOOKUP(ED59,ChurnSeasonTable,4,FALSE)),2)+ER11*(AnnualChurn*VLOOKUP(ED59,ChurnSeasonTable,4,FALSE))*POWER(1-(AnnualChurn*VLOOKUP(ED59,ChurnSeasonTable,4,FALSE)),3)</f>
        <v/>
      </c>
      <c r="EW59" s="12">
        <f>ES59+ET59+EU59+EV59</f>
        <v/>
      </c>
      <c r="EX59" s="9">
        <f>ES59*PriceEssMonthly*EG59+ET59*PricePremMonthly*EG59+EU59*PriceEssAnnual*EG59/12+EV59*PricePremAnnual*EG59/12</f>
        <v/>
      </c>
      <c r="EY59" s="9">
        <f>EX59*12</f>
        <v/>
      </c>
      <c r="EZ59" s="12">
        <f>ES59*PriceEssMonthly*EG59+ET59*PricePremMonthly*EG59</f>
        <v/>
      </c>
      <c r="FA59" s="12">
        <f>EQ59*PriceEssAnnual*EG59+ER59*PricePremAnnual*EG59</f>
        <v/>
      </c>
      <c r="FB59" s="12">
        <f>EQ47*POWER(1-(AnnualChurn*VLOOKUP(ED59,ChurnSeasonTable,4,FALSE)),1)*PriceEssAnnual*EG59+EQ35*POWER(1-(AnnualChurn*VLOOKUP(ED59,ChurnSeasonTable,4,FALSE)),2)*PriceEssAnnual*EG59+EQ23*POWER(1-(AnnualChurn*VLOOKUP(ED59,ChurnSeasonTable,4,FALSE)),3)*PriceEssAnnual*EG59+EQ11*POWER(1-(AnnualChurn*VLOOKUP(ED59,ChurnSeasonTable,4,FALSE)),4)*PriceEssAnnual*EG59+ER47*POWER(1-(AnnualChurn*VLOOKUP(ED59,ChurnSeasonTable,4,FALSE)),1)*PricePremAnnual*EG59+ER35*POWER(1-(AnnualChurn*VLOOKUP(ED59,ChurnSeasonTable,4,FALSE)),2)*PricePremAnnual*EG59+ER23*POWER(1-(AnnualChurn*VLOOKUP(ED59,ChurnSeasonTable,4,FALSE)),3)*PricePremAnnual*EG59+ER11*POWER(1-(AnnualChurn*VLOOKUP(ED59,ChurnSeasonTable,4,FALSE)),4)*PricePremAnnual*EG59</f>
        <v/>
      </c>
      <c r="FC59" s="9">
        <f>EZ59+FA59+FB59</f>
        <v/>
      </c>
      <c r="FD59" s="12">
        <f>SUM(FC48:FC59)</f>
        <v/>
      </c>
      <c r="FE59" s="12">
        <f>OR(FE58,FD59&gt;=VATThreshold)</f>
        <v/>
      </c>
      <c r="FF59" s="9">
        <f>IF(FE59,FC59/(1+VATRate),FC59)</f>
        <v/>
      </c>
      <c r="FG59" s="12">
        <f>FC59-FF59</f>
        <v/>
      </c>
      <c r="FH59" s="12">
        <f>IF(FE59=0,0,IF(ED59=1,SUMPRODUCT(--(($EE$5:$EE59=$EE59-1)*($ED$5:$ED59&gt;=10)*($ED$5:$ED59&lt;=12)),$FG$5:$FG59),IF(ED59=4,SUMPRODUCT(--(($EE$5:$EE59=$EE59)*($ED$5:$ED59&gt;=1)*($ED$5:$ED59&lt;=3)),$FG$5:$FG59),IF(ED59=7,SUMPRODUCT(--(($EE$5:$EE59=$EE59)*($ED$5:$ED59&gt;=4)*($ED$5:$ED59&lt;=6)),$FG$5:$FG59),IF(ED59=10,SUMPRODUCT(--(($EE$5:$EE59=$EE59)*($ED$5:$ED59&gt;=7)*($ED$5:$ED59&lt;=9)),$FG$5:$FG59),0)))))</f>
        <v/>
      </c>
      <c r="FI59" s="12">
        <f>FI58+FG59-FH59</f>
        <v/>
      </c>
      <c r="FJ59" s="12">
        <f>IF(ProviderDelay&gt;=1,FF58*ProviderShare,FF59*ProviderShare)</f>
        <v/>
      </c>
      <c r="FK59" s="12">
        <f>FC59*PaymentFee</f>
        <v/>
      </c>
      <c r="FL59" s="12">
        <f>EW59*OpsAI</f>
        <v/>
      </c>
      <c r="FM59" s="12">
        <f>MonthlyFixed</f>
        <v/>
      </c>
      <c r="FN59" s="12">
        <f>EK59*ReferralReward</f>
        <v/>
      </c>
      <c r="FO59" s="12">
        <f>EI59</f>
        <v/>
      </c>
      <c r="FP59" s="9">
        <f>FF59-FJ59-FK59-FL59-FM59-FN59-FO59</f>
        <v/>
      </c>
      <c r="FQ59" s="9">
        <f>FQ58+FC59-(FJ59+FK59+FL59+FM59+FN59+FO59+FH59)</f>
        <v/>
      </c>
      <c r="FR59" s="12">
        <f>IF(EW59&gt;0,EX59/EW59,0)</f>
        <v/>
      </c>
      <c r="FS59" s="11">
        <f>IF(EW58&gt;0,MAX(0,(EW58+EL59-EW59)/EW58),0)</f>
        <v/>
      </c>
      <c r="FU59" s="12" t="n">
        <v>55</v>
      </c>
      <c r="FV59" s="12">
        <f>MOD(FU59-1+LaunchMonth-1,12)+1</f>
        <v/>
      </c>
      <c r="FW59" s="12">
        <f>INT((FU59-1+LaunchMonth-1)/12)+1</f>
        <v/>
      </c>
      <c r="FX59" s="12">
        <f>VLOOKUP(FV59,SeasonTable,2,FALSE)</f>
        <v/>
      </c>
      <c r="FY59" s="12">
        <f>(1+InflationRate)^INT((FU59-1)/12)</f>
        <v/>
      </c>
      <c r="FZ59" s="11">
        <f>'Sens - Churn'!$A$14*VLOOKUP(FV59,ChurnSeasonTable,4,FALSE)</f>
        <v/>
      </c>
      <c r="GA59" s="12">
        <f>MIN(MAX(MktMin19plus,GU58*MktPct19plus),MAX(0,HI58-CashBuffer))</f>
        <v/>
      </c>
      <c r="GB59" s="12">
        <f>IF(GA59&gt;0,MAX(1,ROUND(GA59/CAC*FX59,0)),0)</f>
        <v/>
      </c>
      <c r="GC59" s="12">
        <f>IF(GB59&gt;0,ROUND(GB59*ReferralMix/(1-ReferralMix),0),0)</f>
        <v/>
      </c>
      <c r="GD59" s="12">
        <f>GB59+GC59</f>
        <v/>
      </c>
      <c r="GE59" s="12">
        <f>ROUND(GD59*(1-AnnualMix),0)</f>
        <v/>
      </c>
      <c r="GF59" s="12">
        <f>GD59-GE59</f>
        <v/>
      </c>
      <c r="GG59" s="12">
        <f>ROUND(GE59*EssentialMix,0)</f>
        <v/>
      </c>
      <c r="GH59" s="12">
        <f>GE59-GG59</f>
        <v/>
      </c>
      <c r="GI59" s="12">
        <f>ROUND(GF59*EssentialMix,0)</f>
        <v/>
      </c>
      <c r="GJ59" s="12">
        <f>GF59-GI59</f>
        <v/>
      </c>
      <c r="GK59" s="12">
        <f>GG59+GG58+GG57+MAX(0,GK58-GG58-GG57)*(1-FZ59)</f>
        <v/>
      </c>
      <c r="GL59" s="12">
        <f>GH59+GH58+GH57+MAX(0,GL58-GH58-GH57)*(1-FZ59)</f>
        <v/>
      </c>
      <c r="GM59" s="12">
        <f>GM58+GI59-GI47*(AnnualChurn*VLOOKUP(FV59,ChurnSeasonTable,4,FALSE))*POWER(1-(AnnualChurn*VLOOKUP(FV59,ChurnSeasonTable,4,FALSE)),0)+GI35*(AnnualChurn*VLOOKUP(FV59,ChurnSeasonTable,4,FALSE))*POWER(1-(AnnualChurn*VLOOKUP(FV59,ChurnSeasonTable,4,FALSE)),1)+GI23*(AnnualChurn*VLOOKUP(FV59,ChurnSeasonTable,4,FALSE))*POWER(1-(AnnualChurn*VLOOKUP(FV59,ChurnSeasonTable,4,FALSE)),2)+GI11*(AnnualChurn*VLOOKUP(FV59,ChurnSeasonTable,4,FALSE))*POWER(1-(AnnualChurn*VLOOKUP(FV59,ChurnSeasonTable,4,FALSE)),3)</f>
        <v/>
      </c>
      <c r="GN59" s="12">
        <f>GN58+GJ59-GJ47*(AnnualChurn*VLOOKUP(FV59,ChurnSeasonTable,4,FALSE))*POWER(1-(AnnualChurn*VLOOKUP(FV59,ChurnSeasonTable,4,FALSE)),0)+GJ35*(AnnualChurn*VLOOKUP(FV59,ChurnSeasonTable,4,FALSE))*POWER(1-(AnnualChurn*VLOOKUP(FV59,ChurnSeasonTable,4,FALSE)),1)+GJ23*(AnnualChurn*VLOOKUP(FV59,ChurnSeasonTable,4,FALSE))*POWER(1-(AnnualChurn*VLOOKUP(FV59,ChurnSeasonTable,4,FALSE)),2)+GJ11*(AnnualChurn*VLOOKUP(FV59,ChurnSeasonTable,4,FALSE))*POWER(1-(AnnualChurn*VLOOKUP(FV59,ChurnSeasonTable,4,FALSE)),3)</f>
        <v/>
      </c>
      <c r="GO59" s="12">
        <f>GK59+GL59+GM59+GN59</f>
        <v/>
      </c>
      <c r="GP59" s="9">
        <f>GK59*PriceEssMonthly*FY59+GL59*PricePremMonthly*FY59+GM59*PriceEssAnnual*FY59/12+GN59*PricePremAnnual*FY59/12</f>
        <v/>
      </c>
      <c r="GQ59" s="9">
        <f>GP59*12</f>
        <v/>
      </c>
      <c r="GR59" s="12">
        <f>GK59*PriceEssMonthly*FY59+GL59*PricePremMonthly*FY59</f>
        <v/>
      </c>
      <c r="GS59" s="12">
        <f>GI59*PriceEssAnnual*FY59+GJ59*PricePremAnnual*FY59</f>
        <v/>
      </c>
      <c r="GT59" s="12">
        <f>GI47*POWER(1-(AnnualChurn*VLOOKUP(FV59,ChurnSeasonTable,4,FALSE)),1)*PriceEssAnnual*FY59+GI35*POWER(1-(AnnualChurn*VLOOKUP(FV59,ChurnSeasonTable,4,FALSE)),2)*PriceEssAnnual*FY59+GI23*POWER(1-(AnnualChurn*VLOOKUP(FV59,ChurnSeasonTable,4,FALSE)),3)*PriceEssAnnual*FY59+GI11*POWER(1-(AnnualChurn*VLOOKUP(FV59,ChurnSeasonTable,4,FALSE)),4)*PriceEssAnnual*FY59+GJ47*POWER(1-(AnnualChurn*VLOOKUP(FV59,ChurnSeasonTable,4,FALSE)),1)*PricePremAnnual*FY59+GJ35*POWER(1-(AnnualChurn*VLOOKUP(FV59,ChurnSeasonTable,4,FALSE)),2)*PricePremAnnual*FY59+GJ23*POWER(1-(AnnualChurn*VLOOKUP(FV59,ChurnSeasonTable,4,FALSE)),3)*PricePremAnnual*FY59+GJ11*POWER(1-(AnnualChurn*VLOOKUP(FV59,ChurnSeasonTable,4,FALSE)),4)*PricePremAnnual*FY59</f>
        <v/>
      </c>
      <c r="GU59" s="9">
        <f>GR59+GS59+GT59</f>
        <v/>
      </c>
      <c r="GV59" s="12">
        <f>SUM(GU48:GU59)</f>
        <v/>
      </c>
      <c r="GW59" s="12">
        <f>OR(GW58,GV59&gt;=VATThreshold)</f>
        <v/>
      </c>
      <c r="GX59" s="9">
        <f>IF(GW59,GU59/(1+VATRate),GU59)</f>
        <v/>
      </c>
      <c r="GY59" s="12">
        <f>GU59-GX59</f>
        <v/>
      </c>
      <c r="GZ59" s="12">
        <f>IF(GW59=0,0,IF(FV59=1,SUMPRODUCT(--(($FW$5:$FW59=$FW59-1)*($FV$5:$FV59&gt;=10)*($FV$5:$FV59&lt;=12)),$GY$5:$GY59),IF(FV59=4,SUMPRODUCT(--(($FW$5:$FW59=$FW59)*($FV$5:$FV59&gt;=1)*($FV$5:$FV59&lt;=3)),$GY$5:$GY59),IF(FV59=7,SUMPRODUCT(--(($FW$5:$FW59=$FW59)*($FV$5:$FV59&gt;=4)*($FV$5:$FV59&lt;=6)),$GY$5:$GY59),IF(FV59=10,SUMPRODUCT(--(($FW$5:$FW59=$FW59)*($FV$5:$FV59&gt;=7)*($FV$5:$FV59&lt;=9)),$GY$5:$GY59),0)))))</f>
        <v/>
      </c>
      <c r="HA59" s="12">
        <f>HA58+GY59-GZ59</f>
        <v/>
      </c>
      <c r="HB59" s="12">
        <f>IF(ProviderDelay&gt;=1,GX58*ProviderShare,GX59*ProviderShare)</f>
        <v/>
      </c>
      <c r="HC59" s="12">
        <f>GU59*PaymentFee</f>
        <v/>
      </c>
      <c r="HD59" s="12">
        <f>GO59*OpsAI</f>
        <v/>
      </c>
      <c r="HE59" s="12">
        <f>MonthlyFixed</f>
        <v/>
      </c>
      <c r="HF59" s="12">
        <f>GC59*ReferralReward</f>
        <v/>
      </c>
      <c r="HG59" s="12">
        <f>GA59</f>
        <v/>
      </c>
      <c r="HH59" s="9">
        <f>GX59-HB59-HC59-HD59-HE59-HF59-HG59</f>
        <v/>
      </c>
      <c r="HI59" s="9">
        <f>HI58+GU59-(HB59+HC59+HD59+HE59+HF59+HG59+GZ59)</f>
        <v/>
      </c>
      <c r="HJ59" s="12">
        <f>IF(GO59&gt;0,GP59/GO59,0)</f>
        <v/>
      </c>
      <c r="HK59" s="11">
        <f>IF(GO58&gt;0,MAX(0,(GO58+GD59-GO59)/GO58),0)</f>
        <v/>
      </c>
      <c r="HM59" s="12" t="n">
        <v>55</v>
      </c>
      <c r="HN59" s="12">
        <f>MOD(HM59-1+LaunchMonth-1,12)+1</f>
        <v/>
      </c>
      <c r="HO59" s="12">
        <f>INT((HM59-1+LaunchMonth-1)/12)+1</f>
        <v/>
      </c>
      <c r="HP59" s="12">
        <f>VLOOKUP(HN59,SeasonTable,2,FALSE)</f>
        <v/>
      </c>
      <c r="HQ59" s="12">
        <f>(1+InflationRate)^INT((HM59-1)/12)</f>
        <v/>
      </c>
      <c r="HR59" s="11">
        <f>'Sens - Churn'!$A$15*VLOOKUP(HN59,ChurnSeasonTable,4,FALSE)</f>
        <v/>
      </c>
      <c r="HS59" s="12">
        <f>MIN(MAX(MktMin19plus,IM58*MktPct19plus),MAX(0,JA58-CashBuffer))</f>
        <v/>
      </c>
      <c r="HT59" s="12">
        <f>IF(HS59&gt;0,MAX(1,ROUND(HS59/CAC*HP59,0)),0)</f>
        <v/>
      </c>
      <c r="HU59" s="12">
        <f>IF(HT59&gt;0,ROUND(HT59*ReferralMix/(1-ReferralMix),0),0)</f>
        <v/>
      </c>
      <c r="HV59" s="12">
        <f>HT59+HU59</f>
        <v/>
      </c>
      <c r="HW59" s="12">
        <f>ROUND(HV59*(1-AnnualMix),0)</f>
        <v/>
      </c>
      <c r="HX59" s="12">
        <f>HV59-HW59</f>
        <v/>
      </c>
      <c r="HY59" s="12">
        <f>ROUND(HW59*EssentialMix,0)</f>
        <v/>
      </c>
      <c r="HZ59" s="12">
        <f>HW59-HY59</f>
        <v/>
      </c>
      <c r="IA59" s="12">
        <f>ROUND(HX59*EssentialMix,0)</f>
        <v/>
      </c>
      <c r="IB59" s="12">
        <f>HX59-IA59</f>
        <v/>
      </c>
      <c r="IC59" s="12">
        <f>HY59+HY58+HY57+MAX(0,IC58-HY58-HY57)*(1-HR59)</f>
        <v/>
      </c>
      <c r="ID59" s="12">
        <f>HZ59+HZ58+HZ57+MAX(0,ID58-HZ58-HZ57)*(1-HR59)</f>
        <v/>
      </c>
      <c r="IE59" s="12">
        <f>IE58+IA59-IA47*(AnnualChurn*VLOOKUP(HN59,ChurnSeasonTable,4,FALSE))*POWER(1-(AnnualChurn*VLOOKUP(HN59,ChurnSeasonTable,4,FALSE)),0)+IA35*(AnnualChurn*VLOOKUP(HN59,ChurnSeasonTable,4,FALSE))*POWER(1-(AnnualChurn*VLOOKUP(HN59,ChurnSeasonTable,4,FALSE)),1)+IA23*(AnnualChurn*VLOOKUP(HN59,ChurnSeasonTable,4,FALSE))*POWER(1-(AnnualChurn*VLOOKUP(HN59,ChurnSeasonTable,4,FALSE)),2)+IA11*(AnnualChurn*VLOOKUP(HN59,ChurnSeasonTable,4,FALSE))*POWER(1-(AnnualChurn*VLOOKUP(HN59,ChurnSeasonTable,4,FALSE)),3)</f>
        <v/>
      </c>
      <c r="IF59" s="12">
        <f>IF58+IB59-IB47*(AnnualChurn*VLOOKUP(HN59,ChurnSeasonTable,4,FALSE))*POWER(1-(AnnualChurn*VLOOKUP(HN59,ChurnSeasonTable,4,FALSE)),0)+IB35*(AnnualChurn*VLOOKUP(HN59,ChurnSeasonTable,4,FALSE))*POWER(1-(AnnualChurn*VLOOKUP(HN59,ChurnSeasonTable,4,FALSE)),1)+IB23*(AnnualChurn*VLOOKUP(HN59,ChurnSeasonTable,4,FALSE))*POWER(1-(AnnualChurn*VLOOKUP(HN59,ChurnSeasonTable,4,FALSE)),2)+IB11*(AnnualChurn*VLOOKUP(HN59,ChurnSeasonTable,4,FALSE))*POWER(1-(AnnualChurn*VLOOKUP(HN59,ChurnSeasonTable,4,FALSE)),3)</f>
        <v/>
      </c>
      <c r="IG59" s="12">
        <f>IC59+ID59+IE59+IF59</f>
        <v/>
      </c>
      <c r="IH59" s="9">
        <f>IC59*PriceEssMonthly*HQ59+ID59*PricePremMonthly*HQ59+IE59*PriceEssAnnual*HQ59/12+IF59*PricePremAnnual*HQ59/12</f>
        <v/>
      </c>
      <c r="II59" s="9">
        <f>IH59*12</f>
        <v/>
      </c>
      <c r="IJ59" s="12">
        <f>IC59*PriceEssMonthly*HQ59+ID59*PricePremMonthly*HQ59</f>
        <v/>
      </c>
      <c r="IK59" s="12">
        <f>IA59*PriceEssAnnual*HQ59+IB59*PricePremAnnual*HQ59</f>
        <v/>
      </c>
      <c r="IL59" s="12">
        <f>IA47*POWER(1-(AnnualChurn*VLOOKUP(HN59,ChurnSeasonTable,4,FALSE)),1)*PriceEssAnnual*HQ59+IA35*POWER(1-(AnnualChurn*VLOOKUP(HN59,ChurnSeasonTable,4,FALSE)),2)*PriceEssAnnual*HQ59+IA23*POWER(1-(AnnualChurn*VLOOKUP(HN59,ChurnSeasonTable,4,FALSE)),3)*PriceEssAnnual*HQ59+IA11*POWER(1-(AnnualChurn*VLOOKUP(HN59,ChurnSeasonTable,4,FALSE)),4)*PriceEssAnnual*HQ59+IB47*POWER(1-(AnnualChurn*VLOOKUP(HN59,ChurnSeasonTable,4,FALSE)),1)*PricePremAnnual*HQ59+IB35*POWER(1-(AnnualChurn*VLOOKUP(HN59,ChurnSeasonTable,4,FALSE)),2)*PricePremAnnual*HQ59+IB23*POWER(1-(AnnualChurn*VLOOKUP(HN59,ChurnSeasonTable,4,FALSE)),3)*PricePremAnnual*HQ59+IB11*POWER(1-(AnnualChurn*VLOOKUP(HN59,ChurnSeasonTable,4,FALSE)),4)*PricePremAnnual*HQ59</f>
        <v/>
      </c>
      <c r="IM59" s="9">
        <f>IJ59+IK59+IL59</f>
        <v/>
      </c>
      <c r="IN59" s="12">
        <f>SUM(IM48:IM59)</f>
        <v/>
      </c>
      <c r="IO59" s="12">
        <f>OR(IO58,IN59&gt;=VATThreshold)</f>
        <v/>
      </c>
      <c r="IP59" s="9">
        <f>IF(IO59,IM59/(1+VATRate),IM59)</f>
        <v/>
      </c>
      <c r="IQ59" s="12">
        <f>IM59-IP59</f>
        <v/>
      </c>
      <c r="IR59" s="12">
        <f>IF(IO59=0,0,IF(HN59=1,SUMPRODUCT(--(($HO$5:$HO59=$HO59-1)*($HN$5:$HN59&gt;=10)*($HN$5:$HN59&lt;=12)),$IQ$5:$IQ59),IF(HN59=4,SUMPRODUCT(--(($HO$5:$HO59=$HO59)*($HN$5:$HN59&gt;=1)*($HN$5:$HN59&lt;=3)),$IQ$5:$IQ59),IF(HN59=7,SUMPRODUCT(--(($HO$5:$HO59=$HO59)*($HN$5:$HN59&gt;=4)*($HN$5:$HN59&lt;=6)),$IQ$5:$IQ59),IF(HN59=10,SUMPRODUCT(--(($HO$5:$HO59=$HO59)*($HN$5:$HN59&gt;=7)*($HN$5:$HN59&lt;=9)),$IQ$5:$IQ59),0)))))</f>
        <v/>
      </c>
      <c r="IS59" s="12">
        <f>IS58+IQ59-IR59</f>
        <v/>
      </c>
      <c r="IT59" s="12">
        <f>IF(ProviderDelay&gt;=1,IP58*ProviderShare,IP59*ProviderShare)</f>
        <v/>
      </c>
      <c r="IU59" s="12">
        <f>IM59*PaymentFee</f>
        <v/>
      </c>
      <c r="IV59" s="12">
        <f>IG59*OpsAI</f>
        <v/>
      </c>
      <c r="IW59" s="12">
        <f>MonthlyFixed</f>
        <v/>
      </c>
      <c r="IX59" s="12">
        <f>HU59*ReferralReward</f>
        <v/>
      </c>
      <c r="IY59" s="12">
        <f>HS59</f>
        <v/>
      </c>
      <c r="IZ59" s="9">
        <f>IP59-IT59-IU59-IV59-IW59-IX59-IY59</f>
        <v/>
      </c>
      <c r="JA59" s="9">
        <f>JA58+IM59-(IT59+IU59+IV59+IW59+IX59+IY59+IR59)</f>
        <v/>
      </c>
      <c r="JB59" s="12">
        <f>IF(IG59&gt;0,IH59/IG59,0)</f>
        <v/>
      </c>
      <c r="JC59" s="11">
        <f>IF(IG58&gt;0,MAX(0,(IG58+HV59-IG59)/IG58),0)</f>
        <v/>
      </c>
      <c r="JE59" s="12" t="n">
        <v>55</v>
      </c>
      <c r="JF59" s="12">
        <f>MOD(JE59-1+LaunchMonth-1,12)+1</f>
        <v/>
      </c>
      <c r="JG59" s="12">
        <f>INT((JE59-1+LaunchMonth-1)/12)+1</f>
        <v/>
      </c>
      <c r="JH59" s="12">
        <f>VLOOKUP(JF59,SeasonTable,2,FALSE)</f>
        <v/>
      </c>
      <c r="JI59" s="12">
        <f>(1+InflationRate)^INT((JE59-1)/12)</f>
        <v/>
      </c>
      <c r="JJ59" s="11">
        <f>'Sens - Churn'!$A$16*VLOOKUP(JF59,ChurnSeasonTable,4,FALSE)</f>
        <v/>
      </c>
      <c r="JK59" s="12">
        <f>MIN(MAX(MktMin19plus,KE58*MktPct19plus),MAX(0,KS58-CashBuffer))</f>
        <v/>
      </c>
      <c r="JL59" s="12">
        <f>IF(JK59&gt;0,MAX(1,ROUND(JK59/CAC*JH59,0)),0)</f>
        <v/>
      </c>
      <c r="JM59" s="12">
        <f>IF(JL59&gt;0,ROUND(JL59*ReferralMix/(1-ReferralMix),0),0)</f>
        <v/>
      </c>
      <c r="JN59" s="12">
        <f>JL59+JM59</f>
        <v/>
      </c>
      <c r="JO59" s="12">
        <f>ROUND(JN59*(1-AnnualMix),0)</f>
        <v/>
      </c>
      <c r="JP59" s="12">
        <f>JN59-JO59</f>
        <v/>
      </c>
      <c r="JQ59" s="12">
        <f>ROUND(JO59*EssentialMix,0)</f>
        <v/>
      </c>
      <c r="JR59" s="12">
        <f>JO59-JQ59</f>
        <v/>
      </c>
      <c r="JS59" s="12">
        <f>ROUND(JP59*EssentialMix,0)</f>
        <v/>
      </c>
      <c r="JT59" s="12">
        <f>JP59-JS59</f>
        <v/>
      </c>
      <c r="JU59" s="12">
        <f>JQ59+JQ58+JQ57+MAX(0,JU58-JQ58-JQ57)*(1-JJ59)</f>
        <v/>
      </c>
      <c r="JV59" s="12">
        <f>JR59+JR58+JR57+MAX(0,JV58-JR58-JR57)*(1-JJ59)</f>
        <v/>
      </c>
      <c r="JW59" s="12">
        <f>JW58+JS59-JS47*(AnnualChurn*VLOOKUP(JF59,ChurnSeasonTable,4,FALSE))*POWER(1-(AnnualChurn*VLOOKUP(JF59,ChurnSeasonTable,4,FALSE)),0)+JS35*(AnnualChurn*VLOOKUP(JF59,ChurnSeasonTable,4,FALSE))*POWER(1-(AnnualChurn*VLOOKUP(JF59,ChurnSeasonTable,4,FALSE)),1)+JS23*(AnnualChurn*VLOOKUP(JF59,ChurnSeasonTable,4,FALSE))*POWER(1-(AnnualChurn*VLOOKUP(JF59,ChurnSeasonTable,4,FALSE)),2)+JS11*(AnnualChurn*VLOOKUP(JF59,ChurnSeasonTable,4,FALSE))*POWER(1-(AnnualChurn*VLOOKUP(JF59,ChurnSeasonTable,4,FALSE)),3)</f>
        <v/>
      </c>
      <c r="JX59" s="12">
        <f>JX58+JT59-JT47*(AnnualChurn*VLOOKUP(JF59,ChurnSeasonTable,4,FALSE))*POWER(1-(AnnualChurn*VLOOKUP(JF59,ChurnSeasonTable,4,FALSE)),0)+JT35*(AnnualChurn*VLOOKUP(JF59,ChurnSeasonTable,4,FALSE))*POWER(1-(AnnualChurn*VLOOKUP(JF59,ChurnSeasonTable,4,FALSE)),1)+JT23*(AnnualChurn*VLOOKUP(JF59,ChurnSeasonTable,4,FALSE))*POWER(1-(AnnualChurn*VLOOKUP(JF59,ChurnSeasonTable,4,FALSE)),2)+JT11*(AnnualChurn*VLOOKUP(JF59,ChurnSeasonTable,4,FALSE))*POWER(1-(AnnualChurn*VLOOKUP(JF59,ChurnSeasonTable,4,FALSE)),3)</f>
        <v/>
      </c>
      <c r="JY59" s="12">
        <f>JU59+JV59+JW59+JX59</f>
        <v/>
      </c>
      <c r="JZ59" s="9">
        <f>JU59*PriceEssMonthly*JI59+JV59*PricePremMonthly*JI59+JW59*PriceEssAnnual*JI59/12+JX59*PricePremAnnual*JI59/12</f>
        <v/>
      </c>
      <c r="KA59" s="9">
        <f>JZ59*12</f>
        <v/>
      </c>
      <c r="KB59" s="12">
        <f>JU59*PriceEssMonthly*JI59+JV59*PricePremMonthly*JI59</f>
        <v/>
      </c>
      <c r="KC59" s="12">
        <f>JS59*PriceEssAnnual*JI59+JT59*PricePremAnnual*JI59</f>
        <v/>
      </c>
      <c r="KD59" s="12">
        <f>JS47*POWER(1-(AnnualChurn*VLOOKUP(JF59,ChurnSeasonTable,4,FALSE)),1)*PriceEssAnnual*JI59+JS35*POWER(1-(AnnualChurn*VLOOKUP(JF59,ChurnSeasonTable,4,FALSE)),2)*PriceEssAnnual*JI59+JS23*POWER(1-(AnnualChurn*VLOOKUP(JF59,ChurnSeasonTable,4,FALSE)),3)*PriceEssAnnual*JI59+JS11*POWER(1-(AnnualChurn*VLOOKUP(JF59,ChurnSeasonTable,4,FALSE)),4)*PriceEssAnnual*JI59+JT47*POWER(1-(AnnualChurn*VLOOKUP(JF59,ChurnSeasonTable,4,FALSE)),1)*PricePremAnnual*JI59+JT35*POWER(1-(AnnualChurn*VLOOKUP(JF59,ChurnSeasonTable,4,FALSE)),2)*PricePremAnnual*JI59+JT23*POWER(1-(AnnualChurn*VLOOKUP(JF59,ChurnSeasonTable,4,FALSE)),3)*PricePremAnnual*JI59+JT11*POWER(1-(AnnualChurn*VLOOKUP(JF59,ChurnSeasonTable,4,FALSE)),4)*PricePremAnnual*JI59</f>
        <v/>
      </c>
      <c r="KE59" s="9">
        <f>KB59+KC59+KD59</f>
        <v/>
      </c>
      <c r="KF59" s="12">
        <f>SUM(KE48:KE59)</f>
        <v/>
      </c>
      <c r="KG59" s="12">
        <f>OR(KG58,KF59&gt;=VATThreshold)</f>
        <v/>
      </c>
      <c r="KH59" s="9">
        <f>IF(KG59,KE59/(1+VATRate),KE59)</f>
        <v/>
      </c>
      <c r="KI59" s="12">
        <f>KE59-KH59</f>
        <v/>
      </c>
      <c r="KJ59" s="12">
        <f>IF(KG59=0,0,IF(JF59=1,SUMPRODUCT(--(($JG$5:$JG59=$JG59-1)*($JF$5:$JF59&gt;=10)*($JF$5:$JF59&lt;=12)),$KI$5:$KI59),IF(JF59=4,SUMPRODUCT(--(($JG$5:$JG59=$JG59)*($JF$5:$JF59&gt;=1)*($JF$5:$JF59&lt;=3)),$KI$5:$KI59),IF(JF59=7,SUMPRODUCT(--(($JG$5:$JG59=$JG59)*($JF$5:$JF59&gt;=4)*($JF$5:$JF59&lt;=6)),$KI$5:$KI59),IF(JF59=10,SUMPRODUCT(--(($JG$5:$JG59=$JG59)*($JF$5:$JF59&gt;=7)*($JF$5:$JF59&lt;=9)),$KI$5:$KI59),0)))))</f>
        <v/>
      </c>
      <c r="KK59" s="12">
        <f>KK58+KI59-KJ59</f>
        <v/>
      </c>
      <c r="KL59" s="12">
        <f>IF(ProviderDelay&gt;=1,KH58*ProviderShare,KH59*ProviderShare)</f>
        <v/>
      </c>
      <c r="KM59" s="12">
        <f>KE59*PaymentFee</f>
        <v/>
      </c>
      <c r="KN59" s="12">
        <f>JY59*OpsAI</f>
        <v/>
      </c>
      <c r="KO59" s="12">
        <f>MonthlyFixed</f>
        <v/>
      </c>
      <c r="KP59" s="12">
        <f>JM59*ReferralReward</f>
        <v/>
      </c>
      <c r="KQ59" s="12">
        <f>JK59</f>
        <v/>
      </c>
      <c r="KR59" s="9">
        <f>KH59-KL59-KM59-KN59-KO59-KP59-KQ59</f>
        <v/>
      </c>
      <c r="KS59" s="9">
        <f>KS58+KE59-(KL59+KM59+KN59+KO59+KP59+KQ59+KJ59)</f>
        <v/>
      </c>
      <c r="KT59" s="12">
        <f>IF(JY59&gt;0,JZ59/JY59,0)</f>
        <v/>
      </c>
      <c r="KU59" s="11">
        <f>IF(JY58&gt;0,MAX(0,(JY58+JN59-JY59)/JY58),0)</f>
        <v/>
      </c>
      <c r="KW59" s="12" t="n">
        <v>55</v>
      </c>
      <c r="KX59" s="12">
        <f>MOD(KW59-1+LaunchMonth-1,12)+1</f>
        <v/>
      </c>
      <c r="KY59" s="12">
        <f>INT((KW59-1+LaunchMonth-1)/12)+1</f>
        <v/>
      </c>
      <c r="KZ59" s="12">
        <f>VLOOKUP(KX59,SeasonTable,2,FALSE)</f>
        <v/>
      </c>
      <c r="LA59" s="12">
        <f>(1+InflationRate)^INT((KW59-1)/12)</f>
        <v/>
      </c>
      <c r="LB59" s="11">
        <f>'Sens - Churn'!$A$17*VLOOKUP(KX59,ChurnSeasonTable,4,FALSE)</f>
        <v/>
      </c>
      <c r="LC59" s="12">
        <f>MIN(MAX(MktMin19plus,LW58*MktPct19plus),MAX(0,MK58-CashBuffer))</f>
        <v/>
      </c>
      <c r="LD59" s="12">
        <f>IF(LC59&gt;0,MAX(1,ROUND(LC59/CAC*KZ59,0)),0)</f>
        <v/>
      </c>
      <c r="LE59" s="12">
        <f>IF(LD59&gt;0,ROUND(LD59*ReferralMix/(1-ReferralMix),0),0)</f>
        <v/>
      </c>
      <c r="LF59" s="12">
        <f>LD59+LE59</f>
        <v/>
      </c>
      <c r="LG59" s="12">
        <f>ROUND(LF59*(1-AnnualMix),0)</f>
        <v/>
      </c>
      <c r="LH59" s="12">
        <f>LF59-LG59</f>
        <v/>
      </c>
      <c r="LI59" s="12">
        <f>ROUND(LG59*EssentialMix,0)</f>
        <v/>
      </c>
      <c r="LJ59" s="12">
        <f>LG59-LI59</f>
        <v/>
      </c>
      <c r="LK59" s="12">
        <f>ROUND(LH59*EssentialMix,0)</f>
        <v/>
      </c>
      <c r="LL59" s="12">
        <f>LH59-LK59</f>
        <v/>
      </c>
      <c r="LM59" s="12">
        <f>LI59+LI58+LI57+MAX(0,LM58-LI58-LI57)*(1-LB59)</f>
        <v/>
      </c>
      <c r="LN59" s="12">
        <f>LJ59+LJ58+LJ57+MAX(0,LN58-LJ58-LJ57)*(1-LB59)</f>
        <v/>
      </c>
      <c r="LO59" s="12">
        <f>LO58+LK59-LK47*(AnnualChurn*VLOOKUP(KX59,ChurnSeasonTable,4,FALSE))*POWER(1-(AnnualChurn*VLOOKUP(KX59,ChurnSeasonTable,4,FALSE)),0)+LK35*(AnnualChurn*VLOOKUP(KX59,ChurnSeasonTable,4,FALSE))*POWER(1-(AnnualChurn*VLOOKUP(KX59,ChurnSeasonTable,4,FALSE)),1)+LK23*(AnnualChurn*VLOOKUP(KX59,ChurnSeasonTable,4,FALSE))*POWER(1-(AnnualChurn*VLOOKUP(KX59,ChurnSeasonTable,4,FALSE)),2)+LK11*(AnnualChurn*VLOOKUP(KX59,ChurnSeasonTable,4,FALSE))*POWER(1-(AnnualChurn*VLOOKUP(KX59,ChurnSeasonTable,4,FALSE)),3)</f>
        <v/>
      </c>
      <c r="LP59" s="12">
        <f>LP58+LL59-LL47*(AnnualChurn*VLOOKUP(KX59,ChurnSeasonTable,4,FALSE))*POWER(1-(AnnualChurn*VLOOKUP(KX59,ChurnSeasonTable,4,FALSE)),0)+LL35*(AnnualChurn*VLOOKUP(KX59,ChurnSeasonTable,4,FALSE))*POWER(1-(AnnualChurn*VLOOKUP(KX59,ChurnSeasonTable,4,FALSE)),1)+LL23*(AnnualChurn*VLOOKUP(KX59,ChurnSeasonTable,4,FALSE))*POWER(1-(AnnualChurn*VLOOKUP(KX59,ChurnSeasonTable,4,FALSE)),2)+LL11*(AnnualChurn*VLOOKUP(KX59,ChurnSeasonTable,4,FALSE))*POWER(1-(AnnualChurn*VLOOKUP(KX59,ChurnSeasonTable,4,FALSE)),3)</f>
        <v/>
      </c>
      <c r="LQ59" s="12">
        <f>LM59+LN59+LO59+LP59</f>
        <v/>
      </c>
      <c r="LR59" s="9">
        <f>LM59*PriceEssMonthly*LA59+LN59*PricePremMonthly*LA59+LO59*PriceEssAnnual*LA59/12+LP59*PricePremAnnual*LA59/12</f>
        <v/>
      </c>
      <c r="LS59" s="9">
        <f>LR59*12</f>
        <v/>
      </c>
      <c r="LT59" s="12">
        <f>LM59*PriceEssMonthly*LA59+LN59*PricePremMonthly*LA59</f>
        <v/>
      </c>
      <c r="LU59" s="12">
        <f>LK59*PriceEssAnnual*LA59+LL59*PricePremAnnual*LA59</f>
        <v/>
      </c>
      <c r="LV59" s="12">
        <f>LK47*POWER(1-(AnnualChurn*VLOOKUP(KX59,ChurnSeasonTable,4,FALSE)),1)*PriceEssAnnual*LA59+LK35*POWER(1-(AnnualChurn*VLOOKUP(KX59,ChurnSeasonTable,4,FALSE)),2)*PriceEssAnnual*LA59+LK23*POWER(1-(AnnualChurn*VLOOKUP(KX59,ChurnSeasonTable,4,FALSE)),3)*PriceEssAnnual*LA59+LK11*POWER(1-(AnnualChurn*VLOOKUP(KX59,ChurnSeasonTable,4,FALSE)),4)*PriceEssAnnual*LA59+LL47*POWER(1-(AnnualChurn*VLOOKUP(KX59,ChurnSeasonTable,4,FALSE)),1)*PricePremAnnual*LA59+LL35*POWER(1-(AnnualChurn*VLOOKUP(KX59,ChurnSeasonTable,4,FALSE)),2)*PricePremAnnual*LA59+LL23*POWER(1-(AnnualChurn*VLOOKUP(KX59,ChurnSeasonTable,4,FALSE)),3)*PricePremAnnual*LA59+LL11*POWER(1-(AnnualChurn*VLOOKUP(KX59,ChurnSeasonTable,4,FALSE)),4)*PricePremAnnual*LA59</f>
        <v/>
      </c>
      <c r="LW59" s="9">
        <f>LT59+LU59+LV59</f>
        <v/>
      </c>
      <c r="LX59" s="12">
        <f>SUM(LW48:LW59)</f>
        <v/>
      </c>
      <c r="LY59" s="12">
        <f>OR(LY58,LX59&gt;=VATThreshold)</f>
        <v/>
      </c>
      <c r="LZ59" s="9">
        <f>IF(LY59,LW59/(1+VATRate),LW59)</f>
        <v/>
      </c>
      <c r="MA59" s="12">
        <f>LW59-LZ59</f>
        <v/>
      </c>
      <c r="MB59" s="12">
        <f>IF(LY59=0,0,IF(KX59=1,SUMPRODUCT(--(($KY$5:$KY59=$KY59-1)*($KX$5:$KX59&gt;=10)*($KX$5:$KX59&lt;=12)),$MA$5:$MA59),IF(KX59=4,SUMPRODUCT(--(($KY$5:$KY59=$KY59)*($KX$5:$KX59&gt;=1)*($KX$5:$KX59&lt;=3)),$MA$5:$MA59),IF(KX59=7,SUMPRODUCT(--(($KY$5:$KY59=$KY59)*($KX$5:$KX59&gt;=4)*($KX$5:$KX59&lt;=6)),$MA$5:$MA59),IF(KX59=10,SUMPRODUCT(--(($KY$5:$KY59=$KY59)*($KX$5:$KX59&gt;=7)*($KX$5:$KX59&lt;=9)),$MA$5:$MA59),0)))))</f>
        <v/>
      </c>
      <c r="MC59" s="12">
        <f>MC58+MA59-MB59</f>
        <v/>
      </c>
      <c r="MD59" s="12">
        <f>IF(ProviderDelay&gt;=1,LZ58*ProviderShare,LZ59*ProviderShare)</f>
        <v/>
      </c>
      <c r="ME59" s="12">
        <f>LW59*PaymentFee</f>
        <v/>
      </c>
      <c r="MF59" s="12">
        <f>LQ59*OpsAI</f>
        <v/>
      </c>
      <c r="MG59" s="12">
        <f>MonthlyFixed</f>
        <v/>
      </c>
      <c r="MH59" s="12">
        <f>LE59*ReferralReward</f>
        <v/>
      </c>
      <c r="MI59" s="12">
        <f>LC59</f>
        <v/>
      </c>
      <c r="MJ59" s="9">
        <f>LZ59-MD59-ME59-MF59-MG59-MH59-MI59</f>
        <v/>
      </c>
      <c r="MK59" s="9">
        <f>MK58+LW59-(MD59+ME59+MF59+MG59+MH59+MI59+MB59)</f>
        <v/>
      </c>
      <c r="ML59" s="12">
        <f>IF(LQ59&gt;0,LR59/LQ59,0)</f>
        <v/>
      </c>
      <c r="MM59" s="11">
        <f>IF(LQ58&gt;0,MAX(0,(LQ58+LF59-LQ59)/LQ58),0)</f>
        <v/>
      </c>
      <c r="MO59" s="12" t="n">
        <v>55</v>
      </c>
      <c r="MP59" s="12">
        <f>MOD(MO59-1+LaunchMonth-1,12)+1</f>
        <v/>
      </c>
      <c r="MQ59" s="12">
        <f>INT((MO59-1+LaunchMonth-1)/12)+1</f>
        <v/>
      </c>
      <c r="MR59" s="12">
        <f>VLOOKUP(MP59,SeasonTable,2,FALSE)</f>
        <v/>
      </c>
      <c r="MS59" s="12">
        <f>(1+InflationRate)^INT((MO59-1)/12)</f>
        <v/>
      </c>
      <c r="MT59" s="11">
        <f>'Sens - Churn'!$A$18*VLOOKUP(MP59,ChurnSeasonTable,4,FALSE)</f>
        <v/>
      </c>
      <c r="MU59" s="12">
        <f>MIN(MAX(MktMin19plus,NO58*MktPct19plus),MAX(0,OC58-CashBuffer))</f>
        <v/>
      </c>
      <c r="MV59" s="12">
        <f>IF(MU59&gt;0,MAX(1,ROUND(MU59/CAC*MR59,0)),0)</f>
        <v/>
      </c>
      <c r="MW59" s="12">
        <f>IF(MV59&gt;0,ROUND(MV59*ReferralMix/(1-ReferralMix),0),0)</f>
        <v/>
      </c>
      <c r="MX59" s="12">
        <f>MV59+MW59</f>
        <v/>
      </c>
      <c r="MY59" s="12">
        <f>ROUND(MX59*(1-AnnualMix),0)</f>
        <v/>
      </c>
      <c r="MZ59" s="12">
        <f>MX59-MY59</f>
        <v/>
      </c>
      <c r="NA59" s="12">
        <f>ROUND(MY59*EssentialMix,0)</f>
        <v/>
      </c>
      <c r="NB59" s="12">
        <f>MY59-NA59</f>
        <v/>
      </c>
      <c r="NC59" s="12">
        <f>ROUND(MZ59*EssentialMix,0)</f>
        <v/>
      </c>
      <c r="ND59" s="12">
        <f>MZ59-NC59</f>
        <v/>
      </c>
      <c r="NE59" s="12">
        <f>NA59+NA58+NA57+MAX(0,NE58-NA58-NA57)*(1-MT59)</f>
        <v/>
      </c>
      <c r="NF59" s="12">
        <f>NB59+NB58+NB57+MAX(0,NF58-NB58-NB57)*(1-MT59)</f>
        <v/>
      </c>
      <c r="NG59" s="12">
        <f>NG58+NC59-NC47*(AnnualChurn*VLOOKUP(MP59,ChurnSeasonTable,4,FALSE))*POWER(1-(AnnualChurn*VLOOKUP(MP59,ChurnSeasonTable,4,FALSE)),0)+NC35*(AnnualChurn*VLOOKUP(MP59,ChurnSeasonTable,4,FALSE))*POWER(1-(AnnualChurn*VLOOKUP(MP59,ChurnSeasonTable,4,FALSE)),1)+NC23*(AnnualChurn*VLOOKUP(MP59,ChurnSeasonTable,4,FALSE))*POWER(1-(AnnualChurn*VLOOKUP(MP59,ChurnSeasonTable,4,FALSE)),2)+NC11*(AnnualChurn*VLOOKUP(MP59,ChurnSeasonTable,4,FALSE))*POWER(1-(AnnualChurn*VLOOKUP(MP59,ChurnSeasonTable,4,FALSE)),3)</f>
        <v/>
      </c>
      <c r="NH59" s="12">
        <f>NH58+ND59-ND47*(AnnualChurn*VLOOKUP(MP59,ChurnSeasonTable,4,FALSE))*POWER(1-(AnnualChurn*VLOOKUP(MP59,ChurnSeasonTable,4,FALSE)),0)+ND35*(AnnualChurn*VLOOKUP(MP59,ChurnSeasonTable,4,FALSE))*POWER(1-(AnnualChurn*VLOOKUP(MP59,ChurnSeasonTable,4,FALSE)),1)+ND23*(AnnualChurn*VLOOKUP(MP59,ChurnSeasonTable,4,FALSE))*POWER(1-(AnnualChurn*VLOOKUP(MP59,ChurnSeasonTable,4,FALSE)),2)+ND11*(AnnualChurn*VLOOKUP(MP59,ChurnSeasonTable,4,FALSE))*POWER(1-(AnnualChurn*VLOOKUP(MP59,ChurnSeasonTable,4,FALSE)),3)</f>
        <v/>
      </c>
      <c r="NI59" s="12">
        <f>NE59+NF59+NG59+NH59</f>
        <v/>
      </c>
      <c r="NJ59" s="9">
        <f>NE59*PriceEssMonthly*MS59+NF59*PricePremMonthly*MS59+NG59*PriceEssAnnual*MS59/12+NH59*PricePremAnnual*MS59/12</f>
        <v/>
      </c>
      <c r="NK59" s="9">
        <f>NJ59*12</f>
        <v/>
      </c>
      <c r="NL59" s="12">
        <f>NE59*PriceEssMonthly*MS59+NF59*PricePremMonthly*MS59</f>
        <v/>
      </c>
      <c r="NM59" s="12">
        <f>NC59*PriceEssAnnual*MS59+ND59*PricePremAnnual*MS59</f>
        <v/>
      </c>
      <c r="NN59" s="12">
        <f>NC47*POWER(1-(AnnualChurn*VLOOKUP(MP59,ChurnSeasonTable,4,FALSE)),1)*PriceEssAnnual*MS59+NC35*POWER(1-(AnnualChurn*VLOOKUP(MP59,ChurnSeasonTable,4,FALSE)),2)*PriceEssAnnual*MS59+NC23*POWER(1-(AnnualChurn*VLOOKUP(MP59,ChurnSeasonTable,4,FALSE)),3)*PriceEssAnnual*MS59+NC11*POWER(1-(AnnualChurn*VLOOKUP(MP59,ChurnSeasonTable,4,FALSE)),4)*PriceEssAnnual*MS59+ND47*POWER(1-(AnnualChurn*VLOOKUP(MP59,ChurnSeasonTable,4,FALSE)),1)*PricePremAnnual*MS59+ND35*POWER(1-(AnnualChurn*VLOOKUP(MP59,ChurnSeasonTable,4,FALSE)),2)*PricePremAnnual*MS59+ND23*POWER(1-(AnnualChurn*VLOOKUP(MP59,ChurnSeasonTable,4,FALSE)),3)*PricePremAnnual*MS59+ND11*POWER(1-(AnnualChurn*VLOOKUP(MP59,ChurnSeasonTable,4,FALSE)),4)*PricePremAnnual*MS59</f>
        <v/>
      </c>
      <c r="NO59" s="9">
        <f>NL59+NM59+NN59</f>
        <v/>
      </c>
      <c r="NP59" s="12">
        <f>SUM(NO48:NO59)</f>
        <v/>
      </c>
      <c r="NQ59" s="12">
        <f>OR(NQ58,NP59&gt;=VATThreshold)</f>
        <v/>
      </c>
      <c r="NR59" s="9">
        <f>IF(NQ59,NO59/(1+VATRate),NO59)</f>
        <v/>
      </c>
      <c r="NS59" s="12">
        <f>NO59-NR59</f>
        <v/>
      </c>
      <c r="NT59" s="12">
        <f>IF(NQ59=0,0,IF(MP59=1,SUMPRODUCT(--(($MQ$5:$MQ59=$MQ59-1)*($MP$5:$MP59&gt;=10)*($MP$5:$MP59&lt;=12)),$NS$5:$NS59),IF(MP59=4,SUMPRODUCT(--(($MQ$5:$MQ59=$MQ59)*($MP$5:$MP59&gt;=1)*($MP$5:$MP59&lt;=3)),$NS$5:$NS59),IF(MP59=7,SUMPRODUCT(--(($MQ$5:$MQ59=$MQ59)*($MP$5:$MP59&gt;=4)*($MP$5:$MP59&lt;=6)),$NS$5:$NS59),IF(MP59=10,SUMPRODUCT(--(($MQ$5:$MQ59=$MQ59)*($MP$5:$MP59&gt;=7)*($MP$5:$MP59&lt;=9)),$NS$5:$NS59),0)))))</f>
        <v/>
      </c>
      <c r="NU59" s="12">
        <f>NU58+NS59-NT59</f>
        <v/>
      </c>
      <c r="NV59" s="12">
        <f>IF(ProviderDelay&gt;=1,NR58*ProviderShare,NR59*ProviderShare)</f>
        <v/>
      </c>
      <c r="NW59" s="12">
        <f>NO59*PaymentFee</f>
        <v/>
      </c>
      <c r="NX59" s="12">
        <f>NI59*OpsAI</f>
        <v/>
      </c>
      <c r="NY59" s="12">
        <f>MonthlyFixed</f>
        <v/>
      </c>
      <c r="NZ59" s="12">
        <f>MW59*ReferralReward</f>
        <v/>
      </c>
      <c r="OA59" s="12">
        <f>MU59</f>
        <v/>
      </c>
      <c r="OB59" s="9">
        <f>NR59-NV59-NW59-NX59-NY59-NZ59-OA59</f>
        <v/>
      </c>
      <c r="OC59" s="9">
        <f>OC58+NO59-(NV59+NW59+NX59+NY59+NZ59+OA59+NT59)</f>
        <v/>
      </c>
      <c r="OD59" s="12">
        <f>IF(NI59&gt;0,NJ59/NI59,0)</f>
        <v/>
      </c>
      <c r="OE59" s="11">
        <f>IF(NI58&gt;0,MAX(0,(NI58+MX59-NI59)/NI58),0)</f>
        <v/>
      </c>
      <c r="OG59" s="12" t="n">
        <v>55</v>
      </c>
      <c r="OH59" s="12">
        <f>MOD(OG59-1+LaunchMonth-1,12)+1</f>
        <v/>
      </c>
      <c r="OI59" s="12">
        <f>INT((OG59-1+LaunchMonth-1)/12)+1</f>
        <v/>
      </c>
      <c r="OJ59" s="12">
        <f>VLOOKUP(OH59,SeasonTable,2,FALSE)</f>
        <v/>
      </c>
      <c r="OK59" s="12">
        <f>(1+InflationRate)^INT((OG59-1)/12)</f>
        <v/>
      </c>
      <c r="OL59" s="11">
        <f>'Sens - Churn'!$A$19*VLOOKUP(OH59,ChurnSeasonTable,4,FALSE)</f>
        <v/>
      </c>
      <c r="OM59" s="12">
        <f>MIN(MAX(MktMin19plus,PG58*MktPct19plus),MAX(0,PU58-CashBuffer))</f>
        <v/>
      </c>
      <c r="ON59" s="12">
        <f>IF(OM59&gt;0,MAX(1,ROUND(OM59/CAC*OJ59,0)),0)</f>
        <v/>
      </c>
      <c r="OO59" s="12">
        <f>IF(ON59&gt;0,ROUND(ON59*ReferralMix/(1-ReferralMix),0),0)</f>
        <v/>
      </c>
      <c r="OP59" s="12">
        <f>ON59+OO59</f>
        <v/>
      </c>
      <c r="OQ59" s="12">
        <f>ROUND(OP59*(1-AnnualMix),0)</f>
        <v/>
      </c>
      <c r="OR59" s="12">
        <f>OP59-OQ59</f>
        <v/>
      </c>
      <c r="OS59" s="12">
        <f>ROUND(OQ59*EssentialMix,0)</f>
        <v/>
      </c>
      <c r="OT59" s="12">
        <f>OQ59-OS59</f>
        <v/>
      </c>
      <c r="OU59" s="12">
        <f>ROUND(OR59*EssentialMix,0)</f>
        <v/>
      </c>
      <c r="OV59" s="12">
        <f>OR59-OU59</f>
        <v/>
      </c>
      <c r="OW59" s="12">
        <f>OS59+OS58+OS57+MAX(0,OW58-OS58-OS57)*(1-OL59)</f>
        <v/>
      </c>
      <c r="OX59" s="12">
        <f>OT59+OT58+OT57+MAX(0,OX58-OT58-OT57)*(1-OL59)</f>
        <v/>
      </c>
      <c r="OY59" s="12">
        <f>OY58+OU59-OU47*(AnnualChurn*VLOOKUP(OH59,ChurnSeasonTable,4,FALSE))*POWER(1-(AnnualChurn*VLOOKUP(OH59,ChurnSeasonTable,4,FALSE)),0)+OU35*(AnnualChurn*VLOOKUP(OH59,ChurnSeasonTable,4,FALSE))*POWER(1-(AnnualChurn*VLOOKUP(OH59,ChurnSeasonTable,4,FALSE)),1)+OU23*(AnnualChurn*VLOOKUP(OH59,ChurnSeasonTable,4,FALSE))*POWER(1-(AnnualChurn*VLOOKUP(OH59,ChurnSeasonTable,4,FALSE)),2)+OU11*(AnnualChurn*VLOOKUP(OH59,ChurnSeasonTable,4,FALSE))*POWER(1-(AnnualChurn*VLOOKUP(OH59,ChurnSeasonTable,4,FALSE)),3)</f>
        <v/>
      </c>
      <c r="OZ59" s="12">
        <f>OZ58+OV59-OV47*(AnnualChurn*VLOOKUP(OH59,ChurnSeasonTable,4,FALSE))*POWER(1-(AnnualChurn*VLOOKUP(OH59,ChurnSeasonTable,4,FALSE)),0)+OV35*(AnnualChurn*VLOOKUP(OH59,ChurnSeasonTable,4,FALSE))*POWER(1-(AnnualChurn*VLOOKUP(OH59,ChurnSeasonTable,4,FALSE)),1)+OV23*(AnnualChurn*VLOOKUP(OH59,ChurnSeasonTable,4,FALSE))*POWER(1-(AnnualChurn*VLOOKUP(OH59,ChurnSeasonTable,4,FALSE)),2)+OV11*(AnnualChurn*VLOOKUP(OH59,ChurnSeasonTable,4,FALSE))*POWER(1-(AnnualChurn*VLOOKUP(OH59,ChurnSeasonTable,4,FALSE)),3)</f>
        <v/>
      </c>
      <c r="PA59" s="12">
        <f>OW59+OX59+OY59+OZ59</f>
        <v/>
      </c>
      <c r="PB59" s="9">
        <f>OW59*PriceEssMonthly*OK59+OX59*PricePremMonthly*OK59+OY59*PriceEssAnnual*OK59/12+OZ59*PricePremAnnual*OK59/12</f>
        <v/>
      </c>
      <c r="PC59" s="9">
        <f>PB59*12</f>
        <v/>
      </c>
      <c r="PD59" s="12">
        <f>OW59*PriceEssMonthly*OK59+OX59*PricePremMonthly*OK59</f>
        <v/>
      </c>
      <c r="PE59" s="12">
        <f>OU59*PriceEssAnnual*OK59+OV59*PricePremAnnual*OK59</f>
        <v/>
      </c>
      <c r="PF59" s="12">
        <f>OU47*POWER(1-(AnnualChurn*VLOOKUP(OH59,ChurnSeasonTable,4,FALSE)),1)*PriceEssAnnual*OK59+OU35*POWER(1-(AnnualChurn*VLOOKUP(OH59,ChurnSeasonTable,4,FALSE)),2)*PriceEssAnnual*OK59+OU23*POWER(1-(AnnualChurn*VLOOKUP(OH59,ChurnSeasonTable,4,FALSE)),3)*PriceEssAnnual*OK59+OU11*POWER(1-(AnnualChurn*VLOOKUP(OH59,ChurnSeasonTable,4,FALSE)),4)*PriceEssAnnual*OK59+OV47*POWER(1-(AnnualChurn*VLOOKUP(OH59,ChurnSeasonTable,4,FALSE)),1)*PricePremAnnual*OK59+OV35*POWER(1-(AnnualChurn*VLOOKUP(OH59,ChurnSeasonTable,4,FALSE)),2)*PricePremAnnual*OK59+OV23*POWER(1-(AnnualChurn*VLOOKUP(OH59,ChurnSeasonTable,4,FALSE)),3)*PricePremAnnual*OK59+OV11*POWER(1-(AnnualChurn*VLOOKUP(OH59,ChurnSeasonTable,4,FALSE)),4)*PricePremAnnual*OK59</f>
        <v/>
      </c>
      <c r="PG59" s="9">
        <f>PD59+PE59+PF59</f>
        <v/>
      </c>
      <c r="PH59" s="12">
        <f>SUM(PG48:PG59)</f>
        <v/>
      </c>
      <c r="PI59" s="12">
        <f>OR(PI58,PH59&gt;=VATThreshold)</f>
        <v/>
      </c>
      <c r="PJ59" s="9">
        <f>IF(PI59,PG59/(1+VATRate),PG59)</f>
        <v/>
      </c>
      <c r="PK59" s="12">
        <f>PG59-PJ59</f>
        <v/>
      </c>
      <c r="PL59" s="12">
        <f>IF(PI59=0,0,IF(OH59=1,SUMPRODUCT(--(($OI$5:$OI59=$OI59-1)*($OH$5:$OH59&gt;=10)*($OH$5:$OH59&lt;=12)),$PK$5:$PK59),IF(OH59=4,SUMPRODUCT(--(($OI$5:$OI59=$OI59)*($OH$5:$OH59&gt;=1)*($OH$5:$OH59&lt;=3)),$PK$5:$PK59),IF(OH59=7,SUMPRODUCT(--(($OI$5:$OI59=$OI59)*($OH$5:$OH59&gt;=4)*($OH$5:$OH59&lt;=6)),$PK$5:$PK59),IF(OH59=10,SUMPRODUCT(--(($OI$5:$OI59=$OI59)*($OH$5:$OH59&gt;=7)*($OH$5:$OH59&lt;=9)),$PK$5:$PK59),0)))))</f>
        <v/>
      </c>
      <c r="PM59" s="12">
        <f>PM58+PK59-PL59</f>
        <v/>
      </c>
      <c r="PN59" s="12">
        <f>IF(ProviderDelay&gt;=1,PJ58*ProviderShare,PJ59*ProviderShare)</f>
        <v/>
      </c>
      <c r="PO59" s="12">
        <f>PG59*PaymentFee</f>
        <v/>
      </c>
      <c r="PP59" s="12">
        <f>PA59*OpsAI</f>
        <v/>
      </c>
      <c r="PQ59" s="12">
        <f>MonthlyFixed</f>
        <v/>
      </c>
      <c r="PR59" s="12">
        <f>OO59*ReferralReward</f>
        <v/>
      </c>
      <c r="PS59" s="12">
        <f>OM59</f>
        <v/>
      </c>
      <c r="PT59" s="9">
        <f>PJ59-PN59-PO59-PP59-PQ59-PR59-PS59</f>
        <v/>
      </c>
      <c r="PU59" s="9">
        <f>PU58+PG59-(PN59+PO59+PP59+PQ59+PR59+PS59+PL59)</f>
        <v/>
      </c>
      <c r="PV59" s="12">
        <f>IF(PA59&gt;0,PB59/PA59,0)</f>
        <v/>
      </c>
      <c r="PW59" s="11">
        <f>IF(PA58&gt;0,MAX(0,(PA58+OP59-PA59)/PA58),0)</f>
        <v/>
      </c>
      <c r="PY59" s="12" t="n">
        <v>55</v>
      </c>
      <c r="PZ59" s="12">
        <f>MOD(PY59-1+LaunchMonth-1,12)+1</f>
        <v/>
      </c>
      <c r="QA59" s="12">
        <f>INT((PY59-1+LaunchMonth-1)/12)+1</f>
        <v/>
      </c>
      <c r="QB59" s="12">
        <f>VLOOKUP(PZ59,SeasonTable,2,FALSE)</f>
        <v/>
      </c>
      <c r="QC59" s="12">
        <f>(1+InflationRate)^INT((PY59-1)/12)</f>
        <v/>
      </c>
      <c r="QD59" s="11">
        <f>'Sens - Churn'!$A$20*VLOOKUP(PZ59,ChurnSeasonTable,4,FALSE)</f>
        <v/>
      </c>
      <c r="QE59" s="12">
        <f>MIN(MAX(MktMin19plus,QY58*MktPct19plus),MAX(0,RM58-CashBuffer))</f>
        <v/>
      </c>
      <c r="QF59" s="12">
        <f>IF(QE59&gt;0,MAX(1,ROUND(QE59/CAC*QB59,0)),0)</f>
        <v/>
      </c>
      <c r="QG59" s="12">
        <f>IF(QF59&gt;0,ROUND(QF59*ReferralMix/(1-ReferralMix),0),0)</f>
        <v/>
      </c>
      <c r="QH59" s="12">
        <f>QF59+QG59</f>
        <v/>
      </c>
      <c r="QI59" s="12">
        <f>ROUND(QH59*(1-AnnualMix),0)</f>
        <v/>
      </c>
      <c r="QJ59" s="12">
        <f>QH59-QI59</f>
        <v/>
      </c>
      <c r="QK59" s="12">
        <f>ROUND(QI59*EssentialMix,0)</f>
        <v/>
      </c>
      <c r="QL59" s="12">
        <f>QI59-QK59</f>
        <v/>
      </c>
      <c r="QM59" s="12">
        <f>ROUND(QJ59*EssentialMix,0)</f>
        <v/>
      </c>
      <c r="QN59" s="12">
        <f>QJ59-QM59</f>
        <v/>
      </c>
      <c r="QO59" s="12">
        <f>QK59+QK58+QK57+MAX(0,QO58-QK58-QK57)*(1-QD59)</f>
        <v/>
      </c>
      <c r="QP59" s="12">
        <f>QL59+QL58+QL57+MAX(0,QP58-QL58-QL57)*(1-QD59)</f>
        <v/>
      </c>
      <c r="QQ59" s="12">
        <f>QQ58+QM59-QM47*(AnnualChurn*VLOOKUP(PZ59,ChurnSeasonTable,4,FALSE))*POWER(1-(AnnualChurn*VLOOKUP(PZ59,ChurnSeasonTable,4,FALSE)),0)+QM35*(AnnualChurn*VLOOKUP(PZ59,ChurnSeasonTable,4,FALSE))*POWER(1-(AnnualChurn*VLOOKUP(PZ59,ChurnSeasonTable,4,FALSE)),1)+QM23*(AnnualChurn*VLOOKUP(PZ59,ChurnSeasonTable,4,FALSE))*POWER(1-(AnnualChurn*VLOOKUP(PZ59,ChurnSeasonTable,4,FALSE)),2)+QM11*(AnnualChurn*VLOOKUP(PZ59,ChurnSeasonTable,4,FALSE))*POWER(1-(AnnualChurn*VLOOKUP(PZ59,ChurnSeasonTable,4,FALSE)),3)</f>
        <v/>
      </c>
      <c r="QR59" s="12">
        <f>QR58+QN59-QN47*(AnnualChurn*VLOOKUP(PZ59,ChurnSeasonTable,4,FALSE))*POWER(1-(AnnualChurn*VLOOKUP(PZ59,ChurnSeasonTable,4,FALSE)),0)+QN35*(AnnualChurn*VLOOKUP(PZ59,ChurnSeasonTable,4,FALSE))*POWER(1-(AnnualChurn*VLOOKUP(PZ59,ChurnSeasonTable,4,FALSE)),1)+QN23*(AnnualChurn*VLOOKUP(PZ59,ChurnSeasonTable,4,FALSE))*POWER(1-(AnnualChurn*VLOOKUP(PZ59,ChurnSeasonTable,4,FALSE)),2)+QN11*(AnnualChurn*VLOOKUP(PZ59,ChurnSeasonTable,4,FALSE))*POWER(1-(AnnualChurn*VLOOKUP(PZ59,ChurnSeasonTable,4,FALSE)),3)</f>
        <v/>
      </c>
      <c r="QS59" s="12">
        <f>QO59+QP59+QQ59+QR59</f>
        <v/>
      </c>
      <c r="QT59" s="9">
        <f>QO59*PriceEssMonthly*QC59+QP59*PricePremMonthly*QC59+QQ59*PriceEssAnnual*QC59/12+QR59*PricePremAnnual*QC59/12</f>
        <v/>
      </c>
      <c r="QU59" s="9">
        <f>QT59*12</f>
        <v/>
      </c>
      <c r="QV59" s="12">
        <f>QO59*PriceEssMonthly*QC59+QP59*PricePremMonthly*QC59</f>
        <v/>
      </c>
      <c r="QW59" s="12">
        <f>QM59*PriceEssAnnual*QC59+QN59*PricePremAnnual*QC59</f>
        <v/>
      </c>
      <c r="QX59" s="12">
        <f>QM47*POWER(1-(AnnualChurn*VLOOKUP(PZ59,ChurnSeasonTable,4,FALSE)),1)*PriceEssAnnual*QC59+QM35*POWER(1-(AnnualChurn*VLOOKUP(PZ59,ChurnSeasonTable,4,FALSE)),2)*PriceEssAnnual*QC59+QM23*POWER(1-(AnnualChurn*VLOOKUP(PZ59,ChurnSeasonTable,4,FALSE)),3)*PriceEssAnnual*QC59+QM11*POWER(1-(AnnualChurn*VLOOKUP(PZ59,ChurnSeasonTable,4,FALSE)),4)*PriceEssAnnual*QC59+QN47*POWER(1-(AnnualChurn*VLOOKUP(PZ59,ChurnSeasonTable,4,FALSE)),1)*PricePremAnnual*QC59+QN35*POWER(1-(AnnualChurn*VLOOKUP(PZ59,ChurnSeasonTable,4,FALSE)),2)*PricePremAnnual*QC59+QN23*POWER(1-(AnnualChurn*VLOOKUP(PZ59,ChurnSeasonTable,4,FALSE)),3)*PricePremAnnual*QC59+QN11*POWER(1-(AnnualChurn*VLOOKUP(PZ59,ChurnSeasonTable,4,FALSE)),4)*PricePremAnnual*QC59</f>
        <v/>
      </c>
      <c r="QY59" s="9">
        <f>QV59+QW59+QX59</f>
        <v/>
      </c>
      <c r="QZ59" s="12">
        <f>SUM(QY48:QY59)</f>
        <v/>
      </c>
      <c r="RA59" s="12">
        <f>OR(RA58,QZ59&gt;=VATThreshold)</f>
        <v/>
      </c>
      <c r="RB59" s="9">
        <f>IF(RA59,QY59/(1+VATRate),QY59)</f>
        <v/>
      </c>
      <c r="RC59" s="12">
        <f>QY59-RB59</f>
        <v/>
      </c>
      <c r="RD59" s="12">
        <f>IF(RA59=0,0,IF(PZ59=1,SUMPRODUCT(--(($QA$5:$QA59=$QA59-1)*($PZ$5:$PZ59&gt;=10)*($PZ$5:$PZ59&lt;=12)),$RC$5:$RC59),IF(PZ59=4,SUMPRODUCT(--(($QA$5:$QA59=$QA59)*($PZ$5:$PZ59&gt;=1)*($PZ$5:$PZ59&lt;=3)),$RC$5:$RC59),IF(PZ59=7,SUMPRODUCT(--(($QA$5:$QA59=$QA59)*($PZ$5:$PZ59&gt;=4)*($PZ$5:$PZ59&lt;=6)),$RC$5:$RC59),IF(PZ59=10,SUMPRODUCT(--(($QA$5:$QA59=$QA59)*($PZ$5:$PZ59&gt;=7)*($PZ$5:$PZ59&lt;=9)),$RC$5:$RC59),0)))))</f>
        <v/>
      </c>
      <c r="RE59" s="12">
        <f>RE58+RC59-RD59</f>
        <v/>
      </c>
      <c r="RF59" s="12">
        <f>IF(ProviderDelay&gt;=1,RB58*ProviderShare,RB59*ProviderShare)</f>
        <v/>
      </c>
      <c r="RG59" s="12">
        <f>QY59*PaymentFee</f>
        <v/>
      </c>
      <c r="RH59" s="12">
        <f>QS59*OpsAI</f>
        <v/>
      </c>
      <c r="RI59" s="12">
        <f>MonthlyFixed</f>
        <v/>
      </c>
      <c r="RJ59" s="12">
        <f>QG59*ReferralReward</f>
        <v/>
      </c>
      <c r="RK59" s="12">
        <f>QE59</f>
        <v/>
      </c>
      <c r="RL59" s="9">
        <f>RB59-RF59-RG59-RH59-RI59-RJ59-RK59</f>
        <v/>
      </c>
      <c r="RM59" s="9">
        <f>RM58+QY59-(RF59+RG59+RH59+RI59+RJ59+RK59+RD59)</f>
        <v/>
      </c>
      <c r="RN59" s="12">
        <f>IF(QS59&gt;0,QT59/QS59,0)</f>
        <v/>
      </c>
      <c r="RO59" s="11">
        <f>IF(QS58&gt;0,MAX(0,(QS58+QH59-QS59)/QS58),0)</f>
        <v/>
      </c>
      <c r="RQ59" s="12" t="n">
        <v>55</v>
      </c>
      <c r="RR59" s="12">
        <f>MOD(RQ59-1+LaunchMonth-1,12)+1</f>
        <v/>
      </c>
      <c r="RS59" s="12">
        <f>INT((RQ59-1+LaunchMonth-1)/12)+1</f>
        <v/>
      </c>
      <c r="RT59" s="12">
        <f>VLOOKUP(RR59,SeasonTable,2,FALSE)</f>
        <v/>
      </c>
      <c r="RU59" s="12">
        <f>(1+InflationRate)^INT((RQ59-1)/12)</f>
        <v/>
      </c>
      <c r="RV59" s="11">
        <f>'Sens - Churn'!$A$21*VLOOKUP(RR59,ChurnSeasonTable,4,FALSE)</f>
        <v/>
      </c>
      <c r="RW59" s="12">
        <f>MIN(MAX(MktMin19plus,SQ58*MktPct19plus),MAX(0,TE58-CashBuffer))</f>
        <v/>
      </c>
      <c r="RX59" s="12">
        <f>IF(RW59&gt;0,MAX(1,ROUND(RW59/CAC*RT59,0)),0)</f>
        <v/>
      </c>
      <c r="RY59" s="12">
        <f>IF(RX59&gt;0,ROUND(RX59*ReferralMix/(1-ReferralMix),0),0)</f>
        <v/>
      </c>
      <c r="RZ59" s="12">
        <f>RX59+RY59</f>
        <v/>
      </c>
      <c r="SA59" s="12">
        <f>ROUND(RZ59*(1-AnnualMix),0)</f>
        <v/>
      </c>
      <c r="SB59" s="12">
        <f>RZ59-SA59</f>
        <v/>
      </c>
      <c r="SC59" s="12">
        <f>ROUND(SA59*EssentialMix,0)</f>
        <v/>
      </c>
      <c r="SD59" s="12">
        <f>SA59-SC59</f>
        <v/>
      </c>
      <c r="SE59" s="12">
        <f>ROUND(SB59*EssentialMix,0)</f>
        <v/>
      </c>
      <c r="SF59" s="12">
        <f>SB59-SE59</f>
        <v/>
      </c>
      <c r="SG59" s="12">
        <f>SC59+SC58+SC57+MAX(0,SG58-SC58-SC57)*(1-RV59)</f>
        <v/>
      </c>
      <c r="SH59" s="12">
        <f>SD59+SD58+SD57+MAX(0,SH58-SD58-SD57)*(1-RV59)</f>
        <v/>
      </c>
      <c r="SI59" s="12">
        <f>SI58+SE59-SE47*(AnnualChurn*VLOOKUP(RR59,ChurnSeasonTable,4,FALSE))*POWER(1-(AnnualChurn*VLOOKUP(RR59,ChurnSeasonTable,4,FALSE)),0)+SE35*(AnnualChurn*VLOOKUP(RR59,ChurnSeasonTable,4,FALSE))*POWER(1-(AnnualChurn*VLOOKUP(RR59,ChurnSeasonTable,4,FALSE)),1)+SE23*(AnnualChurn*VLOOKUP(RR59,ChurnSeasonTable,4,FALSE))*POWER(1-(AnnualChurn*VLOOKUP(RR59,ChurnSeasonTable,4,FALSE)),2)+SE11*(AnnualChurn*VLOOKUP(RR59,ChurnSeasonTable,4,FALSE))*POWER(1-(AnnualChurn*VLOOKUP(RR59,ChurnSeasonTable,4,FALSE)),3)</f>
        <v/>
      </c>
      <c r="SJ59" s="12">
        <f>SJ58+SF59-SF47*(AnnualChurn*VLOOKUP(RR59,ChurnSeasonTable,4,FALSE))*POWER(1-(AnnualChurn*VLOOKUP(RR59,ChurnSeasonTable,4,FALSE)),0)+SF35*(AnnualChurn*VLOOKUP(RR59,ChurnSeasonTable,4,FALSE))*POWER(1-(AnnualChurn*VLOOKUP(RR59,ChurnSeasonTable,4,FALSE)),1)+SF23*(AnnualChurn*VLOOKUP(RR59,ChurnSeasonTable,4,FALSE))*POWER(1-(AnnualChurn*VLOOKUP(RR59,ChurnSeasonTable,4,FALSE)),2)+SF11*(AnnualChurn*VLOOKUP(RR59,ChurnSeasonTable,4,FALSE))*POWER(1-(AnnualChurn*VLOOKUP(RR59,ChurnSeasonTable,4,FALSE)),3)</f>
        <v/>
      </c>
      <c r="SK59" s="12">
        <f>SG59+SH59+SI59+SJ59</f>
        <v/>
      </c>
      <c r="SL59" s="9">
        <f>SG59*PriceEssMonthly*RU59+SH59*PricePremMonthly*RU59+SI59*PriceEssAnnual*RU59/12+SJ59*PricePremAnnual*RU59/12</f>
        <v/>
      </c>
      <c r="SM59" s="9">
        <f>SL59*12</f>
        <v/>
      </c>
      <c r="SN59" s="12">
        <f>SG59*PriceEssMonthly*RU59+SH59*PricePremMonthly*RU59</f>
        <v/>
      </c>
      <c r="SO59" s="12">
        <f>SE59*PriceEssAnnual*RU59+SF59*PricePremAnnual*RU59</f>
        <v/>
      </c>
      <c r="SP59" s="12">
        <f>SE47*POWER(1-(AnnualChurn*VLOOKUP(RR59,ChurnSeasonTable,4,FALSE)),1)*PriceEssAnnual*RU59+SE35*POWER(1-(AnnualChurn*VLOOKUP(RR59,ChurnSeasonTable,4,FALSE)),2)*PriceEssAnnual*RU59+SE23*POWER(1-(AnnualChurn*VLOOKUP(RR59,ChurnSeasonTable,4,FALSE)),3)*PriceEssAnnual*RU59+SE11*POWER(1-(AnnualChurn*VLOOKUP(RR59,ChurnSeasonTable,4,FALSE)),4)*PriceEssAnnual*RU59+SF47*POWER(1-(AnnualChurn*VLOOKUP(RR59,ChurnSeasonTable,4,FALSE)),1)*PricePremAnnual*RU59+SF35*POWER(1-(AnnualChurn*VLOOKUP(RR59,ChurnSeasonTable,4,FALSE)),2)*PricePremAnnual*RU59+SF23*POWER(1-(AnnualChurn*VLOOKUP(RR59,ChurnSeasonTable,4,FALSE)),3)*PricePremAnnual*RU59+SF11*POWER(1-(AnnualChurn*VLOOKUP(RR59,ChurnSeasonTable,4,FALSE)),4)*PricePremAnnual*RU59</f>
        <v/>
      </c>
      <c r="SQ59" s="9">
        <f>SN59+SO59+SP59</f>
        <v/>
      </c>
      <c r="SR59" s="12">
        <f>SUM(SQ48:SQ59)</f>
        <v/>
      </c>
      <c r="SS59" s="12">
        <f>OR(SS58,SR59&gt;=VATThreshold)</f>
        <v/>
      </c>
      <c r="ST59" s="9">
        <f>IF(SS59,SQ59/(1+VATRate),SQ59)</f>
        <v/>
      </c>
      <c r="SU59" s="12">
        <f>SQ59-ST59</f>
        <v/>
      </c>
      <c r="SV59" s="12">
        <f>IF(SS59=0,0,IF(RR59=1,SUMPRODUCT(--(($RS$5:$RS59=$RS59-1)*($RR$5:$RR59&gt;=10)*($RR$5:$RR59&lt;=12)),$SU$5:$SU59),IF(RR59=4,SUMPRODUCT(--(($RS$5:$RS59=$RS59)*($RR$5:$RR59&gt;=1)*($RR$5:$RR59&lt;=3)),$SU$5:$SU59),IF(RR59=7,SUMPRODUCT(--(($RS$5:$RS59=$RS59)*($RR$5:$RR59&gt;=4)*($RR$5:$RR59&lt;=6)),$SU$5:$SU59),IF(RR59=10,SUMPRODUCT(--(($RS$5:$RS59=$RS59)*($RR$5:$RR59&gt;=7)*($RR$5:$RR59&lt;=9)),$SU$5:$SU59),0)))))</f>
        <v/>
      </c>
      <c r="SW59" s="12">
        <f>SW58+SU59-SV59</f>
        <v/>
      </c>
      <c r="SX59" s="12">
        <f>IF(ProviderDelay&gt;=1,ST58*ProviderShare,ST59*ProviderShare)</f>
        <v/>
      </c>
      <c r="SY59" s="12">
        <f>SQ59*PaymentFee</f>
        <v/>
      </c>
      <c r="SZ59" s="12">
        <f>SK59*OpsAI</f>
        <v/>
      </c>
      <c r="TA59" s="12">
        <f>MonthlyFixed</f>
        <v/>
      </c>
      <c r="TB59" s="12">
        <f>RY59*ReferralReward</f>
        <v/>
      </c>
      <c r="TC59" s="12">
        <f>RW59</f>
        <v/>
      </c>
      <c r="TD59" s="9">
        <f>ST59-SX59-SY59-SZ59-TA59-TB59-TC59</f>
        <v/>
      </c>
      <c r="TE59" s="9">
        <f>TE58+SQ59-(SX59+SY59+SZ59+TA59+TB59+TC59+SV59)</f>
        <v/>
      </c>
      <c r="TF59" s="12">
        <f>IF(SK59&gt;0,SL59/SK59,0)</f>
        <v/>
      </c>
      <c r="TG59" s="11">
        <f>IF(SK58&gt;0,MAX(0,(SK58+RZ59-SK59)/SK58),0)</f>
        <v/>
      </c>
      <c r="TI59" s="12" t="n">
        <v>55</v>
      </c>
      <c r="TJ59" s="12">
        <f>MOD(TI59-1+LaunchMonth-1,12)+1</f>
        <v/>
      </c>
      <c r="TK59" s="12">
        <f>INT((TI59-1+LaunchMonth-1)/12)+1</f>
        <v/>
      </c>
      <c r="TL59" s="12">
        <f>VLOOKUP(TJ59,SeasonTable,2,FALSE)</f>
        <v/>
      </c>
      <c r="TM59" s="12">
        <f>(1+InflationRate)^INT((TI59-1)/12)</f>
        <v/>
      </c>
      <c r="TN59" s="11">
        <f>MonthlyChurn*VLOOKUP(TJ59,ChurnSeasonTable,4,FALSE)</f>
        <v/>
      </c>
      <c r="TO59" s="12">
        <f>MIN(MAX(MktMin19plus,UI58*MktPct19plus),MAX(0,UW58-CashBuffer))</f>
        <v/>
      </c>
      <c r="TP59" s="12">
        <f>IF(TO59&gt;0,MAX(1,ROUND(TO59/CAC*TL59,0)),0)</f>
        <v/>
      </c>
      <c r="TQ59" s="12">
        <f>IF(TP59&gt;0,ROUND(TP59*ReferralMix/(1-ReferralMix),0),0)</f>
        <v/>
      </c>
      <c r="TR59" s="12">
        <f>TP59+TQ59</f>
        <v/>
      </c>
      <c r="TS59" s="12">
        <f>ROUND(TR59*(1-'Sens - Annual Mix'!$A$9),0)</f>
        <v/>
      </c>
      <c r="TT59" s="12">
        <f>TR59-TS59</f>
        <v/>
      </c>
      <c r="TU59" s="12">
        <f>ROUND(TS59*EssentialMix,0)</f>
        <v/>
      </c>
      <c r="TV59" s="12">
        <f>TS59-TU59</f>
        <v/>
      </c>
      <c r="TW59" s="12">
        <f>ROUND(TT59*EssentialMix,0)</f>
        <v/>
      </c>
      <c r="TX59" s="12">
        <f>TT59-TW59</f>
        <v/>
      </c>
      <c r="TY59" s="12">
        <f>TU59+TU58+TU57+MAX(0,TY58-TU58-TU57)*(1-TN59)</f>
        <v/>
      </c>
      <c r="TZ59" s="12">
        <f>TV59+TV58+TV57+MAX(0,TZ58-TV58-TV57)*(1-TN59)</f>
        <v/>
      </c>
      <c r="UA59" s="12">
        <f>UA58+TW59-TW47*(AnnualChurn*VLOOKUP(TJ59,ChurnSeasonTable,4,FALSE))*POWER(1-(AnnualChurn*VLOOKUP(TJ59,ChurnSeasonTable,4,FALSE)),0)+TW35*(AnnualChurn*VLOOKUP(TJ59,ChurnSeasonTable,4,FALSE))*POWER(1-(AnnualChurn*VLOOKUP(TJ59,ChurnSeasonTable,4,FALSE)),1)+TW23*(AnnualChurn*VLOOKUP(TJ59,ChurnSeasonTable,4,FALSE))*POWER(1-(AnnualChurn*VLOOKUP(TJ59,ChurnSeasonTable,4,FALSE)),2)+TW11*(AnnualChurn*VLOOKUP(TJ59,ChurnSeasonTable,4,FALSE))*POWER(1-(AnnualChurn*VLOOKUP(TJ59,ChurnSeasonTable,4,FALSE)),3)</f>
        <v/>
      </c>
      <c r="UB59" s="12">
        <f>UB58+TX59-TX47*(AnnualChurn*VLOOKUP(TJ59,ChurnSeasonTable,4,FALSE))*POWER(1-(AnnualChurn*VLOOKUP(TJ59,ChurnSeasonTable,4,FALSE)),0)+TX35*(AnnualChurn*VLOOKUP(TJ59,ChurnSeasonTable,4,FALSE))*POWER(1-(AnnualChurn*VLOOKUP(TJ59,ChurnSeasonTable,4,FALSE)),1)+TX23*(AnnualChurn*VLOOKUP(TJ59,ChurnSeasonTable,4,FALSE))*POWER(1-(AnnualChurn*VLOOKUP(TJ59,ChurnSeasonTable,4,FALSE)),2)+TX11*(AnnualChurn*VLOOKUP(TJ59,ChurnSeasonTable,4,FALSE))*POWER(1-(AnnualChurn*VLOOKUP(TJ59,ChurnSeasonTable,4,FALSE)),3)</f>
        <v/>
      </c>
      <c r="UC59" s="12">
        <f>TY59+TZ59+UA59+UB59</f>
        <v/>
      </c>
      <c r="UD59" s="9">
        <f>TY59*PriceEssMonthly*TM59+TZ59*PricePremMonthly*TM59+UA59*PriceEssAnnual*TM59/12+UB59*PricePremAnnual*TM59/12</f>
        <v/>
      </c>
      <c r="UE59" s="9">
        <f>UD59*12</f>
        <v/>
      </c>
      <c r="UF59" s="12">
        <f>TY59*PriceEssMonthly*TM59+TZ59*PricePremMonthly*TM59</f>
        <v/>
      </c>
      <c r="UG59" s="12">
        <f>TW59*PriceEssAnnual*TM59+TX59*PricePremAnnual*TM59</f>
        <v/>
      </c>
      <c r="UH59" s="12">
        <f>TW47*POWER(1-(AnnualChurn*VLOOKUP(TJ59,ChurnSeasonTable,4,FALSE)),1)*PriceEssAnnual*TM59+TW35*POWER(1-(AnnualChurn*VLOOKUP(TJ59,ChurnSeasonTable,4,FALSE)),2)*PriceEssAnnual*TM59+TW23*POWER(1-(AnnualChurn*VLOOKUP(TJ59,ChurnSeasonTable,4,FALSE)),3)*PriceEssAnnual*TM59+TW11*POWER(1-(AnnualChurn*VLOOKUP(TJ59,ChurnSeasonTable,4,FALSE)),4)*PriceEssAnnual*TM59+TX47*POWER(1-(AnnualChurn*VLOOKUP(TJ59,ChurnSeasonTable,4,FALSE)),1)*PricePremAnnual*TM59+TX35*POWER(1-(AnnualChurn*VLOOKUP(TJ59,ChurnSeasonTable,4,FALSE)),2)*PricePremAnnual*TM59+TX23*POWER(1-(AnnualChurn*VLOOKUP(TJ59,ChurnSeasonTable,4,FALSE)),3)*PricePremAnnual*TM59+TX11*POWER(1-(AnnualChurn*VLOOKUP(TJ59,ChurnSeasonTable,4,FALSE)),4)*PricePremAnnual*TM59</f>
        <v/>
      </c>
      <c r="UI59" s="9">
        <f>UF59+UG59+UH59</f>
        <v/>
      </c>
      <c r="UJ59" s="12">
        <f>SUM(UI48:UI59)</f>
        <v/>
      </c>
      <c r="UK59" s="12">
        <f>OR(UK58,UJ59&gt;=VATThreshold)</f>
        <v/>
      </c>
      <c r="UL59" s="9">
        <f>IF(UK59,UI59/(1+VATRate),UI59)</f>
        <v/>
      </c>
      <c r="UM59" s="12">
        <f>UI59-UL59</f>
        <v/>
      </c>
      <c r="UN59" s="12">
        <f>IF(UK59=0,0,IF(TJ59=1,SUMPRODUCT(--(($TK$5:$TK59=$TK59-1)*($TJ$5:$TJ59&gt;=10)*($TJ$5:$TJ59&lt;=12)),$UM$5:$UM59),IF(TJ59=4,SUMPRODUCT(--(($TK$5:$TK59=$TK59)*($TJ$5:$TJ59&gt;=1)*($TJ$5:$TJ59&lt;=3)),$UM$5:$UM59),IF(TJ59=7,SUMPRODUCT(--(($TK$5:$TK59=$TK59)*($TJ$5:$TJ59&gt;=4)*($TJ$5:$TJ59&lt;=6)),$UM$5:$UM59),IF(TJ59=10,SUMPRODUCT(--(($TK$5:$TK59=$TK59)*($TJ$5:$TJ59&gt;=7)*($TJ$5:$TJ59&lt;=9)),$UM$5:$UM59),0)))))</f>
        <v/>
      </c>
      <c r="UO59" s="12">
        <f>UO58+UM59-UN59</f>
        <v/>
      </c>
      <c r="UP59" s="12">
        <f>IF(ProviderDelay&gt;=1,UL58*ProviderShare,UL59*ProviderShare)</f>
        <v/>
      </c>
      <c r="UQ59" s="12">
        <f>UI59*PaymentFee</f>
        <v/>
      </c>
      <c r="UR59" s="12">
        <f>UC59*OpsAI</f>
        <v/>
      </c>
      <c r="US59" s="12">
        <f>MonthlyFixed</f>
        <v/>
      </c>
      <c r="UT59" s="12">
        <f>TQ59*ReferralReward</f>
        <v/>
      </c>
      <c r="UU59" s="12">
        <f>TO59</f>
        <v/>
      </c>
      <c r="UV59" s="9">
        <f>UL59-UP59-UQ59-UR59-US59-UT59-UU59</f>
        <v/>
      </c>
      <c r="UW59" s="9">
        <f>UW58+UI59-(UP59+UQ59+UR59+US59+UT59+UU59+UN59)</f>
        <v/>
      </c>
      <c r="UX59" s="12">
        <f>IF(UC59&gt;0,UD59/UC59,0)</f>
        <v/>
      </c>
      <c r="UY59" s="11">
        <f>IF(UC58&gt;0,MAX(0,(UC58+TR59-UC59)/UC58),0)</f>
        <v/>
      </c>
      <c r="VA59" s="12" t="n">
        <v>55</v>
      </c>
      <c r="VB59" s="12">
        <f>MOD(VA59-1+LaunchMonth-1,12)+1</f>
        <v/>
      </c>
      <c r="VC59" s="12">
        <f>INT((VA59-1+LaunchMonth-1)/12)+1</f>
        <v/>
      </c>
      <c r="VD59" s="12">
        <f>VLOOKUP(VB59,SeasonTable,2,FALSE)</f>
        <v/>
      </c>
      <c r="VE59" s="12">
        <f>(1+InflationRate)^INT((VA59-1)/12)</f>
        <v/>
      </c>
      <c r="VF59" s="11">
        <f>MonthlyChurn*VLOOKUP(VB59,ChurnSeasonTable,4,FALSE)</f>
        <v/>
      </c>
      <c r="VG59" s="12">
        <f>MIN(MAX(MktMin19plus,WA58*MktPct19plus),MAX(0,WO58-CashBuffer))</f>
        <v/>
      </c>
      <c r="VH59" s="12">
        <f>IF(VG59&gt;0,MAX(1,ROUND(VG59/CAC*VD59,0)),0)</f>
        <v/>
      </c>
      <c r="VI59" s="12">
        <f>IF(VH59&gt;0,ROUND(VH59*ReferralMix/(1-ReferralMix),0),0)</f>
        <v/>
      </c>
      <c r="VJ59" s="12">
        <f>VH59+VI59</f>
        <v/>
      </c>
      <c r="VK59" s="12">
        <f>ROUND(VJ59*(1-'Sens - Annual Mix'!$A$10),0)</f>
        <v/>
      </c>
      <c r="VL59" s="12">
        <f>VJ59-VK59</f>
        <v/>
      </c>
      <c r="VM59" s="12">
        <f>ROUND(VK59*EssentialMix,0)</f>
        <v/>
      </c>
      <c r="VN59" s="12">
        <f>VK59-VM59</f>
        <v/>
      </c>
      <c r="VO59" s="12">
        <f>ROUND(VL59*EssentialMix,0)</f>
        <v/>
      </c>
      <c r="VP59" s="12">
        <f>VL59-VO59</f>
        <v/>
      </c>
      <c r="VQ59" s="12">
        <f>VM59+VM58+VM57+MAX(0,VQ58-VM58-VM57)*(1-VF59)</f>
        <v/>
      </c>
      <c r="VR59" s="12">
        <f>VN59+VN58+VN57+MAX(0,VR58-VN58-VN57)*(1-VF59)</f>
        <v/>
      </c>
      <c r="VS59" s="12">
        <f>VS58+VO59-VO47*(AnnualChurn*VLOOKUP(VB59,ChurnSeasonTable,4,FALSE))*POWER(1-(AnnualChurn*VLOOKUP(VB59,ChurnSeasonTable,4,FALSE)),0)+VO35*(AnnualChurn*VLOOKUP(VB59,ChurnSeasonTable,4,FALSE))*POWER(1-(AnnualChurn*VLOOKUP(VB59,ChurnSeasonTable,4,FALSE)),1)+VO23*(AnnualChurn*VLOOKUP(VB59,ChurnSeasonTable,4,FALSE))*POWER(1-(AnnualChurn*VLOOKUP(VB59,ChurnSeasonTable,4,FALSE)),2)+VO11*(AnnualChurn*VLOOKUP(VB59,ChurnSeasonTable,4,FALSE))*POWER(1-(AnnualChurn*VLOOKUP(VB59,ChurnSeasonTable,4,FALSE)),3)</f>
        <v/>
      </c>
      <c r="VT59" s="12">
        <f>VT58+VP59-VP47*(AnnualChurn*VLOOKUP(VB59,ChurnSeasonTable,4,FALSE))*POWER(1-(AnnualChurn*VLOOKUP(VB59,ChurnSeasonTable,4,FALSE)),0)+VP35*(AnnualChurn*VLOOKUP(VB59,ChurnSeasonTable,4,FALSE))*POWER(1-(AnnualChurn*VLOOKUP(VB59,ChurnSeasonTable,4,FALSE)),1)+VP23*(AnnualChurn*VLOOKUP(VB59,ChurnSeasonTable,4,FALSE))*POWER(1-(AnnualChurn*VLOOKUP(VB59,ChurnSeasonTable,4,FALSE)),2)+VP11*(AnnualChurn*VLOOKUP(VB59,ChurnSeasonTable,4,FALSE))*POWER(1-(AnnualChurn*VLOOKUP(VB59,ChurnSeasonTable,4,FALSE)),3)</f>
        <v/>
      </c>
      <c r="VU59" s="12">
        <f>VQ59+VR59+VS59+VT59</f>
        <v/>
      </c>
      <c r="VV59" s="9">
        <f>VQ59*PriceEssMonthly*VE59+VR59*PricePremMonthly*VE59+VS59*PriceEssAnnual*VE59/12+VT59*PricePremAnnual*VE59/12</f>
        <v/>
      </c>
      <c r="VW59" s="9">
        <f>VV59*12</f>
        <v/>
      </c>
      <c r="VX59" s="12">
        <f>VQ59*PriceEssMonthly*VE59+VR59*PricePremMonthly*VE59</f>
        <v/>
      </c>
      <c r="VY59" s="12">
        <f>VO59*PriceEssAnnual*VE59+VP59*PricePremAnnual*VE59</f>
        <v/>
      </c>
      <c r="VZ59" s="12">
        <f>VO47*POWER(1-(AnnualChurn*VLOOKUP(VB59,ChurnSeasonTable,4,FALSE)),1)*PriceEssAnnual*VE59+VO35*POWER(1-(AnnualChurn*VLOOKUP(VB59,ChurnSeasonTable,4,FALSE)),2)*PriceEssAnnual*VE59+VO23*POWER(1-(AnnualChurn*VLOOKUP(VB59,ChurnSeasonTable,4,FALSE)),3)*PriceEssAnnual*VE59+VO11*POWER(1-(AnnualChurn*VLOOKUP(VB59,ChurnSeasonTable,4,FALSE)),4)*PriceEssAnnual*VE59+VP47*POWER(1-(AnnualChurn*VLOOKUP(VB59,ChurnSeasonTable,4,FALSE)),1)*PricePremAnnual*VE59+VP35*POWER(1-(AnnualChurn*VLOOKUP(VB59,ChurnSeasonTable,4,FALSE)),2)*PricePremAnnual*VE59+VP23*POWER(1-(AnnualChurn*VLOOKUP(VB59,ChurnSeasonTable,4,FALSE)),3)*PricePremAnnual*VE59+VP11*POWER(1-(AnnualChurn*VLOOKUP(VB59,ChurnSeasonTable,4,FALSE)),4)*PricePremAnnual*VE59</f>
        <v/>
      </c>
      <c r="WA59" s="9">
        <f>VX59+VY59+VZ59</f>
        <v/>
      </c>
      <c r="WB59" s="12">
        <f>SUM(WA48:WA59)</f>
        <v/>
      </c>
      <c r="WC59" s="12">
        <f>OR(WC58,WB59&gt;=VATThreshold)</f>
        <v/>
      </c>
      <c r="WD59" s="9">
        <f>IF(WC59,WA59/(1+VATRate),WA59)</f>
        <v/>
      </c>
      <c r="WE59" s="12">
        <f>WA59-WD59</f>
        <v/>
      </c>
      <c r="WF59" s="12">
        <f>IF(WC59=0,0,IF(VB59=1,SUMPRODUCT(--(($VC$5:$VC59=$VC59-1)*($VB$5:$VB59&gt;=10)*($VB$5:$VB59&lt;=12)),$WE$5:$WE59),IF(VB59=4,SUMPRODUCT(--(($VC$5:$VC59=$VC59)*($VB$5:$VB59&gt;=1)*($VB$5:$VB59&lt;=3)),$WE$5:$WE59),IF(VB59=7,SUMPRODUCT(--(($VC$5:$VC59=$VC59)*($VB$5:$VB59&gt;=4)*($VB$5:$VB59&lt;=6)),$WE$5:$WE59),IF(VB59=10,SUMPRODUCT(--(($VC$5:$VC59=$VC59)*($VB$5:$VB59&gt;=7)*($VB$5:$VB59&lt;=9)),$WE$5:$WE59),0)))))</f>
        <v/>
      </c>
      <c r="WG59" s="12">
        <f>WG58+WE59-WF59</f>
        <v/>
      </c>
      <c r="WH59" s="12">
        <f>IF(ProviderDelay&gt;=1,WD58*ProviderShare,WD59*ProviderShare)</f>
        <v/>
      </c>
      <c r="WI59" s="12">
        <f>WA59*PaymentFee</f>
        <v/>
      </c>
      <c r="WJ59" s="12">
        <f>VU59*OpsAI</f>
        <v/>
      </c>
      <c r="WK59" s="12">
        <f>MonthlyFixed</f>
        <v/>
      </c>
      <c r="WL59" s="12">
        <f>VI59*ReferralReward</f>
        <v/>
      </c>
      <c r="WM59" s="12">
        <f>VG59</f>
        <v/>
      </c>
      <c r="WN59" s="9">
        <f>WD59-WH59-WI59-WJ59-WK59-WL59-WM59</f>
        <v/>
      </c>
      <c r="WO59" s="9">
        <f>WO58+WA59-(WH59+WI59+WJ59+WK59+WL59+WM59+WF59)</f>
        <v/>
      </c>
      <c r="WP59" s="12">
        <f>IF(VU59&gt;0,VV59/VU59,0)</f>
        <v/>
      </c>
      <c r="WQ59" s="11">
        <f>IF(VU58&gt;0,MAX(0,(VU58+VJ59-VU59)/VU58),0)</f>
        <v/>
      </c>
      <c r="WS59" s="12" t="n">
        <v>55</v>
      </c>
      <c r="WT59" s="12">
        <f>MOD(WS59-1+LaunchMonth-1,12)+1</f>
        <v/>
      </c>
      <c r="WU59" s="12">
        <f>INT((WS59-1+LaunchMonth-1)/12)+1</f>
        <v/>
      </c>
      <c r="WV59" s="12">
        <f>VLOOKUP(WT59,SeasonTable,2,FALSE)</f>
        <v/>
      </c>
      <c r="WW59" s="12">
        <f>(1+InflationRate)^INT((WS59-1)/12)</f>
        <v/>
      </c>
      <c r="WX59" s="11">
        <f>MonthlyChurn*VLOOKUP(WT59,ChurnSeasonTable,4,FALSE)</f>
        <v/>
      </c>
      <c r="WY59" s="12">
        <f>MIN(MAX(MktMin19plus,XS58*MktPct19plus),MAX(0,YG58-CashBuffer))</f>
        <v/>
      </c>
      <c r="WZ59" s="12">
        <f>IF(WY59&gt;0,MAX(1,ROUND(WY59/CAC*WV59,0)),0)</f>
        <v/>
      </c>
      <c r="XA59" s="12">
        <f>IF(WZ59&gt;0,ROUND(WZ59*ReferralMix/(1-ReferralMix),0),0)</f>
        <v/>
      </c>
      <c r="XB59" s="12">
        <f>WZ59+XA59</f>
        <v/>
      </c>
      <c r="XC59" s="12">
        <f>ROUND(XB59*(1-'Sens - Annual Mix'!$A$11),0)</f>
        <v/>
      </c>
      <c r="XD59" s="12">
        <f>XB59-XC59</f>
        <v/>
      </c>
      <c r="XE59" s="12">
        <f>ROUND(XC59*EssentialMix,0)</f>
        <v/>
      </c>
      <c r="XF59" s="12">
        <f>XC59-XE59</f>
        <v/>
      </c>
      <c r="XG59" s="12">
        <f>ROUND(XD59*EssentialMix,0)</f>
        <v/>
      </c>
      <c r="XH59" s="12">
        <f>XD59-XG59</f>
        <v/>
      </c>
      <c r="XI59" s="12">
        <f>XE59+XE58+XE57+MAX(0,XI58-XE58-XE57)*(1-WX59)</f>
        <v/>
      </c>
      <c r="XJ59" s="12">
        <f>XF59+XF58+XF57+MAX(0,XJ58-XF58-XF57)*(1-WX59)</f>
        <v/>
      </c>
      <c r="XK59" s="12">
        <f>XK58+XG59-XG47*(AnnualChurn*VLOOKUP(WT59,ChurnSeasonTable,4,FALSE))*POWER(1-(AnnualChurn*VLOOKUP(WT59,ChurnSeasonTable,4,FALSE)),0)+XG35*(AnnualChurn*VLOOKUP(WT59,ChurnSeasonTable,4,FALSE))*POWER(1-(AnnualChurn*VLOOKUP(WT59,ChurnSeasonTable,4,FALSE)),1)+XG23*(AnnualChurn*VLOOKUP(WT59,ChurnSeasonTable,4,FALSE))*POWER(1-(AnnualChurn*VLOOKUP(WT59,ChurnSeasonTable,4,FALSE)),2)+XG11*(AnnualChurn*VLOOKUP(WT59,ChurnSeasonTable,4,FALSE))*POWER(1-(AnnualChurn*VLOOKUP(WT59,ChurnSeasonTable,4,FALSE)),3)</f>
        <v/>
      </c>
      <c r="XL59" s="12">
        <f>XL58+XH59-XH47*(AnnualChurn*VLOOKUP(WT59,ChurnSeasonTable,4,FALSE))*POWER(1-(AnnualChurn*VLOOKUP(WT59,ChurnSeasonTable,4,FALSE)),0)+XH35*(AnnualChurn*VLOOKUP(WT59,ChurnSeasonTable,4,FALSE))*POWER(1-(AnnualChurn*VLOOKUP(WT59,ChurnSeasonTable,4,FALSE)),1)+XH23*(AnnualChurn*VLOOKUP(WT59,ChurnSeasonTable,4,FALSE))*POWER(1-(AnnualChurn*VLOOKUP(WT59,ChurnSeasonTable,4,FALSE)),2)+XH11*(AnnualChurn*VLOOKUP(WT59,ChurnSeasonTable,4,FALSE))*POWER(1-(AnnualChurn*VLOOKUP(WT59,ChurnSeasonTable,4,FALSE)),3)</f>
        <v/>
      </c>
      <c r="XM59" s="12">
        <f>XI59+XJ59+XK59+XL59</f>
        <v/>
      </c>
      <c r="XN59" s="9">
        <f>XI59*PriceEssMonthly*WW59+XJ59*PricePremMonthly*WW59+XK59*PriceEssAnnual*WW59/12+XL59*PricePremAnnual*WW59/12</f>
        <v/>
      </c>
      <c r="XO59" s="9">
        <f>XN59*12</f>
        <v/>
      </c>
      <c r="XP59" s="12">
        <f>XI59*PriceEssMonthly*WW59+XJ59*PricePremMonthly*WW59</f>
        <v/>
      </c>
      <c r="XQ59" s="12">
        <f>XG59*PriceEssAnnual*WW59+XH59*PricePremAnnual*WW59</f>
        <v/>
      </c>
      <c r="XR59" s="12">
        <f>XG47*POWER(1-(AnnualChurn*VLOOKUP(WT59,ChurnSeasonTable,4,FALSE)),1)*PriceEssAnnual*WW59+XG35*POWER(1-(AnnualChurn*VLOOKUP(WT59,ChurnSeasonTable,4,FALSE)),2)*PriceEssAnnual*WW59+XG23*POWER(1-(AnnualChurn*VLOOKUP(WT59,ChurnSeasonTable,4,FALSE)),3)*PriceEssAnnual*WW59+XG11*POWER(1-(AnnualChurn*VLOOKUP(WT59,ChurnSeasonTable,4,FALSE)),4)*PriceEssAnnual*WW59+XH47*POWER(1-(AnnualChurn*VLOOKUP(WT59,ChurnSeasonTable,4,FALSE)),1)*PricePremAnnual*WW59+XH35*POWER(1-(AnnualChurn*VLOOKUP(WT59,ChurnSeasonTable,4,FALSE)),2)*PricePremAnnual*WW59+XH23*POWER(1-(AnnualChurn*VLOOKUP(WT59,ChurnSeasonTable,4,FALSE)),3)*PricePremAnnual*WW59+XH11*POWER(1-(AnnualChurn*VLOOKUP(WT59,ChurnSeasonTable,4,FALSE)),4)*PricePremAnnual*WW59</f>
        <v/>
      </c>
      <c r="XS59" s="9">
        <f>XP59+XQ59+XR59</f>
        <v/>
      </c>
      <c r="XT59" s="12">
        <f>SUM(XS48:XS59)</f>
        <v/>
      </c>
      <c r="XU59" s="12">
        <f>OR(XU58,XT59&gt;=VATThreshold)</f>
        <v/>
      </c>
      <c r="XV59" s="9">
        <f>IF(XU59,XS59/(1+VATRate),XS59)</f>
        <v/>
      </c>
      <c r="XW59" s="12">
        <f>XS59-XV59</f>
        <v/>
      </c>
      <c r="XX59" s="12">
        <f>IF(XU59=0,0,IF(WT59=1,SUMPRODUCT(--(($WU$5:$WU59=$WU59-1)*($WT$5:$WT59&gt;=10)*($WT$5:$WT59&lt;=12)),$XW$5:$XW59),IF(WT59=4,SUMPRODUCT(--(($WU$5:$WU59=$WU59)*($WT$5:$WT59&gt;=1)*($WT$5:$WT59&lt;=3)),$XW$5:$XW59),IF(WT59=7,SUMPRODUCT(--(($WU$5:$WU59=$WU59)*($WT$5:$WT59&gt;=4)*($WT$5:$WT59&lt;=6)),$XW$5:$XW59),IF(WT59=10,SUMPRODUCT(--(($WU$5:$WU59=$WU59)*($WT$5:$WT59&gt;=7)*($WT$5:$WT59&lt;=9)),$XW$5:$XW59),0)))))</f>
        <v/>
      </c>
      <c r="XY59" s="12">
        <f>XY58+XW59-XX59</f>
        <v/>
      </c>
      <c r="XZ59" s="12">
        <f>IF(ProviderDelay&gt;=1,XV58*ProviderShare,XV59*ProviderShare)</f>
        <v/>
      </c>
      <c r="YA59" s="12">
        <f>XS59*PaymentFee</f>
        <v/>
      </c>
      <c r="YB59" s="12">
        <f>XM59*OpsAI</f>
        <v/>
      </c>
      <c r="YC59" s="12">
        <f>MonthlyFixed</f>
        <v/>
      </c>
      <c r="YD59" s="12">
        <f>XA59*ReferralReward</f>
        <v/>
      </c>
      <c r="YE59" s="12">
        <f>WY59</f>
        <v/>
      </c>
      <c r="YF59" s="9">
        <f>XV59-XZ59-YA59-YB59-YC59-YD59-YE59</f>
        <v/>
      </c>
      <c r="YG59" s="9">
        <f>YG58+XS59-(XZ59+YA59+YB59+YC59+YD59+YE59+XX59)</f>
        <v/>
      </c>
      <c r="YH59" s="12">
        <f>IF(XM59&gt;0,XN59/XM59,0)</f>
        <v/>
      </c>
      <c r="YI59" s="11">
        <f>IF(XM58&gt;0,MAX(0,(XM58+XB59-XM59)/XM58),0)</f>
        <v/>
      </c>
      <c r="YK59" s="12" t="n">
        <v>55</v>
      </c>
      <c r="YL59" s="12">
        <f>MOD(YK59-1+LaunchMonth-1,12)+1</f>
        <v/>
      </c>
      <c r="YM59" s="12">
        <f>INT((YK59-1+LaunchMonth-1)/12)+1</f>
        <v/>
      </c>
      <c r="YN59" s="12">
        <f>VLOOKUP(YL59,SeasonTable,2,FALSE)</f>
        <v/>
      </c>
      <c r="YO59" s="12">
        <f>(1+InflationRate)^INT((YK59-1)/12)</f>
        <v/>
      </c>
      <c r="YP59" s="11">
        <f>MonthlyChurn*VLOOKUP(YL59,ChurnSeasonTable,4,FALSE)</f>
        <v/>
      </c>
      <c r="YQ59" s="12">
        <f>MIN(MAX(MktMin19plus,ZK58*MktPct19plus),MAX(0,ZY58-CashBuffer))</f>
        <v/>
      </c>
      <c r="YR59" s="12">
        <f>IF(YQ59&gt;0,MAX(1,ROUND(YQ59/CAC*YN59,0)),0)</f>
        <v/>
      </c>
      <c r="YS59" s="12">
        <f>IF(YR59&gt;0,ROUND(YR59*ReferralMix/(1-ReferralMix),0),0)</f>
        <v/>
      </c>
      <c r="YT59" s="12">
        <f>YR59+YS59</f>
        <v/>
      </c>
      <c r="YU59" s="12">
        <f>ROUND(YT59*(1-'Sens - Annual Mix'!$A$12),0)</f>
        <v/>
      </c>
      <c r="YV59" s="12">
        <f>YT59-YU59</f>
        <v/>
      </c>
      <c r="YW59" s="12">
        <f>ROUND(YU59*EssentialMix,0)</f>
        <v/>
      </c>
      <c r="YX59" s="12">
        <f>YU59-YW59</f>
        <v/>
      </c>
      <c r="YY59" s="12">
        <f>ROUND(YV59*EssentialMix,0)</f>
        <v/>
      </c>
      <c r="YZ59" s="12">
        <f>YV59-YY59</f>
        <v/>
      </c>
      <c r="ZA59" s="12">
        <f>YW59+YW58+YW57+MAX(0,ZA58-YW58-YW57)*(1-YP59)</f>
        <v/>
      </c>
      <c r="ZB59" s="12">
        <f>YX59+YX58+YX57+MAX(0,ZB58-YX58-YX57)*(1-YP59)</f>
        <v/>
      </c>
      <c r="ZC59" s="12">
        <f>ZC58+YY59-YY47*(AnnualChurn*VLOOKUP(YL59,ChurnSeasonTable,4,FALSE))*POWER(1-(AnnualChurn*VLOOKUP(YL59,ChurnSeasonTable,4,FALSE)),0)+YY35*(AnnualChurn*VLOOKUP(YL59,ChurnSeasonTable,4,FALSE))*POWER(1-(AnnualChurn*VLOOKUP(YL59,ChurnSeasonTable,4,FALSE)),1)+YY23*(AnnualChurn*VLOOKUP(YL59,ChurnSeasonTable,4,FALSE))*POWER(1-(AnnualChurn*VLOOKUP(YL59,ChurnSeasonTable,4,FALSE)),2)+YY11*(AnnualChurn*VLOOKUP(YL59,ChurnSeasonTable,4,FALSE))*POWER(1-(AnnualChurn*VLOOKUP(YL59,ChurnSeasonTable,4,FALSE)),3)</f>
        <v/>
      </c>
      <c r="ZD59" s="12">
        <f>ZD58+YZ59-YZ47*(AnnualChurn*VLOOKUP(YL59,ChurnSeasonTable,4,FALSE))*POWER(1-(AnnualChurn*VLOOKUP(YL59,ChurnSeasonTable,4,FALSE)),0)+YZ35*(AnnualChurn*VLOOKUP(YL59,ChurnSeasonTable,4,FALSE))*POWER(1-(AnnualChurn*VLOOKUP(YL59,ChurnSeasonTable,4,FALSE)),1)+YZ23*(AnnualChurn*VLOOKUP(YL59,ChurnSeasonTable,4,FALSE))*POWER(1-(AnnualChurn*VLOOKUP(YL59,ChurnSeasonTable,4,FALSE)),2)+YZ11*(AnnualChurn*VLOOKUP(YL59,ChurnSeasonTable,4,FALSE))*POWER(1-(AnnualChurn*VLOOKUP(YL59,ChurnSeasonTable,4,FALSE)),3)</f>
        <v/>
      </c>
      <c r="ZE59" s="12">
        <f>ZA59+ZB59+ZC59+ZD59</f>
        <v/>
      </c>
      <c r="ZF59" s="9">
        <f>ZA59*PriceEssMonthly*YO59+ZB59*PricePremMonthly*YO59+ZC59*PriceEssAnnual*YO59/12+ZD59*PricePremAnnual*YO59/12</f>
        <v/>
      </c>
      <c r="ZG59" s="9">
        <f>ZF59*12</f>
        <v/>
      </c>
      <c r="ZH59" s="12">
        <f>ZA59*PriceEssMonthly*YO59+ZB59*PricePremMonthly*YO59</f>
        <v/>
      </c>
      <c r="ZI59" s="12">
        <f>YY59*PriceEssAnnual*YO59+YZ59*PricePremAnnual*YO59</f>
        <v/>
      </c>
      <c r="ZJ59" s="12">
        <f>YY47*POWER(1-(AnnualChurn*VLOOKUP(YL59,ChurnSeasonTable,4,FALSE)),1)*PriceEssAnnual*YO59+YY35*POWER(1-(AnnualChurn*VLOOKUP(YL59,ChurnSeasonTable,4,FALSE)),2)*PriceEssAnnual*YO59+YY23*POWER(1-(AnnualChurn*VLOOKUP(YL59,ChurnSeasonTable,4,FALSE)),3)*PriceEssAnnual*YO59+YY11*POWER(1-(AnnualChurn*VLOOKUP(YL59,ChurnSeasonTable,4,FALSE)),4)*PriceEssAnnual*YO59+YZ47*POWER(1-(AnnualChurn*VLOOKUP(YL59,ChurnSeasonTable,4,FALSE)),1)*PricePremAnnual*YO59+YZ35*POWER(1-(AnnualChurn*VLOOKUP(YL59,ChurnSeasonTable,4,FALSE)),2)*PricePremAnnual*YO59+YZ23*POWER(1-(AnnualChurn*VLOOKUP(YL59,ChurnSeasonTable,4,FALSE)),3)*PricePremAnnual*YO59+YZ11*POWER(1-(AnnualChurn*VLOOKUP(YL59,ChurnSeasonTable,4,FALSE)),4)*PricePremAnnual*YO59</f>
        <v/>
      </c>
      <c r="ZK59" s="9">
        <f>ZH59+ZI59+ZJ59</f>
        <v/>
      </c>
      <c r="ZL59" s="12">
        <f>SUM(ZK48:ZK59)</f>
        <v/>
      </c>
      <c r="ZM59" s="12">
        <f>OR(ZM58,ZL59&gt;=VATThreshold)</f>
        <v/>
      </c>
      <c r="ZN59" s="9">
        <f>IF(ZM59,ZK59/(1+VATRate),ZK59)</f>
        <v/>
      </c>
      <c r="ZO59" s="12">
        <f>ZK59-ZN59</f>
        <v/>
      </c>
      <c r="ZP59" s="12">
        <f>IF(ZM59=0,0,IF(YL59=1,SUMPRODUCT(--(($YM$5:$YM59=$YM59-1)*($YL$5:$YL59&gt;=10)*($YL$5:$YL59&lt;=12)),$ZO$5:$ZO59),IF(YL59=4,SUMPRODUCT(--(($YM$5:$YM59=$YM59)*($YL$5:$YL59&gt;=1)*($YL$5:$YL59&lt;=3)),$ZO$5:$ZO59),IF(YL59=7,SUMPRODUCT(--(($YM$5:$YM59=$YM59)*($YL$5:$YL59&gt;=4)*($YL$5:$YL59&lt;=6)),$ZO$5:$ZO59),IF(YL59=10,SUMPRODUCT(--(($YM$5:$YM59=$YM59)*($YL$5:$YL59&gt;=7)*($YL$5:$YL59&lt;=9)),$ZO$5:$ZO59),0)))))</f>
        <v/>
      </c>
      <c r="ZQ59" s="12">
        <f>ZQ58+ZO59-ZP59</f>
        <v/>
      </c>
      <c r="ZR59" s="12">
        <f>IF(ProviderDelay&gt;=1,ZN58*ProviderShare,ZN59*ProviderShare)</f>
        <v/>
      </c>
      <c r="ZS59" s="12">
        <f>ZK59*PaymentFee</f>
        <v/>
      </c>
      <c r="ZT59" s="12">
        <f>ZE59*OpsAI</f>
        <v/>
      </c>
      <c r="ZU59" s="12">
        <f>MonthlyFixed</f>
        <v/>
      </c>
      <c r="ZV59" s="12">
        <f>YS59*ReferralReward</f>
        <v/>
      </c>
      <c r="ZW59" s="12">
        <f>YQ59</f>
        <v/>
      </c>
      <c r="ZX59" s="9">
        <f>ZN59-ZR59-ZS59-ZT59-ZU59-ZV59-ZW59</f>
        <v/>
      </c>
      <c r="ZY59" s="9">
        <f>ZY58+ZK59-(ZR59+ZS59+ZT59+ZU59+ZV59+ZW59+ZP59)</f>
        <v/>
      </c>
      <c r="ZZ59" s="12">
        <f>IF(ZE59&gt;0,ZF59/ZE59,0)</f>
        <v/>
      </c>
      <c r="AAA59" s="11">
        <f>IF(ZE58&gt;0,MAX(0,(ZE58+YT59-ZE59)/ZE58),0)</f>
        <v/>
      </c>
      <c r="AAC59" s="12" t="n">
        <v>55</v>
      </c>
      <c r="AAD59" s="12">
        <f>MOD(AAC59-1+LaunchMonth-1,12)+1</f>
        <v/>
      </c>
      <c r="AAE59" s="12">
        <f>INT((AAC59-1+LaunchMonth-1)/12)+1</f>
        <v/>
      </c>
      <c r="AAF59" s="12">
        <f>VLOOKUP(AAD59,SeasonTable,2,FALSE)</f>
        <v/>
      </c>
      <c r="AAG59" s="12">
        <f>(1+InflationRate)^INT((AAC59-1)/12)</f>
        <v/>
      </c>
      <c r="AAH59" s="11">
        <f>MonthlyChurn*VLOOKUP(AAD59,ChurnSeasonTable,4,FALSE)</f>
        <v/>
      </c>
      <c r="AAI59" s="12">
        <f>MIN(MAX(MktMin19plus,ABC58*MktPct19plus),MAX(0,ABQ58-CashBuffer))</f>
        <v/>
      </c>
      <c r="AAJ59" s="12">
        <f>IF(AAI59&gt;0,MAX(1,ROUND(AAI59/CAC*AAF59,0)),0)</f>
        <v/>
      </c>
      <c r="AAK59" s="12">
        <f>IF(AAJ59&gt;0,ROUND(AAJ59*ReferralMix/(1-ReferralMix),0),0)</f>
        <v/>
      </c>
      <c r="AAL59" s="12">
        <f>AAJ59+AAK59</f>
        <v/>
      </c>
      <c r="AAM59" s="12">
        <f>ROUND(AAL59*(1-'Sens - Annual Mix'!$A$13),0)</f>
        <v/>
      </c>
      <c r="AAN59" s="12">
        <f>AAL59-AAM59</f>
        <v/>
      </c>
      <c r="AAO59" s="12">
        <f>ROUND(AAM59*EssentialMix,0)</f>
        <v/>
      </c>
      <c r="AAP59" s="12">
        <f>AAM59-AAO59</f>
        <v/>
      </c>
      <c r="AAQ59" s="12">
        <f>ROUND(AAN59*EssentialMix,0)</f>
        <v/>
      </c>
      <c r="AAR59" s="12">
        <f>AAN59-AAQ59</f>
        <v/>
      </c>
      <c r="AAS59" s="12">
        <f>AAO59+AAO58+AAO57+MAX(0,AAS58-AAO58-AAO57)*(1-AAH59)</f>
        <v/>
      </c>
      <c r="AAT59" s="12">
        <f>AAP59+AAP58+AAP57+MAX(0,AAT58-AAP58-AAP57)*(1-AAH59)</f>
        <v/>
      </c>
      <c r="AAU59" s="12">
        <f>AAU58+AAQ59-AAQ47*(AnnualChurn*VLOOKUP(AAD59,ChurnSeasonTable,4,FALSE))*POWER(1-(AnnualChurn*VLOOKUP(AAD59,ChurnSeasonTable,4,FALSE)),0)+AAQ35*(AnnualChurn*VLOOKUP(AAD59,ChurnSeasonTable,4,FALSE))*POWER(1-(AnnualChurn*VLOOKUP(AAD59,ChurnSeasonTable,4,FALSE)),1)+AAQ23*(AnnualChurn*VLOOKUP(AAD59,ChurnSeasonTable,4,FALSE))*POWER(1-(AnnualChurn*VLOOKUP(AAD59,ChurnSeasonTable,4,FALSE)),2)+AAQ11*(AnnualChurn*VLOOKUP(AAD59,ChurnSeasonTable,4,FALSE))*POWER(1-(AnnualChurn*VLOOKUP(AAD59,ChurnSeasonTable,4,FALSE)),3)</f>
        <v/>
      </c>
      <c r="AAV59" s="12">
        <f>AAV58+AAR59-AAR47*(AnnualChurn*VLOOKUP(AAD59,ChurnSeasonTable,4,FALSE))*POWER(1-(AnnualChurn*VLOOKUP(AAD59,ChurnSeasonTable,4,FALSE)),0)+AAR35*(AnnualChurn*VLOOKUP(AAD59,ChurnSeasonTable,4,FALSE))*POWER(1-(AnnualChurn*VLOOKUP(AAD59,ChurnSeasonTable,4,FALSE)),1)+AAR23*(AnnualChurn*VLOOKUP(AAD59,ChurnSeasonTable,4,FALSE))*POWER(1-(AnnualChurn*VLOOKUP(AAD59,ChurnSeasonTable,4,FALSE)),2)+AAR11*(AnnualChurn*VLOOKUP(AAD59,ChurnSeasonTable,4,FALSE))*POWER(1-(AnnualChurn*VLOOKUP(AAD59,ChurnSeasonTable,4,FALSE)),3)</f>
        <v/>
      </c>
      <c r="AAW59" s="12">
        <f>AAS59+AAT59+AAU59+AAV59</f>
        <v/>
      </c>
      <c r="AAX59" s="9">
        <f>AAS59*PriceEssMonthly*AAG59+AAT59*PricePremMonthly*AAG59+AAU59*PriceEssAnnual*AAG59/12+AAV59*PricePremAnnual*AAG59/12</f>
        <v/>
      </c>
      <c r="AAY59" s="9">
        <f>AAX59*12</f>
        <v/>
      </c>
      <c r="AAZ59" s="12">
        <f>AAS59*PriceEssMonthly*AAG59+AAT59*PricePremMonthly*AAG59</f>
        <v/>
      </c>
      <c r="ABA59" s="12">
        <f>AAQ59*PriceEssAnnual*AAG59+AAR59*PricePremAnnual*AAG59</f>
        <v/>
      </c>
      <c r="ABB59" s="12">
        <f>AAQ47*POWER(1-(AnnualChurn*VLOOKUP(AAD59,ChurnSeasonTable,4,FALSE)),1)*PriceEssAnnual*AAG59+AAQ35*POWER(1-(AnnualChurn*VLOOKUP(AAD59,ChurnSeasonTable,4,FALSE)),2)*PriceEssAnnual*AAG59+AAQ23*POWER(1-(AnnualChurn*VLOOKUP(AAD59,ChurnSeasonTable,4,FALSE)),3)*PriceEssAnnual*AAG59+AAQ11*POWER(1-(AnnualChurn*VLOOKUP(AAD59,ChurnSeasonTable,4,FALSE)),4)*PriceEssAnnual*AAG59+AAR47*POWER(1-(AnnualChurn*VLOOKUP(AAD59,ChurnSeasonTable,4,FALSE)),1)*PricePremAnnual*AAG59+AAR35*POWER(1-(AnnualChurn*VLOOKUP(AAD59,ChurnSeasonTable,4,FALSE)),2)*PricePremAnnual*AAG59+AAR23*POWER(1-(AnnualChurn*VLOOKUP(AAD59,ChurnSeasonTable,4,FALSE)),3)*PricePremAnnual*AAG59+AAR11*POWER(1-(AnnualChurn*VLOOKUP(AAD59,ChurnSeasonTable,4,FALSE)),4)*PricePremAnnual*AAG59</f>
        <v/>
      </c>
      <c r="ABC59" s="9">
        <f>AAZ59+ABA59+ABB59</f>
        <v/>
      </c>
      <c r="ABD59" s="12">
        <f>SUM(ABC48:ABC59)</f>
        <v/>
      </c>
      <c r="ABE59" s="12">
        <f>OR(ABE58,ABD59&gt;=VATThreshold)</f>
        <v/>
      </c>
      <c r="ABF59" s="9">
        <f>IF(ABE59,ABC59/(1+VATRate),ABC59)</f>
        <v/>
      </c>
      <c r="ABG59" s="12">
        <f>ABC59-ABF59</f>
        <v/>
      </c>
      <c r="ABH59" s="12">
        <f>IF(ABE59=0,0,IF(AAD59=1,SUMPRODUCT(--(($AAE$5:$AAE59=$AAE59-1)*($AAD$5:$AAD59&gt;=10)*($AAD$5:$AAD59&lt;=12)),$ABG$5:$ABG59),IF(AAD59=4,SUMPRODUCT(--(($AAE$5:$AAE59=$AAE59)*($AAD$5:$AAD59&gt;=1)*($AAD$5:$AAD59&lt;=3)),$ABG$5:$ABG59),IF(AAD59=7,SUMPRODUCT(--(($AAE$5:$AAE59=$AAE59)*($AAD$5:$AAD59&gt;=4)*($AAD$5:$AAD59&lt;=6)),$ABG$5:$ABG59),IF(AAD59=10,SUMPRODUCT(--(($AAE$5:$AAE59=$AAE59)*($AAD$5:$AAD59&gt;=7)*($AAD$5:$AAD59&lt;=9)),$ABG$5:$ABG59),0)))))</f>
        <v/>
      </c>
      <c r="ABI59" s="12">
        <f>ABI58+ABG59-ABH59</f>
        <v/>
      </c>
      <c r="ABJ59" s="12">
        <f>IF(ProviderDelay&gt;=1,ABF58*ProviderShare,ABF59*ProviderShare)</f>
        <v/>
      </c>
      <c r="ABK59" s="12">
        <f>ABC59*PaymentFee</f>
        <v/>
      </c>
      <c r="ABL59" s="12">
        <f>AAW59*OpsAI</f>
        <v/>
      </c>
      <c r="ABM59" s="12">
        <f>MonthlyFixed</f>
        <v/>
      </c>
      <c r="ABN59" s="12">
        <f>AAK59*ReferralReward</f>
        <v/>
      </c>
      <c r="ABO59" s="12">
        <f>AAI59</f>
        <v/>
      </c>
      <c r="ABP59" s="9">
        <f>ABF59-ABJ59-ABK59-ABL59-ABM59-ABN59-ABO59</f>
        <v/>
      </c>
      <c r="ABQ59" s="9">
        <f>ABQ58+ABC59-(ABJ59+ABK59+ABL59+ABM59+ABN59+ABO59+ABH59)</f>
        <v/>
      </c>
      <c r="ABR59" s="12">
        <f>IF(AAW59&gt;0,AAX59/AAW59,0)</f>
        <v/>
      </c>
      <c r="ABS59" s="11">
        <f>IF(AAW58&gt;0,MAX(0,(AAW58+AAL59-AAW59)/AAW58),0)</f>
        <v/>
      </c>
      <c r="ABU59" s="12" t="n">
        <v>55</v>
      </c>
      <c r="ABV59" s="12">
        <f>MOD(ABU59-1+LaunchMonth-1,12)+1</f>
        <v/>
      </c>
      <c r="ABW59" s="12">
        <f>INT((ABU59-1+LaunchMonth-1)/12)+1</f>
        <v/>
      </c>
      <c r="ABX59" s="12">
        <f>VLOOKUP(ABV59,SeasonTable,2,FALSE)</f>
        <v/>
      </c>
      <c r="ABY59" s="12">
        <f>(1+InflationRate)^INT((ABU59-1)/12)</f>
        <v/>
      </c>
      <c r="ABZ59" s="11">
        <f>MonthlyChurn*VLOOKUP(ABV59,ChurnSeasonTable,4,FALSE)</f>
        <v/>
      </c>
      <c r="ACA59" s="12">
        <f>MIN(MAX(MktMin19plus,ACU58*MktPct19plus),MAX(0,ADI58-CashBuffer))</f>
        <v/>
      </c>
      <c r="ACB59" s="12">
        <f>IF(ACA59&gt;0,MAX(1,ROUND(ACA59/CAC*ABX59,0)),0)</f>
        <v/>
      </c>
      <c r="ACC59" s="12">
        <f>IF(ACB59&gt;0,ROUND(ACB59*ReferralMix/(1-ReferralMix),0),0)</f>
        <v/>
      </c>
      <c r="ACD59" s="12">
        <f>ACB59+ACC59</f>
        <v/>
      </c>
      <c r="ACE59" s="12">
        <f>ROUND(ACD59*(1-'Sens - Annual Mix'!$A$14),0)</f>
        <v/>
      </c>
      <c r="ACF59" s="12">
        <f>ACD59-ACE59</f>
        <v/>
      </c>
      <c r="ACG59" s="12">
        <f>ROUND(ACE59*EssentialMix,0)</f>
        <v/>
      </c>
      <c r="ACH59" s="12">
        <f>ACE59-ACG59</f>
        <v/>
      </c>
      <c r="ACI59" s="12">
        <f>ROUND(ACF59*EssentialMix,0)</f>
        <v/>
      </c>
      <c r="ACJ59" s="12">
        <f>ACF59-ACI59</f>
        <v/>
      </c>
      <c r="ACK59" s="12">
        <f>ACG59+ACG58+ACG57+MAX(0,ACK58-ACG58-ACG57)*(1-ABZ59)</f>
        <v/>
      </c>
      <c r="ACL59" s="12">
        <f>ACH59+ACH58+ACH57+MAX(0,ACL58-ACH58-ACH57)*(1-ABZ59)</f>
        <v/>
      </c>
      <c r="ACM59" s="12">
        <f>ACM58+ACI59-ACI47*(AnnualChurn*VLOOKUP(ABV59,ChurnSeasonTable,4,FALSE))*POWER(1-(AnnualChurn*VLOOKUP(ABV59,ChurnSeasonTable,4,FALSE)),0)+ACI35*(AnnualChurn*VLOOKUP(ABV59,ChurnSeasonTable,4,FALSE))*POWER(1-(AnnualChurn*VLOOKUP(ABV59,ChurnSeasonTable,4,FALSE)),1)+ACI23*(AnnualChurn*VLOOKUP(ABV59,ChurnSeasonTable,4,FALSE))*POWER(1-(AnnualChurn*VLOOKUP(ABV59,ChurnSeasonTable,4,FALSE)),2)+ACI11*(AnnualChurn*VLOOKUP(ABV59,ChurnSeasonTable,4,FALSE))*POWER(1-(AnnualChurn*VLOOKUP(ABV59,ChurnSeasonTable,4,FALSE)),3)</f>
        <v/>
      </c>
      <c r="ACN59" s="12">
        <f>ACN58+ACJ59-ACJ47*(AnnualChurn*VLOOKUP(ABV59,ChurnSeasonTable,4,FALSE))*POWER(1-(AnnualChurn*VLOOKUP(ABV59,ChurnSeasonTable,4,FALSE)),0)+ACJ35*(AnnualChurn*VLOOKUP(ABV59,ChurnSeasonTable,4,FALSE))*POWER(1-(AnnualChurn*VLOOKUP(ABV59,ChurnSeasonTable,4,FALSE)),1)+ACJ23*(AnnualChurn*VLOOKUP(ABV59,ChurnSeasonTable,4,FALSE))*POWER(1-(AnnualChurn*VLOOKUP(ABV59,ChurnSeasonTable,4,FALSE)),2)+ACJ11*(AnnualChurn*VLOOKUP(ABV59,ChurnSeasonTable,4,FALSE))*POWER(1-(AnnualChurn*VLOOKUP(ABV59,ChurnSeasonTable,4,FALSE)),3)</f>
        <v/>
      </c>
      <c r="ACO59" s="12">
        <f>ACK59+ACL59+ACM59+ACN59</f>
        <v/>
      </c>
      <c r="ACP59" s="9">
        <f>ACK59*PriceEssMonthly*ABY59+ACL59*PricePremMonthly*ABY59+ACM59*PriceEssAnnual*ABY59/12+ACN59*PricePremAnnual*ABY59/12</f>
        <v/>
      </c>
      <c r="ACQ59" s="9">
        <f>ACP59*12</f>
        <v/>
      </c>
      <c r="ACR59" s="12">
        <f>ACK59*PriceEssMonthly*ABY59+ACL59*PricePremMonthly*ABY59</f>
        <v/>
      </c>
      <c r="ACS59" s="12">
        <f>ACI59*PriceEssAnnual*ABY59+ACJ59*PricePremAnnual*ABY59</f>
        <v/>
      </c>
      <c r="ACT59" s="12">
        <f>ACI47*POWER(1-(AnnualChurn*VLOOKUP(ABV59,ChurnSeasonTable,4,FALSE)),1)*PriceEssAnnual*ABY59+ACI35*POWER(1-(AnnualChurn*VLOOKUP(ABV59,ChurnSeasonTable,4,FALSE)),2)*PriceEssAnnual*ABY59+ACI23*POWER(1-(AnnualChurn*VLOOKUP(ABV59,ChurnSeasonTable,4,FALSE)),3)*PriceEssAnnual*ABY59+ACI11*POWER(1-(AnnualChurn*VLOOKUP(ABV59,ChurnSeasonTable,4,FALSE)),4)*PriceEssAnnual*ABY59+ACJ47*POWER(1-(AnnualChurn*VLOOKUP(ABV59,ChurnSeasonTable,4,FALSE)),1)*PricePremAnnual*ABY59+ACJ35*POWER(1-(AnnualChurn*VLOOKUP(ABV59,ChurnSeasonTable,4,FALSE)),2)*PricePremAnnual*ABY59+ACJ23*POWER(1-(AnnualChurn*VLOOKUP(ABV59,ChurnSeasonTable,4,FALSE)),3)*PricePremAnnual*ABY59+ACJ11*POWER(1-(AnnualChurn*VLOOKUP(ABV59,ChurnSeasonTable,4,FALSE)),4)*PricePremAnnual*ABY59</f>
        <v/>
      </c>
      <c r="ACU59" s="9">
        <f>ACR59+ACS59+ACT59</f>
        <v/>
      </c>
      <c r="ACV59" s="12">
        <f>SUM(ACU48:ACU59)</f>
        <v/>
      </c>
      <c r="ACW59" s="12">
        <f>OR(ACW58,ACV59&gt;=VATThreshold)</f>
        <v/>
      </c>
      <c r="ACX59" s="9">
        <f>IF(ACW59,ACU59/(1+VATRate),ACU59)</f>
        <v/>
      </c>
      <c r="ACY59" s="12">
        <f>ACU59-ACX59</f>
        <v/>
      </c>
      <c r="ACZ59" s="12">
        <f>IF(ACW59=0,0,IF(ABV59=1,SUMPRODUCT(--(($ABW$5:$ABW59=$ABW59-1)*($ABV$5:$ABV59&gt;=10)*($ABV$5:$ABV59&lt;=12)),$ACY$5:$ACY59),IF(ABV59=4,SUMPRODUCT(--(($ABW$5:$ABW59=$ABW59)*($ABV$5:$ABV59&gt;=1)*($ABV$5:$ABV59&lt;=3)),$ACY$5:$ACY59),IF(ABV59=7,SUMPRODUCT(--(($ABW$5:$ABW59=$ABW59)*($ABV$5:$ABV59&gt;=4)*($ABV$5:$ABV59&lt;=6)),$ACY$5:$ACY59),IF(ABV59=10,SUMPRODUCT(--(($ABW$5:$ABW59=$ABW59)*($ABV$5:$ABV59&gt;=7)*($ABV$5:$ABV59&lt;=9)),$ACY$5:$ACY59),0)))))</f>
        <v/>
      </c>
      <c r="ADA59" s="12">
        <f>ADA58+ACY59-ACZ59</f>
        <v/>
      </c>
      <c r="ADB59" s="12">
        <f>IF(ProviderDelay&gt;=1,ACX58*ProviderShare,ACX59*ProviderShare)</f>
        <v/>
      </c>
      <c r="ADC59" s="12">
        <f>ACU59*PaymentFee</f>
        <v/>
      </c>
      <c r="ADD59" s="12">
        <f>ACO59*OpsAI</f>
        <v/>
      </c>
      <c r="ADE59" s="12">
        <f>MonthlyFixed</f>
        <v/>
      </c>
      <c r="ADF59" s="12">
        <f>ACC59*ReferralReward</f>
        <v/>
      </c>
      <c r="ADG59" s="12">
        <f>ACA59</f>
        <v/>
      </c>
      <c r="ADH59" s="9">
        <f>ACX59-ADB59-ADC59-ADD59-ADE59-ADF59-ADG59</f>
        <v/>
      </c>
      <c r="ADI59" s="9">
        <f>ADI58+ACU59-(ADB59+ADC59+ADD59+ADE59+ADF59+ADG59+ACZ59)</f>
        <v/>
      </c>
      <c r="ADJ59" s="12">
        <f>IF(ACO59&gt;0,ACP59/ACO59,0)</f>
        <v/>
      </c>
      <c r="ADK59" s="11">
        <f>IF(ACO58&gt;0,MAX(0,(ACO58+ACD59-ACO59)/ACO58),0)</f>
        <v/>
      </c>
      <c r="ADM59" s="12" t="n">
        <v>55</v>
      </c>
      <c r="ADN59" s="12">
        <f>MOD(ADM59-1+LaunchMonth-1,12)+1</f>
        <v/>
      </c>
      <c r="ADO59" s="12">
        <f>INT((ADM59-1+LaunchMonth-1)/12)+1</f>
        <v/>
      </c>
      <c r="ADP59" s="12">
        <f>VLOOKUP(ADN59,SeasonTable,2,FALSE)</f>
        <v/>
      </c>
      <c r="ADQ59" s="12">
        <f>(1+InflationRate)^INT((ADM59-1)/12)</f>
        <v/>
      </c>
      <c r="ADR59" s="11">
        <f>MonthlyChurn*VLOOKUP(ADN59,ChurnSeasonTable,4,FALSE)</f>
        <v/>
      </c>
      <c r="ADS59" s="12">
        <f>MIN(MAX(MktMin19plus,AEM58*MktPct19plus),MAX(0,AFA58-CashBuffer))</f>
        <v/>
      </c>
      <c r="ADT59" s="12">
        <f>IF(ADS59&gt;0,MAX(1,ROUND(ADS59/CAC*ADP59,0)),0)</f>
        <v/>
      </c>
      <c r="ADU59" s="12">
        <f>IF(ADT59&gt;0,ROUND(ADT59*ReferralMix/(1-ReferralMix),0),0)</f>
        <v/>
      </c>
      <c r="ADV59" s="12">
        <f>ADT59+ADU59</f>
        <v/>
      </c>
      <c r="ADW59" s="12">
        <f>ROUND(ADV59*(1-'Sens - Annual Mix'!$A$15),0)</f>
        <v/>
      </c>
      <c r="ADX59" s="12">
        <f>ADV59-ADW59</f>
        <v/>
      </c>
      <c r="ADY59" s="12">
        <f>ROUND(ADW59*EssentialMix,0)</f>
        <v/>
      </c>
      <c r="ADZ59" s="12">
        <f>ADW59-ADY59</f>
        <v/>
      </c>
      <c r="AEA59" s="12">
        <f>ROUND(ADX59*EssentialMix,0)</f>
        <v/>
      </c>
      <c r="AEB59" s="12">
        <f>ADX59-AEA59</f>
        <v/>
      </c>
      <c r="AEC59" s="12">
        <f>ADY59+ADY58+ADY57+MAX(0,AEC58-ADY58-ADY57)*(1-ADR59)</f>
        <v/>
      </c>
      <c r="AED59" s="12">
        <f>ADZ59+ADZ58+ADZ57+MAX(0,AED58-ADZ58-ADZ57)*(1-ADR59)</f>
        <v/>
      </c>
      <c r="AEE59" s="12">
        <f>AEE58+AEA59-AEA47*(AnnualChurn*VLOOKUP(ADN59,ChurnSeasonTable,4,FALSE))*POWER(1-(AnnualChurn*VLOOKUP(ADN59,ChurnSeasonTable,4,FALSE)),0)+AEA35*(AnnualChurn*VLOOKUP(ADN59,ChurnSeasonTable,4,FALSE))*POWER(1-(AnnualChurn*VLOOKUP(ADN59,ChurnSeasonTable,4,FALSE)),1)+AEA23*(AnnualChurn*VLOOKUP(ADN59,ChurnSeasonTable,4,FALSE))*POWER(1-(AnnualChurn*VLOOKUP(ADN59,ChurnSeasonTable,4,FALSE)),2)+AEA11*(AnnualChurn*VLOOKUP(ADN59,ChurnSeasonTable,4,FALSE))*POWER(1-(AnnualChurn*VLOOKUP(ADN59,ChurnSeasonTable,4,FALSE)),3)</f>
        <v/>
      </c>
      <c r="AEF59" s="12">
        <f>AEF58+AEB59-AEB47*(AnnualChurn*VLOOKUP(ADN59,ChurnSeasonTable,4,FALSE))*POWER(1-(AnnualChurn*VLOOKUP(ADN59,ChurnSeasonTable,4,FALSE)),0)+AEB35*(AnnualChurn*VLOOKUP(ADN59,ChurnSeasonTable,4,FALSE))*POWER(1-(AnnualChurn*VLOOKUP(ADN59,ChurnSeasonTable,4,FALSE)),1)+AEB23*(AnnualChurn*VLOOKUP(ADN59,ChurnSeasonTable,4,FALSE))*POWER(1-(AnnualChurn*VLOOKUP(ADN59,ChurnSeasonTable,4,FALSE)),2)+AEB11*(AnnualChurn*VLOOKUP(ADN59,ChurnSeasonTable,4,FALSE))*POWER(1-(AnnualChurn*VLOOKUP(ADN59,ChurnSeasonTable,4,FALSE)),3)</f>
        <v/>
      </c>
      <c r="AEG59" s="12">
        <f>AEC59+AED59+AEE59+AEF59</f>
        <v/>
      </c>
      <c r="AEH59" s="9">
        <f>AEC59*PriceEssMonthly*ADQ59+AED59*PricePremMonthly*ADQ59+AEE59*PriceEssAnnual*ADQ59/12+AEF59*PricePremAnnual*ADQ59/12</f>
        <v/>
      </c>
      <c r="AEI59" s="9">
        <f>AEH59*12</f>
        <v/>
      </c>
      <c r="AEJ59" s="12">
        <f>AEC59*PriceEssMonthly*ADQ59+AED59*PricePremMonthly*ADQ59</f>
        <v/>
      </c>
      <c r="AEK59" s="12">
        <f>AEA59*PriceEssAnnual*ADQ59+AEB59*PricePremAnnual*ADQ59</f>
        <v/>
      </c>
      <c r="AEL59" s="12">
        <f>AEA47*POWER(1-(AnnualChurn*VLOOKUP(ADN59,ChurnSeasonTable,4,FALSE)),1)*PriceEssAnnual*ADQ59+AEA35*POWER(1-(AnnualChurn*VLOOKUP(ADN59,ChurnSeasonTable,4,FALSE)),2)*PriceEssAnnual*ADQ59+AEA23*POWER(1-(AnnualChurn*VLOOKUP(ADN59,ChurnSeasonTable,4,FALSE)),3)*PriceEssAnnual*ADQ59+AEA11*POWER(1-(AnnualChurn*VLOOKUP(ADN59,ChurnSeasonTable,4,FALSE)),4)*PriceEssAnnual*ADQ59+AEB47*POWER(1-(AnnualChurn*VLOOKUP(ADN59,ChurnSeasonTable,4,FALSE)),1)*PricePremAnnual*ADQ59+AEB35*POWER(1-(AnnualChurn*VLOOKUP(ADN59,ChurnSeasonTable,4,FALSE)),2)*PricePremAnnual*ADQ59+AEB23*POWER(1-(AnnualChurn*VLOOKUP(ADN59,ChurnSeasonTable,4,FALSE)),3)*PricePremAnnual*ADQ59+AEB11*POWER(1-(AnnualChurn*VLOOKUP(ADN59,ChurnSeasonTable,4,FALSE)),4)*PricePremAnnual*ADQ59</f>
        <v/>
      </c>
      <c r="AEM59" s="9">
        <f>AEJ59+AEK59+AEL59</f>
        <v/>
      </c>
      <c r="AEN59" s="12">
        <f>SUM(AEM48:AEM59)</f>
        <v/>
      </c>
      <c r="AEO59" s="12">
        <f>OR(AEO58,AEN59&gt;=VATThreshold)</f>
        <v/>
      </c>
      <c r="AEP59" s="9">
        <f>IF(AEO59,AEM59/(1+VATRate),AEM59)</f>
        <v/>
      </c>
      <c r="AEQ59" s="12">
        <f>AEM59-AEP59</f>
        <v/>
      </c>
      <c r="AER59" s="12">
        <f>IF(AEO59=0,0,IF(ADN59=1,SUMPRODUCT(--(($ADO$5:$ADO59=$ADO59-1)*($ADN$5:$ADN59&gt;=10)*($ADN$5:$ADN59&lt;=12)),$AEQ$5:$AEQ59),IF(ADN59=4,SUMPRODUCT(--(($ADO$5:$ADO59=$ADO59)*($ADN$5:$ADN59&gt;=1)*($ADN$5:$ADN59&lt;=3)),$AEQ$5:$AEQ59),IF(ADN59=7,SUMPRODUCT(--(($ADO$5:$ADO59=$ADO59)*($ADN$5:$ADN59&gt;=4)*($ADN$5:$ADN59&lt;=6)),$AEQ$5:$AEQ59),IF(ADN59=10,SUMPRODUCT(--(($ADO$5:$ADO59=$ADO59)*($ADN$5:$ADN59&gt;=7)*($ADN$5:$ADN59&lt;=9)),$AEQ$5:$AEQ59),0)))))</f>
        <v/>
      </c>
      <c r="AES59" s="12">
        <f>AES58+AEQ59-AER59</f>
        <v/>
      </c>
      <c r="AET59" s="12">
        <f>IF(ProviderDelay&gt;=1,AEP58*ProviderShare,AEP59*ProviderShare)</f>
        <v/>
      </c>
      <c r="AEU59" s="12">
        <f>AEM59*PaymentFee</f>
        <v/>
      </c>
      <c r="AEV59" s="12">
        <f>AEG59*OpsAI</f>
        <v/>
      </c>
      <c r="AEW59" s="12">
        <f>MonthlyFixed</f>
        <v/>
      </c>
      <c r="AEX59" s="12">
        <f>ADU59*ReferralReward</f>
        <v/>
      </c>
      <c r="AEY59" s="12">
        <f>ADS59</f>
        <v/>
      </c>
      <c r="AEZ59" s="9">
        <f>AEP59-AET59-AEU59-AEV59-AEW59-AEX59-AEY59</f>
        <v/>
      </c>
      <c r="AFA59" s="9">
        <f>AFA58+AEM59-(AET59+AEU59+AEV59+AEW59+AEX59+AEY59+AER59)</f>
        <v/>
      </c>
      <c r="AFB59" s="12">
        <f>IF(AEG59&gt;0,AEH59/AEG59,0)</f>
        <v/>
      </c>
      <c r="AFC59" s="11">
        <f>IF(AEG58&gt;0,MAX(0,(AEG58+ADV59-AEG59)/AEG58),0)</f>
        <v/>
      </c>
      <c r="AFE59" s="12" t="n">
        <v>55</v>
      </c>
      <c r="AFF59" s="12">
        <f>MOD(AFE59-1+LaunchMonth-1,12)+1</f>
        <v/>
      </c>
      <c r="AFG59" s="12">
        <f>INT((AFE59-1+LaunchMonth-1)/12)+1</f>
        <v/>
      </c>
      <c r="AFH59" s="12">
        <f>VLOOKUP(AFF59,SeasonTable,2,FALSE)</f>
        <v/>
      </c>
      <c r="AFI59" s="12">
        <f>(1+InflationRate)^INT((AFE59-1)/12)</f>
        <v/>
      </c>
      <c r="AFJ59" s="11">
        <f>MonthlyChurn*VLOOKUP(AFF59,ChurnSeasonTable,4,FALSE)</f>
        <v/>
      </c>
      <c r="AFK59" s="12">
        <f>MIN(MAX(MktMin19plus,AGE58*MktPct19plus),MAX(0,AGS58-CashBuffer))</f>
        <v/>
      </c>
      <c r="AFL59" s="12">
        <f>IF(AFK59&gt;0,MAX(1,ROUND(AFK59/'Sens - CAC &amp; Marketing'!$A$9*AFH59,0)),0)</f>
        <v/>
      </c>
      <c r="AFM59" s="12">
        <f>IF(AFL59&gt;0,ROUND(AFL59*ReferralMix/(1-ReferralMix),0),0)</f>
        <v/>
      </c>
      <c r="AFN59" s="12">
        <f>AFL59+AFM59</f>
        <v/>
      </c>
      <c r="AFO59" s="12">
        <f>ROUND(AFN59*(1-AnnualMix),0)</f>
        <v/>
      </c>
      <c r="AFP59" s="12">
        <f>AFN59-AFO59</f>
        <v/>
      </c>
      <c r="AFQ59" s="12">
        <f>ROUND(AFO59*EssentialMix,0)</f>
        <v/>
      </c>
      <c r="AFR59" s="12">
        <f>AFO59-AFQ59</f>
        <v/>
      </c>
      <c r="AFS59" s="12">
        <f>ROUND(AFP59*EssentialMix,0)</f>
        <v/>
      </c>
      <c r="AFT59" s="12">
        <f>AFP59-AFS59</f>
        <v/>
      </c>
      <c r="AFU59" s="12">
        <f>AFQ59+AFQ58+AFQ57+MAX(0,AFU58-AFQ58-AFQ57)*(1-AFJ59)</f>
        <v/>
      </c>
      <c r="AFV59" s="12">
        <f>AFR59+AFR58+AFR57+MAX(0,AFV58-AFR58-AFR57)*(1-AFJ59)</f>
        <v/>
      </c>
      <c r="AFW59" s="12">
        <f>AFW58+AFS59-AFS47*(AnnualChurn*VLOOKUP(AFF59,ChurnSeasonTable,4,FALSE))*POWER(1-(AnnualChurn*VLOOKUP(AFF59,ChurnSeasonTable,4,FALSE)),0)+AFS35*(AnnualChurn*VLOOKUP(AFF59,ChurnSeasonTable,4,FALSE))*POWER(1-(AnnualChurn*VLOOKUP(AFF59,ChurnSeasonTable,4,FALSE)),1)+AFS23*(AnnualChurn*VLOOKUP(AFF59,ChurnSeasonTable,4,FALSE))*POWER(1-(AnnualChurn*VLOOKUP(AFF59,ChurnSeasonTable,4,FALSE)),2)+AFS11*(AnnualChurn*VLOOKUP(AFF59,ChurnSeasonTable,4,FALSE))*POWER(1-(AnnualChurn*VLOOKUP(AFF59,ChurnSeasonTable,4,FALSE)),3)</f>
        <v/>
      </c>
      <c r="AFX59" s="12">
        <f>AFX58+AFT59-AFT47*(AnnualChurn*VLOOKUP(AFF59,ChurnSeasonTable,4,FALSE))*POWER(1-(AnnualChurn*VLOOKUP(AFF59,ChurnSeasonTable,4,FALSE)),0)+AFT35*(AnnualChurn*VLOOKUP(AFF59,ChurnSeasonTable,4,FALSE))*POWER(1-(AnnualChurn*VLOOKUP(AFF59,ChurnSeasonTable,4,FALSE)),1)+AFT23*(AnnualChurn*VLOOKUP(AFF59,ChurnSeasonTable,4,FALSE))*POWER(1-(AnnualChurn*VLOOKUP(AFF59,ChurnSeasonTable,4,FALSE)),2)+AFT11*(AnnualChurn*VLOOKUP(AFF59,ChurnSeasonTable,4,FALSE))*POWER(1-(AnnualChurn*VLOOKUP(AFF59,ChurnSeasonTable,4,FALSE)),3)</f>
        <v/>
      </c>
      <c r="AFY59" s="12">
        <f>AFU59+AFV59+AFW59+AFX59</f>
        <v/>
      </c>
      <c r="AFZ59" s="9">
        <f>AFU59*PriceEssMonthly*AFI59+AFV59*PricePremMonthly*AFI59+AFW59*PriceEssAnnual*AFI59/12+AFX59*PricePremAnnual*AFI59/12</f>
        <v/>
      </c>
      <c r="AGA59" s="9">
        <f>AFZ59*12</f>
        <v/>
      </c>
      <c r="AGB59" s="12">
        <f>AFU59*PriceEssMonthly*AFI59+AFV59*PricePremMonthly*AFI59</f>
        <v/>
      </c>
      <c r="AGC59" s="12">
        <f>AFS59*PriceEssAnnual*AFI59+AFT59*PricePremAnnual*AFI59</f>
        <v/>
      </c>
      <c r="AGD59" s="12">
        <f>AFS47*POWER(1-(AnnualChurn*VLOOKUP(AFF59,ChurnSeasonTable,4,FALSE)),1)*PriceEssAnnual*AFI59+AFS35*POWER(1-(AnnualChurn*VLOOKUP(AFF59,ChurnSeasonTable,4,FALSE)),2)*PriceEssAnnual*AFI59+AFS23*POWER(1-(AnnualChurn*VLOOKUP(AFF59,ChurnSeasonTable,4,FALSE)),3)*PriceEssAnnual*AFI59+AFS11*POWER(1-(AnnualChurn*VLOOKUP(AFF59,ChurnSeasonTable,4,FALSE)),4)*PriceEssAnnual*AFI59+AFT47*POWER(1-(AnnualChurn*VLOOKUP(AFF59,ChurnSeasonTable,4,FALSE)),1)*PricePremAnnual*AFI59+AFT35*POWER(1-(AnnualChurn*VLOOKUP(AFF59,ChurnSeasonTable,4,FALSE)),2)*PricePremAnnual*AFI59+AFT23*POWER(1-(AnnualChurn*VLOOKUP(AFF59,ChurnSeasonTable,4,FALSE)),3)*PricePremAnnual*AFI59+AFT11*POWER(1-(AnnualChurn*VLOOKUP(AFF59,ChurnSeasonTable,4,FALSE)),4)*PricePremAnnual*AFI59</f>
        <v/>
      </c>
      <c r="AGE59" s="9">
        <f>AGB59+AGC59+AGD59</f>
        <v/>
      </c>
      <c r="AGF59" s="12">
        <f>SUM(AGE48:AGE59)</f>
        <v/>
      </c>
      <c r="AGG59" s="12">
        <f>OR(AGG58,AGF59&gt;=VATThreshold)</f>
        <v/>
      </c>
      <c r="AGH59" s="9">
        <f>IF(AGG59,AGE59/(1+VATRate),AGE59)</f>
        <v/>
      </c>
      <c r="AGI59" s="12">
        <f>AGE59-AGH59</f>
        <v/>
      </c>
      <c r="AGJ59" s="12">
        <f>IF(AGG59=0,0,IF(AFF59=1,SUMPRODUCT(--(($AFG$5:$AFG59=$AFG59-1)*($AFF$5:$AFF59&gt;=10)*($AFF$5:$AFF59&lt;=12)),$AGI$5:$AGI59),IF(AFF59=4,SUMPRODUCT(--(($AFG$5:$AFG59=$AFG59)*($AFF$5:$AFF59&gt;=1)*($AFF$5:$AFF59&lt;=3)),$AGI$5:$AGI59),IF(AFF59=7,SUMPRODUCT(--(($AFG$5:$AFG59=$AFG59)*($AFF$5:$AFF59&gt;=4)*($AFF$5:$AFF59&lt;=6)),$AGI$5:$AGI59),IF(AFF59=10,SUMPRODUCT(--(($AFG$5:$AFG59=$AFG59)*($AFF$5:$AFF59&gt;=7)*($AFF$5:$AFF59&lt;=9)),$AGI$5:$AGI59),0)))))</f>
        <v/>
      </c>
      <c r="AGK59" s="12">
        <f>AGK58+AGI59-AGJ59</f>
        <v/>
      </c>
      <c r="AGL59" s="12">
        <f>IF(ProviderDelay&gt;=1,AGH58*ProviderShare,AGH59*ProviderShare)</f>
        <v/>
      </c>
      <c r="AGM59" s="12">
        <f>AGE59*PaymentFee</f>
        <v/>
      </c>
      <c r="AGN59" s="12">
        <f>AFY59*OpsAI</f>
        <v/>
      </c>
      <c r="AGO59" s="12">
        <f>MonthlyFixed</f>
        <v/>
      </c>
      <c r="AGP59" s="12">
        <f>AFM59*ReferralReward</f>
        <v/>
      </c>
      <c r="AGQ59" s="12">
        <f>AFK59</f>
        <v/>
      </c>
      <c r="AGR59" s="9">
        <f>AGH59-AGL59-AGM59-AGN59-AGO59-AGP59-AGQ59</f>
        <v/>
      </c>
      <c r="AGS59" s="9">
        <f>AGS58+AGE59-(AGL59+AGM59+AGN59+AGO59+AGP59+AGQ59+AGJ59)</f>
        <v/>
      </c>
      <c r="AGT59" s="12">
        <f>IF(AFY59&gt;0,AFZ59/AFY59,0)</f>
        <v/>
      </c>
      <c r="AGU59" s="11">
        <f>IF(AFY58&gt;0,MAX(0,(AFY58+AFN59-AFY59)/AFY58),0)</f>
        <v/>
      </c>
      <c r="AGW59" s="12" t="n">
        <v>55</v>
      </c>
      <c r="AGX59" s="12">
        <f>MOD(AGW59-1+LaunchMonth-1,12)+1</f>
        <v/>
      </c>
      <c r="AGY59" s="12">
        <f>INT((AGW59-1+LaunchMonth-1)/12)+1</f>
        <v/>
      </c>
      <c r="AGZ59" s="12">
        <f>VLOOKUP(AGX59,SeasonTable,2,FALSE)</f>
        <v/>
      </c>
      <c r="AHA59" s="12">
        <f>(1+InflationRate)^INT((AGW59-1)/12)</f>
        <v/>
      </c>
      <c r="AHB59" s="11">
        <f>MonthlyChurn*VLOOKUP(AGX59,ChurnSeasonTable,4,FALSE)</f>
        <v/>
      </c>
      <c r="AHC59" s="12">
        <f>MIN(MAX(MktMin19plus,AHW58*MktPct19plus),MAX(0,AIK58-CashBuffer))</f>
        <v/>
      </c>
      <c r="AHD59" s="12">
        <f>IF(AHC59&gt;0,MAX(1,ROUND(AHC59/'Sens - CAC &amp; Marketing'!$A$10*AGZ59,0)),0)</f>
        <v/>
      </c>
      <c r="AHE59" s="12">
        <f>IF(AHD59&gt;0,ROUND(AHD59*ReferralMix/(1-ReferralMix),0),0)</f>
        <v/>
      </c>
      <c r="AHF59" s="12">
        <f>AHD59+AHE59</f>
        <v/>
      </c>
      <c r="AHG59" s="12">
        <f>ROUND(AHF59*(1-AnnualMix),0)</f>
        <v/>
      </c>
      <c r="AHH59" s="12">
        <f>AHF59-AHG59</f>
        <v/>
      </c>
      <c r="AHI59" s="12">
        <f>ROUND(AHG59*EssentialMix,0)</f>
        <v/>
      </c>
      <c r="AHJ59" s="12">
        <f>AHG59-AHI59</f>
        <v/>
      </c>
      <c r="AHK59" s="12">
        <f>ROUND(AHH59*EssentialMix,0)</f>
        <v/>
      </c>
      <c r="AHL59" s="12">
        <f>AHH59-AHK59</f>
        <v/>
      </c>
      <c r="AHM59" s="12">
        <f>AHI59+AHI58+AHI57+MAX(0,AHM58-AHI58-AHI57)*(1-AHB59)</f>
        <v/>
      </c>
      <c r="AHN59" s="12">
        <f>AHJ59+AHJ58+AHJ57+MAX(0,AHN58-AHJ58-AHJ57)*(1-AHB59)</f>
        <v/>
      </c>
      <c r="AHO59" s="12">
        <f>AHO58+AHK59-AHK47*(AnnualChurn*VLOOKUP(AGX59,ChurnSeasonTable,4,FALSE))*POWER(1-(AnnualChurn*VLOOKUP(AGX59,ChurnSeasonTable,4,FALSE)),0)+AHK35*(AnnualChurn*VLOOKUP(AGX59,ChurnSeasonTable,4,FALSE))*POWER(1-(AnnualChurn*VLOOKUP(AGX59,ChurnSeasonTable,4,FALSE)),1)+AHK23*(AnnualChurn*VLOOKUP(AGX59,ChurnSeasonTable,4,FALSE))*POWER(1-(AnnualChurn*VLOOKUP(AGX59,ChurnSeasonTable,4,FALSE)),2)+AHK11*(AnnualChurn*VLOOKUP(AGX59,ChurnSeasonTable,4,FALSE))*POWER(1-(AnnualChurn*VLOOKUP(AGX59,ChurnSeasonTable,4,FALSE)),3)</f>
        <v/>
      </c>
      <c r="AHP59" s="12">
        <f>AHP58+AHL59-AHL47*(AnnualChurn*VLOOKUP(AGX59,ChurnSeasonTable,4,FALSE))*POWER(1-(AnnualChurn*VLOOKUP(AGX59,ChurnSeasonTable,4,FALSE)),0)+AHL35*(AnnualChurn*VLOOKUP(AGX59,ChurnSeasonTable,4,FALSE))*POWER(1-(AnnualChurn*VLOOKUP(AGX59,ChurnSeasonTable,4,FALSE)),1)+AHL23*(AnnualChurn*VLOOKUP(AGX59,ChurnSeasonTable,4,FALSE))*POWER(1-(AnnualChurn*VLOOKUP(AGX59,ChurnSeasonTable,4,FALSE)),2)+AHL11*(AnnualChurn*VLOOKUP(AGX59,ChurnSeasonTable,4,FALSE))*POWER(1-(AnnualChurn*VLOOKUP(AGX59,ChurnSeasonTable,4,FALSE)),3)</f>
        <v/>
      </c>
      <c r="AHQ59" s="12">
        <f>AHM59+AHN59+AHO59+AHP59</f>
        <v/>
      </c>
      <c r="AHR59" s="9">
        <f>AHM59*PriceEssMonthly*AHA59+AHN59*PricePremMonthly*AHA59+AHO59*PriceEssAnnual*AHA59/12+AHP59*PricePremAnnual*AHA59/12</f>
        <v/>
      </c>
      <c r="AHS59" s="9">
        <f>AHR59*12</f>
        <v/>
      </c>
      <c r="AHT59" s="12">
        <f>AHM59*PriceEssMonthly*AHA59+AHN59*PricePremMonthly*AHA59</f>
        <v/>
      </c>
      <c r="AHU59" s="12">
        <f>AHK59*PriceEssAnnual*AHA59+AHL59*PricePremAnnual*AHA59</f>
        <v/>
      </c>
      <c r="AHV59" s="12">
        <f>AHK47*POWER(1-(AnnualChurn*VLOOKUP(AGX59,ChurnSeasonTable,4,FALSE)),1)*PriceEssAnnual*AHA59+AHK35*POWER(1-(AnnualChurn*VLOOKUP(AGX59,ChurnSeasonTable,4,FALSE)),2)*PriceEssAnnual*AHA59+AHK23*POWER(1-(AnnualChurn*VLOOKUP(AGX59,ChurnSeasonTable,4,FALSE)),3)*PriceEssAnnual*AHA59+AHK11*POWER(1-(AnnualChurn*VLOOKUP(AGX59,ChurnSeasonTable,4,FALSE)),4)*PriceEssAnnual*AHA59+AHL47*POWER(1-(AnnualChurn*VLOOKUP(AGX59,ChurnSeasonTable,4,FALSE)),1)*PricePremAnnual*AHA59+AHL35*POWER(1-(AnnualChurn*VLOOKUP(AGX59,ChurnSeasonTable,4,FALSE)),2)*PricePremAnnual*AHA59+AHL23*POWER(1-(AnnualChurn*VLOOKUP(AGX59,ChurnSeasonTable,4,FALSE)),3)*PricePremAnnual*AHA59+AHL11*POWER(1-(AnnualChurn*VLOOKUP(AGX59,ChurnSeasonTable,4,FALSE)),4)*PricePremAnnual*AHA59</f>
        <v/>
      </c>
      <c r="AHW59" s="9">
        <f>AHT59+AHU59+AHV59</f>
        <v/>
      </c>
      <c r="AHX59" s="12">
        <f>SUM(AHW48:AHW59)</f>
        <v/>
      </c>
      <c r="AHY59" s="12">
        <f>OR(AHY58,AHX59&gt;=VATThreshold)</f>
        <v/>
      </c>
      <c r="AHZ59" s="9">
        <f>IF(AHY59,AHW59/(1+VATRate),AHW59)</f>
        <v/>
      </c>
      <c r="AIA59" s="12">
        <f>AHW59-AHZ59</f>
        <v/>
      </c>
      <c r="AIB59" s="12">
        <f>IF(AHY59=0,0,IF(AGX59=1,SUMPRODUCT(--(($AGY$5:$AGY59=$AGY59-1)*($AGX$5:$AGX59&gt;=10)*($AGX$5:$AGX59&lt;=12)),$AIA$5:$AIA59),IF(AGX59=4,SUMPRODUCT(--(($AGY$5:$AGY59=$AGY59)*($AGX$5:$AGX59&gt;=1)*($AGX$5:$AGX59&lt;=3)),$AIA$5:$AIA59),IF(AGX59=7,SUMPRODUCT(--(($AGY$5:$AGY59=$AGY59)*($AGX$5:$AGX59&gt;=4)*($AGX$5:$AGX59&lt;=6)),$AIA$5:$AIA59),IF(AGX59=10,SUMPRODUCT(--(($AGY$5:$AGY59=$AGY59)*($AGX$5:$AGX59&gt;=7)*($AGX$5:$AGX59&lt;=9)),$AIA$5:$AIA59),0)))))</f>
        <v/>
      </c>
      <c r="AIC59" s="12">
        <f>AIC58+AIA59-AIB59</f>
        <v/>
      </c>
      <c r="AID59" s="12">
        <f>IF(ProviderDelay&gt;=1,AHZ58*ProviderShare,AHZ59*ProviderShare)</f>
        <v/>
      </c>
      <c r="AIE59" s="12">
        <f>AHW59*PaymentFee</f>
        <v/>
      </c>
      <c r="AIF59" s="12">
        <f>AHQ59*OpsAI</f>
        <v/>
      </c>
      <c r="AIG59" s="12">
        <f>MonthlyFixed</f>
        <v/>
      </c>
      <c r="AIH59" s="12">
        <f>AHE59*ReferralReward</f>
        <v/>
      </c>
      <c r="AII59" s="12">
        <f>AHC59</f>
        <v/>
      </c>
      <c r="AIJ59" s="9">
        <f>AHZ59-AID59-AIE59-AIF59-AIG59-AIH59-AII59</f>
        <v/>
      </c>
      <c r="AIK59" s="9">
        <f>AIK58+AHW59-(AID59+AIE59+AIF59+AIG59+AIH59+AII59+AIB59)</f>
        <v/>
      </c>
      <c r="AIL59" s="12">
        <f>IF(AHQ59&gt;0,AHR59/AHQ59,0)</f>
        <v/>
      </c>
      <c r="AIM59" s="11">
        <f>IF(AHQ58&gt;0,MAX(0,(AHQ58+AHF59-AHQ59)/AHQ58),0)</f>
        <v/>
      </c>
      <c r="AIO59" s="12" t="n">
        <v>55</v>
      </c>
      <c r="AIP59" s="12">
        <f>MOD(AIO59-1+LaunchMonth-1,12)+1</f>
        <v/>
      </c>
      <c r="AIQ59" s="12">
        <f>INT((AIO59-1+LaunchMonth-1)/12)+1</f>
        <v/>
      </c>
      <c r="AIR59" s="12">
        <f>VLOOKUP(AIP59,SeasonTable,2,FALSE)</f>
        <v/>
      </c>
      <c r="AIS59" s="12">
        <f>(1+InflationRate)^INT((AIO59-1)/12)</f>
        <v/>
      </c>
      <c r="AIT59" s="11">
        <f>MonthlyChurn*VLOOKUP(AIP59,ChurnSeasonTable,4,FALSE)</f>
        <v/>
      </c>
      <c r="AIU59" s="12">
        <f>MIN(MAX(MktMin19plus,AJO58*MktPct19plus),MAX(0,AKC58-CashBuffer))</f>
        <v/>
      </c>
      <c r="AIV59" s="12">
        <f>IF(AIU59&gt;0,MAX(1,ROUND(AIU59/'Sens - CAC &amp; Marketing'!$A$11*AIR59,0)),0)</f>
        <v/>
      </c>
      <c r="AIW59" s="12">
        <f>IF(AIV59&gt;0,ROUND(AIV59*ReferralMix/(1-ReferralMix),0),0)</f>
        <v/>
      </c>
      <c r="AIX59" s="12">
        <f>AIV59+AIW59</f>
        <v/>
      </c>
      <c r="AIY59" s="12">
        <f>ROUND(AIX59*(1-AnnualMix),0)</f>
        <v/>
      </c>
      <c r="AIZ59" s="12">
        <f>AIX59-AIY59</f>
        <v/>
      </c>
      <c r="AJA59" s="12">
        <f>ROUND(AIY59*EssentialMix,0)</f>
        <v/>
      </c>
      <c r="AJB59" s="12">
        <f>AIY59-AJA59</f>
        <v/>
      </c>
      <c r="AJC59" s="12">
        <f>ROUND(AIZ59*EssentialMix,0)</f>
        <v/>
      </c>
      <c r="AJD59" s="12">
        <f>AIZ59-AJC59</f>
        <v/>
      </c>
      <c r="AJE59" s="12">
        <f>AJA59+AJA58+AJA57+MAX(0,AJE58-AJA58-AJA57)*(1-AIT59)</f>
        <v/>
      </c>
      <c r="AJF59" s="12">
        <f>AJB59+AJB58+AJB57+MAX(0,AJF58-AJB58-AJB57)*(1-AIT59)</f>
        <v/>
      </c>
      <c r="AJG59" s="12">
        <f>AJG58+AJC59-AJC47*(AnnualChurn*VLOOKUP(AIP59,ChurnSeasonTable,4,FALSE))*POWER(1-(AnnualChurn*VLOOKUP(AIP59,ChurnSeasonTable,4,FALSE)),0)+AJC35*(AnnualChurn*VLOOKUP(AIP59,ChurnSeasonTable,4,FALSE))*POWER(1-(AnnualChurn*VLOOKUP(AIP59,ChurnSeasonTable,4,FALSE)),1)+AJC23*(AnnualChurn*VLOOKUP(AIP59,ChurnSeasonTable,4,FALSE))*POWER(1-(AnnualChurn*VLOOKUP(AIP59,ChurnSeasonTable,4,FALSE)),2)+AJC11*(AnnualChurn*VLOOKUP(AIP59,ChurnSeasonTable,4,FALSE))*POWER(1-(AnnualChurn*VLOOKUP(AIP59,ChurnSeasonTable,4,FALSE)),3)</f>
        <v/>
      </c>
      <c r="AJH59" s="12">
        <f>AJH58+AJD59-AJD47*(AnnualChurn*VLOOKUP(AIP59,ChurnSeasonTable,4,FALSE))*POWER(1-(AnnualChurn*VLOOKUP(AIP59,ChurnSeasonTable,4,FALSE)),0)+AJD35*(AnnualChurn*VLOOKUP(AIP59,ChurnSeasonTable,4,FALSE))*POWER(1-(AnnualChurn*VLOOKUP(AIP59,ChurnSeasonTable,4,FALSE)),1)+AJD23*(AnnualChurn*VLOOKUP(AIP59,ChurnSeasonTable,4,FALSE))*POWER(1-(AnnualChurn*VLOOKUP(AIP59,ChurnSeasonTable,4,FALSE)),2)+AJD11*(AnnualChurn*VLOOKUP(AIP59,ChurnSeasonTable,4,FALSE))*POWER(1-(AnnualChurn*VLOOKUP(AIP59,ChurnSeasonTable,4,FALSE)),3)</f>
        <v/>
      </c>
      <c r="AJI59" s="12">
        <f>AJE59+AJF59+AJG59+AJH59</f>
        <v/>
      </c>
      <c r="AJJ59" s="9">
        <f>AJE59*PriceEssMonthly*AIS59+AJF59*PricePremMonthly*AIS59+AJG59*PriceEssAnnual*AIS59/12+AJH59*PricePremAnnual*AIS59/12</f>
        <v/>
      </c>
      <c r="AJK59" s="9">
        <f>AJJ59*12</f>
        <v/>
      </c>
      <c r="AJL59" s="12">
        <f>AJE59*PriceEssMonthly*AIS59+AJF59*PricePremMonthly*AIS59</f>
        <v/>
      </c>
      <c r="AJM59" s="12">
        <f>AJC59*PriceEssAnnual*AIS59+AJD59*PricePremAnnual*AIS59</f>
        <v/>
      </c>
      <c r="AJN59" s="12">
        <f>AJC47*POWER(1-(AnnualChurn*VLOOKUP(AIP59,ChurnSeasonTable,4,FALSE)),1)*PriceEssAnnual*AIS59+AJC35*POWER(1-(AnnualChurn*VLOOKUP(AIP59,ChurnSeasonTable,4,FALSE)),2)*PriceEssAnnual*AIS59+AJC23*POWER(1-(AnnualChurn*VLOOKUP(AIP59,ChurnSeasonTable,4,FALSE)),3)*PriceEssAnnual*AIS59+AJC11*POWER(1-(AnnualChurn*VLOOKUP(AIP59,ChurnSeasonTable,4,FALSE)),4)*PriceEssAnnual*AIS59+AJD47*POWER(1-(AnnualChurn*VLOOKUP(AIP59,ChurnSeasonTable,4,FALSE)),1)*PricePremAnnual*AIS59+AJD35*POWER(1-(AnnualChurn*VLOOKUP(AIP59,ChurnSeasonTable,4,FALSE)),2)*PricePremAnnual*AIS59+AJD23*POWER(1-(AnnualChurn*VLOOKUP(AIP59,ChurnSeasonTable,4,FALSE)),3)*PricePremAnnual*AIS59+AJD11*POWER(1-(AnnualChurn*VLOOKUP(AIP59,ChurnSeasonTable,4,FALSE)),4)*PricePremAnnual*AIS59</f>
        <v/>
      </c>
      <c r="AJO59" s="9">
        <f>AJL59+AJM59+AJN59</f>
        <v/>
      </c>
      <c r="AJP59" s="12">
        <f>SUM(AJO48:AJO59)</f>
        <v/>
      </c>
      <c r="AJQ59" s="12">
        <f>OR(AJQ58,AJP59&gt;=VATThreshold)</f>
        <v/>
      </c>
      <c r="AJR59" s="9">
        <f>IF(AJQ59,AJO59/(1+VATRate),AJO59)</f>
        <v/>
      </c>
      <c r="AJS59" s="12">
        <f>AJO59-AJR59</f>
        <v/>
      </c>
      <c r="AJT59" s="12">
        <f>IF(AJQ59=0,0,IF(AIP59=1,SUMPRODUCT(--(($AIQ$5:$AIQ59=$AIQ59-1)*($AIP$5:$AIP59&gt;=10)*($AIP$5:$AIP59&lt;=12)),$AJS$5:$AJS59),IF(AIP59=4,SUMPRODUCT(--(($AIQ$5:$AIQ59=$AIQ59)*($AIP$5:$AIP59&gt;=1)*($AIP$5:$AIP59&lt;=3)),$AJS$5:$AJS59),IF(AIP59=7,SUMPRODUCT(--(($AIQ$5:$AIQ59=$AIQ59)*($AIP$5:$AIP59&gt;=4)*($AIP$5:$AIP59&lt;=6)),$AJS$5:$AJS59),IF(AIP59=10,SUMPRODUCT(--(($AIQ$5:$AIQ59=$AIQ59)*($AIP$5:$AIP59&gt;=7)*($AIP$5:$AIP59&lt;=9)),$AJS$5:$AJS59),0)))))</f>
        <v/>
      </c>
      <c r="AJU59" s="12">
        <f>AJU58+AJS59-AJT59</f>
        <v/>
      </c>
      <c r="AJV59" s="12">
        <f>IF(ProviderDelay&gt;=1,AJR58*ProviderShare,AJR59*ProviderShare)</f>
        <v/>
      </c>
      <c r="AJW59" s="12">
        <f>AJO59*PaymentFee</f>
        <v/>
      </c>
      <c r="AJX59" s="12">
        <f>AJI59*OpsAI</f>
        <v/>
      </c>
      <c r="AJY59" s="12">
        <f>MonthlyFixed</f>
        <v/>
      </c>
      <c r="AJZ59" s="12">
        <f>AIW59*ReferralReward</f>
        <v/>
      </c>
      <c r="AKA59" s="12">
        <f>AIU59</f>
        <v/>
      </c>
      <c r="AKB59" s="9">
        <f>AJR59-AJV59-AJW59-AJX59-AJY59-AJZ59-AKA59</f>
        <v/>
      </c>
      <c r="AKC59" s="9">
        <f>AKC58+AJO59-(AJV59+AJW59+AJX59+AJY59+AJZ59+AKA59+AJT59)</f>
        <v/>
      </c>
      <c r="AKD59" s="12">
        <f>IF(AJI59&gt;0,AJJ59/AJI59,0)</f>
        <v/>
      </c>
      <c r="AKE59" s="11">
        <f>IF(AJI58&gt;0,MAX(0,(AJI58+AIX59-AJI59)/AJI58),0)</f>
        <v/>
      </c>
      <c r="AKG59" s="12" t="n">
        <v>55</v>
      </c>
      <c r="AKH59" s="12">
        <f>MOD(AKG59-1+LaunchMonth-1,12)+1</f>
        <v/>
      </c>
      <c r="AKI59" s="12">
        <f>INT((AKG59-1+LaunchMonth-1)/12)+1</f>
        <v/>
      </c>
      <c r="AKJ59" s="12">
        <f>VLOOKUP(AKH59,SeasonTable,2,FALSE)</f>
        <v/>
      </c>
      <c r="AKK59" s="12">
        <f>(1+InflationRate)^INT((AKG59-1)/12)</f>
        <v/>
      </c>
      <c r="AKL59" s="11">
        <f>MonthlyChurn*VLOOKUP(AKH59,ChurnSeasonTable,4,FALSE)</f>
        <v/>
      </c>
      <c r="AKM59" s="12">
        <f>MIN(MAX(MktMin19plus,ALG58*MktPct19plus),MAX(0,ALU58-CashBuffer))</f>
        <v/>
      </c>
      <c r="AKN59" s="12">
        <f>IF(AKM59&gt;0,MAX(1,ROUND(AKM59/'Sens - CAC &amp; Marketing'!$A$12*AKJ59,0)),0)</f>
        <v/>
      </c>
      <c r="AKO59" s="12">
        <f>IF(AKN59&gt;0,ROUND(AKN59*ReferralMix/(1-ReferralMix),0),0)</f>
        <v/>
      </c>
      <c r="AKP59" s="12">
        <f>AKN59+AKO59</f>
        <v/>
      </c>
      <c r="AKQ59" s="12">
        <f>ROUND(AKP59*(1-AnnualMix),0)</f>
        <v/>
      </c>
      <c r="AKR59" s="12">
        <f>AKP59-AKQ59</f>
        <v/>
      </c>
      <c r="AKS59" s="12">
        <f>ROUND(AKQ59*EssentialMix,0)</f>
        <v/>
      </c>
      <c r="AKT59" s="12">
        <f>AKQ59-AKS59</f>
        <v/>
      </c>
      <c r="AKU59" s="12">
        <f>ROUND(AKR59*EssentialMix,0)</f>
        <v/>
      </c>
      <c r="AKV59" s="12">
        <f>AKR59-AKU59</f>
        <v/>
      </c>
      <c r="AKW59" s="12">
        <f>AKS59+AKS58+AKS57+MAX(0,AKW58-AKS58-AKS57)*(1-AKL59)</f>
        <v/>
      </c>
      <c r="AKX59" s="12">
        <f>AKT59+AKT58+AKT57+MAX(0,AKX58-AKT58-AKT57)*(1-AKL59)</f>
        <v/>
      </c>
      <c r="AKY59" s="12">
        <f>AKY58+AKU59-AKU47*(AnnualChurn*VLOOKUP(AKH59,ChurnSeasonTable,4,FALSE))*POWER(1-(AnnualChurn*VLOOKUP(AKH59,ChurnSeasonTable,4,FALSE)),0)+AKU35*(AnnualChurn*VLOOKUP(AKH59,ChurnSeasonTable,4,FALSE))*POWER(1-(AnnualChurn*VLOOKUP(AKH59,ChurnSeasonTable,4,FALSE)),1)+AKU23*(AnnualChurn*VLOOKUP(AKH59,ChurnSeasonTable,4,FALSE))*POWER(1-(AnnualChurn*VLOOKUP(AKH59,ChurnSeasonTable,4,FALSE)),2)+AKU11*(AnnualChurn*VLOOKUP(AKH59,ChurnSeasonTable,4,FALSE))*POWER(1-(AnnualChurn*VLOOKUP(AKH59,ChurnSeasonTable,4,FALSE)),3)</f>
        <v/>
      </c>
      <c r="AKZ59" s="12">
        <f>AKZ58+AKV59-AKV47*(AnnualChurn*VLOOKUP(AKH59,ChurnSeasonTable,4,FALSE))*POWER(1-(AnnualChurn*VLOOKUP(AKH59,ChurnSeasonTable,4,FALSE)),0)+AKV35*(AnnualChurn*VLOOKUP(AKH59,ChurnSeasonTable,4,FALSE))*POWER(1-(AnnualChurn*VLOOKUP(AKH59,ChurnSeasonTable,4,FALSE)),1)+AKV23*(AnnualChurn*VLOOKUP(AKH59,ChurnSeasonTable,4,FALSE))*POWER(1-(AnnualChurn*VLOOKUP(AKH59,ChurnSeasonTable,4,FALSE)),2)+AKV11*(AnnualChurn*VLOOKUP(AKH59,ChurnSeasonTable,4,FALSE))*POWER(1-(AnnualChurn*VLOOKUP(AKH59,ChurnSeasonTable,4,FALSE)),3)</f>
        <v/>
      </c>
      <c r="ALA59" s="12">
        <f>AKW59+AKX59+AKY59+AKZ59</f>
        <v/>
      </c>
      <c r="ALB59" s="9">
        <f>AKW59*PriceEssMonthly*AKK59+AKX59*PricePremMonthly*AKK59+AKY59*PriceEssAnnual*AKK59/12+AKZ59*PricePremAnnual*AKK59/12</f>
        <v/>
      </c>
      <c r="ALC59" s="9">
        <f>ALB59*12</f>
        <v/>
      </c>
      <c r="ALD59" s="12">
        <f>AKW59*PriceEssMonthly*AKK59+AKX59*PricePremMonthly*AKK59</f>
        <v/>
      </c>
      <c r="ALE59" s="12">
        <f>AKU59*PriceEssAnnual*AKK59+AKV59*PricePremAnnual*AKK59</f>
        <v/>
      </c>
      <c r="ALF59" s="12">
        <f>AKU47*POWER(1-(AnnualChurn*VLOOKUP(AKH59,ChurnSeasonTable,4,FALSE)),1)*PriceEssAnnual*AKK59+AKU35*POWER(1-(AnnualChurn*VLOOKUP(AKH59,ChurnSeasonTable,4,FALSE)),2)*PriceEssAnnual*AKK59+AKU23*POWER(1-(AnnualChurn*VLOOKUP(AKH59,ChurnSeasonTable,4,FALSE)),3)*PriceEssAnnual*AKK59+AKU11*POWER(1-(AnnualChurn*VLOOKUP(AKH59,ChurnSeasonTable,4,FALSE)),4)*PriceEssAnnual*AKK59+AKV47*POWER(1-(AnnualChurn*VLOOKUP(AKH59,ChurnSeasonTable,4,FALSE)),1)*PricePremAnnual*AKK59+AKV35*POWER(1-(AnnualChurn*VLOOKUP(AKH59,ChurnSeasonTable,4,FALSE)),2)*PricePremAnnual*AKK59+AKV23*POWER(1-(AnnualChurn*VLOOKUP(AKH59,ChurnSeasonTable,4,FALSE)),3)*PricePremAnnual*AKK59+AKV11*POWER(1-(AnnualChurn*VLOOKUP(AKH59,ChurnSeasonTable,4,FALSE)),4)*PricePremAnnual*AKK59</f>
        <v/>
      </c>
      <c r="ALG59" s="9">
        <f>ALD59+ALE59+ALF59</f>
        <v/>
      </c>
      <c r="ALH59" s="12">
        <f>SUM(ALG48:ALG59)</f>
        <v/>
      </c>
      <c r="ALI59" s="12">
        <f>OR(ALI58,ALH59&gt;=VATThreshold)</f>
        <v/>
      </c>
      <c r="ALJ59" s="9">
        <f>IF(ALI59,ALG59/(1+VATRate),ALG59)</f>
        <v/>
      </c>
      <c r="ALK59" s="12">
        <f>ALG59-ALJ59</f>
        <v/>
      </c>
      <c r="ALL59" s="12">
        <f>IF(ALI59=0,0,IF(AKH59=1,SUMPRODUCT(--(($AKI$5:$AKI59=$AKI59-1)*($AKH$5:$AKH59&gt;=10)*($AKH$5:$AKH59&lt;=12)),$ALK$5:$ALK59),IF(AKH59=4,SUMPRODUCT(--(($AKI$5:$AKI59=$AKI59)*($AKH$5:$AKH59&gt;=1)*($AKH$5:$AKH59&lt;=3)),$ALK$5:$ALK59),IF(AKH59=7,SUMPRODUCT(--(($AKI$5:$AKI59=$AKI59)*($AKH$5:$AKH59&gt;=4)*($AKH$5:$AKH59&lt;=6)),$ALK$5:$ALK59),IF(AKH59=10,SUMPRODUCT(--(($AKI$5:$AKI59=$AKI59)*($AKH$5:$AKH59&gt;=7)*($AKH$5:$AKH59&lt;=9)),$ALK$5:$ALK59),0)))))</f>
        <v/>
      </c>
      <c r="ALM59" s="12">
        <f>ALM58+ALK59-ALL59</f>
        <v/>
      </c>
      <c r="ALN59" s="12">
        <f>IF(ProviderDelay&gt;=1,ALJ58*ProviderShare,ALJ59*ProviderShare)</f>
        <v/>
      </c>
      <c r="ALO59" s="12">
        <f>ALG59*PaymentFee</f>
        <v/>
      </c>
      <c r="ALP59" s="12">
        <f>ALA59*OpsAI</f>
        <v/>
      </c>
      <c r="ALQ59" s="12">
        <f>MonthlyFixed</f>
        <v/>
      </c>
      <c r="ALR59" s="12">
        <f>AKO59*ReferralReward</f>
        <v/>
      </c>
      <c r="ALS59" s="12">
        <f>AKM59</f>
        <v/>
      </c>
      <c r="ALT59" s="9">
        <f>ALJ59-ALN59-ALO59-ALP59-ALQ59-ALR59-ALS59</f>
        <v/>
      </c>
      <c r="ALU59" s="9">
        <f>ALU58+ALG59-(ALN59+ALO59+ALP59+ALQ59+ALR59+ALS59+ALL59)</f>
        <v/>
      </c>
      <c r="ALV59" s="12">
        <f>IF(ALA59&gt;0,ALB59/ALA59,0)</f>
        <v/>
      </c>
      <c r="ALW59" s="11">
        <f>IF(ALA58&gt;0,MAX(0,(ALA58+AKP59-ALA59)/ALA58),0)</f>
        <v/>
      </c>
      <c r="ALY59" s="12" t="n">
        <v>55</v>
      </c>
      <c r="ALZ59" s="12">
        <f>MOD(ALY59-1+LaunchMonth-1,12)+1</f>
        <v/>
      </c>
      <c r="AMA59" s="12">
        <f>INT((ALY59-1+LaunchMonth-1)/12)+1</f>
        <v/>
      </c>
      <c r="AMB59" s="12">
        <f>VLOOKUP(ALZ59,SeasonTable,2,FALSE)</f>
        <v/>
      </c>
      <c r="AMC59" s="12">
        <f>(1+InflationRate)^INT((ALY59-1)/12)</f>
        <v/>
      </c>
      <c r="AMD59" s="11">
        <f>MonthlyChurn*VLOOKUP(ALZ59,ChurnSeasonTable,4,FALSE)</f>
        <v/>
      </c>
      <c r="AME59" s="12">
        <f>MIN(MAX(MktMin19plus,AMY58*MktPct19plus),MAX(0,ANM58-CashBuffer))</f>
        <v/>
      </c>
      <c r="AMF59" s="12">
        <f>IF(AME59&gt;0,MAX(1,ROUND(AME59/'Sens - CAC &amp; Marketing'!$A$13*AMB59,0)),0)</f>
        <v/>
      </c>
      <c r="AMG59" s="12">
        <f>IF(AMF59&gt;0,ROUND(AMF59*ReferralMix/(1-ReferralMix),0),0)</f>
        <v/>
      </c>
      <c r="AMH59" s="12">
        <f>AMF59+AMG59</f>
        <v/>
      </c>
      <c r="AMI59" s="12">
        <f>ROUND(AMH59*(1-AnnualMix),0)</f>
        <v/>
      </c>
      <c r="AMJ59" s="12">
        <f>AMH59-AMI59</f>
        <v/>
      </c>
      <c r="AMK59" s="12">
        <f>ROUND(AMI59*EssentialMix,0)</f>
        <v/>
      </c>
      <c r="AML59" s="12">
        <f>AMI59-AMK59</f>
        <v/>
      </c>
      <c r="AMM59" s="12">
        <f>ROUND(AMJ59*EssentialMix,0)</f>
        <v/>
      </c>
      <c r="AMN59" s="12">
        <f>AMJ59-AMM59</f>
        <v/>
      </c>
      <c r="AMO59" s="12">
        <f>AMK59+AMK58+AMK57+MAX(0,AMO58-AMK58-AMK57)*(1-AMD59)</f>
        <v/>
      </c>
      <c r="AMP59" s="12">
        <f>AML59+AML58+AML57+MAX(0,AMP58-AML58-AML57)*(1-AMD59)</f>
        <v/>
      </c>
      <c r="AMQ59" s="12">
        <f>AMQ58+AMM59-AMM47*(AnnualChurn*VLOOKUP(ALZ59,ChurnSeasonTable,4,FALSE))*POWER(1-(AnnualChurn*VLOOKUP(ALZ59,ChurnSeasonTable,4,FALSE)),0)+AMM35*(AnnualChurn*VLOOKUP(ALZ59,ChurnSeasonTable,4,FALSE))*POWER(1-(AnnualChurn*VLOOKUP(ALZ59,ChurnSeasonTable,4,FALSE)),1)+AMM23*(AnnualChurn*VLOOKUP(ALZ59,ChurnSeasonTable,4,FALSE))*POWER(1-(AnnualChurn*VLOOKUP(ALZ59,ChurnSeasonTable,4,FALSE)),2)+AMM11*(AnnualChurn*VLOOKUP(ALZ59,ChurnSeasonTable,4,FALSE))*POWER(1-(AnnualChurn*VLOOKUP(ALZ59,ChurnSeasonTable,4,FALSE)),3)</f>
        <v/>
      </c>
      <c r="AMR59" s="12">
        <f>AMR58+AMN59-AMN47*(AnnualChurn*VLOOKUP(ALZ59,ChurnSeasonTable,4,FALSE))*POWER(1-(AnnualChurn*VLOOKUP(ALZ59,ChurnSeasonTable,4,FALSE)),0)+AMN35*(AnnualChurn*VLOOKUP(ALZ59,ChurnSeasonTable,4,FALSE))*POWER(1-(AnnualChurn*VLOOKUP(ALZ59,ChurnSeasonTable,4,FALSE)),1)+AMN23*(AnnualChurn*VLOOKUP(ALZ59,ChurnSeasonTable,4,FALSE))*POWER(1-(AnnualChurn*VLOOKUP(ALZ59,ChurnSeasonTable,4,FALSE)),2)+AMN11*(AnnualChurn*VLOOKUP(ALZ59,ChurnSeasonTable,4,FALSE))*POWER(1-(AnnualChurn*VLOOKUP(ALZ59,ChurnSeasonTable,4,FALSE)),3)</f>
        <v/>
      </c>
      <c r="AMS59" s="12">
        <f>AMO59+AMP59+AMQ59+AMR59</f>
        <v/>
      </c>
      <c r="AMT59" s="9">
        <f>AMO59*PriceEssMonthly*AMC59+AMP59*PricePremMonthly*AMC59+AMQ59*PriceEssAnnual*AMC59/12+AMR59*PricePremAnnual*AMC59/12</f>
        <v/>
      </c>
      <c r="AMU59" s="9">
        <f>AMT59*12</f>
        <v/>
      </c>
      <c r="AMV59" s="12">
        <f>AMO59*PriceEssMonthly*AMC59+AMP59*PricePremMonthly*AMC59</f>
        <v/>
      </c>
      <c r="AMW59" s="12">
        <f>AMM59*PriceEssAnnual*AMC59+AMN59*PricePremAnnual*AMC59</f>
        <v/>
      </c>
      <c r="AMX59" s="12">
        <f>AMM47*POWER(1-(AnnualChurn*VLOOKUP(ALZ59,ChurnSeasonTable,4,FALSE)),1)*PriceEssAnnual*AMC59+AMM35*POWER(1-(AnnualChurn*VLOOKUP(ALZ59,ChurnSeasonTable,4,FALSE)),2)*PriceEssAnnual*AMC59+AMM23*POWER(1-(AnnualChurn*VLOOKUP(ALZ59,ChurnSeasonTable,4,FALSE)),3)*PriceEssAnnual*AMC59+AMM11*POWER(1-(AnnualChurn*VLOOKUP(ALZ59,ChurnSeasonTable,4,FALSE)),4)*PriceEssAnnual*AMC59+AMN47*POWER(1-(AnnualChurn*VLOOKUP(ALZ59,ChurnSeasonTable,4,FALSE)),1)*PricePremAnnual*AMC59+AMN35*POWER(1-(AnnualChurn*VLOOKUP(ALZ59,ChurnSeasonTable,4,FALSE)),2)*PricePremAnnual*AMC59+AMN23*POWER(1-(AnnualChurn*VLOOKUP(ALZ59,ChurnSeasonTable,4,FALSE)),3)*PricePremAnnual*AMC59+AMN11*POWER(1-(AnnualChurn*VLOOKUP(ALZ59,ChurnSeasonTable,4,FALSE)),4)*PricePremAnnual*AMC59</f>
        <v/>
      </c>
      <c r="AMY59" s="9">
        <f>AMV59+AMW59+AMX59</f>
        <v/>
      </c>
      <c r="AMZ59" s="12">
        <f>SUM(AMY48:AMY59)</f>
        <v/>
      </c>
      <c r="ANA59" s="12">
        <f>OR(ANA58,AMZ59&gt;=VATThreshold)</f>
        <v/>
      </c>
      <c r="ANB59" s="9">
        <f>IF(ANA59,AMY59/(1+VATRate),AMY59)</f>
        <v/>
      </c>
      <c r="ANC59" s="12">
        <f>AMY59-ANB59</f>
        <v/>
      </c>
      <c r="AND59" s="12">
        <f>IF(ANA59=0,0,IF(ALZ59=1,SUMPRODUCT(--(($AMA$5:$AMA59=$AMA59-1)*($ALZ$5:$ALZ59&gt;=10)*($ALZ$5:$ALZ59&lt;=12)),$ANC$5:$ANC59),IF(ALZ59=4,SUMPRODUCT(--(($AMA$5:$AMA59=$AMA59)*($ALZ$5:$ALZ59&gt;=1)*($ALZ$5:$ALZ59&lt;=3)),$ANC$5:$ANC59),IF(ALZ59=7,SUMPRODUCT(--(($AMA$5:$AMA59=$AMA59)*($ALZ$5:$ALZ59&gt;=4)*($ALZ$5:$ALZ59&lt;=6)),$ANC$5:$ANC59),IF(ALZ59=10,SUMPRODUCT(--(($AMA$5:$AMA59=$AMA59)*($ALZ$5:$ALZ59&gt;=7)*($ALZ$5:$ALZ59&lt;=9)),$ANC$5:$ANC59),0)))))</f>
        <v/>
      </c>
      <c r="ANE59" s="12">
        <f>ANE58+ANC59-AND59</f>
        <v/>
      </c>
      <c r="ANF59" s="12">
        <f>IF(ProviderDelay&gt;=1,ANB58*ProviderShare,ANB59*ProviderShare)</f>
        <v/>
      </c>
      <c r="ANG59" s="12">
        <f>AMY59*PaymentFee</f>
        <v/>
      </c>
      <c r="ANH59" s="12">
        <f>AMS59*OpsAI</f>
        <v/>
      </c>
      <c r="ANI59" s="12">
        <f>MonthlyFixed</f>
        <v/>
      </c>
      <c r="ANJ59" s="12">
        <f>AMG59*ReferralReward</f>
        <v/>
      </c>
      <c r="ANK59" s="12">
        <f>AME59</f>
        <v/>
      </c>
      <c r="ANL59" s="9">
        <f>ANB59-ANF59-ANG59-ANH59-ANI59-ANJ59-ANK59</f>
        <v/>
      </c>
      <c r="ANM59" s="9">
        <f>ANM58+AMY59-(ANF59+ANG59+ANH59+ANI59+ANJ59+ANK59+AND59)</f>
        <v/>
      </c>
      <c r="ANN59" s="12">
        <f>IF(AMS59&gt;0,AMT59/AMS59,0)</f>
        <v/>
      </c>
      <c r="ANO59" s="11">
        <f>IF(AMS58&gt;0,MAX(0,(AMS58+AMH59-AMS59)/AMS58),0)</f>
        <v/>
      </c>
      <c r="ANQ59" s="12" t="n">
        <v>55</v>
      </c>
      <c r="ANR59" s="12">
        <f>MOD(ANQ59-1+LaunchMonth-1,12)+1</f>
        <v/>
      </c>
      <c r="ANS59" s="12">
        <f>INT((ANQ59-1+LaunchMonth-1)/12)+1</f>
        <v/>
      </c>
      <c r="ANT59" s="12">
        <f>VLOOKUP(ANR59,SeasonTable,2,FALSE)</f>
        <v/>
      </c>
      <c r="ANU59" s="12">
        <f>(1+InflationRate)^INT((ANQ59-1)/12)</f>
        <v/>
      </c>
      <c r="ANV59" s="11">
        <f>MonthlyChurn*VLOOKUP(ANR59,ChurnSeasonTable,4,FALSE)</f>
        <v/>
      </c>
      <c r="ANW59" s="12">
        <f>MIN(MAX(MktMin19plus,AOQ58*MktPct19plus),MAX(0,APE58-CashBuffer))</f>
        <v/>
      </c>
      <c r="ANX59" s="12">
        <f>IF(ANW59&gt;0,MAX(1,ROUND(ANW59/'Sens - CAC &amp; Marketing'!$A$14*ANT59,0)),0)</f>
        <v/>
      </c>
      <c r="ANY59" s="12">
        <f>IF(ANX59&gt;0,ROUND(ANX59*ReferralMix/(1-ReferralMix),0),0)</f>
        <v/>
      </c>
      <c r="ANZ59" s="12">
        <f>ANX59+ANY59</f>
        <v/>
      </c>
      <c r="AOA59" s="12">
        <f>ROUND(ANZ59*(1-AnnualMix),0)</f>
        <v/>
      </c>
      <c r="AOB59" s="12">
        <f>ANZ59-AOA59</f>
        <v/>
      </c>
      <c r="AOC59" s="12">
        <f>ROUND(AOA59*EssentialMix,0)</f>
        <v/>
      </c>
      <c r="AOD59" s="12">
        <f>AOA59-AOC59</f>
        <v/>
      </c>
      <c r="AOE59" s="12">
        <f>ROUND(AOB59*EssentialMix,0)</f>
        <v/>
      </c>
      <c r="AOF59" s="12">
        <f>AOB59-AOE59</f>
        <v/>
      </c>
      <c r="AOG59" s="12">
        <f>AOC59+AOC58+AOC57+MAX(0,AOG58-AOC58-AOC57)*(1-ANV59)</f>
        <v/>
      </c>
      <c r="AOH59" s="12">
        <f>AOD59+AOD58+AOD57+MAX(0,AOH58-AOD58-AOD57)*(1-ANV59)</f>
        <v/>
      </c>
      <c r="AOI59" s="12">
        <f>AOI58+AOE59-AOE47*(AnnualChurn*VLOOKUP(ANR59,ChurnSeasonTable,4,FALSE))*POWER(1-(AnnualChurn*VLOOKUP(ANR59,ChurnSeasonTable,4,FALSE)),0)+AOE35*(AnnualChurn*VLOOKUP(ANR59,ChurnSeasonTable,4,FALSE))*POWER(1-(AnnualChurn*VLOOKUP(ANR59,ChurnSeasonTable,4,FALSE)),1)+AOE23*(AnnualChurn*VLOOKUP(ANR59,ChurnSeasonTable,4,FALSE))*POWER(1-(AnnualChurn*VLOOKUP(ANR59,ChurnSeasonTable,4,FALSE)),2)+AOE11*(AnnualChurn*VLOOKUP(ANR59,ChurnSeasonTable,4,FALSE))*POWER(1-(AnnualChurn*VLOOKUP(ANR59,ChurnSeasonTable,4,FALSE)),3)</f>
        <v/>
      </c>
      <c r="AOJ59" s="12">
        <f>AOJ58+AOF59-AOF47*(AnnualChurn*VLOOKUP(ANR59,ChurnSeasonTable,4,FALSE))*POWER(1-(AnnualChurn*VLOOKUP(ANR59,ChurnSeasonTable,4,FALSE)),0)+AOF35*(AnnualChurn*VLOOKUP(ANR59,ChurnSeasonTable,4,FALSE))*POWER(1-(AnnualChurn*VLOOKUP(ANR59,ChurnSeasonTable,4,FALSE)),1)+AOF23*(AnnualChurn*VLOOKUP(ANR59,ChurnSeasonTable,4,FALSE))*POWER(1-(AnnualChurn*VLOOKUP(ANR59,ChurnSeasonTable,4,FALSE)),2)+AOF11*(AnnualChurn*VLOOKUP(ANR59,ChurnSeasonTable,4,FALSE))*POWER(1-(AnnualChurn*VLOOKUP(ANR59,ChurnSeasonTable,4,FALSE)),3)</f>
        <v/>
      </c>
      <c r="AOK59" s="12">
        <f>AOG59+AOH59+AOI59+AOJ59</f>
        <v/>
      </c>
      <c r="AOL59" s="9">
        <f>AOG59*PriceEssMonthly*ANU59+AOH59*PricePremMonthly*ANU59+AOI59*PriceEssAnnual*ANU59/12+AOJ59*PricePremAnnual*ANU59/12</f>
        <v/>
      </c>
      <c r="AOM59" s="9">
        <f>AOL59*12</f>
        <v/>
      </c>
      <c r="AON59" s="12">
        <f>AOG59*PriceEssMonthly*ANU59+AOH59*PricePremMonthly*ANU59</f>
        <v/>
      </c>
      <c r="AOO59" s="12">
        <f>AOE59*PriceEssAnnual*ANU59+AOF59*PricePremAnnual*ANU59</f>
        <v/>
      </c>
      <c r="AOP59" s="12">
        <f>AOE47*POWER(1-(AnnualChurn*VLOOKUP(ANR59,ChurnSeasonTable,4,FALSE)),1)*PriceEssAnnual*ANU59+AOE35*POWER(1-(AnnualChurn*VLOOKUP(ANR59,ChurnSeasonTable,4,FALSE)),2)*PriceEssAnnual*ANU59+AOE23*POWER(1-(AnnualChurn*VLOOKUP(ANR59,ChurnSeasonTable,4,FALSE)),3)*PriceEssAnnual*ANU59+AOE11*POWER(1-(AnnualChurn*VLOOKUP(ANR59,ChurnSeasonTable,4,FALSE)),4)*PriceEssAnnual*ANU59+AOF47*POWER(1-(AnnualChurn*VLOOKUP(ANR59,ChurnSeasonTable,4,FALSE)),1)*PricePremAnnual*ANU59+AOF35*POWER(1-(AnnualChurn*VLOOKUP(ANR59,ChurnSeasonTable,4,FALSE)),2)*PricePremAnnual*ANU59+AOF23*POWER(1-(AnnualChurn*VLOOKUP(ANR59,ChurnSeasonTable,4,FALSE)),3)*PricePremAnnual*ANU59+AOF11*POWER(1-(AnnualChurn*VLOOKUP(ANR59,ChurnSeasonTable,4,FALSE)),4)*PricePremAnnual*ANU59</f>
        <v/>
      </c>
      <c r="AOQ59" s="9">
        <f>AON59+AOO59+AOP59</f>
        <v/>
      </c>
      <c r="AOR59" s="12">
        <f>SUM(AOQ48:AOQ59)</f>
        <v/>
      </c>
      <c r="AOS59" s="12">
        <f>OR(AOS58,AOR59&gt;=VATThreshold)</f>
        <v/>
      </c>
      <c r="AOT59" s="9">
        <f>IF(AOS59,AOQ59/(1+VATRate),AOQ59)</f>
        <v/>
      </c>
      <c r="AOU59" s="12">
        <f>AOQ59-AOT59</f>
        <v/>
      </c>
      <c r="AOV59" s="12">
        <f>IF(AOS59=0,0,IF(ANR59=1,SUMPRODUCT(--(($ANS$5:$ANS59=$ANS59-1)*($ANR$5:$ANR59&gt;=10)*($ANR$5:$ANR59&lt;=12)),$AOU$5:$AOU59),IF(ANR59=4,SUMPRODUCT(--(($ANS$5:$ANS59=$ANS59)*($ANR$5:$ANR59&gt;=1)*($ANR$5:$ANR59&lt;=3)),$AOU$5:$AOU59),IF(ANR59=7,SUMPRODUCT(--(($ANS$5:$ANS59=$ANS59)*($ANR$5:$ANR59&gt;=4)*($ANR$5:$ANR59&lt;=6)),$AOU$5:$AOU59),IF(ANR59=10,SUMPRODUCT(--(($ANS$5:$ANS59=$ANS59)*($ANR$5:$ANR59&gt;=7)*($ANR$5:$ANR59&lt;=9)),$AOU$5:$AOU59),0)))))</f>
        <v/>
      </c>
      <c r="AOW59" s="12">
        <f>AOW58+AOU59-AOV59</f>
        <v/>
      </c>
      <c r="AOX59" s="12">
        <f>IF(ProviderDelay&gt;=1,AOT58*ProviderShare,AOT59*ProviderShare)</f>
        <v/>
      </c>
      <c r="AOY59" s="12">
        <f>AOQ59*PaymentFee</f>
        <v/>
      </c>
      <c r="AOZ59" s="12">
        <f>AOK59*OpsAI</f>
        <v/>
      </c>
      <c r="APA59" s="12">
        <f>MonthlyFixed</f>
        <v/>
      </c>
      <c r="APB59" s="12">
        <f>ANY59*ReferralReward</f>
        <v/>
      </c>
      <c r="APC59" s="12">
        <f>ANW59</f>
        <v/>
      </c>
      <c r="APD59" s="9">
        <f>AOT59-AOX59-AOY59-AOZ59-APA59-APB59-APC59</f>
        <v/>
      </c>
      <c r="APE59" s="9">
        <f>APE58+AOQ59-(AOX59+AOY59+AOZ59+APA59+APB59+APC59+AOV59)</f>
        <v/>
      </c>
      <c r="APF59" s="12">
        <f>IF(AOK59&gt;0,AOL59/AOK59,0)</f>
        <v/>
      </c>
      <c r="APG59" s="11">
        <f>IF(AOK58&gt;0,MAX(0,(AOK58+ANZ59-AOK59)/AOK58),0)</f>
        <v/>
      </c>
      <c r="API59" s="12" t="n">
        <v>55</v>
      </c>
      <c r="APJ59" s="12">
        <f>MOD(API59-1+LaunchMonth-1,12)+1</f>
        <v/>
      </c>
      <c r="APK59" s="12">
        <f>INT((API59-1+LaunchMonth-1)/12)+1</f>
        <v/>
      </c>
      <c r="APL59" s="12">
        <f>VLOOKUP(APJ59,SeasonTable,2,FALSE)</f>
        <v/>
      </c>
      <c r="APM59" s="12">
        <f>(1+InflationRate)^INT((API59-1)/12)</f>
        <v/>
      </c>
      <c r="APN59" s="11">
        <f>MonthlyChurn*VLOOKUP(APJ59,ChurnSeasonTable,4,FALSE)</f>
        <v/>
      </c>
      <c r="APO59" s="12">
        <f>MIN(MAX(MktMin19plus,AQI58*MktPct19plus),MAX(0,AQW58-CashBuffer))</f>
        <v/>
      </c>
      <c r="APP59" s="12">
        <f>IF(APO59&gt;0,MAX(1,ROUND(APO59/'Sens - CAC &amp; Marketing'!$A$15*APL59,0)),0)</f>
        <v/>
      </c>
      <c r="APQ59" s="12">
        <f>IF(APP59&gt;0,ROUND(APP59*ReferralMix/(1-ReferralMix),0),0)</f>
        <v/>
      </c>
      <c r="APR59" s="12">
        <f>APP59+APQ59</f>
        <v/>
      </c>
      <c r="APS59" s="12">
        <f>ROUND(APR59*(1-AnnualMix),0)</f>
        <v/>
      </c>
      <c r="APT59" s="12">
        <f>APR59-APS59</f>
        <v/>
      </c>
      <c r="APU59" s="12">
        <f>ROUND(APS59*EssentialMix,0)</f>
        <v/>
      </c>
      <c r="APV59" s="12">
        <f>APS59-APU59</f>
        <v/>
      </c>
      <c r="APW59" s="12">
        <f>ROUND(APT59*EssentialMix,0)</f>
        <v/>
      </c>
      <c r="APX59" s="12">
        <f>APT59-APW59</f>
        <v/>
      </c>
      <c r="APY59" s="12">
        <f>APU59+APU58+APU57+MAX(0,APY58-APU58-APU57)*(1-APN59)</f>
        <v/>
      </c>
      <c r="APZ59" s="12">
        <f>APV59+APV58+APV57+MAX(0,APZ58-APV58-APV57)*(1-APN59)</f>
        <v/>
      </c>
      <c r="AQA59" s="12">
        <f>AQA58+APW59-APW47*(AnnualChurn*VLOOKUP(APJ59,ChurnSeasonTable,4,FALSE))*POWER(1-(AnnualChurn*VLOOKUP(APJ59,ChurnSeasonTable,4,FALSE)),0)+APW35*(AnnualChurn*VLOOKUP(APJ59,ChurnSeasonTable,4,FALSE))*POWER(1-(AnnualChurn*VLOOKUP(APJ59,ChurnSeasonTable,4,FALSE)),1)+APW23*(AnnualChurn*VLOOKUP(APJ59,ChurnSeasonTable,4,FALSE))*POWER(1-(AnnualChurn*VLOOKUP(APJ59,ChurnSeasonTable,4,FALSE)),2)+APW11*(AnnualChurn*VLOOKUP(APJ59,ChurnSeasonTable,4,FALSE))*POWER(1-(AnnualChurn*VLOOKUP(APJ59,ChurnSeasonTable,4,FALSE)),3)</f>
        <v/>
      </c>
      <c r="AQB59" s="12">
        <f>AQB58+APX59-APX47*(AnnualChurn*VLOOKUP(APJ59,ChurnSeasonTable,4,FALSE))*POWER(1-(AnnualChurn*VLOOKUP(APJ59,ChurnSeasonTable,4,FALSE)),0)+APX35*(AnnualChurn*VLOOKUP(APJ59,ChurnSeasonTable,4,FALSE))*POWER(1-(AnnualChurn*VLOOKUP(APJ59,ChurnSeasonTable,4,FALSE)),1)+APX23*(AnnualChurn*VLOOKUP(APJ59,ChurnSeasonTable,4,FALSE))*POWER(1-(AnnualChurn*VLOOKUP(APJ59,ChurnSeasonTable,4,FALSE)),2)+APX11*(AnnualChurn*VLOOKUP(APJ59,ChurnSeasonTable,4,FALSE))*POWER(1-(AnnualChurn*VLOOKUP(APJ59,ChurnSeasonTable,4,FALSE)),3)</f>
        <v/>
      </c>
      <c r="AQC59" s="12">
        <f>APY59+APZ59+AQA59+AQB59</f>
        <v/>
      </c>
      <c r="AQD59" s="9">
        <f>APY59*PriceEssMonthly*APM59+APZ59*PricePremMonthly*APM59+AQA59*PriceEssAnnual*APM59/12+AQB59*PricePremAnnual*APM59/12</f>
        <v/>
      </c>
      <c r="AQE59" s="9">
        <f>AQD59*12</f>
        <v/>
      </c>
      <c r="AQF59" s="12">
        <f>APY59*PriceEssMonthly*APM59+APZ59*PricePremMonthly*APM59</f>
        <v/>
      </c>
      <c r="AQG59" s="12">
        <f>APW59*PriceEssAnnual*APM59+APX59*PricePremAnnual*APM59</f>
        <v/>
      </c>
      <c r="AQH59" s="12">
        <f>APW47*POWER(1-(AnnualChurn*VLOOKUP(APJ59,ChurnSeasonTable,4,FALSE)),1)*PriceEssAnnual*APM59+APW35*POWER(1-(AnnualChurn*VLOOKUP(APJ59,ChurnSeasonTable,4,FALSE)),2)*PriceEssAnnual*APM59+APW23*POWER(1-(AnnualChurn*VLOOKUP(APJ59,ChurnSeasonTable,4,FALSE)),3)*PriceEssAnnual*APM59+APW11*POWER(1-(AnnualChurn*VLOOKUP(APJ59,ChurnSeasonTable,4,FALSE)),4)*PriceEssAnnual*APM59+APX47*POWER(1-(AnnualChurn*VLOOKUP(APJ59,ChurnSeasonTable,4,FALSE)),1)*PricePremAnnual*APM59+APX35*POWER(1-(AnnualChurn*VLOOKUP(APJ59,ChurnSeasonTable,4,FALSE)),2)*PricePremAnnual*APM59+APX23*POWER(1-(AnnualChurn*VLOOKUP(APJ59,ChurnSeasonTable,4,FALSE)),3)*PricePremAnnual*APM59+APX11*POWER(1-(AnnualChurn*VLOOKUP(APJ59,ChurnSeasonTable,4,FALSE)),4)*PricePremAnnual*APM59</f>
        <v/>
      </c>
      <c r="AQI59" s="9">
        <f>AQF59+AQG59+AQH59</f>
        <v/>
      </c>
      <c r="AQJ59" s="12">
        <f>SUM(AQI48:AQI59)</f>
        <v/>
      </c>
      <c r="AQK59" s="12">
        <f>OR(AQK58,AQJ59&gt;=VATThreshold)</f>
        <v/>
      </c>
      <c r="AQL59" s="9">
        <f>IF(AQK59,AQI59/(1+VATRate),AQI59)</f>
        <v/>
      </c>
      <c r="AQM59" s="12">
        <f>AQI59-AQL59</f>
        <v/>
      </c>
      <c r="AQN59" s="12">
        <f>IF(AQK59=0,0,IF(APJ59=1,SUMPRODUCT(--(($APK$5:$APK59=$APK59-1)*($APJ$5:$APJ59&gt;=10)*($APJ$5:$APJ59&lt;=12)),$AQM$5:$AQM59),IF(APJ59=4,SUMPRODUCT(--(($APK$5:$APK59=$APK59)*($APJ$5:$APJ59&gt;=1)*($APJ$5:$APJ59&lt;=3)),$AQM$5:$AQM59),IF(APJ59=7,SUMPRODUCT(--(($APK$5:$APK59=$APK59)*($APJ$5:$APJ59&gt;=4)*($APJ$5:$APJ59&lt;=6)),$AQM$5:$AQM59),IF(APJ59=10,SUMPRODUCT(--(($APK$5:$APK59=$APK59)*($APJ$5:$APJ59&gt;=7)*($APJ$5:$APJ59&lt;=9)),$AQM$5:$AQM59),0)))))</f>
        <v/>
      </c>
      <c r="AQO59" s="12">
        <f>AQO58+AQM59-AQN59</f>
        <v/>
      </c>
      <c r="AQP59" s="12">
        <f>IF(ProviderDelay&gt;=1,AQL58*ProviderShare,AQL59*ProviderShare)</f>
        <v/>
      </c>
      <c r="AQQ59" s="12">
        <f>AQI59*PaymentFee</f>
        <v/>
      </c>
      <c r="AQR59" s="12">
        <f>AQC59*OpsAI</f>
        <v/>
      </c>
      <c r="AQS59" s="12">
        <f>MonthlyFixed</f>
        <v/>
      </c>
      <c r="AQT59" s="12">
        <f>APQ59*ReferralReward</f>
        <v/>
      </c>
      <c r="AQU59" s="12">
        <f>APO59</f>
        <v/>
      </c>
      <c r="AQV59" s="9">
        <f>AQL59-AQP59-AQQ59-AQR59-AQS59-AQT59-AQU59</f>
        <v/>
      </c>
      <c r="AQW59" s="9">
        <f>AQW58+AQI59-(AQP59+AQQ59+AQR59+AQS59+AQT59+AQU59+AQN59)</f>
        <v/>
      </c>
      <c r="AQX59" s="12">
        <f>IF(AQC59&gt;0,AQD59/AQC59,0)</f>
        <v/>
      </c>
      <c r="AQY59" s="11">
        <f>IF(AQC58&gt;0,MAX(0,(AQC58+APR59-AQC59)/AQC58),0)</f>
        <v/>
      </c>
      <c r="ARA59" s="12" t="n">
        <v>55</v>
      </c>
      <c r="ARB59" s="12">
        <f>MOD(ARA59-1+LaunchMonth-1,12)+1</f>
        <v/>
      </c>
      <c r="ARC59" s="12">
        <f>INT((ARA59-1+LaunchMonth-1)/12)+1</f>
        <v/>
      </c>
      <c r="ARD59" s="12">
        <f>VLOOKUP(ARB59,WinterPivotSeasonTable,5,FALSE)</f>
        <v/>
      </c>
      <c r="ARE59" s="12">
        <f>(1+InflationRate)^INT((ARA59-1)/12)</f>
        <v/>
      </c>
      <c r="ARF59" s="11">
        <f>MonthlyChurn*VLOOKUP(ARB59,WinterPivotChurnTable,6,FALSE)</f>
        <v/>
      </c>
      <c r="ARG59" s="12">
        <f>MIN(MAX(MktMin19plus,ASA58*MktPct19plus),MAX(0,ASO58-CashBuffer))</f>
        <v/>
      </c>
      <c r="ARH59" s="12">
        <f>IF(ARG59&gt;0,MAX(1,ROUND(ARG59/CAC*ARD59,0)),0)</f>
        <v/>
      </c>
      <c r="ARI59" s="12">
        <f>IF(ARH59&gt;0,ROUND(ARH59*ReferralMix/(1-ReferralMix),0),0)</f>
        <v/>
      </c>
      <c r="ARJ59" s="12">
        <f>ARH59+ARI59</f>
        <v/>
      </c>
      <c r="ARK59" s="12">
        <f>ROUND(ARJ59*(1-AnnualMix),0)</f>
        <v/>
      </c>
      <c r="ARL59" s="12">
        <f>ARJ59-ARK59</f>
        <v/>
      </c>
      <c r="ARM59" s="12">
        <f>ROUND(ARK59*'Sens - Winter Pivot'!$B$6,0)</f>
        <v/>
      </c>
      <c r="ARN59" s="12">
        <f>ARK59-ARM59</f>
        <v/>
      </c>
      <c r="ARO59" s="12">
        <f>ROUND(ARL59*'Sens - Winter Pivot'!$B$6,0)</f>
        <v/>
      </c>
      <c r="ARP59" s="12">
        <f>ARL59-ARO59</f>
        <v/>
      </c>
      <c r="ARQ59" s="12">
        <f>ARM59+ARM58+ARM57+MAX(0,ARQ58-ARM58-ARM57)*(1-ARF59)</f>
        <v/>
      </c>
      <c r="ARR59" s="12">
        <f>ARN59+ARN58+ARN57+MAX(0,ARR58-ARN58-ARN57)*(1-ARF59)</f>
        <v/>
      </c>
      <c r="ARS59" s="12">
        <f>ARS58+ARO59-ARO47*(AnnualChurn*VLOOKUP(ARB59,WinterPivotChurnTable,6,FALSE))*POWER(1-(AnnualChurn*VLOOKUP(ARB59,WinterPivotChurnTable,6,FALSE)),0)+ARO35*(AnnualChurn*VLOOKUP(ARB59,WinterPivotChurnTable,6,FALSE))*POWER(1-(AnnualChurn*VLOOKUP(ARB59,WinterPivotChurnTable,6,FALSE)),1)+ARO23*(AnnualChurn*VLOOKUP(ARB59,WinterPivotChurnTable,6,FALSE))*POWER(1-(AnnualChurn*VLOOKUP(ARB59,WinterPivotChurnTable,6,FALSE)),2)+ARO11*(AnnualChurn*VLOOKUP(ARB59,WinterPivotChurnTable,6,FALSE))*POWER(1-(AnnualChurn*VLOOKUP(ARB59,WinterPivotChurnTable,6,FALSE)),3)</f>
        <v/>
      </c>
      <c r="ART59" s="12">
        <f>ART58+ARP59-ARP47*(AnnualChurn*VLOOKUP(ARB59,WinterPivotChurnTable,6,FALSE))*POWER(1-(AnnualChurn*VLOOKUP(ARB59,WinterPivotChurnTable,6,FALSE)),0)+ARP35*(AnnualChurn*VLOOKUP(ARB59,WinterPivotChurnTable,6,FALSE))*POWER(1-(AnnualChurn*VLOOKUP(ARB59,WinterPivotChurnTable,6,FALSE)),1)+ARP23*(AnnualChurn*VLOOKUP(ARB59,WinterPivotChurnTable,6,FALSE))*POWER(1-(AnnualChurn*VLOOKUP(ARB59,WinterPivotChurnTable,6,FALSE)),2)+ARP11*(AnnualChurn*VLOOKUP(ARB59,WinterPivotChurnTable,6,FALSE))*POWER(1-(AnnualChurn*VLOOKUP(ARB59,WinterPivotChurnTable,6,FALSE)),3)</f>
        <v/>
      </c>
      <c r="ARU59" s="12">
        <f>ARQ59+ARR59+ARS59+ART59</f>
        <v/>
      </c>
      <c r="ARV59" s="9">
        <f>ARQ59*PriceEssMonthly*ARE59+ARR59*(PricePremMonthly+'Sens - Winter Pivot'!$B$7)*ARE59+ARS59*PriceEssAnnual*ARE59/12+ART59*(PricePremAnnual+'Sens - Winter Pivot'!$B$7*12)*ARE59/12</f>
        <v/>
      </c>
      <c r="ARW59" s="9">
        <f>ARV59*12</f>
        <v/>
      </c>
      <c r="ARX59" s="12">
        <f>ARQ59*PriceEssMonthly*ARE59+ARR59*(PricePremMonthly+'Sens - Winter Pivot'!$B$7)*ARE59</f>
        <v/>
      </c>
      <c r="ARY59" s="12">
        <f>ARO59*PriceEssAnnual*ARE59+ARP59*(PricePremAnnual+'Sens - Winter Pivot'!$B$7*12)*ARE59</f>
        <v/>
      </c>
      <c r="ARZ59" s="12">
        <f>ARO47*POWER(1-(AnnualChurn*VLOOKUP(ARB59,WinterPivotChurnTable,6,FALSE)),1)*PriceEssAnnual*ARE59+ARO35*POWER(1-(AnnualChurn*VLOOKUP(ARB59,WinterPivotChurnTable,6,FALSE)),2)*PriceEssAnnual*ARE59+ARO23*POWER(1-(AnnualChurn*VLOOKUP(ARB59,WinterPivotChurnTable,6,FALSE)),3)*PriceEssAnnual*ARE59+ARO11*POWER(1-(AnnualChurn*VLOOKUP(ARB59,WinterPivotChurnTable,6,FALSE)),4)*PriceEssAnnual*ARE59+ARP47*POWER(1-(AnnualChurn*VLOOKUP(ARB59,WinterPivotChurnTable,6,FALSE)),1)*PricePremAnnual*ARE59+ARP35*POWER(1-(AnnualChurn*VLOOKUP(ARB59,WinterPivotChurnTable,6,FALSE)),2)*PricePremAnnual*ARE59+ARP23*POWER(1-(AnnualChurn*VLOOKUP(ARB59,WinterPivotChurnTable,6,FALSE)),3)*PricePremAnnual*ARE59+ARP11*POWER(1-(AnnualChurn*VLOOKUP(ARB59,WinterPivotChurnTable,6,FALSE)),4)*PricePremAnnual*ARE59</f>
        <v/>
      </c>
      <c r="ASA59" s="9">
        <f>ARX59+ARY59+ARZ59</f>
        <v/>
      </c>
      <c r="ASB59" s="12">
        <f>SUM(ASA48:ASA59)</f>
        <v/>
      </c>
      <c r="ASC59" s="12">
        <f>OR(ASC58,ASB59&gt;=VATThreshold)</f>
        <v/>
      </c>
      <c r="ASD59" s="9">
        <f>IF(ASC59,ASA59/(1+VATRate),ASA59)</f>
        <v/>
      </c>
      <c r="ASE59" s="12">
        <f>ASA59-ASD59</f>
        <v/>
      </c>
      <c r="ASF59" s="12">
        <f>IF(ASC59=0,0,IF(ARB59=1,SUMPRODUCT(--(($ARC$5:$ARC59=$ARC59-1)*($ARB$5:$ARB59&gt;=10)*($ARB$5:$ARB59&lt;=12)),$ASE$5:$ASE59),IF(ARB59=4,SUMPRODUCT(--(($ARC$5:$ARC59=$ARC59)*($ARB$5:$ARB59&gt;=1)*($ARB$5:$ARB59&lt;=3)),$ASE$5:$ASE59),IF(ARB59=7,SUMPRODUCT(--(($ARC$5:$ARC59=$ARC59)*($ARB$5:$ARB59&gt;=4)*($ARB$5:$ARB59&lt;=6)),$ASE$5:$ASE59),IF(ARB59=10,SUMPRODUCT(--(($ARC$5:$ARC59=$ARC59)*($ARB$5:$ARB59&gt;=7)*($ARB$5:$ARB59&lt;=9)),$ASE$5:$ASE59),0)))))</f>
        <v/>
      </c>
      <c r="ASG59" s="12">
        <f>ASG58+ASE59-ASF59</f>
        <v/>
      </c>
      <c r="ASH59" s="12">
        <f>IF(ProviderDelay&gt;=1,ASD58*ProviderShare,ASD59*ProviderShare)</f>
        <v/>
      </c>
      <c r="ASI59" s="12">
        <f>ASA59*PaymentFee</f>
        <v/>
      </c>
      <c r="ASJ59" s="12">
        <f>ARU59*OpsAI</f>
        <v/>
      </c>
      <c r="ASK59" s="12">
        <f>MonthlyFixed</f>
        <v/>
      </c>
      <c r="ASL59" s="12">
        <f>ARI59*ReferralReward</f>
        <v/>
      </c>
      <c r="ASM59" s="12">
        <f>ARG59</f>
        <v/>
      </c>
      <c r="ASN59" s="9">
        <f>ASD59-ASH59-ASI59-ASJ59-ASK59-ASL59-ASM59</f>
        <v/>
      </c>
      <c r="ASO59" s="9">
        <f>ASO58+ASA59-(ASH59+ASI59+ASJ59+ASK59+ASL59+ASM59+ASF59)</f>
        <v/>
      </c>
      <c r="ASP59" s="12">
        <f>IF(ARU59&gt;0,ARV59/ARU59,0)</f>
        <v/>
      </c>
      <c r="ASQ59" s="11">
        <f>IF(ARU58&gt;0,MAX(0,(ARU58+ARJ59-ARU59)/ARU58),0)</f>
        <v/>
      </c>
    </row>
    <row r="60">
      <c r="A60" s="12" t="n">
        <v>56</v>
      </c>
      <c r="B60" s="12">
        <f>MOD(A60-1+LaunchMonth-1,12)+1</f>
        <v/>
      </c>
      <c r="C60" s="12">
        <f>INT((A60-1+LaunchMonth-1)/12)+1</f>
        <v/>
      </c>
      <c r="D60" s="12">
        <f>VLOOKUP(B60,SeasonTable,2,FALSE)</f>
        <v/>
      </c>
      <c r="E60" s="12">
        <f>(1+InflationRate)^INT((A60-1)/12)</f>
        <v/>
      </c>
      <c r="F60" s="11">
        <f>'Sens - Scenarios'!$B$5*VLOOKUP(B60,ChurnSeasonTable,4,FALSE)</f>
        <v/>
      </c>
      <c r="G60" s="12">
        <f>MIN(MAX(MktMin19plus,AA59*MktPct19plus),MAX(0,AO59-CashBuffer))</f>
        <v/>
      </c>
      <c r="H60" s="12">
        <f>IF(G60&gt;0,MAX(1,ROUND(G60/'Sens - Scenarios'!$B$8*D60,0)),0)</f>
        <v/>
      </c>
      <c r="I60" s="12">
        <f>IF(H60&gt;0,ROUND(H60*ReferralMix/(1-ReferralMix),0),0)</f>
        <v/>
      </c>
      <c r="J60" s="12">
        <f>H60+I60</f>
        <v/>
      </c>
      <c r="K60" s="12">
        <f>ROUND(J60*(1-'Sens - Scenarios'!$B$7),0)</f>
        <v/>
      </c>
      <c r="L60" s="12">
        <f>J60-K60</f>
        <v/>
      </c>
      <c r="M60" s="12">
        <f>ROUND(K60*EssentialMix,0)</f>
        <v/>
      </c>
      <c r="N60" s="12">
        <f>K60-M60</f>
        <v/>
      </c>
      <c r="O60" s="12">
        <f>ROUND(L60*EssentialMix,0)</f>
        <v/>
      </c>
      <c r="P60" s="12">
        <f>L60-O60</f>
        <v/>
      </c>
      <c r="Q60" s="12">
        <f>M60+M59+M58+MAX(0,Q59-M59-M58)*(1-F60)</f>
        <v/>
      </c>
      <c r="R60" s="12">
        <f>N60+N59+N58+MAX(0,R59-N59-N58)*(1-F60)</f>
        <v/>
      </c>
      <c r="S60" s="12">
        <f>S59+O60-O48*('Sens - Scenarios'!$B$6*VLOOKUP(B60,ChurnSeasonTable,4,FALSE))*POWER(1-('Sens - Scenarios'!$B$6*VLOOKUP(B60,ChurnSeasonTable,4,FALSE)),0)+O36*('Sens - Scenarios'!$B$6*VLOOKUP(B60,ChurnSeasonTable,4,FALSE))*POWER(1-('Sens - Scenarios'!$B$6*VLOOKUP(B60,ChurnSeasonTable,4,FALSE)),1)+O24*('Sens - Scenarios'!$B$6*VLOOKUP(B60,ChurnSeasonTable,4,FALSE))*POWER(1-('Sens - Scenarios'!$B$6*VLOOKUP(B60,ChurnSeasonTable,4,FALSE)),2)+O12*('Sens - Scenarios'!$B$6*VLOOKUP(B60,ChurnSeasonTable,4,FALSE))*POWER(1-('Sens - Scenarios'!$B$6*VLOOKUP(B60,ChurnSeasonTable,4,FALSE)),3)</f>
        <v/>
      </c>
      <c r="T60" s="12">
        <f>T59+P60-P48*('Sens - Scenarios'!$B$6*VLOOKUP(B60,ChurnSeasonTable,4,FALSE))*POWER(1-('Sens - Scenarios'!$B$6*VLOOKUP(B60,ChurnSeasonTable,4,FALSE)),0)+P36*('Sens - Scenarios'!$B$6*VLOOKUP(B60,ChurnSeasonTable,4,FALSE))*POWER(1-('Sens - Scenarios'!$B$6*VLOOKUP(B60,ChurnSeasonTable,4,FALSE)),1)+P24*('Sens - Scenarios'!$B$6*VLOOKUP(B60,ChurnSeasonTable,4,FALSE))*POWER(1-('Sens - Scenarios'!$B$6*VLOOKUP(B60,ChurnSeasonTable,4,FALSE)),2)+P12*('Sens - Scenarios'!$B$6*VLOOKUP(B60,ChurnSeasonTable,4,FALSE))*POWER(1-('Sens - Scenarios'!$B$6*VLOOKUP(B60,ChurnSeasonTable,4,FALSE)),3)</f>
        <v/>
      </c>
      <c r="U60" s="12">
        <f>Q60+R60+S60+T60</f>
        <v/>
      </c>
      <c r="V60" s="9">
        <f>Q60*PriceEssMonthly*E60+R60*PricePremMonthly*E60+S60*PriceEssAnnual*E60/12+T60*PricePremAnnual*E60/12</f>
        <v/>
      </c>
      <c r="W60" s="9">
        <f>V60*12</f>
        <v/>
      </c>
      <c r="X60" s="12">
        <f>Q60*PriceEssMonthly*E60+R60*PricePremMonthly*E60</f>
        <v/>
      </c>
      <c r="Y60" s="12">
        <f>O60*PriceEssAnnual*E60+P60*PricePremAnnual*E60</f>
        <v/>
      </c>
      <c r="Z60" s="12">
        <f>O48*POWER(1-('Sens - Scenarios'!$B$6*VLOOKUP(B60,ChurnSeasonTable,4,FALSE)),1)*PriceEssAnnual*E60+O36*POWER(1-('Sens - Scenarios'!$B$6*VLOOKUP(B60,ChurnSeasonTable,4,FALSE)),2)*PriceEssAnnual*E60+O24*POWER(1-('Sens - Scenarios'!$B$6*VLOOKUP(B60,ChurnSeasonTable,4,FALSE)),3)*PriceEssAnnual*E60+O12*POWER(1-('Sens - Scenarios'!$B$6*VLOOKUP(B60,ChurnSeasonTable,4,FALSE)),4)*PriceEssAnnual*E60+P48*POWER(1-('Sens - Scenarios'!$B$6*VLOOKUP(B60,ChurnSeasonTable,4,FALSE)),1)*PricePremAnnual*E60+P36*POWER(1-('Sens - Scenarios'!$B$6*VLOOKUP(B60,ChurnSeasonTable,4,FALSE)),2)*PricePremAnnual*E60+P24*POWER(1-('Sens - Scenarios'!$B$6*VLOOKUP(B60,ChurnSeasonTable,4,FALSE)),3)*PricePremAnnual*E60+P12*POWER(1-('Sens - Scenarios'!$B$6*VLOOKUP(B60,ChurnSeasonTable,4,FALSE)),4)*PricePremAnnual*E60</f>
        <v/>
      </c>
      <c r="AA60" s="9">
        <f>X60+Y60+Z60</f>
        <v/>
      </c>
      <c r="AB60" s="12">
        <f>SUM(AA49:AA60)</f>
        <v/>
      </c>
      <c r="AC60" s="12">
        <f>OR(AC59,AB60&gt;=VATThreshold)</f>
        <v/>
      </c>
      <c r="AD60" s="9">
        <f>IF(AC60,AA60/(1+VATRate),AA60)</f>
        <v/>
      </c>
      <c r="AE60" s="12">
        <f>AA60-AD60</f>
        <v/>
      </c>
      <c r="AF60" s="12">
        <f>IF(AC60=0,0,IF(B60=1,SUMPRODUCT(--(($C$5:$C60=$C60-1)*($B$5:$B60&gt;=10)*($B$5:$B60&lt;=12)),$AE$5:$AE60),IF(B60=4,SUMPRODUCT(--(($C$5:$C60=$C60)*($B$5:$B60&gt;=1)*($B$5:$B60&lt;=3)),$AE$5:$AE60),IF(B60=7,SUMPRODUCT(--(($C$5:$C60=$C60)*($B$5:$B60&gt;=4)*($B$5:$B60&lt;=6)),$AE$5:$AE60),IF(B60=10,SUMPRODUCT(--(($C$5:$C60=$C60)*($B$5:$B60&gt;=7)*($B$5:$B60&lt;=9)),$AE$5:$AE60),0)))))</f>
        <v/>
      </c>
      <c r="AG60" s="12">
        <f>AG59+AE60-AF60</f>
        <v/>
      </c>
      <c r="AH60" s="12">
        <f>IF(ProviderDelay&gt;=1,AD59*ProviderShare,AD60*ProviderShare)</f>
        <v/>
      </c>
      <c r="AI60" s="12">
        <f>AA60*PaymentFee</f>
        <v/>
      </c>
      <c r="AJ60" s="12">
        <f>U60*OpsAI</f>
        <v/>
      </c>
      <c r="AK60" s="12">
        <f>MonthlyFixed</f>
        <v/>
      </c>
      <c r="AL60" s="12">
        <f>I60*ReferralReward</f>
        <v/>
      </c>
      <c r="AM60" s="12">
        <f>G60</f>
        <v/>
      </c>
      <c r="AN60" s="9">
        <f>AD60-AH60-AI60-AJ60-AK60-AL60-AM60</f>
        <v/>
      </c>
      <c r="AO60" s="9">
        <f>AO59+AA60-(AH60+AI60+AJ60+AK60+AL60+AM60+AF60)</f>
        <v/>
      </c>
      <c r="AP60" s="12">
        <f>IF(U60&gt;0,V60/U60,0)</f>
        <v/>
      </c>
      <c r="AQ60" s="11">
        <f>IF(U59&gt;0,MAX(0,(U59+J60-U60)/U59),0)</f>
        <v/>
      </c>
      <c r="AS60" s="12" t="n">
        <v>56</v>
      </c>
      <c r="AT60" s="12">
        <f>MOD(AS60-1+LaunchMonth-1,12)+1</f>
        <v/>
      </c>
      <c r="AU60" s="12">
        <f>INT((AS60-1+LaunchMonth-1)/12)+1</f>
        <v/>
      </c>
      <c r="AV60" s="12">
        <f>VLOOKUP(AT60,SeasonTable,2,FALSE)</f>
        <v/>
      </c>
      <c r="AW60" s="12">
        <f>(1+InflationRate)^INT((AS60-1)/12)</f>
        <v/>
      </c>
      <c r="AX60" s="11">
        <f>MonthlyChurn*VLOOKUP(AT60,ChurnSeasonTable,4,FALSE)</f>
        <v/>
      </c>
      <c r="AY60" s="12">
        <f>MIN(MAX(MktMin19plus,BS59*MktPct19plus),MAX(0,CG59-CashBuffer))</f>
        <v/>
      </c>
      <c r="AZ60" s="12">
        <f>IF(AY60&gt;0,MAX(1,ROUND(AY60/CAC*AV60,0)),0)</f>
        <v/>
      </c>
      <c r="BA60" s="12">
        <f>IF(AZ60&gt;0,ROUND(AZ60*ReferralMix/(1-ReferralMix),0),0)</f>
        <v/>
      </c>
      <c r="BB60" s="12">
        <f>AZ60+BA60</f>
        <v/>
      </c>
      <c r="BC60" s="12">
        <f>ROUND(BB60*(1-AnnualMix),0)</f>
        <v/>
      </c>
      <c r="BD60" s="12">
        <f>BB60-BC60</f>
        <v/>
      </c>
      <c r="BE60" s="12">
        <f>ROUND(BC60*EssentialMix,0)</f>
        <v/>
      </c>
      <c r="BF60" s="12">
        <f>BC60-BE60</f>
        <v/>
      </c>
      <c r="BG60" s="12">
        <f>ROUND(BD60*EssentialMix,0)</f>
        <v/>
      </c>
      <c r="BH60" s="12">
        <f>BD60-BG60</f>
        <v/>
      </c>
      <c r="BI60" s="12">
        <f>BE60+BE59+BE58+MAX(0,BI59-BE59-BE58)*(1-AX60)</f>
        <v/>
      </c>
      <c r="BJ60" s="12">
        <f>BF60+BF59+BF58+MAX(0,BJ59-BF59-BF58)*(1-AX60)</f>
        <v/>
      </c>
      <c r="BK60" s="12">
        <f>BK59+BG60-BG48*(AnnualChurn*VLOOKUP(AT60,ChurnSeasonTable,4,FALSE))*POWER(1-(AnnualChurn*VLOOKUP(AT60,ChurnSeasonTable,4,FALSE)),0)+BG36*(AnnualChurn*VLOOKUP(AT60,ChurnSeasonTable,4,FALSE))*POWER(1-(AnnualChurn*VLOOKUP(AT60,ChurnSeasonTable,4,FALSE)),1)+BG24*(AnnualChurn*VLOOKUP(AT60,ChurnSeasonTable,4,FALSE))*POWER(1-(AnnualChurn*VLOOKUP(AT60,ChurnSeasonTable,4,FALSE)),2)+BG12*(AnnualChurn*VLOOKUP(AT60,ChurnSeasonTable,4,FALSE))*POWER(1-(AnnualChurn*VLOOKUP(AT60,ChurnSeasonTable,4,FALSE)),3)</f>
        <v/>
      </c>
      <c r="BL60" s="12">
        <f>BL59+BH60-BH48*(AnnualChurn*VLOOKUP(AT60,ChurnSeasonTable,4,FALSE))*POWER(1-(AnnualChurn*VLOOKUP(AT60,ChurnSeasonTable,4,FALSE)),0)+BH36*(AnnualChurn*VLOOKUP(AT60,ChurnSeasonTable,4,FALSE))*POWER(1-(AnnualChurn*VLOOKUP(AT60,ChurnSeasonTable,4,FALSE)),1)+BH24*(AnnualChurn*VLOOKUP(AT60,ChurnSeasonTable,4,FALSE))*POWER(1-(AnnualChurn*VLOOKUP(AT60,ChurnSeasonTable,4,FALSE)),2)+BH12*(AnnualChurn*VLOOKUP(AT60,ChurnSeasonTable,4,FALSE))*POWER(1-(AnnualChurn*VLOOKUP(AT60,ChurnSeasonTable,4,FALSE)),3)</f>
        <v/>
      </c>
      <c r="BM60" s="12">
        <f>BI60+BJ60+BK60+BL60</f>
        <v/>
      </c>
      <c r="BN60" s="9">
        <f>BI60*PriceEssMonthly*AW60+BJ60*PricePremMonthly*AW60+BK60*PriceEssAnnual*AW60/12+BL60*PricePremAnnual*AW60/12</f>
        <v/>
      </c>
      <c r="BO60" s="9">
        <f>BN60*12</f>
        <v/>
      </c>
      <c r="BP60" s="12">
        <f>BI60*PriceEssMonthly*AW60+BJ60*PricePremMonthly*AW60</f>
        <v/>
      </c>
      <c r="BQ60" s="12">
        <f>BG60*PriceEssAnnual*AW60+BH60*PricePremAnnual*AW60</f>
        <v/>
      </c>
      <c r="BR60" s="12">
        <f>BG48*POWER(1-(AnnualChurn*VLOOKUP(AT60,ChurnSeasonTable,4,FALSE)),1)*PriceEssAnnual*AW60+BG36*POWER(1-(AnnualChurn*VLOOKUP(AT60,ChurnSeasonTable,4,FALSE)),2)*PriceEssAnnual*AW60+BG24*POWER(1-(AnnualChurn*VLOOKUP(AT60,ChurnSeasonTable,4,FALSE)),3)*PriceEssAnnual*AW60+BG12*POWER(1-(AnnualChurn*VLOOKUP(AT60,ChurnSeasonTable,4,FALSE)),4)*PriceEssAnnual*AW60+BH48*POWER(1-(AnnualChurn*VLOOKUP(AT60,ChurnSeasonTable,4,FALSE)),1)*PricePremAnnual*AW60+BH36*POWER(1-(AnnualChurn*VLOOKUP(AT60,ChurnSeasonTable,4,FALSE)),2)*PricePremAnnual*AW60+BH24*POWER(1-(AnnualChurn*VLOOKUP(AT60,ChurnSeasonTable,4,FALSE)),3)*PricePremAnnual*AW60+BH12*POWER(1-(AnnualChurn*VLOOKUP(AT60,ChurnSeasonTable,4,FALSE)),4)*PricePremAnnual*AW60</f>
        <v/>
      </c>
      <c r="BS60" s="9">
        <f>BP60+BQ60+BR60</f>
        <v/>
      </c>
      <c r="BT60" s="12">
        <f>SUM(BS49:BS60)</f>
        <v/>
      </c>
      <c r="BU60" s="12">
        <f>OR(BU59,BT60&gt;=VATThreshold)</f>
        <v/>
      </c>
      <c r="BV60" s="9">
        <f>IF(BU60,BS60/(1+VATRate),BS60)</f>
        <v/>
      </c>
      <c r="BW60" s="12">
        <f>BS60-BV60</f>
        <v/>
      </c>
      <c r="BX60" s="12">
        <f>IF(BU60=0,0,IF(AT60=1,SUMPRODUCT(--(($AU$5:$AU60=$AU60-1)*($AT$5:$AT60&gt;=10)*($AT$5:$AT60&lt;=12)),$BW$5:$BW60),IF(AT60=4,SUMPRODUCT(--(($AU$5:$AU60=$AU60)*($AT$5:$AT60&gt;=1)*($AT$5:$AT60&lt;=3)),$BW$5:$BW60),IF(AT60=7,SUMPRODUCT(--(($AU$5:$AU60=$AU60)*($AT$5:$AT60&gt;=4)*($AT$5:$AT60&lt;=6)),$BW$5:$BW60),IF(AT60=10,SUMPRODUCT(--(($AU$5:$AU60=$AU60)*($AT$5:$AT60&gt;=7)*($AT$5:$AT60&lt;=9)),$BW$5:$BW60),0)))))</f>
        <v/>
      </c>
      <c r="BY60" s="12">
        <f>BY59+BW60-BX60</f>
        <v/>
      </c>
      <c r="BZ60" s="12">
        <f>IF(ProviderDelay&gt;=1,BV59*ProviderShare,BV60*ProviderShare)</f>
        <v/>
      </c>
      <c r="CA60" s="12">
        <f>BS60*PaymentFee</f>
        <v/>
      </c>
      <c r="CB60" s="12">
        <f>BM60*OpsAI</f>
        <v/>
      </c>
      <c r="CC60" s="12">
        <f>MonthlyFixed</f>
        <v/>
      </c>
      <c r="CD60" s="12">
        <f>BA60*ReferralReward</f>
        <v/>
      </c>
      <c r="CE60" s="12">
        <f>AY60</f>
        <v/>
      </c>
      <c r="CF60" s="9">
        <f>BV60-BZ60-CA60-CB60-CC60-CD60-CE60</f>
        <v/>
      </c>
      <c r="CG60" s="9">
        <f>CG59+BS60-(BZ60+CA60+CB60+CC60+CD60+CE60+BX60)</f>
        <v/>
      </c>
      <c r="CH60" s="12">
        <f>IF(BM60&gt;0,BN60/BM60,0)</f>
        <v/>
      </c>
      <c r="CI60" s="11">
        <f>IF(BM59&gt;0,MAX(0,(BM59+BB60-BM60)/BM59),0)</f>
        <v/>
      </c>
      <c r="CK60" s="12" t="n">
        <v>56</v>
      </c>
      <c r="CL60" s="12">
        <f>MOD(CK60-1+LaunchMonth-1,12)+1</f>
        <v/>
      </c>
      <c r="CM60" s="12">
        <f>INT((CK60-1+LaunchMonth-1)/12)+1</f>
        <v/>
      </c>
      <c r="CN60" s="12">
        <f>VLOOKUP(CL60,SeasonTable,2,FALSE)</f>
        <v/>
      </c>
      <c r="CO60" s="12">
        <f>(1+InflationRate)^INT((CK60-1)/12)</f>
        <v/>
      </c>
      <c r="CP60" s="11">
        <f>'Sens - Scenarios'!$D$5*VLOOKUP(CL60,ChurnSeasonTable,4,FALSE)</f>
        <v/>
      </c>
      <c r="CQ60" s="12">
        <f>MIN(MAX(MktMin19plus,DK59*MktPct19plus),MAX(0,DY59-CashBuffer))</f>
        <v/>
      </c>
      <c r="CR60" s="12">
        <f>IF(CQ60&gt;0,MAX(1,ROUND(CQ60/'Sens - Scenarios'!$D$8*CN60,0)),0)</f>
        <v/>
      </c>
      <c r="CS60" s="12">
        <f>IF(CR60&gt;0,ROUND(CR60*ReferralMix/(1-ReferralMix),0),0)</f>
        <v/>
      </c>
      <c r="CT60" s="12">
        <f>CR60+CS60</f>
        <v/>
      </c>
      <c r="CU60" s="12">
        <f>ROUND(CT60*(1-'Sens - Scenarios'!$D$7),0)</f>
        <v/>
      </c>
      <c r="CV60" s="12">
        <f>CT60-CU60</f>
        <v/>
      </c>
      <c r="CW60" s="12">
        <f>ROUND(CU60*EssentialMix,0)</f>
        <v/>
      </c>
      <c r="CX60" s="12">
        <f>CU60-CW60</f>
        <v/>
      </c>
      <c r="CY60" s="12">
        <f>ROUND(CV60*EssentialMix,0)</f>
        <v/>
      </c>
      <c r="CZ60" s="12">
        <f>CV60-CY60</f>
        <v/>
      </c>
      <c r="DA60" s="12">
        <f>CW60+CW59+CW58+MAX(0,DA59-CW59-CW58)*(1-CP60)</f>
        <v/>
      </c>
      <c r="DB60" s="12">
        <f>CX60+CX59+CX58+MAX(0,DB59-CX59-CX58)*(1-CP60)</f>
        <v/>
      </c>
      <c r="DC60" s="12">
        <f>DC59+CY60-CY48*('Sens - Scenarios'!$D$6*VLOOKUP(CL60,ChurnSeasonTable,4,FALSE))*POWER(1-('Sens - Scenarios'!$D$6*VLOOKUP(CL60,ChurnSeasonTable,4,FALSE)),0)+CY36*('Sens - Scenarios'!$D$6*VLOOKUP(CL60,ChurnSeasonTable,4,FALSE))*POWER(1-('Sens - Scenarios'!$D$6*VLOOKUP(CL60,ChurnSeasonTable,4,FALSE)),1)+CY24*('Sens - Scenarios'!$D$6*VLOOKUP(CL60,ChurnSeasonTable,4,FALSE))*POWER(1-('Sens - Scenarios'!$D$6*VLOOKUP(CL60,ChurnSeasonTable,4,FALSE)),2)+CY12*('Sens - Scenarios'!$D$6*VLOOKUP(CL60,ChurnSeasonTable,4,FALSE))*POWER(1-('Sens - Scenarios'!$D$6*VLOOKUP(CL60,ChurnSeasonTable,4,FALSE)),3)</f>
        <v/>
      </c>
      <c r="DD60" s="12">
        <f>DD59+CZ60-CZ48*('Sens - Scenarios'!$D$6*VLOOKUP(CL60,ChurnSeasonTable,4,FALSE))*POWER(1-('Sens - Scenarios'!$D$6*VLOOKUP(CL60,ChurnSeasonTable,4,FALSE)),0)+CZ36*('Sens - Scenarios'!$D$6*VLOOKUP(CL60,ChurnSeasonTable,4,FALSE))*POWER(1-('Sens - Scenarios'!$D$6*VLOOKUP(CL60,ChurnSeasonTable,4,FALSE)),1)+CZ24*('Sens - Scenarios'!$D$6*VLOOKUP(CL60,ChurnSeasonTable,4,FALSE))*POWER(1-('Sens - Scenarios'!$D$6*VLOOKUP(CL60,ChurnSeasonTable,4,FALSE)),2)+CZ12*('Sens - Scenarios'!$D$6*VLOOKUP(CL60,ChurnSeasonTable,4,FALSE))*POWER(1-('Sens - Scenarios'!$D$6*VLOOKUP(CL60,ChurnSeasonTable,4,FALSE)),3)</f>
        <v/>
      </c>
      <c r="DE60" s="12">
        <f>DA60+DB60+DC60+DD60</f>
        <v/>
      </c>
      <c r="DF60" s="9">
        <f>DA60*PriceEssMonthly*CO60+DB60*PricePremMonthly*CO60+DC60*PriceEssAnnual*CO60/12+DD60*PricePremAnnual*CO60/12</f>
        <v/>
      </c>
      <c r="DG60" s="9">
        <f>DF60*12</f>
        <v/>
      </c>
      <c r="DH60" s="12">
        <f>DA60*PriceEssMonthly*CO60+DB60*PricePremMonthly*CO60</f>
        <v/>
      </c>
      <c r="DI60" s="12">
        <f>CY60*PriceEssAnnual*CO60+CZ60*PricePremAnnual*CO60</f>
        <v/>
      </c>
      <c r="DJ60" s="12">
        <f>CY48*POWER(1-('Sens - Scenarios'!$D$6*VLOOKUP(CL60,ChurnSeasonTable,4,FALSE)),1)*PriceEssAnnual*CO60+CY36*POWER(1-('Sens - Scenarios'!$D$6*VLOOKUP(CL60,ChurnSeasonTable,4,FALSE)),2)*PriceEssAnnual*CO60+CY24*POWER(1-('Sens - Scenarios'!$D$6*VLOOKUP(CL60,ChurnSeasonTable,4,FALSE)),3)*PriceEssAnnual*CO60+CY12*POWER(1-('Sens - Scenarios'!$D$6*VLOOKUP(CL60,ChurnSeasonTable,4,FALSE)),4)*PriceEssAnnual*CO60+CZ48*POWER(1-('Sens - Scenarios'!$D$6*VLOOKUP(CL60,ChurnSeasonTable,4,FALSE)),1)*PricePremAnnual*CO60+CZ36*POWER(1-('Sens - Scenarios'!$D$6*VLOOKUP(CL60,ChurnSeasonTable,4,FALSE)),2)*PricePremAnnual*CO60+CZ24*POWER(1-('Sens - Scenarios'!$D$6*VLOOKUP(CL60,ChurnSeasonTable,4,FALSE)),3)*PricePremAnnual*CO60+CZ12*POWER(1-('Sens - Scenarios'!$D$6*VLOOKUP(CL60,ChurnSeasonTable,4,FALSE)),4)*PricePremAnnual*CO60</f>
        <v/>
      </c>
      <c r="DK60" s="9">
        <f>DH60+DI60+DJ60</f>
        <v/>
      </c>
      <c r="DL60" s="12">
        <f>SUM(DK49:DK60)</f>
        <v/>
      </c>
      <c r="DM60" s="12">
        <f>OR(DM59,DL60&gt;=VATThreshold)</f>
        <v/>
      </c>
      <c r="DN60" s="9">
        <f>IF(DM60,DK60/(1+VATRate),DK60)</f>
        <v/>
      </c>
      <c r="DO60" s="12">
        <f>DK60-DN60</f>
        <v/>
      </c>
      <c r="DP60" s="12">
        <f>IF(DM60=0,0,IF(CL60=1,SUMPRODUCT(--(($CM$5:$CM60=$CM60-1)*($CL$5:$CL60&gt;=10)*($CL$5:$CL60&lt;=12)),$DO$5:$DO60),IF(CL60=4,SUMPRODUCT(--(($CM$5:$CM60=$CM60)*($CL$5:$CL60&gt;=1)*($CL$5:$CL60&lt;=3)),$DO$5:$DO60),IF(CL60=7,SUMPRODUCT(--(($CM$5:$CM60=$CM60)*($CL$5:$CL60&gt;=4)*($CL$5:$CL60&lt;=6)),$DO$5:$DO60),IF(CL60=10,SUMPRODUCT(--(($CM$5:$CM60=$CM60)*($CL$5:$CL60&gt;=7)*($CL$5:$CL60&lt;=9)),$DO$5:$DO60),0)))))</f>
        <v/>
      </c>
      <c r="DQ60" s="12">
        <f>DQ59+DO60-DP60</f>
        <v/>
      </c>
      <c r="DR60" s="12">
        <f>IF(ProviderDelay&gt;=1,DN59*ProviderShare,DN60*ProviderShare)</f>
        <v/>
      </c>
      <c r="DS60" s="12">
        <f>DK60*PaymentFee</f>
        <v/>
      </c>
      <c r="DT60" s="12">
        <f>DE60*OpsAI</f>
        <v/>
      </c>
      <c r="DU60" s="12">
        <f>MonthlyFixed</f>
        <v/>
      </c>
      <c r="DV60" s="12">
        <f>CS60*ReferralReward</f>
        <v/>
      </c>
      <c r="DW60" s="12">
        <f>CQ60</f>
        <v/>
      </c>
      <c r="DX60" s="9">
        <f>DN60-DR60-DS60-DT60-DU60-DV60-DW60</f>
        <v/>
      </c>
      <c r="DY60" s="9">
        <f>DY59+DK60-(DR60+DS60+DT60+DU60+DV60+DW60+DP60)</f>
        <v/>
      </c>
      <c r="DZ60" s="12">
        <f>IF(DE60&gt;0,DF60/DE60,0)</f>
        <v/>
      </c>
      <c r="EA60" s="11">
        <f>IF(DE59&gt;0,MAX(0,(DE59+CT60-DE60)/DE59),0)</f>
        <v/>
      </c>
      <c r="EC60" s="12" t="n">
        <v>56</v>
      </c>
      <c r="ED60" s="12">
        <f>MOD(EC60-1+LaunchMonth-1,12)+1</f>
        <v/>
      </c>
      <c r="EE60" s="12">
        <f>INT((EC60-1+LaunchMonth-1)/12)+1</f>
        <v/>
      </c>
      <c r="EF60" s="12">
        <f>VLOOKUP(ED60,SeasonTable,2,FALSE)</f>
        <v/>
      </c>
      <c r="EG60" s="12">
        <f>(1+InflationRate)^INT((EC60-1)/12)</f>
        <v/>
      </c>
      <c r="EH60" s="11">
        <f>'Sens - Churn'!$A$13*VLOOKUP(ED60,ChurnSeasonTable,4,FALSE)</f>
        <v/>
      </c>
      <c r="EI60" s="12">
        <f>MIN(MAX(MktMin19plus,FC59*MktPct19plus),MAX(0,FQ59-CashBuffer))</f>
        <v/>
      </c>
      <c r="EJ60" s="12">
        <f>IF(EI60&gt;0,MAX(1,ROUND(EI60/CAC*EF60,0)),0)</f>
        <v/>
      </c>
      <c r="EK60" s="12">
        <f>IF(EJ60&gt;0,ROUND(EJ60*ReferralMix/(1-ReferralMix),0),0)</f>
        <v/>
      </c>
      <c r="EL60" s="12">
        <f>EJ60+EK60</f>
        <v/>
      </c>
      <c r="EM60" s="12">
        <f>ROUND(EL60*(1-AnnualMix),0)</f>
        <v/>
      </c>
      <c r="EN60" s="12">
        <f>EL60-EM60</f>
        <v/>
      </c>
      <c r="EO60" s="12">
        <f>ROUND(EM60*EssentialMix,0)</f>
        <v/>
      </c>
      <c r="EP60" s="12">
        <f>EM60-EO60</f>
        <v/>
      </c>
      <c r="EQ60" s="12">
        <f>ROUND(EN60*EssentialMix,0)</f>
        <v/>
      </c>
      <c r="ER60" s="12">
        <f>EN60-EQ60</f>
        <v/>
      </c>
      <c r="ES60" s="12">
        <f>EO60+EO59+EO58+MAX(0,ES59-EO59-EO58)*(1-EH60)</f>
        <v/>
      </c>
      <c r="ET60" s="12">
        <f>EP60+EP59+EP58+MAX(0,ET59-EP59-EP58)*(1-EH60)</f>
        <v/>
      </c>
      <c r="EU60" s="12">
        <f>EU59+EQ60-EQ48*(AnnualChurn*VLOOKUP(ED60,ChurnSeasonTable,4,FALSE))*POWER(1-(AnnualChurn*VLOOKUP(ED60,ChurnSeasonTable,4,FALSE)),0)+EQ36*(AnnualChurn*VLOOKUP(ED60,ChurnSeasonTable,4,FALSE))*POWER(1-(AnnualChurn*VLOOKUP(ED60,ChurnSeasonTable,4,FALSE)),1)+EQ24*(AnnualChurn*VLOOKUP(ED60,ChurnSeasonTable,4,FALSE))*POWER(1-(AnnualChurn*VLOOKUP(ED60,ChurnSeasonTable,4,FALSE)),2)+EQ12*(AnnualChurn*VLOOKUP(ED60,ChurnSeasonTable,4,FALSE))*POWER(1-(AnnualChurn*VLOOKUP(ED60,ChurnSeasonTable,4,FALSE)),3)</f>
        <v/>
      </c>
      <c r="EV60" s="12">
        <f>EV59+ER60-ER48*(AnnualChurn*VLOOKUP(ED60,ChurnSeasonTable,4,FALSE))*POWER(1-(AnnualChurn*VLOOKUP(ED60,ChurnSeasonTable,4,FALSE)),0)+ER36*(AnnualChurn*VLOOKUP(ED60,ChurnSeasonTable,4,FALSE))*POWER(1-(AnnualChurn*VLOOKUP(ED60,ChurnSeasonTable,4,FALSE)),1)+ER24*(AnnualChurn*VLOOKUP(ED60,ChurnSeasonTable,4,FALSE))*POWER(1-(AnnualChurn*VLOOKUP(ED60,ChurnSeasonTable,4,FALSE)),2)+ER12*(AnnualChurn*VLOOKUP(ED60,ChurnSeasonTable,4,FALSE))*POWER(1-(AnnualChurn*VLOOKUP(ED60,ChurnSeasonTable,4,FALSE)),3)</f>
        <v/>
      </c>
      <c r="EW60" s="12">
        <f>ES60+ET60+EU60+EV60</f>
        <v/>
      </c>
      <c r="EX60" s="9">
        <f>ES60*PriceEssMonthly*EG60+ET60*PricePremMonthly*EG60+EU60*PriceEssAnnual*EG60/12+EV60*PricePremAnnual*EG60/12</f>
        <v/>
      </c>
      <c r="EY60" s="9">
        <f>EX60*12</f>
        <v/>
      </c>
      <c r="EZ60" s="12">
        <f>ES60*PriceEssMonthly*EG60+ET60*PricePremMonthly*EG60</f>
        <v/>
      </c>
      <c r="FA60" s="12">
        <f>EQ60*PriceEssAnnual*EG60+ER60*PricePremAnnual*EG60</f>
        <v/>
      </c>
      <c r="FB60" s="12">
        <f>EQ48*POWER(1-(AnnualChurn*VLOOKUP(ED60,ChurnSeasonTable,4,FALSE)),1)*PriceEssAnnual*EG60+EQ36*POWER(1-(AnnualChurn*VLOOKUP(ED60,ChurnSeasonTable,4,FALSE)),2)*PriceEssAnnual*EG60+EQ24*POWER(1-(AnnualChurn*VLOOKUP(ED60,ChurnSeasonTable,4,FALSE)),3)*PriceEssAnnual*EG60+EQ12*POWER(1-(AnnualChurn*VLOOKUP(ED60,ChurnSeasonTable,4,FALSE)),4)*PriceEssAnnual*EG60+ER48*POWER(1-(AnnualChurn*VLOOKUP(ED60,ChurnSeasonTable,4,FALSE)),1)*PricePremAnnual*EG60+ER36*POWER(1-(AnnualChurn*VLOOKUP(ED60,ChurnSeasonTable,4,FALSE)),2)*PricePremAnnual*EG60+ER24*POWER(1-(AnnualChurn*VLOOKUP(ED60,ChurnSeasonTable,4,FALSE)),3)*PricePremAnnual*EG60+ER12*POWER(1-(AnnualChurn*VLOOKUP(ED60,ChurnSeasonTable,4,FALSE)),4)*PricePremAnnual*EG60</f>
        <v/>
      </c>
      <c r="FC60" s="9">
        <f>EZ60+FA60+FB60</f>
        <v/>
      </c>
      <c r="FD60" s="12">
        <f>SUM(FC49:FC60)</f>
        <v/>
      </c>
      <c r="FE60" s="12">
        <f>OR(FE59,FD60&gt;=VATThreshold)</f>
        <v/>
      </c>
      <c r="FF60" s="9">
        <f>IF(FE60,FC60/(1+VATRate),FC60)</f>
        <v/>
      </c>
      <c r="FG60" s="12">
        <f>FC60-FF60</f>
        <v/>
      </c>
      <c r="FH60" s="12">
        <f>IF(FE60=0,0,IF(ED60=1,SUMPRODUCT(--(($EE$5:$EE60=$EE60-1)*($ED$5:$ED60&gt;=10)*($ED$5:$ED60&lt;=12)),$FG$5:$FG60),IF(ED60=4,SUMPRODUCT(--(($EE$5:$EE60=$EE60)*($ED$5:$ED60&gt;=1)*($ED$5:$ED60&lt;=3)),$FG$5:$FG60),IF(ED60=7,SUMPRODUCT(--(($EE$5:$EE60=$EE60)*($ED$5:$ED60&gt;=4)*($ED$5:$ED60&lt;=6)),$FG$5:$FG60),IF(ED60=10,SUMPRODUCT(--(($EE$5:$EE60=$EE60)*($ED$5:$ED60&gt;=7)*($ED$5:$ED60&lt;=9)),$FG$5:$FG60),0)))))</f>
        <v/>
      </c>
      <c r="FI60" s="12">
        <f>FI59+FG60-FH60</f>
        <v/>
      </c>
      <c r="FJ60" s="12">
        <f>IF(ProviderDelay&gt;=1,FF59*ProviderShare,FF60*ProviderShare)</f>
        <v/>
      </c>
      <c r="FK60" s="12">
        <f>FC60*PaymentFee</f>
        <v/>
      </c>
      <c r="FL60" s="12">
        <f>EW60*OpsAI</f>
        <v/>
      </c>
      <c r="FM60" s="12">
        <f>MonthlyFixed</f>
        <v/>
      </c>
      <c r="FN60" s="12">
        <f>EK60*ReferralReward</f>
        <v/>
      </c>
      <c r="FO60" s="12">
        <f>EI60</f>
        <v/>
      </c>
      <c r="FP60" s="9">
        <f>FF60-FJ60-FK60-FL60-FM60-FN60-FO60</f>
        <v/>
      </c>
      <c r="FQ60" s="9">
        <f>FQ59+FC60-(FJ60+FK60+FL60+FM60+FN60+FO60+FH60)</f>
        <v/>
      </c>
      <c r="FR60" s="12">
        <f>IF(EW60&gt;0,EX60/EW60,0)</f>
        <v/>
      </c>
      <c r="FS60" s="11">
        <f>IF(EW59&gt;0,MAX(0,(EW59+EL60-EW60)/EW59),0)</f>
        <v/>
      </c>
      <c r="FU60" s="12" t="n">
        <v>56</v>
      </c>
      <c r="FV60" s="12">
        <f>MOD(FU60-1+LaunchMonth-1,12)+1</f>
        <v/>
      </c>
      <c r="FW60" s="12">
        <f>INT((FU60-1+LaunchMonth-1)/12)+1</f>
        <v/>
      </c>
      <c r="FX60" s="12">
        <f>VLOOKUP(FV60,SeasonTable,2,FALSE)</f>
        <v/>
      </c>
      <c r="FY60" s="12">
        <f>(1+InflationRate)^INT((FU60-1)/12)</f>
        <v/>
      </c>
      <c r="FZ60" s="11">
        <f>'Sens - Churn'!$A$14*VLOOKUP(FV60,ChurnSeasonTable,4,FALSE)</f>
        <v/>
      </c>
      <c r="GA60" s="12">
        <f>MIN(MAX(MktMin19plus,GU59*MktPct19plus),MAX(0,HI59-CashBuffer))</f>
        <v/>
      </c>
      <c r="GB60" s="12">
        <f>IF(GA60&gt;0,MAX(1,ROUND(GA60/CAC*FX60,0)),0)</f>
        <v/>
      </c>
      <c r="GC60" s="12">
        <f>IF(GB60&gt;0,ROUND(GB60*ReferralMix/(1-ReferralMix),0),0)</f>
        <v/>
      </c>
      <c r="GD60" s="12">
        <f>GB60+GC60</f>
        <v/>
      </c>
      <c r="GE60" s="12">
        <f>ROUND(GD60*(1-AnnualMix),0)</f>
        <v/>
      </c>
      <c r="GF60" s="12">
        <f>GD60-GE60</f>
        <v/>
      </c>
      <c r="GG60" s="12">
        <f>ROUND(GE60*EssentialMix,0)</f>
        <v/>
      </c>
      <c r="GH60" s="12">
        <f>GE60-GG60</f>
        <v/>
      </c>
      <c r="GI60" s="12">
        <f>ROUND(GF60*EssentialMix,0)</f>
        <v/>
      </c>
      <c r="GJ60" s="12">
        <f>GF60-GI60</f>
        <v/>
      </c>
      <c r="GK60" s="12">
        <f>GG60+GG59+GG58+MAX(0,GK59-GG59-GG58)*(1-FZ60)</f>
        <v/>
      </c>
      <c r="GL60" s="12">
        <f>GH60+GH59+GH58+MAX(0,GL59-GH59-GH58)*(1-FZ60)</f>
        <v/>
      </c>
      <c r="GM60" s="12">
        <f>GM59+GI60-GI48*(AnnualChurn*VLOOKUP(FV60,ChurnSeasonTable,4,FALSE))*POWER(1-(AnnualChurn*VLOOKUP(FV60,ChurnSeasonTable,4,FALSE)),0)+GI36*(AnnualChurn*VLOOKUP(FV60,ChurnSeasonTable,4,FALSE))*POWER(1-(AnnualChurn*VLOOKUP(FV60,ChurnSeasonTable,4,FALSE)),1)+GI24*(AnnualChurn*VLOOKUP(FV60,ChurnSeasonTable,4,FALSE))*POWER(1-(AnnualChurn*VLOOKUP(FV60,ChurnSeasonTable,4,FALSE)),2)+GI12*(AnnualChurn*VLOOKUP(FV60,ChurnSeasonTable,4,FALSE))*POWER(1-(AnnualChurn*VLOOKUP(FV60,ChurnSeasonTable,4,FALSE)),3)</f>
        <v/>
      </c>
      <c r="GN60" s="12">
        <f>GN59+GJ60-GJ48*(AnnualChurn*VLOOKUP(FV60,ChurnSeasonTable,4,FALSE))*POWER(1-(AnnualChurn*VLOOKUP(FV60,ChurnSeasonTable,4,FALSE)),0)+GJ36*(AnnualChurn*VLOOKUP(FV60,ChurnSeasonTable,4,FALSE))*POWER(1-(AnnualChurn*VLOOKUP(FV60,ChurnSeasonTable,4,FALSE)),1)+GJ24*(AnnualChurn*VLOOKUP(FV60,ChurnSeasonTable,4,FALSE))*POWER(1-(AnnualChurn*VLOOKUP(FV60,ChurnSeasonTable,4,FALSE)),2)+GJ12*(AnnualChurn*VLOOKUP(FV60,ChurnSeasonTable,4,FALSE))*POWER(1-(AnnualChurn*VLOOKUP(FV60,ChurnSeasonTable,4,FALSE)),3)</f>
        <v/>
      </c>
      <c r="GO60" s="12">
        <f>GK60+GL60+GM60+GN60</f>
        <v/>
      </c>
      <c r="GP60" s="9">
        <f>GK60*PriceEssMonthly*FY60+GL60*PricePremMonthly*FY60+GM60*PriceEssAnnual*FY60/12+GN60*PricePremAnnual*FY60/12</f>
        <v/>
      </c>
      <c r="GQ60" s="9">
        <f>GP60*12</f>
        <v/>
      </c>
      <c r="GR60" s="12">
        <f>GK60*PriceEssMonthly*FY60+GL60*PricePremMonthly*FY60</f>
        <v/>
      </c>
      <c r="GS60" s="12">
        <f>GI60*PriceEssAnnual*FY60+GJ60*PricePremAnnual*FY60</f>
        <v/>
      </c>
      <c r="GT60" s="12">
        <f>GI48*POWER(1-(AnnualChurn*VLOOKUP(FV60,ChurnSeasonTable,4,FALSE)),1)*PriceEssAnnual*FY60+GI36*POWER(1-(AnnualChurn*VLOOKUP(FV60,ChurnSeasonTable,4,FALSE)),2)*PriceEssAnnual*FY60+GI24*POWER(1-(AnnualChurn*VLOOKUP(FV60,ChurnSeasonTable,4,FALSE)),3)*PriceEssAnnual*FY60+GI12*POWER(1-(AnnualChurn*VLOOKUP(FV60,ChurnSeasonTable,4,FALSE)),4)*PriceEssAnnual*FY60+GJ48*POWER(1-(AnnualChurn*VLOOKUP(FV60,ChurnSeasonTable,4,FALSE)),1)*PricePremAnnual*FY60+GJ36*POWER(1-(AnnualChurn*VLOOKUP(FV60,ChurnSeasonTable,4,FALSE)),2)*PricePremAnnual*FY60+GJ24*POWER(1-(AnnualChurn*VLOOKUP(FV60,ChurnSeasonTable,4,FALSE)),3)*PricePremAnnual*FY60+GJ12*POWER(1-(AnnualChurn*VLOOKUP(FV60,ChurnSeasonTable,4,FALSE)),4)*PricePremAnnual*FY60</f>
        <v/>
      </c>
      <c r="GU60" s="9">
        <f>GR60+GS60+GT60</f>
        <v/>
      </c>
      <c r="GV60" s="12">
        <f>SUM(GU49:GU60)</f>
        <v/>
      </c>
      <c r="GW60" s="12">
        <f>OR(GW59,GV60&gt;=VATThreshold)</f>
        <v/>
      </c>
      <c r="GX60" s="9">
        <f>IF(GW60,GU60/(1+VATRate),GU60)</f>
        <v/>
      </c>
      <c r="GY60" s="12">
        <f>GU60-GX60</f>
        <v/>
      </c>
      <c r="GZ60" s="12">
        <f>IF(GW60=0,0,IF(FV60=1,SUMPRODUCT(--(($FW$5:$FW60=$FW60-1)*($FV$5:$FV60&gt;=10)*($FV$5:$FV60&lt;=12)),$GY$5:$GY60),IF(FV60=4,SUMPRODUCT(--(($FW$5:$FW60=$FW60)*($FV$5:$FV60&gt;=1)*($FV$5:$FV60&lt;=3)),$GY$5:$GY60),IF(FV60=7,SUMPRODUCT(--(($FW$5:$FW60=$FW60)*($FV$5:$FV60&gt;=4)*($FV$5:$FV60&lt;=6)),$GY$5:$GY60),IF(FV60=10,SUMPRODUCT(--(($FW$5:$FW60=$FW60)*($FV$5:$FV60&gt;=7)*($FV$5:$FV60&lt;=9)),$GY$5:$GY60),0)))))</f>
        <v/>
      </c>
      <c r="HA60" s="12">
        <f>HA59+GY60-GZ60</f>
        <v/>
      </c>
      <c r="HB60" s="12">
        <f>IF(ProviderDelay&gt;=1,GX59*ProviderShare,GX60*ProviderShare)</f>
        <v/>
      </c>
      <c r="HC60" s="12">
        <f>GU60*PaymentFee</f>
        <v/>
      </c>
      <c r="HD60" s="12">
        <f>GO60*OpsAI</f>
        <v/>
      </c>
      <c r="HE60" s="12">
        <f>MonthlyFixed</f>
        <v/>
      </c>
      <c r="HF60" s="12">
        <f>GC60*ReferralReward</f>
        <v/>
      </c>
      <c r="HG60" s="12">
        <f>GA60</f>
        <v/>
      </c>
      <c r="HH60" s="9">
        <f>GX60-HB60-HC60-HD60-HE60-HF60-HG60</f>
        <v/>
      </c>
      <c r="HI60" s="9">
        <f>HI59+GU60-(HB60+HC60+HD60+HE60+HF60+HG60+GZ60)</f>
        <v/>
      </c>
      <c r="HJ60" s="12">
        <f>IF(GO60&gt;0,GP60/GO60,0)</f>
        <v/>
      </c>
      <c r="HK60" s="11">
        <f>IF(GO59&gt;0,MAX(0,(GO59+GD60-GO60)/GO59),0)</f>
        <v/>
      </c>
      <c r="HM60" s="12" t="n">
        <v>56</v>
      </c>
      <c r="HN60" s="12">
        <f>MOD(HM60-1+LaunchMonth-1,12)+1</f>
        <v/>
      </c>
      <c r="HO60" s="12">
        <f>INT((HM60-1+LaunchMonth-1)/12)+1</f>
        <v/>
      </c>
      <c r="HP60" s="12">
        <f>VLOOKUP(HN60,SeasonTable,2,FALSE)</f>
        <v/>
      </c>
      <c r="HQ60" s="12">
        <f>(1+InflationRate)^INT((HM60-1)/12)</f>
        <v/>
      </c>
      <c r="HR60" s="11">
        <f>'Sens - Churn'!$A$15*VLOOKUP(HN60,ChurnSeasonTable,4,FALSE)</f>
        <v/>
      </c>
      <c r="HS60" s="12">
        <f>MIN(MAX(MktMin19plus,IM59*MktPct19plus),MAX(0,JA59-CashBuffer))</f>
        <v/>
      </c>
      <c r="HT60" s="12">
        <f>IF(HS60&gt;0,MAX(1,ROUND(HS60/CAC*HP60,0)),0)</f>
        <v/>
      </c>
      <c r="HU60" s="12">
        <f>IF(HT60&gt;0,ROUND(HT60*ReferralMix/(1-ReferralMix),0),0)</f>
        <v/>
      </c>
      <c r="HV60" s="12">
        <f>HT60+HU60</f>
        <v/>
      </c>
      <c r="HW60" s="12">
        <f>ROUND(HV60*(1-AnnualMix),0)</f>
        <v/>
      </c>
      <c r="HX60" s="12">
        <f>HV60-HW60</f>
        <v/>
      </c>
      <c r="HY60" s="12">
        <f>ROUND(HW60*EssentialMix,0)</f>
        <v/>
      </c>
      <c r="HZ60" s="12">
        <f>HW60-HY60</f>
        <v/>
      </c>
      <c r="IA60" s="12">
        <f>ROUND(HX60*EssentialMix,0)</f>
        <v/>
      </c>
      <c r="IB60" s="12">
        <f>HX60-IA60</f>
        <v/>
      </c>
      <c r="IC60" s="12">
        <f>HY60+HY59+HY58+MAX(0,IC59-HY59-HY58)*(1-HR60)</f>
        <v/>
      </c>
      <c r="ID60" s="12">
        <f>HZ60+HZ59+HZ58+MAX(0,ID59-HZ59-HZ58)*(1-HR60)</f>
        <v/>
      </c>
      <c r="IE60" s="12">
        <f>IE59+IA60-IA48*(AnnualChurn*VLOOKUP(HN60,ChurnSeasonTable,4,FALSE))*POWER(1-(AnnualChurn*VLOOKUP(HN60,ChurnSeasonTable,4,FALSE)),0)+IA36*(AnnualChurn*VLOOKUP(HN60,ChurnSeasonTable,4,FALSE))*POWER(1-(AnnualChurn*VLOOKUP(HN60,ChurnSeasonTable,4,FALSE)),1)+IA24*(AnnualChurn*VLOOKUP(HN60,ChurnSeasonTable,4,FALSE))*POWER(1-(AnnualChurn*VLOOKUP(HN60,ChurnSeasonTable,4,FALSE)),2)+IA12*(AnnualChurn*VLOOKUP(HN60,ChurnSeasonTable,4,FALSE))*POWER(1-(AnnualChurn*VLOOKUP(HN60,ChurnSeasonTable,4,FALSE)),3)</f>
        <v/>
      </c>
      <c r="IF60" s="12">
        <f>IF59+IB60-IB48*(AnnualChurn*VLOOKUP(HN60,ChurnSeasonTable,4,FALSE))*POWER(1-(AnnualChurn*VLOOKUP(HN60,ChurnSeasonTable,4,FALSE)),0)+IB36*(AnnualChurn*VLOOKUP(HN60,ChurnSeasonTable,4,FALSE))*POWER(1-(AnnualChurn*VLOOKUP(HN60,ChurnSeasonTable,4,FALSE)),1)+IB24*(AnnualChurn*VLOOKUP(HN60,ChurnSeasonTable,4,FALSE))*POWER(1-(AnnualChurn*VLOOKUP(HN60,ChurnSeasonTable,4,FALSE)),2)+IB12*(AnnualChurn*VLOOKUP(HN60,ChurnSeasonTable,4,FALSE))*POWER(1-(AnnualChurn*VLOOKUP(HN60,ChurnSeasonTable,4,FALSE)),3)</f>
        <v/>
      </c>
      <c r="IG60" s="12">
        <f>IC60+ID60+IE60+IF60</f>
        <v/>
      </c>
      <c r="IH60" s="9">
        <f>IC60*PriceEssMonthly*HQ60+ID60*PricePremMonthly*HQ60+IE60*PriceEssAnnual*HQ60/12+IF60*PricePremAnnual*HQ60/12</f>
        <v/>
      </c>
      <c r="II60" s="9">
        <f>IH60*12</f>
        <v/>
      </c>
      <c r="IJ60" s="12">
        <f>IC60*PriceEssMonthly*HQ60+ID60*PricePremMonthly*HQ60</f>
        <v/>
      </c>
      <c r="IK60" s="12">
        <f>IA60*PriceEssAnnual*HQ60+IB60*PricePremAnnual*HQ60</f>
        <v/>
      </c>
      <c r="IL60" s="12">
        <f>IA48*POWER(1-(AnnualChurn*VLOOKUP(HN60,ChurnSeasonTable,4,FALSE)),1)*PriceEssAnnual*HQ60+IA36*POWER(1-(AnnualChurn*VLOOKUP(HN60,ChurnSeasonTable,4,FALSE)),2)*PriceEssAnnual*HQ60+IA24*POWER(1-(AnnualChurn*VLOOKUP(HN60,ChurnSeasonTable,4,FALSE)),3)*PriceEssAnnual*HQ60+IA12*POWER(1-(AnnualChurn*VLOOKUP(HN60,ChurnSeasonTable,4,FALSE)),4)*PriceEssAnnual*HQ60+IB48*POWER(1-(AnnualChurn*VLOOKUP(HN60,ChurnSeasonTable,4,FALSE)),1)*PricePremAnnual*HQ60+IB36*POWER(1-(AnnualChurn*VLOOKUP(HN60,ChurnSeasonTable,4,FALSE)),2)*PricePremAnnual*HQ60+IB24*POWER(1-(AnnualChurn*VLOOKUP(HN60,ChurnSeasonTable,4,FALSE)),3)*PricePremAnnual*HQ60+IB12*POWER(1-(AnnualChurn*VLOOKUP(HN60,ChurnSeasonTable,4,FALSE)),4)*PricePremAnnual*HQ60</f>
        <v/>
      </c>
      <c r="IM60" s="9">
        <f>IJ60+IK60+IL60</f>
        <v/>
      </c>
      <c r="IN60" s="12">
        <f>SUM(IM49:IM60)</f>
        <v/>
      </c>
      <c r="IO60" s="12">
        <f>OR(IO59,IN60&gt;=VATThreshold)</f>
        <v/>
      </c>
      <c r="IP60" s="9">
        <f>IF(IO60,IM60/(1+VATRate),IM60)</f>
        <v/>
      </c>
      <c r="IQ60" s="12">
        <f>IM60-IP60</f>
        <v/>
      </c>
      <c r="IR60" s="12">
        <f>IF(IO60=0,0,IF(HN60=1,SUMPRODUCT(--(($HO$5:$HO60=$HO60-1)*($HN$5:$HN60&gt;=10)*($HN$5:$HN60&lt;=12)),$IQ$5:$IQ60),IF(HN60=4,SUMPRODUCT(--(($HO$5:$HO60=$HO60)*($HN$5:$HN60&gt;=1)*($HN$5:$HN60&lt;=3)),$IQ$5:$IQ60),IF(HN60=7,SUMPRODUCT(--(($HO$5:$HO60=$HO60)*($HN$5:$HN60&gt;=4)*($HN$5:$HN60&lt;=6)),$IQ$5:$IQ60),IF(HN60=10,SUMPRODUCT(--(($HO$5:$HO60=$HO60)*($HN$5:$HN60&gt;=7)*($HN$5:$HN60&lt;=9)),$IQ$5:$IQ60),0)))))</f>
        <v/>
      </c>
      <c r="IS60" s="12">
        <f>IS59+IQ60-IR60</f>
        <v/>
      </c>
      <c r="IT60" s="12">
        <f>IF(ProviderDelay&gt;=1,IP59*ProviderShare,IP60*ProviderShare)</f>
        <v/>
      </c>
      <c r="IU60" s="12">
        <f>IM60*PaymentFee</f>
        <v/>
      </c>
      <c r="IV60" s="12">
        <f>IG60*OpsAI</f>
        <v/>
      </c>
      <c r="IW60" s="12">
        <f>MonthlyFixed</f>
        <v/>
      </c>
      <c r="IX60" s="12">
        <f>HU60*ReferralReward</f>
        <v/>
      </c>
      <c r="IY60" s="12">
        <f>HS60</f>
        <v/>
      </c>
      <c r="IZ60" s="9">
        <f>IP60-IT60-IU60-IV60-IW60-IX60-IY60</f>
        <v/>
      </c>
      <c r="JA60" s="9">
        <f>JA59+IM60-(IT60+IU60+IV60+IW60+IX60+IY60+IR60)</f>
        <v/>
      </c>
      <c r="JB60" s="12">
        <f>IF(IG60&gt;0,IH60/IG60,0)</f>
        <v/>
      </c>
      <c r="JC60" s="11">
        <f>IF(IG59&gt;0,MAX(0,(IG59+HV60-IG60)/IG59),0)</f>
        <v/>
      </c>
      <c r="JE60" s="12" t="n">
        <v>56</v>
      </c>
      <c r="JF60" s="12">
        <f>MOD(JE60-1+LaunchMonth-1,12)+1</f>
        <v/>
      </c>
      <c r="JG60" s="12">
        <f>INT((JE60-1+LaunchMonth-1)/12)+1</f>
        <v/>
      </c>
      <c r="JH60" s="12">
        <f>VLOOKUP(JF60,SeasonTable,2,FALSE)</f>
        <v/>
      </c>
      <c r="JI60" s="12">
        <f>(1+InflationRate)^INT((JE60-1)/12)</f>
        <v/>
      </c>
      <c r="JJ60" s="11">
        <f>'Sens - Churn'!$A$16*VLOOKUP(JF60,ChurnSeasonTable,4,FALSE)</f>
        <v/>
      </c>
      <c r="JK60" s="12">
        <f>MIN(MAX(MktMin19plus,KE59*MktPct19plus),MAX(0,KS59-CashBuffer))</f>
        <v/>
      </c>
      <c r="JL60" s="12">
        <f>IF(JK60&gt;0,MAX(1,ROUND(JK60/CAC*JH60,0)),0)</f>
        <v/>
      </c>
      <c r="JM60" s="12">
        <f>IF(JL60&gt;0,ROUND(JL60*ReferralMix/(1-ReferralMix),0),0)</f>
        <v/>
      </c>
      <c r="JN60" s="12">
        <f>JL60+JM60</f>
        <v/>
      </c>
      <c r="JO60" s="12">
        <f>ROUND(JN60*(1-AnnualMix),0)</f>
        <v/>
      </c>
      <c r="JP60" s="12">
        <f>JN60-JO60</f>
        <v/>
      </c>
      <c r="JQ60" s="12">
        <f>ROUND(JO60*EssentialMix,0)</f>
        <v/>
      </c>
      <c r="JR60" s="12">
        <f>JO60-JQ60</f>
        <v/>
      </c>
      <c r="JS60" s="12">
        <f>ROUND(JP60*EssentialMix,0)</f>
        <v/>
      </c>
      <c r="JT60" s="12">
        <f>JP60-JS60</f>
        <v/>
      </c>
      <c r="JU60" s="12">
        <f>JQ60+JQ59+JQ58+MAX(0,JU59-JQ59-JQ58)*(1-JJ60)</f>
        <v/>
      </c>
      <c r="JV60" s="12">
        <f>JR60+JR59+JR58+MAX(0,JV59-JR59-JR58)*(1-JJ60)</f>
        <v/>
      </c>
      <c r="JW60" s="12">
        <f>JW59+JS60-JS48*(AnnualChurn*VLOOKUP(JF60,ChurnSeasonTable,4,FALSE))*POWER(1-(AnnualChurn*VLOOKUP(JF60,ChurnSeasonTable,4,FALSE)),0)+JS36*(AnnualChurn*VLOOKUP(JF60,ChurnSeasonTable,4,FALSE))*POWER(1-(AnnualChurn*VLOOKUP(JF60,ChurnSeasonTable,4,FALSE)),1)+JS24*(AnnualChurn*VLOOKUP(JF60,ChurnSeasonTable,4,FALSE))*POWER(1-(AnnualChurn*VLOOKUP(JF60,ChurnSeasonTable,4,FALSE)),2)+JS12*(AnnualChurn*VLOOKUP(JF60,ChurnSeasonTable,4,FALSE))*POWER(1-(AnnualChurn*VLOOKUP(JF60,ChurnSeasonTable,4,FALSE)),3)</f>
        <v/>
      </c>
      <c r="JX60" s="12">
        <f>JX59+JT60-JT48*(AnnualChurn*VLOOKUP(JF60,ChurnSeasonTable,4,FALSE))*POWER(1-(AnnualChurn*VLOOKUP(JF60,ChurnSeasonTable,4,FALSE)),0)+JT36*(AnnualChurn*VLOOKUP(JF60,ChurnSeasonTable,4,FALSE))*POWER(1-(AnnualChurn*VLOOKUP(JF60,ChurnSeasonTable,4,FALSE)),1)+JT24*(AnnualChurn*VLOOKUP(JF60,ChurnSeasonTable,4,FALSE))*POWER(1-(AnnualChurn*VLOOKUP(JF60,ChurnSeasonTable,4,FALSE)),2)+JT12*(AnnualChurn*VLOOKUP(JF60,ChurnSeasonTable,4,FALSE))*POWER(1-(AnnualChurn*VLOOKUP(JF60,ChurnSeasonTable,4,FALSE)),3)</f>
        <v/>
      </c>
      <c r="JY60" s="12">
        <f>JU60+JV60+JW60+JX60</f>
        <v/>
      </c>
      <c r="JZ60" s="9">
        <f>JU60*PriceEssMonthly*JI60+JV60*PricePremMonthly*JI60+JW60*PriceEssAnnual*JI60/12+JX60*PricePremAnnual*JI60/12</f>
        <v/>
      </c>
      <c r="KA60" s="9">
        <f>JZ60*12</f>
        <v/>
      </c>
      <c r="KB60" s="12">
        <f>JU60*PriceEssMonthly*JI60+JV60*PricePremMonthly*JI60</f>
        <v/>
      </c>
      <c r="KC60" s="12">
        <f>JS60*PriceEssAnnual*JI60+JT60*PricePremAnnual*JI60</f>
        <v/>
      </c>
      <c r="KD60" s="12">
        <f>JS48*POWER(1-(AnnualChurn*VLOOKUP(JF60,ChurnSeasonTable,4,FALSE)),1)*PriceEssAnnual*JI60+JS36*POWER(1-(AnnualChurn*VLOOKUP(JF60,ChurnSeasonTable,4,FALSE)),2)*PriceEssAnnual*JI60+JS24*POWER(1-(AnnualChurn*VLOOKUP(JF60,ChurnSeasonTable,4,FALSE)),3)*PriceEssAnnual*JI60+JS12*POWER(1-(AnnualChurn*VLOOKUP(JF60,ChurnSeasonTable,4,FALSE)),4)*PriceEssAnnual*JI60+JT48*POWER(1-(AnnualChurn*VLOOKUP(JF60,ChurnSeasonTable,4,FALSE)),1)*PricePremAnnual*JI60+JT36*POWER(1-(AnnualChurn*VLOOKUP(JF60,ChurnSeasonTable,4,FALSE)),2)*PricePremAnnual*JI60+JT24*POWER(1-(AnnualChurn*VLOOKUP(JF60,ChurnSeasonTable,4,FALSE)),3)*PricePremAnnual*JI60+JT12*POWER(1-(AnnualChurn*VLOOKUP(JF60,ChurnSeasonTable,4,FALSE)),4)*PricePremAnnual*JI60</f>
        <v/>
      </c>
      <c r="KE60" s="9">
        <f>KB60+KC60+KD60</f>
        <v/>
      </c>
      <c r="KF60" s="12">
        <f>SUM(KE49:KE60)</f>
        <v/>
      </c>
      <c r="KG60" s="12">
        <f>OR(KG59,KF60&gt;=VATThreshold)</f>
        <v/>
      </c>
      <c r="KH60" s="9">
        <f>IF(KG60,KE60/(1+VATRate),KE60)</f>
        <v/>
      </c>
      <c r="KI60" s="12">
        <f>KE60-KH60</f>
        <v/>
      </c>
      <c r="KJ60" s="12">
        <f>IF(KG60=0,0,IF(JF60=1,SUMPRODUCT(--(($JG$5:$JG60=$JG60-1)*($JF$5:$JF60&gt;=10)*($JF$5:$JF60&lt;=12)),$KI$5:$KI60),IF(JF60=4,SUMPRODUCT(--(($JG$5:$JG60=$JG60)*($JF$5:$JF60&gt;=1)*($JF$5:$JF60&lt;=3)),$KI$5:$KI60),IF(JF60=7,SUMPRODUCT(--(($JG$5:$JG60=$JG60)*($JF$5:$JF60&gt;=4)*($JF$5:$JF60&lt;=6)),$KI$5:$KI60),IF(JF60=10,SUMPRODUCT(--(($JG$5:$JG60=$JG60)*($JF$5:$JF60&gt;=7)*($JF$5:$JF60&lt;=9)),$KI$5:$KI60),0)))))</f>
        <v/>
      </c>
      <c r="KK60" s="12">
        <f>KK59+KI60-KJ60</f>
        <v/>
      </c>
      <c r="KL60" s="12">
        <f>IF(ProviderDelay&gt;=1,KH59*ProviderShare,KH60*ProviderShare)</f>
        <v/>
      </c>
      <c r="KM60" s="12">
        <f>KE60*PaymentFee</f>
        <v/>
      </c>
      <c r="KN60" s="12">
        <f>JY60*OpsAI</f>
        <v/>
      </c>
      <c r="KO60" s="12">
        <f>MonthlyFixed</f>
        <v/>
      </c>
      <c r="KP60" s="12">
        <f>JM60*ReferralReward</f>
        <v/>
      </c>
      <c r="KQ60" s="12">
        <f>JK60</f>
        <v/>
      </c>
      <c r="KR60" s="9">
        <f>KH60-KL60-KM60-KN60-KO60-KP60-KQ60</f>
        <v/>
      </c>
      <c r="KS60" s="9">
        <f>KS59+KE60-(KL60+KM60+KN60+KO60+KP60+KQ60+KJ60)</f>
        <v/>
      </c>
      <c r="KT60" s="12">
        <f>IF(JY60&gt;0,JZ60/JY60,0)</f>
        <v/>
      </c>
      <c r="KU60" s="11">
        <f>IF(JY59&gt;0,MAX(0,(JY59+JN60-JY60)/JY59),0)</f>
        <v/>
      </c>
      <c r="KW60" s="12" t="n">
        <v>56</v>
      </c>
      <c r="KX60" s="12">
        <f>MOD(KW60-1+LaunchMonth-1,12)+1</f>
        <v/>
      </c>
      <c r="KY60" s="12">
        <f>INT((KW60-1+LaunchMonth-1)/12)+1</f>
        <v/>
      </c>
      <c r="KZ60" s="12">
        <f>VLOOKUP(KX60,SeasonTable,2,FALSE)</f>
        <v/>
      </c>
      <c r="LA60" s="12">
        <f>(1+InflationRate)^INT((KW60-1)/12)</f>
        <v/>
      </c>
      <c r="LB60" s="11">
        <f>'Sens - Churn'!$A$17*VLOOKUP(KX60,ChurnSeasonTable,4,FALSE)</f>
        <v/>
      </c>
      <c r="LC60" s="12">
        <f>MIN(MAX(MktMin19plus,LW59*MktPct19plus),MAX(0,MK59-CashBuffer))</f>
        <v/>
      </c>
      <c r="LD60" s="12">
        <f>IF(LC60&gt;0,MAX(1,ROUND(LC60/CAC*KZ60,0)),0)</f>
        <v/>
      </c>
      <c r="LE60" s="12">
        <f>IF(LD60&gt;0,ROUND(LD60*ReferralMix/(1-ReferralMix),0),0)</f>
        <v/>
      </c>
      <c r="LF60" s="12">
        <f>LD60+LE60</f>
        <v/>
      </c>
      <c r="LG60" s="12">
        <f>ROUND(LF60*(1-AnnualMix),0)</f>
        <v/>
      </c>
      <c r="LH60" s="12">
        <f>LF60-LG60</f>
        <v/>
      </c>
      <c r="LI60" s="12">
        <f>ROUND(LG60*EssentialMix,0)</f>
        <v/>
      </c>
      <c r="LJ60" s="12">
        <f>LG60-LI60</f>
        <v/>
      </c>
      <c r="LK60" s="12">
        <f>ROUND(LH60*EssentialMix,0)</f>
        <v/>
      </c>
      <c r="LL60" s="12">
        <f>LH60-LK60</f>
        <v/>
      </c>
      <c r="LM60" s="12">
        <f>LI60+LI59+LI58+MAX(0,LM59-LI59-LI58)*(1-LB60)</f>
        <v/>
      </c>
      <c r="LN60" s="12">
        <f>LJ60+LJ59+LJ58+MAX(0,LN59-LJ59-LJ58)*(1-LB60)</f>
        <v/>
      </c>
      <c r="LO60" s="12">
        <f>LO59+LK60-LK48*(AnnualChurn*VLOOKUP(KX60,ChurnSeasonTable,4,FALSE))*POWER(1-(AnnualChurn*VLOOKUP(KX60,ChurnSeasonTable,4,FALSE)),0)+LK36*(AnnualChurn*VLOOKUP(KX60,ChurnSeasonTable,4,FALSE))*POWER(1-(AnnualChurn*VLOOKUP(KX60,ChurnSeasonTable,4,FALSE)),1)+LK24*(AnnualChurn*VLOOKUP(KX60,ChurnSeasonTable,4,FALSE))*POWER(1-(AnnualChurn*VLOOKUP(KX60,ChurnSeasonTable,4,FALSE)),2)+LK12*(AnnualChurn*VLOOKUP(KX60,ChurnSeasonTable,4,FALSE))*POWER(1-(AnnualChurn*VLOOKUP(KX60,ChurnSeasonTable,4,FALSE)),3)</f>
        <v/>
      </c>
      <c r="LP60" s="12">
        <f>LP59+LL60-LL48*(AnnualChurn*VLOOKUP(KX60,ChurnSeasonTable,4,FALSE))*POWER(1-(AnnualChurn*VLOOKUP(KX60,ChurnSeasonTable,4,FALSE)),0)+LL36*(AnnualChurn*VLOOKUP(KX60,ChurnSeasonTable,4,FALSE))*POWER(1-(AnnualChurn*VLOOKUP(KX60,ChurnSeasonTable,4,FALSE)),1)+LL24*(AnnualChurn*VLOOKUP(KX60,ChurnSeasonTable,4,FALSE))*POWER(1-(AnnualChurn*VLOOKUP(KX60,ChurnSeasonTable,4,FALSE)),2)+LL12*(AnnualChurn*VLOOKUP(KX60,ChurnSeasonTable,4,FALSE))*POWER(1-(AnnualChurn*VLOOKUP(KX60,ChurnSeasonTable,4,FALSE)),3)</f>
        <v/>
      </c>
      <c r="LQ60" s="12">
        <f>LM60+LN60+LO60+LP60</f>
        <v/>
      </c>
      <c r="LR60" s="9">
        <f>LM60*PriceEssMonthly*LA60+LN60*PricePremMonthly*LA60+LO60*PriceEssAnnual*LA60/12+LP60*PricePremAnnual*LA60/12</f>
        <v/>
      </c>
      <c r="LS60" s="9">
        <f>LR60*12</f>
        <v/>
      </c>
      <c r="LT60" s="12">
        <f>LM60*PriceEssMonthly*LA60+LN60*PricePremMonthly*LA60</f>
        <v/>
      </c>
      <c r="LU60" s="12">
        <f>LK60*PriceEssAnnual*LA60+LL60*PricePremAnnual*LA60</f>
        <v/>
      </c>
      <c r="LV60" s="12">
        <f>LK48*POWER(1-(AnnualChurn*VLOOKUP(KX60,ChurnSeasonTable,4,FALSE)),1)*PriceEssAnnual*LA60+LK36*POWER(1-(AnnualChurn*VLOOKUP(KX60,ChurnSeasonTable,4,FALSE)),2)*PriceEssAnnual*LA60+LK24*POWER(1-(AnnualChurn*VLOOKUP(KX60,ChurnSeasonTable,4,FALSE)),3)*PriceEssAnnual*LA60+LK12*POWER(1-(AnnualChurn*VLOOKUP(KX60,ChurnSeasonTable,4,FALSE)),4)*PriceEssAnnual*LA60+LL48*POWER(1-(AnnualChurn*VLOOKUP(KX60,ChurnSeasonTable,4,FALSE)),1)*PricePremAnnual*LA60+LL36*POWER(1-(AnnualChurn*VLOOKUP(KX60,ChurnSeasonTable,4,FALSE)),2)*PricePremAnnual*LA60+LL24*POWER(1-(AnnualChurn*VLOOKUP(KX60,ChurnSeasonTable,4,FALSE)),3)*PricePremAnnual*LA60+LL12*POWER(1-(AnnualChurn*VLOOKUP(KX60,ChurnSeasonTable,4,FALSE)),4)*PricePremAnnual*LA60</f>
        <v/>
      </c>
      <c r="LW60" s="9">
        <f>LT60+LU60+LV60</f>
        <v/>
      </c>
      <c r="LX60" s="12">
        <f>SUM(LW49:LW60)</f>
        <v/>
      </c>
      <c r="LY60" s="12">
        <f>OR(LY59,LX60&gt;=VATThreshold)</f>
        <v/>
      </c>
      <c r="LZ60" s="9">
        <f>IF(LY60,LW60/(1+VATRate),LW60)</f>
        <v/>
      </c>
      <c r="MA60" s="12">
        <f>LW60-LZ60</f>
        <v/>
      </c>
      <c r="MB60" s="12">
        <f>IF(LY60=0,0,IF(KX60=1,SUMPRODUCT(--(($KY$5:$KY60=$KY60-1)*($KX$5:$KX60&gt;=10)*($KX$5:$KX60&lt;=12)),$MA$5:$MA60),IF(KX60=4,SUMPRODUCT(--(($KY$5:$KY60=$KY60)*($KX$5:$KX60&gt;=1)*($KX$5:$KX60&lt;=3)),$MA$5:$MA60),IF(KX60=7,SUMPRODUCT(--(($KY$5:$KY60=$KY60)*($KX$5:$KX60&gt;=4)*($KX$5:$KX60&lt;=6)),$MA$5:$MA60),IF(KX60=10,SUMPRODUCT(--(($KY$5:$KY60=$KY60)*($KX$5:$KX60&gt;=7)*($KX$5:$KX60&lt;=9)),$MA$5:$MA60),0)))))</f>
        <v/>
      </c>
      <c r="MC60" s="12">
        <f>MC59+MA60-MB60</f>
        <v/>
      </c>
      <c r="MD60" s="12">
        <f>IF(ProviderDelay&gt;=1,LZ59*ProviderShare,LZ60*ProviderShare)</f>
        <v/>
      </c>
      <c r="ME60" s="12">
        <f>LW60*PaymentFee</f>
        <v/>
      </c>
      <c r="MF60" s="12">
        <f>LQ60*OpsAI</f>
        <v/>
      </c>
      <c r="MG60" s="12">
        <f>MonthlyFixed</f>
        <v/>
      </c>
      <c r="MH60" s="12">
        <f>LE60*ReferralReward</f>
        <v/>
      </c>
      <c r="MI60" s="12">
        <f>LC60</f>
        <v/>
      </c>
      <c r="MJ60" s="9">
        <f>LZ60-MD60-ME60-MF60-MG60-MH60-MI60</f>
        <v/>
      </c>
      <c r="MK60" s="9">
        <f>MK59+LW60-(MD60+ME60+MF60+MG60+MH60+MI60+MB60)</f>
        <v/>
      </c>
      <c r="ML60" s="12">
        <f>IF(LQ60&gt;0,LR60/LQ60,0)</f>
        <v/>
      </c>
      <c r="MM60" s="11">
        <f>IF(LQ59&gt;0,MAX(0,(LQ59+LF60-LQ60)/LQ59),0)</f>
        <v/>
      </c>
      <c r="MO60" s="12" t="n">
        <v>56</v>
      </c>
      <c r="MP60" s="12">
        <f>MOD(MO60-1+LaunchMonth-1,12)+1</f>
        <v/>
      </c>
      <c r="MQ60" s="12">
        <f>INT((MO60-1+LaunchMonth-1)/12)+1</f>
        <v/>
      </c>
      <c r="MR60" s="12">
        <f>VLOOKUP(MP60,SeasonTable,2,FALSE)</f>
        <v/>
      </c>
      <c r="MS60" s="12">
        <f>(1+InflationRate)^INT((MO60-1)/12)</f>
        <v/>
      </c>
      <c r="MT60" s="11">
        <f>'Sens - Churn'!$A$18*VLOOKUP(MP60,ChurnSeasonTable,4,FALSE)</f>
        <v/>
      </c>
      <c r="MU60" s="12">
        <f>MIN(MAX(MktMin19plus,NO59*MktPct19plus),MAX(0,OC59-CashBuffer))</f>
        <v/>
      </c>
      <c r="MV60" s="12">
        <f>IF(MU60&gt;0,MAX(1,ROUND(MU60/CAC*MR60,0)),0)</f>
        <v/>
      </c>
      <c r="MW60" s="12">
        <f>IF(MV60&gt;0,ROUND(MV60*ReferralMix/(1-ReferralMix),0),0)</f>
        <v/>
      </c>
      <c r="MX60" s="12">
        <f>MV60+MW60</f>
        <v/>
      </c>
      <c r="MY60" s="12">
        <f>ROUND(MX60*(1-AnnualMix),0)</f>
        <v/>
      </c>
      <c r="MZ60" s="12">
        <f>MX60-MY60</f>
        <v/>
      </c>
      <c r="NA60" s="12">
        <f>ROUND(MY60*EssentialMix,0)</f>
        <v/>
      </c>
      <c r="NB60" s="12">
        <f>MY60-NA60</f>
        <v/>
      </c>
      <c r="NC60" s="12">
        <f>ROUND(MZ60*EssentialMix,0)</f>
        <v/>
      </c>
      <c r="ND60" s="12">
        <f>MZ60-NC60</f>
        <v/>
      </c>
      <c r="NE60" s="12">
        <f>NA60+NA59+NA58+MAX(0,NE59-NA59-NA58)*(1-MT60)</f>
        <v/>
      </c>
      <c r="NF60" s="12">
        <f>NB60+NB59+NB58+MAX(0,NF59-NB59-NB58)*(1-MT60)</f>
        <v/>
      </c>
      <c r="NG60" s="12">
        <f>NG59+NC60-NC48*(AnnualChurn*VLOOKUP(MP60,ChurnSeasonTable,4,FALSE))*POWER(1-(AnnualChurn*VLOOKUP(MP60,ChurnSeasonTable,4,FALSE)),0)+NC36*(AnnualChurn*VLOOKUP(MP60,ChurnSeasonTable,4,FALSE))*POWER(1-(AnnualChurn*VLOOKUP(MP60,ChurnSeasonTable,4,FALSE)),1)+NC24*(AnnualChurn*VLOOKUP(MP60,ChurnSeasonTable,4,FALSE))*POWER(1-(AnnualChurn*VLOOKUP(MP60,ChurnSeasonTable,4,FALSE)),2)+NC12*(AnnualChurn*VLOOKUP(MP60,ChurnSeasonTable,4,FALSE))*POWER(1-(AnnualChurn*VLOOKUP(MP60,ChurnSeasonTable,4,FALSE)),3)</f>
        <v/>
      </c>
      <c r="NH60" s="12">
        <f>NH59+ND60-ND48*(AnnualChurn*VLOOKUP(MP60,ChurnSeasonTable,4,FALSE))*POWER(1-(AnnualChurn*VLOOKUP(MP60,ChurnSeasonTable,4,FALSE)),0)+ND36*(AnnualChurn*VLOOKUP(MP60,ChurnSeasonTable,4,FALSE))*POWER(1-(AnnualChurn*VLOOKUP(MP60,ChurnSeasonTable,4,FALSE)),1)+ND24*(AnnualChurn*VLOOKUP(MP60,ChurnSeasonTable,4,FALSE))*POWER(1-(AnnualChurn*VLOOKUP(MP60,ChurnSeasonTable,4,FALSE)),2)+ND12*(AnnualChurn*VLOOKUP(MP60,ChurnSeasonTable,4,FALSE))*POWER(1-(AnnualChurn*VLOOKUP(MP60,ChurnSeasonTable,4,FALSE)),3)</f>
        <v/>
      </c>
      <c r="NI60" s="12">
        <f>NE60+NF60+NG60+NH60</f>
        <v/>
      </c>
      <c r="NJ60" s="9">
        <f>NE60*PriceEssMonthly*MS60+NF60*PricePremMonthly*MS60+NG60*PriceEssAnnual*MS60/12+NH60*PricePremAnnual*MS60/12</f>
        <v/>
      </c>
      <c r="NK60" s="9">
        <f>NJ60*12</f>
        <v/>
      </c>
      <c r="NL60" s="12">
        <f>NE60*PriceEssMonthly*MS60+NF60*PricePremMonthly*MS60</f>
        <v/>
      </c>
      <c r="NM60" s="12">
        <f>NC60*PriceEssAnnual*MS60+ND60*PricePremAnnual*MS60</f>
        <v/>
      </c>
      <c r="NN60" s="12">
        <f>NC48*POWER(1-(AnnualChurn*VLOOKUP(MP60,ChurnSeasonTable,4,FALSE)),1)*PriceEssAnnual*MS60+NC36*POWER(1-(AnnualChurn*VLOOKUP(MP60,ChurnSeasonTable,4,FALSE)),2)*PriceEssAnnual*MS60+NC24*POWER(1-(AnnualChurn*VLOOKUP(MP60,ChurnSeasonTable,4,FALSE)),3)*PriceEssAnnual*MS60+NC12*POWER(1-(AnnualChurn*VLOOKUP(MP60,ChurnSeasonTable,4,FALSE)),4)*PriceEssAnnual*MS60+ND48*POWER(1-(AnnualChurn*VLOOKUP(MP60,ChurnSeasonTable,4,FALSE)),1)*PricePremAnnual*MS60+ND36*POWER(1-(AnnualChurn*VLOOKUP(MP60,ChurnSeasonTable,4,FALSE)),2)*PricePremAnnual*MS60+ND24*POWER(1-(AnnualChurn*VLOOKUP(MP60,ChurnSeasonTable,4,FALSE)),3)*PricePremAnnual*MS60+ND12*POWER(1-(AnnualChurn*VLOOKUP(MP60,ChurnSeasonTable,4,FALSE)),4)*PricePremAnnual*MS60</f>
        <v/>
      </c>
      <c r="NO60" s="9">
        <f>NL60+NM60+NN60</f>
        <v/>
      </c>
      <c r="NP60" s="12">
        <f>SUM(NO49:NO60)</f>
        <v/>
      </c>
      <c r="NQ60" s="12">
        <f>OR(NQ59,NP60&gt;=VATThreshold)</f>
        <v/>
      </c>
      <c r="NR60" s="9">
        <f>IF(NQ60,NO60/(1+VATRate),NO60)</f>
        <v/>
      </c>
      <c r="NS60" s="12">
        <f>NO60-NR60</f>
        <v/>
      </c>
      <c r="NT60" s="12">
        <f>IF(NQ60=0,0,IF(MP60=1,SUMPRODUCT(--(($MQ$5:$MQ60=$MQ60-1)*($MP$5:$MP60&gt;=10)*($MP$5:$MP60&lt;=12)),$NS$5:$NS60),IF(MP60=4,SUMPRODUCT(--(($MQ$5:$MQ60=$MQ60)*($MP$5:$MP60&gt;=1)*($MP$5:$MP60&lt;=3)),$NS$5:$NS60),IF(MP60=7,SUMPRODUCT(--(($MQ$5:$MQ60=$MQ60)*($MP$5:$MP60&gt;=4)*($MP$5:$MP60&lt;=6)),$NS$5:$NS60),IF(MP60=10,SUMPRODUCT(--(($MQ$5:$MQ60=$MQ60)*($MP$5:$MP60&gt;=7)*($MP$5:$MP60&lt;=9)),$NS$5:$NS60),0)))))</f>
        <v/>
      </c>
      <c r="NU60" s="12">
        <f>NU59+NS60-NT60</f>
        <v/>
      </c>
      <c r="NV60" s="12">
        <f>IF(ProviderDelay&gt;=1,NR59*ProviderShare,NR60*ProviderShare)</f>
        <v/>
      </c>
      <c r="NW60" s="12">
        <f>NO60*PaymentFee</f>
        <v/>
      </c>
      <c r="NX60" s="12">
        <f>NI60*OpsAI</f>
        <v/>
      </c>
      <c r="NY60" s="12">
        <f>MonthlyFixed</f>
        <v/>
      </c>
      <c r="NZ60" s="12">
        <f>MW60*ReferralReward</f>
        <v/>
      </c>
      <c r="OA60" s="12">
        <f>MU60</f>
        <v/>
      </c>
      <c r="OB60" s="9">
        <f>NR60-NV60-NW60-NX60-NY60-NZ60-OA60</f>
        <v/>
      </c>
      <c r="OC60" s="9">
        <f>OC59+NO60-(NV60+NW60+NX60+NY60+NZ60+OA60+NT60)</f>
        <v/>
      </c>
      <c r="OD60" s="12">
        <f>IF(NI60&gt;0,NJ60/NI60,0)</f>
        <v/>
      </c>
      <c r="OE60" s="11">
        <f>IF(NI59&gt;0,MAX(0,(NI59+MX60-NI60)/NI59),0)</f>
        <v/>
      </c>
      <c r="OG60" s="12" t="n">
        <v>56</v>
      </c>
      <c r="OH60" s="12">
        <f>MOD(OG60-1+LaunchMonth-1,12)+1</f>
        <v/>
      </c>
      <c r="OI60" s="12">
        <f>INT((OG60-1+LaunchMonth-1)/12)+1</f>
        <v/>
      </c>
      <c r="OJ60" s="12">
        <f>VLOOKUP(OH60,SeasonTable,2,FALSE)</f>
        <v/>
      </c>
      <c r="OK60" s="12">
        <f>(1+InflationRate)^INT((OG60-1)/12)</f>
        <v/>
      </c>
      <c r="OL60" s="11">
        <f>'Sens - Churn'!$A$19*VLOOKUP(OH60,ChurnSeasonTable,4,FALSE)</f>
        <v/>
      </c>
      <c r="OM60" s="12">
        <f>MIN(MAX(MktMin19plus,PG59*MktPct19plus),MAX(0,PU59-CashBuffer))</f>
        <v/>
      </c>
      <c r="ON60" s="12">
        <f>IF(OM60&gt;0,MAX(1,ROUND(OM60/CAC*OJ60,0)),0)</f>
        <v/>
      </c>
      <c r="OO60" s="12">
        <f>IF(ON60&gt;0,ROUND(ON60*ReferralMix/(1-ReferralMix),0),0)</f>
        <v/>
      </c>
      <c r="OP60" s="12">
        <f>ON60+OO60</f>
        <v/>
      </c>
      <c r="OQ60" s="12">
        <f>ROUND(OP60*(1-AnnualMix),0)</f>
        <v/>
      </c>
      <c r="OR60" s="12">
        <f>OP60-OQ60</f>
        <v/>
      </c>
      <c r="OS60" s="12">
        <f>ROUND(OQ60*EssentialMix,0)</f>
        <v/>
      </c>
      <c r="OT60" s="12">
        <f>OQ60-OS60</f>
        <v/>
      </c>
      <c r="OU60" s="12">
        <f>ROUND(OR60*EssentialMix,0)</f>
        <v/>
      </c>
      <c r="OV60" s="12">
        <f>OR60-OU60</f>
        <v/>
      </c>
      <c r="OW60" s="12">
        <f>OS60+OS59+OS58+MAX(0,OW59-OS59-OS58)*(1-OL60)</f>
        <v/>
      </c>
      <c r="OX60" s="12">
        <f>OT60+OT59+OT58+MAX(0,OX59-OT59-OT58)*(1-OL60)</f>
        <v/>
      </c>
      <c r="OY60" s="12">
        <f>OY59+OU60-OU48*(AnnualChurn*VLOOKUP(OH60,ChurnSeasonTable,4,FALSE))*POWER(1-(AnnualChurn*VLOOKUP(OH60,ChurnSeasonTable,4,FALSE)),0)+OU36*(AnnualChurn*VLOOKUP(OH60,ChurnSeasonTable,4,FALSE))*POWER(1-(AnnualChurn*VLOOKUP(OH60,ChurnSeasonTable,4,FALSE)),1)+OU24*(AnnualChurn*VLOOKUP(OH60,ChurnSeasonTable,4,FALSE))*POWER(1-(AnnualChurn*VLOOKUP(OH60,ChurnSeasonTable,4,FALSE)),2)+OU12*(AnnualChurn*VLOOKUP(OH60,ChurnSeasonTable,4,FALSE))*POWER(1-(AnnualChurn*VLOOKUP(OH60,ChurnSeasonTable,4,FALSE)),3)</f>
        <v/>
      </c>
      <c r="OZ60" s="12">
        <f>OZ59+OV60-OV48*(AnnualChurn*VLOOKUP(OH60,ChurnSeasonTable,4,FALSE))*POWER(1-(AnnualChurn*VLOOKUP(OH60,ChurnSeasonTable,4,FALSE)),0)+OV36*(AnnualChurn*VLOOKUP(OH60,ChurnSeasonTable,4,FALSE))*POWER(1-(AnnualChurn*VLOOKUP(OH60,ChurnSeasonTable,4,FALSE)),1)+OV24*(AnnualChurn*VLOOKUP(OH60,ChurnSeasonTable,4,FALSE))*POWER(1-(AnnualChurn*VLOOKUP(OH60,ChurnSeasonTable,4,FALSE)),2)+OV12*(AnnualChurn*VLOOKUP(OH60,ChurnSeasonTable,4,FALSE))*POWER(1-(AnnualChurn*VLOOKUP(OH60,ChurnSeasonTable,4,FALSE)),3)</f>
        <v/>
      </c>
      <c r="PA60" s="12">
        <f>OW60+OX60+OY60+OZ60</f>
        <v/>
      </c>
      <c r="PB60" s="9">
        <f>OW60*PriceEssMonthly*OK60+OX60*PricePremMonthly*OK60+OY60*PriceEssAnnual*OK60/12+OZ60*PricePremAnnual*OK60/12</f>
        <v/>
      </c>
      <c r="PC60" s="9">
        <f>PB60*12</f>
        <v/>
      </c>
      <c r="PD60" s="12">
        <f>OW60*PriceEssMonthly*OK60+OX60*PricePremMonthly*OK60</f>
        <v/>
      </c>
      <c r="PE60" s="12">
        <f>OU60*PriceEssAnnual*OK60+OV60*PricePremAnnual*OK60</f>
        <v/>
      </c>
      <c r="PF60" s="12">
        <f>OU48*POWER(1-(AnnualChurn*VLOOKUP(OH60,ChurnSeasonTable,4,FALSE)),1)*PriceEssAnnual*OK60+OU36*POWER(1-(AnnualChurn*VLOOKUP(OH60,ChurnSeasonTable,4,FALSE)),2)*PriceEssAnnual*OK60+OU24*POWER(1-(AnnualChurn*VLOOKUP(OH60,ChurnSeasonTable,4,FALSE)),3)*PriceEssAnnual*OK60+OU12*POWER(1-(AnnualChurn*VLOOKUP(OH60,ChurnSeasonTable,4,FALSE)),4)*PriceEssAnnual*OK60+OV48*POWER(1-(AnnualChurn*VLOOKUP(OH60,ChurnSeasonTable,4,FALSE)),1)*PricePremAnnual*OK60+OV36*POWER(1-(AnnualChurn*VLOOKUP(OH60,ChurnSeasonTable,4,FALSE)),2)*PricePremAnnual*OK60+OV24*POWER(1-(AnnualChurn*VLOOKUP(OH60,ChurnSeasonTable,4,FALSE)),3)*PricePremAnnual*OK60+OV12*POWER(1-(AnnualChurn*VLOOKUP(OH60,ChurnSeasonTable,4,FALSE)),4)*PricePremAnnual*OK60</f>
        <v/>
      </c>
      <c r="PG60" s="9">
        <f>PD60+PE60+PF60</f>
        <v/>
      </c>
      <c r="PH60" s="12">
        <f>SUM(PG49:PG60)</f>
        <v/>
      </c>
      <c r="PI60" s="12">
        <f>OR(PI59,PH60&gt;=VATThreshold)</f>
        <v/>
      </c>
      <c r="PJ60" s="9">
        <f>IF(PI60,PG60/(1+VATRate),PG60)</f>
        <v/>
      </c>
      <c r="PK60" s="12">
        <f>PG60-PJ60</f>
        <v/>
      </c>
      <c r="PL60" s="12">
        <f>IF(PI60=0,0,IF(OH60=1,SUMPRODUCT(--(($OI$5:$OI60=$OI60-1)*($OH$5:$OH60&gt;=10)*($OH$5:$OH60&lt;=12)),$PK$5:$PK60),IF(OH60=4,SUMPRODUCT(--(($OI$5:$OI60=$OI60)*($OH$5:$OH60&gt;=1)*($OH$5:$OH60&lt;=3)),$PK$5:$PK60),IF(OH60=7,SUMPRODUCT(--(($OI$5:$OI60=$OI60)*($OH$5:$OH60&gt;=4)*($OH$5:$OH60&lt;=6)),$PK$5:$PK60),IF(OH60=10,SUMPRODUCT(--(($OI$5:$OI60=$OI60)*($OH$5:$OH60&gt;=7)*($OH$5:$OH60&lt;=9)),$PK$5:$PK60),0)))))</f>
        <v/>
      </c>
      <c r="PM60" s="12">
        <f>PM59+PK60-PL60</f>
        <v/>
      </c>
      <c r="PN60" s="12">
        <f>IF(ProviderDelay&gt;=1,PJ59*ProviderShare,PJ60*ProviderShare)</f>
        <v/>
      </c>
      <c r="PO60" s="12">
        <f>PG60*PaymentFee</f>
        <v/>
      </c>
      <c r="PP60" s="12">
        <f>PA60*OpsAI</f>
        <v/>
      </c>
      <c r="PQ60" s="12">
        <f>MonthlyFixed</f>
        <v/>
      </c>
      <c r="PR60" s="12">
        <f>OO60*ReferralReward</f>
        <v/>
      </c>
      <c r="PS60" s="12">
        <f>OM60</f>
        <v/>
      </c>
      <c r="PT60" s="9">
        <f>PJ60-PN60-PO60-PP60-PQ60-PR60-PS60</f>
        <v/>
      </c>
      <c r="PU60" s="9">
        <f>PU59+PG60-(PN60+PO60+PP60+PQ60+PR60+PS60+PL60)</f>
        <v/>
      </c>
      <c r="PV60" s="12">
        <f>IF(PA60&gt;0,PB60/PA60,0)</f>
        <v/>
      </c>
      <c r="PW60" s="11">
        <f>IF(PA59&gt;0,MAX(0,(PA59+OP60-PA60)/PA59),0)</f>
        <v/>
      </c>
      <c r="PY60" s="12" t="n">
        <v>56</v>
      </c>
      <c r="PZ60" s="12">
        <f>MOD(PY60-1+LaunchMonth-1,12)+1</f>
        <v/>
      </c>
      <c r="QA60" s="12">
        <f>INT((PY60-1+LaunchMonth-1)/12)+1</f>
        <v/>
      </c>
      <c r="QB60" s="12">
        <f>VLOOKUP(PZ60,SeasonTable,2,FALSE)</f>
        <v/>
      </c>
      <c r="QC60" s="12">
        <f>(1+InflationRate)^INT((PY60-1)/12)</f>
        <v/>
      </c>
      <c r="QD60" s="11">
        <f>'Sens - Churn'!$A$20*VLOOKUP(PZ60,ChurnSeasonTable,4,FALSE)</f>
        <v/>
      </c>
      <c r="QE60" s="12">
        <f>MIN(MAX(MktMin19plus,QY59*MktPct19plus),MAX(0,RM59-CashBuffer))</f>
        <v/>
      </c>
      <c r="QF60" s="12">
        <f>IF(QE60&gt;0,MAX(1,ROUND(QE60/CAC*QB60,0)),0)</f>
        <v/>
      </c>
      <c r="QG60" s="12">
        <f>IF(QF60&gt;0,ROUND(QF60*ReferralMix/(1-ReferralMix),0),0)</f>
        <v/>
      </c>
      <c r="QH60" s="12">
        <f>QF60+QG60</f>
        <v/>
      </c>
      <c r="QI60" s="12">
        <f>ROUND(QH60*(1-AnnualMix),0)</f>
        <v/>
      </c>
      <c r="QJ60" s="12">
        <f>QH60-QI60</f>
        <v/>
      </c>
      <c r="QK60" s="12">
        <f>ROUND(QI60*EssentialMix,0)</f>
        <v/>
      </c>
      <c r="QL60" s="12">
        <f>QI60-QK60</f>
        <v/>
      </c>
      <c r="QM60" s="12">
        <f>ROUND(QJ60*EssentialMix,0)</f>
        <v/>
      </c>
      <c r="QN60" s="12">
        <f>QJ60-QM60</f>
        <v/>
      </c>
      <c r="QO60" s="12">
        <f>QK60+QK59+QK58+MAX(0,QO59-QK59-QK58)*(1-QD60)</f>
        <v/>
      </c>
      <c r="QP60" s="12">
        <f>QL60+QL59+QL58+MAX(0,QP59-QL59-QL58)*(1-QD60)</f>
        <v/>
      </c>
      <c r="QQ60" s="12">
        <f>QQ59+QM60-QM48*(AnnualChurn*VLOOKUP(PZ60,ChurnSeasonTable,4,FALSE))*POWER(1-(AnnualChurn*VLOOKUP(PZ60,ChurnSeasonTable,4,FALSE)),0)+QM36*(AnnualChurn*VLOOKUP(PZ60,ChurnSeasonTable,4,FALSE))*POWER(1-(AnnualChurn*VLOOKUP(PZ60,ChurnSeasonTable,4,FALSE)),1)+QM24*(AnnualChurn*VLOOKUP(PZ60,ChurnSeasonTable,4,FALSE))*POWER(1-(AnnualChurn*VLOOKUP(PZ60,ChurnSeasonTable,4,FALSE)),2)+QM12*(AnnualChurn*VLOOKUP(PZ60,ChurnSeasonTable,4,FALSE))*POWER(1-(AnnualChurn*VLOOKUP(PZ60,ChurnSeasonTable,4,FALSE)),3)</f>
        <v/>
      </c>
      <c r="QR60" s="12">
        <f>QR59+QN60-QN48*(AnnualChurn*VLOOKUP(PZ60,ChurnSeasonTable,4,FALSE))*POWER(1-(AnnualChurn*VLOOKUP(PZ60,ChurnSeasonTable,4,FALSE)),0)+QN36*(AnnualChurn*VLOOKUP(PZ60,ChurnSeasonTable,4,FALSE))*POWER(1-(AnnualChurn*VLOOKUP(PZ60,ChurnSeasonTable,4,FALSE)),1)+QN24*(AnnualChurn*VLOOKUP(PZ60,ChurnSeasonTable,4,FALSE))*POWER(1-(AnnualChurn*VLOOKUP(PZ60,ChurnSeasonTable,4,FALSE)),2)+QN12*(AnnualChurn*VLOOKUP(PZ60,ChurnSeasonTable,4,FALSE))*POWER(1-(AnnualChurn*VLOOKUP(PZ60,ChurnSeasonTable,4,FALSE)),3)</f>
        <v/>
      </c>
      <c r="QS60" s="12">
        <f>QO60+QP60+QQ60+QR60</f>
        <v/>
      </c>
      <c r="QT60" s="9">
        <f>QO60*PriceEssMonthly*QC60+QP60*PricePremMonthly*QC60+QQ60*PriceEssAnnual*QC60/12+QR60*PricePremAnnual*QC60/12</f>
        <v/>
      </c>
      <c r="QU60" s="9">
        <f>QT60*12</f>
        <v/>
      </c>
      <c r="QV60" s="12">
        <f>QO60*PriceEssMonthly*QC60+QP60*PricePremMonthly*QC60</f>
        <v/>
      </c>
      <c r="QW60" s="12">
        <f>QM60*PriceEssAnnual*QC60+QN60*PricePremAnnual*QC60</f>
        <v/>
      </c>
      <c r="QX60" s="12">
        <f>QM48*POWER(1-(AnnualChurn*VLOOKUP(PZ60,ChurnSeasonTable,4,FALSE)),1)*PriceEssAnnual*QC60+QM36*POWER(1-(AnnualChurn*VLOOKUP(PZ60,ChurnSeasonTable,4,FALSE)),2)*PriceEssAnnual*QC60+QM24*POWER(1-(AnnualChurn*VLOOKUP(PZ60,ChurnSeasonTable,4,FALSE)),3)*PriceEssAnnual*QC60+QM12*POWER(1-(AnnualChurn*VLOOKUP(PZ60,ChurnSeasonTable,4,FALSE)),4)*PriceEssAnnual*QC60+QN48*POWER(1-(AnnualChurn*VLOOKUP(PZ60,ChurnSeasonTable,4,FALSE)),1)*PricePremAnnual*QC60+QN36*POWER(1-(AnnualChurn*VLOOKUP(PZ60,ChurnSeasonTable,4,FALSE)),2)*PricePremAnnual*QC60+QN24*POWER(1-(AnnualChurn*VLOOKUP(PZ60,ChurnSeasonTable,4,FALSE)),3)*PricePremAnnual*QC60+QN12*POWER(1-(AnnualChurn*VLOOKUP(PZ60,ChurnSeasonTable,4,FALSE)),4)*PricePremAnnual*QC60</f>
        <v/>
      </c>
      <c r="QY60" s="9">
        <f>QV60+QW60+QX60</f>
        <v/>
      </c>
      <c r="QZ60" s="12">
        <f>SUM(QY49:QY60)</f>
        <v/>
      </c>
      <c r="RA60" s="12">
        <f>OR(RA59,QZ60&gt;=VATThreshold)</f>
        <v/>
      </c>
      <c r="RB60" s="9">
        <f>IF(RA60,QY60/(1+VATRate),QY60)</f>
        <v/>
      </c>
      <c r="RC60" s="12">
        <f>QY60-RB60</f>
        <v/>
      </c>
      <c r="RD60" s="12">
        <f>IF(RA60=0,0,IF(PZ60=1,SUMPRODUCT(--(($QA$5:$QA60=$QA60-1)*($PZ$5:$PZ60&gt;=10)*($PZ$5:$PZ60&lt;=12)),$RC$5:$RC60),IF(PZ60=4,SUMPRODUCT(--(($QA$5:$QA60=$QA60)*($PZ$5:$PZ60&gt;=1)*($PZ$5:$PZ60&lt;=3)),$RC$5:$RC60),IF(PZ60=7,SUMPRODUCT(--(($QA$5:$QA60=$QA60)*($PZ$5:$PZ60&gt;=4)*($PZ$5:$PZ60&lt;=6)),$RC$5:$RC60),IF(PZ60=10,SUMPRODUCT(--(($QA$5:$QA60=$QA60)*($PZ$5:$PZ60&gt;=7)*($PZ$5:$PZ60&lt;=9)),$RC$5:$RC60),0)))))</f>
        <v/>
      </c>
      <c r="RE60" s="12">
        <f>RE59+RC60-RD60</f>
        <v/>
      </c>
      <c r="RF60" s="12">
        <f>IF(ProviderDelay&gt;=1,RB59*ProviderShare,RB60*ProviderShare)</f>
        <v/>
      </c>
      <c r="RG60" s="12">
        <f>QY60*PaymentFee</f>
        <v/>
      </c>
      <c r="RH60" s="12">
        <f>QS60*OpsAI</f>
        <v/>
      </c>
      <c r="RI60" s="12">
        <f>MonthlyFixed</f>
        <v/>
      </c>
      <c r="RJ60" s="12">
        <f>QG60*ReferralReward</f>
        <v/>
      </c>
      <c r="RK60" s="12">
        <f>QE60</f>
        <v/>
      </c>
      <c r="RL60" s="9">
        <f>RB60-RF60-RG60-RH60-RI60-RJ60-RK60</f>
        <v/>
      </c>
      <c r="RM60" s="9">
        <f>RM59+QY60-(RF60+RG60+RH60+RI60+RJ60+RK60+RD60)</f>
        <v/>
      </c>
      <c r="RN60" s="12">
        <f>IF(QS60&gt;0,QT60/QS60,0)</f>
        <v/>
      </c>
      <c r="RO60" s="11">
        <f>IF(QS59&gt;0,MAX(0,(QS59+QH60-QS60)/QS59),0)</f>
        <v/>
      </c>
      <c r="RQ60" s="12" t="n">
        <v>56</v>
      </c>
      <c r="RR60" s="12">
        <f>MOD(RQ60-1+LaunchMonth-1,12)+1</f>
        <v/>
      </c>
      <c r="RS60" s="12">
        <f>INT((RQ60-1+LaunchMonth-1)/12)+1</f>
        <v/>
      </c>
      <c r="RT60" s="12">
        <f>VLOOKUP(RR60,SeasonTable,2,FALSE)</f>
        <v/>
      </c>
      <c r="RU60" s="12">
        <f>(1+InflationRate)^INT((RQ60-1)/12)</f>
        <v/>
      </c>
      <c r="RV60" s="11">
        <f>'Sens - Churn'!$A$21*VLOOKUP(RR60,ChurnSeasonTable,4,FALSE)</f>
        <v/>
      </c>
      <c r="RW60" s="12">
        <f>MIN(MAX(MktMin19plus,SQ59*MktPct19plus),MAX(0,TE59-CashBuffer))</f>
        <v/>
      </c>
      <c r="RX60" s="12">
        <f>IF(RW60&gt;0,MAX(1,ROUND(RW60/CAC*RT60,0)),0)</f>
        <v/>
      </c>
      <c r="RY60" s="12">
        <f>IF(RX60&gt;0,ROUND(RX60*ReferralMix/(1-ReferralMix),0),0)</f>
        <v/>
      </c>
      <c r="RZ60" s="12">
        <f>RX60+RY60</f>
        <v/>
      </c>
      <c r="SA60" s="12">
        <f>ROUND(RZ60*(1-AnnualMix),0)</f>
        <v/>
      </c>
      <c r="SB60" s="12">
        <f>RZ60-SA60</f>
        <v/>
      </c>
      <c r="SC60" s="12">
        <f>ROUND(SA60*EssentialMix,0)</f>
        <v/>
      </c>
      <c r="SD60" s="12">
        <f>SA60-SC60</f>
        <v/>
      </c>
      <c r="SE60" s="12">
        <f>ROUND(SB60*EssentialMix,0)</f>
        <v/>
      </c>
      <c r="SF60" s="12">
        <f>SB60-SE60</f>
        <v/>
      </c>
      <c r="SG60" s="12">
        <f>SC60+SC59+SC58+MAX(0,SG59-SC59-SC58)*(1-RV60)</f>
        <v/>
      </c>
      <c r="SH60" s="12">
        <f>SD60+SD59+SD58+MAX(0,SH59-SD59-SD58)*(1-RV60)</f>
        <v/>
      </c>
      <c r="SI60" s="12">
        <f>SI59+SE60-SE48*(AnnualChurn*VLOOKUP(RR60,ChurnSeasonTable,4,FALSE))*POWER(1-(AnnualChurn*VLOOKUP(RR60,ChurnSeasonTable,4,FALSE)),0)+SE36*(AnnualChurn*VLOOKUP(RR60,ChurnSeasonTable,4,FALSE))*POWER(1-(AnnualChurn*VLOOKUP(RR60,ChurnSeasonTable,4,FALSE)),1)+SE24*(AnnualChurn*VLOOKUP(RR60,ChurnSeasonTable,4,FALSE))*POWER(1-(AnnualChurn*VLOOKUP(RR60,ChurnSeasonTable,4,FALSE)),2)+SE12*(AnnualChurn*VLOOKUP(RR60,ChurnSeasonTable,4,FALSE))*POWER(1-(AnnualChurn*VLOOKUP(RR60,ChurnSeasonTable,4,FALSE)),3)</f>
        <v/>
      </c>
      <c r="SJ60" s="12">
        <f>SJ59+SF60-SF48*(AnnualChurn*VLOOKUP(RR60,ChurnSeasonTable,4,FALSE))*POWER(1-(AnnualChurn*VLOOKUP(RR60,ChurnSeasonTable,4,FALSE)),0)+SF36*(AnnualChurn*VLOOKUP(RR60,ChurnSeasonTable,4,FALSE))*POWER(1-(AnnualChurn*VLOOKUP(RR60,ChurnSeasonTable,4,FALSE)),1)+SF24*(AnnualChurn*VLOOKUP(RR60,ChurnSeasonTable,4,FALSE))*POWER(1-(AnnualChurn*VLOOKUP(RR60,ChurnSeasonTable,4,FALSE)),2)+SF12*(AnnualChurn*VLOOKUP(RR60,ChurnSeasonTable,4,FALSE))*POWER(1-(AnnualChurn*VLOOKUP(RR60,ChurnSeasonTable,4,FALSE)),3)</f>
        <v/>
      </c>
      <c r="SK60" s="12">
        <f>SG60+SH60+SI60+SJ60</f>
        <v/>
      </c>
      <c r="SL60" s="9">
        <f>SG60*PriceEssMonthly*RU60+SH60*PricePremMonthly*RU60+SI60*PriceEssAnnual*RU60/12+SJ60*PricePremAnnual*RU60/12</f>
        <v/>
      </c>
      <c r="SM60" s="9">
        <f>SL60*12</f>
        <v/>
      </c>
      <c r="SN60" s="12">
        <f>SG60*PriceEssMonthly*RU60+SH60*PricePremMonthly*RU60</f>
        <v/>
      </c>
      <c r="SO60" s="12">
        <f>SE60*PriceEssAnnual*RU60+SF60*PricePremAnnual*RU60</f>
        <v/>
      </c>
      <c r="SP60" s="12">
        <f>SE48*POWER(1-(AnnualChurn*VLOOKUP(RR60,ChurnSeasonTable,4,FALSE)),1)*PriceEssAnnual*RU60+SE36*POWER(1-(AnnualChurn*VLOOKUP(RR60,ChurnSeasonTable,4,FALSE)),2)*PriceEssAnnual*RU60+SE24*POWER(1-(AnnualChurn*VLOOKUP(RR60,ChurnSeasonTable,4,FALSE)),3)*PriceEssAnnual*RU60+SE12*POWER(1-(AnnualChurn*VLOOKUP(RR60,ChurnSeasonTable,4,FALSE)),4)*PriceEssAnnual*RU60+SF48*POWER(1-(AnnualChurn*VLOOKUP(RR60,ChurnSeasonTable,4,FALSE)),1)*PricePremAnnual*RU60+SF36*POWER(1-(AnnualChurn*VLOOKUP(RR60,ChurnSeasonTable,4,FALSE)),2)*PricePremAnnual*RU60+SF24*POWER(1-(AnnualChurn*VLOOKUP(RR60,ChurnSeasonTable,4,FALSE)),3)*PricePremAnnual*RU60+SF12*POWER(1-(AnnualChurn*VLOOKUP(RR60,ChurnSeasonTable,4,FALSE)),4)*PricePremAnnual*RU60</f>
        <v/>
      </c>
      <c r="SQ60" s="9">
        <f>SN60+SO60+SP60</f>
        <v/>
      </c>
      <c r="SR60" s="12">
        <f>SUM(SQ49:SQ60)</f>
        <v/>
      </c>
      <c r="SS60" s="12">
        <f>OR(SS59,SR60&gt;=VATThreshold)</f>
        <v/>
      </c>
      <c r="ST60" s="9">
        <f>IF(SS60,SQ60/(1+VATRate),SQ60)</f>
        <v/>
      </c>
      <c r="SU60" s="12">
        <f>SQ60-ST60</f>
        <v/>
      </c>
      <c r="SV60" s="12">
        <f>IF(SS60=0,0,IF(RR60=1,SUMPRODUCT(--(($RS$5:$RS60=$RS60-1)*($RR$5:$RR60&gt;=10)*($RR$5:$RR60&lt;=12)),$SU$5:$SU60),IF(RR60=4,SUMPRODUCT(--(($RS$5:$RS60=$RS60)*($RR$5:$RR60&gt;=1)*($RR$5:$RR60&lt;=3)),$SU$5:$SU60),IF(RR60=7,SUMPRODUCT(--(($RS$5:$RS60=$RS60)*($RR$5:$RR60&gt;=4)*($RR$5:$RR60&lt;=6)),$SU$5:$SU60),IF(RR60=10,SUMPRODUCT(--(($RS$5:$RS60=$RS60)*($RR$5:$RR60&gt;=7)*($RR$5:$RR60&lt;=9)),$SU$5:$SU60),0)))))</f>
        <v/>
      </c>
      <c r="SW60" s="12">
        <f>SW59+SU60-SV60</f>
        <v/>
      </c>
      <c r="SX60" s="12">
        <f>IF(ProviderDelay&gt;=1,ST59*ProviderShare,ST60*ProviderShare)</f>
        <v/>
      </c>
      <c r="SY60" s="12">
        <f>SQ60*PaymentFee</f>
        <v/>
      </c>
      <c r="SZ60" s="12">
        <f>SK60*OpsAI</f>
        <v/>
      </c>
      <c r="TA60" s="12">
        <f>MonthlyFixed</f>
        <v/>
      </c>
      <c r="TB60" s="12">
        <f>RY60*ReferralReward</f>
        <v/>
      </c>
      <c r="TC60" s="12">
        <f>RW60</f>
        <v/>
      </c>
      <c r="TD60" s="9">
        <f>ST60-SX60-SY60-SZ60-TA60-TB60-TC60</f>
        <v/>
      </c>
      <c r="TE60" s="9">
        <f>TE59+SQ60-(SX60+SY60+SZ60+TA60+TB60+TC60+SV60)</f>
        <v/>
      </c>
      <c r="TF60" s="12">
        <f>IF(SK60&gt;0,SL60/SK60,0)</f>
        <v/>
      </c>
      <c r="TG60" s="11">
        <f>IF(SK59&gt;0,MAX(0,(SK59+RZ60-SK60)/SK59),0)</f>
        <v/>
      </c>
      <c r="TI60" s="12" t="n">
        <v>56</v>
      </c>
      <c r="TJ60" s="12">
        <f>MOD(TI60-1+LaunchMonth-1,12)+1</f>
        <v/>
      </c>
      <c r="TK60" s="12">
        <f>INT((TI60-1+LaunchMonth-1)/12)+1</f>
        <v/>
      </c>
      <c r="TL60" s="12">
        <f>VLOOKUP(TJ60,SeasonTable,2,FALSE)</f>
        <v/>
      </c>
      <c r="TM60" s="12">
        <f>(1+InflationRate)^INT((TI60-1)/12)</f>
        <v/>
      </c>
      <c r="TN60" s="11">
        <f>MonthlyChurn*VLOOKUP(TJ60,ChurnSeasonTable,4,FALSE)</f>
        <v/>
      </c>
      <c r="TO60" s="12">
        <f>MIN(MAX(MktMin19plus,UI59*MktPct19plus),MAX(0,UW59-CashBuffer))</f>
        <v/>
      </c>
      <c r="TP60" s="12">
        <f>IF(TO60&gt;0,MAX(1,ROUND(TO60/CAC*TL60,0)),0)</f>
        <v/>
      </c>
      <c r="TQ60" s="12">
        <f>IF(TP60&gt;0,ROUND(TP60*ReferralMix/(1-ReferralMix),0),0)</f>
        <v/>
      </c>
      <c r="TR60" s="12">
        <f>TP60+TQ60</f>
        <v/>
      </c>
      <c r="TS60" s="12">
        <f>ROUND(TR60*(1-'Sens - Annual Mix'!$A$9),0)</f>
        <v/>
      </c>
      <c r="TT60" s="12">
        <f>TR60-TS60</f>
        <v/>
      </c>
      <c r="TU60" s="12">
        <f>ROUND(TS60*EssentialMix,0)</f>
        <v/>
      </c>
      <c r="TV60" s="12">
        <f>TS60-TU60</f>
        <v/>
      </c>
      <c r="TW60" s="12">
        <f>ROUND(TT60*EssentialMix,0)</f>
        <v/>
      </c>
      <c r="TX60" s="12">
        <f>TT60-TW60</f>
        <v/>
      </c>
      <c r="TY60" s="12">
        <f>TU60+TU59+TU58+MAX(0,TY59-TU59-TU58)*(1-TN60)</f>
        <v/>
      </c>
      <c r="TZ60" s="12">
        <f>TV60+TV59+TV58+MAX(0,TZ59-TV59-TV58)*(1-TN60)</f>
        <v/>
      </c>
      <c r="UA60" s="12">
        <f>UA59+TW60-TW48*(AnnualChurn*VLOOKUP(TJ60,ChurnSeasonTable,4,FALSE))*POWER(1-(AnnualChurn*VLOOKUP(TJ60,ChurnSeasonTable,4,FALSE)),0)+TW36*(AnnualChurn*VLOOKUP(TJ60,ChurnSeasonTable,4,FALSE))*POWER(1-(AnnualChurn*VLOOKUP(TJ60,ChurnSeasonTable,4,FALSE)),1)+TW24*(AnnualChurn*VLOOKUP(TJ60,ChurnSeasonTable,4,FALSE))*POWER(1-(AnnualChurn*VLOOKUP(TJ60,ChurnSeasonTable,4,FALSE)),2)+TW12*(AnnualChurn*VLOOKUP(TJ60,ChurnSeasonTable,4,FALSE))*POWER(1-(AnnualChurn*VLOOKUP(TJ60,ChurnSeasonTable,4,FALSE)),3)</f>
        <v/>
      </c>
      <c r="UB60" s="12">
        <f>UB59+TX60-TX48*(AnnualChurn*VLOOKUP(TJ60,ChurnSeasonTable,4,FALSE))*POWER(1-(AnnualChurn*VLOOKUP(TJ60,ChurnSeasonTable,4,FALSE)),0)+TX36*(AnnualChurn*VLOOKUP(TJ60,ChurnSeasonTable,4,FALSE))*POWER(1-(AnnualChurn*VLOOKUP(TJ60,ChurnSeasonTable,4,FALSE)),1)+TX24*(AnnualChurn*VLOOKUP(TJ60,ChurnSeasonTable,4,FALSE))*POWER(1-(AnnualChurn*VLOOKUP(TJ60,ChurnSeasonTable,4,FALSE)),2)+TX12*(AnnualChurn*VLOOKUP(TJ60,ChurnSeasonTable,4,FALSE))*POWER(1-(AnnualChurn*VLOOKUP(TJ60,ChurnSeasonTable,4,FALSE)),3)</f>
        <v/>
      </c>
      <c r="UC60" s="12">
        <f>TY60+TZ60+UA60+UB60</f>
        <v/>
      </c>
      <c r="UD60" s="9">
        <f>TY60*PriceEssMonthly*TM60+TZ60*PricePremMonthly*TM60+UA60*PriceEssAnnual*TM60/12+UB60*PricePremAnnual*TM60/12</f>
        <v/>
      </c>
      <c r="UE60" s="9">
        <f>UD60*12</f>
        <v/>
      </c>
      <c r="UF60" s="12">
        <f>TY60*PriceEssMonthly*TM60+TZ60*PricePremMonthly*TM60</f>
        <v/>
      </c>
      <c r="UG60" s="12">
        <f>TW60*PriceEssAnnual*TM60+TX60*PricePremAnnual*TM60</f>
        <v/>
      </c>
      <c r="UH60" s="12">
        <f>TW48*POWER(1-(AnnualChurn*VLOOKUP(TJ60,ChurnSeasonTable,4,FALSE)),1)*PriceEssAnnual*TM60+TW36*POWER(1-(AnnualChurn*VLOOKUP(TJ60,ChurnSeasonTable,4,FALSE)),2)*PriceEssAnnual*TM60+TW24*POWER(1-(AnnualChurn*VLOOKUP(TJ60,ChurnSeasonTable,4,FALSE)),3)*PriceEssAnnual*TM60+TW12*POWER(1-(AnnualChurn*VLOOKUP(TJ60,ChurnSeasonTable,4,FALSE)),4)*PriceEssAnnual*TM60+TX48*POWER(1-(AnnualChurn*VLOOKUP(TJ60,ChurnSeasonTable,4,FALSE)),1)*PricePremAnnual*TM60+TX36*POWER(1-(AnnualChurn*VLOOKUP(TJ60,ChurnSeasonTable,4,FALSE)),2)*PricePremAnnual*TM60+TX24*POWER(1-(AnnualChurn*VLOOKUP(TJ60,ChurnSeasonTable,4,FALSE)),3)*PricePremAnnual*TM60+TX12*POWER(1-(AnnualChurn*VLOOKUP(TJ60,ChurnSeasonTable,4,FALSE)),4)*PricePremAnnual*TM60</f>
        <v/>
      </c>
      <c r="UI60" s="9">
        <f>UF60+UG60+UH60</f>
        <v/>
      </c>
      <c r="UJ60" s="12">
        <f>SUM(UI49:UI60)</f>
        <v/>
      </c>
      <c r="UK60" s="12">
        <f>OR(UK59,UJ60&gt;=VATThreshold)</f>
        <v/>
      </c>
      <c r="UL60" s="9">
        <f>IF(UK60,UI60/(1+VATRate),UI60)</f>
        <v/>
      </c>
      <c r="UM60" s="12">
        <f>UI60-UL60</f>
        <v/>
      </c>
      <c r="UN60" s="12">
        <f>IF(UK60=0,0,IF(TJ60=1,SUMPRODUCT(--(($TK$5:$TK60=$TK60-1)*($TJ$5:$TJ60&gt;=10)*($TJ$5:$TJ60&lt;=12)),$UM$5:$UM60),IF(TJ60=4,SUMPRODUCT(--(($TK$5:$TK60=$TK60)*($TJ$5:$TJ60&gt;=1)*($TJ$5:$TJ60&lt;=3)),$UM$5:$UM60),IF(TJ60=7,SUMPRODUCT(--(($TK$5:$TK60=$TK60)*($TJ$5:$TJ60&gt;=4)*($TJ$5:$TJ60&lt;=6)),$UM$5:$UM60),IF(TJ60=10,SUMPRODUCT(--(($TK$5:$TK60=$TK60)*($TJ$5:$TJ60&gt;=7)*($TJ$5:$TJ60&lt;=9)),$UM$5:$UM60),0)))))</f>
        <v/>
      </c>
      <c r="UO60" s="12">
        <f>UO59+UM60-UN60</f>
        <v/>
      </c>
      <c r="UP60" s="12">
        <f>IF(ProviderDelay&gt;=1,UL59*ProviderShare,UL60*ProviderShare)</f>
        <v/>
      </c>
      <c r="UQ60" s="12">
        <f>UI60*PaymentFee</f>
        <v/>
      </c>
      <c r="UR60" s="12">
        <f>UC60*OpsAI</f>
        <v/>
      </c>
      <c r="US60" s="12">
        <f>MonthlyFixed</f>
        <v/>
      </c>
      <c r="UT60" s="12">
        <f>TQ60*ReferralReward</f>
        <v/>
      </c>
      <c r="UU60" s="12">
        <f>TO60</f>
        <v/>
      </c>
      <c r="UV60" s="9">
        <f>UL60-UP60-UQ60-UR60-US60-UT60-UU60</f>
        <v/>
      </c>
      <c r="UW60" s="9">
        <f>UW59+UI60-(UP60+UQ60+UR60+US60+UT60+UU60+UN60)</f>
        <v/>
      </c>
      <c r="UX60" s="12">
        <f>IF(UC60&gt;0,UD60/UC60,0)</f>
        <v/>
      </c>
      <c r="UY60" s="11">
        <f>IF(UC59&gt;0,MAX(0,(UC59+TR60-UC60)/UC59),0)</f>
        <v/>
      </c>
      <c r="VA60" s="12" t="n">
        <v>56</v>
      </c>
      <c r="VB60" s="12">
        <f>MOD(VA60-1+LaunchMonth-1,12)+1</f>
        <v/>
      </c>
      <c r="VC60" s="12">
        <f>INT((VA60-1+LaunchMonth-1)/12)+1</f>
        <v/>
      </c>
      <c r="VD60" s="12">
        <f>VLOOKUP(VB60,SeasonTable,2,FALSE)</f>
        <v/>
      </c>
      <c r="VE60" s="12">
        <f>(1+InflationRate)^INT((VA60-1)/12)</f>
        <v/>
      </c>
      <c r="VF60" s="11">
        <f>MonthlyChurn*VLOOKUP(VB60,ChurnSeasonTable,4,FALSE)</f>
        <v/>
      </c>
      <c r="VG60" s="12">
        <f>MIN(MAX(MktMin19plus,WA59*MktPct19plus),MAX(0,WO59-CashBuffer))</f>
        <v/>
      </c>
      <c r="VH60" s="12">
        <f>IF(VG60&gt;0,MAX(1,ROUND(VG60/CAC*VD60,0)),0)</f>
        <v/>
      </c>
      <c r="VI60" s="12">
        <f>IF(VH60&gt;0,ROUND(VH60*ReferralMix/(1-ReferralMix),0),0)</f>
        <v/>
      </c>
      <c r="VJ60" s="12">
        <f>VH60+VI60</f>
        <v/>
      </c>
      <c r="VK60" s="12">
        <f>ROUND(VJ60*(1-'Sens - Annual Mix'!$A$10),0)</f>
        <v/>
      </c>
      <c r="VL60" s="12">
        <f>VJ60-VK60</f>
        <v/>
      </c>
      <c r="VM60" s="12">
        <f>ROUND(VK60*EssentialMix,0)</f>
        <v/>
      </c>
      <c r="VN60" s="12">
        <f>VK60-VM60</f>
        <v/>
      </c>
      <c r="VO60" s="12">
        <f>ROUND(VL60*EssentialMix,0)</f>
        <v/>
      </c>
      <c r="VP60" s="12">
        <f>VL60-VO60</f>
        <v/>
      </c>
      <c r="VQ60" s="12">
        <f>VM60+VM59+VM58+MAX(0,VQ59-VM59-VM58)*(1-VF60)</f>
        <v/>
      </c>
      <c r="VR60" s="12">
        <f>VN60+VN59+VN58+MAX(0,VR59-VN59-VN58)*(1-VF60)</f>
        <v/>
      </c>
      <c r="VS60" s="12">
        <f>VS59+VO60-VO48*(AnnualChurn*VLOOKUP(VB60,ChurnSeasonTable,4,FALSE))*POWER(1-(AnnualChurn*VLOOKUP(VB60,ChurnSeasonTable,4,FALSE)),0)+VO36*(AnnualChurn*VLOOKUP(VB60,ChurnSeasonTable,4,FALSE))*POWER(1-(AnnualChurn*VLOOKUP(VB60,ChurnSeasonTable,4,FALSE)),1)+VO24*(AnnualChurn*VLOOKUP(VB60,ChurnSeasonTable,4,FALSE))*POWER(1-(AnnualChurn*VLOOKUP(VB60,ChurnSeasonTable,4,FALSE)),2)+VO12*(AnnualChurn*VLOOKUP(VB60,ChurnSeasonTable,4,FALSE))*POWER(1-(AnnualChurn*VLOOKUP(VB60,ChurnSeasonTable,4,FALSE)),3)</f>
        <v/>
      </c>
      <c r="VT60" s="12">
        <f>VT59+VP60-VP48*(AnnualChurn*VLOOKUP(VB60,ChurnSeasonTable,4,FALSE))*POWER(1-(AnnualChurn*VLOOKUP(VB60,ChurnSeasonTable,4,FALSE)),0)+VP36*(AnnualChurn*VLOOKUP(VB60,ChurnSeasonTable,4,FALSE))*POWER(1-(AnnualChurn*VLOOKUP(VB60,ChurnSeasonTable,4,FALSE)),1)+VP24*(AnnualChurn*VLOOKUP(VB60,ChurnSeasonTable,4,FALSE))*POWER(1-(AnnualChurn*VLOOKUP(VB60,ChurnSeasonTable,4,FALSE)),2)+VP12*(AnnualChurn*VLOOKUP(VB60,ChurnSeasonTable,4,FALSE))*POWER(1-(AnnualChurn*VLOOKUP(VB60,ChurnSeasonTable,4,FALSE)),3)</f>
        <v/>
      </c>
      <c r="VU60" s="12">
        <f>VQ60+VR60+VS60+VT60</f>
        <v/>
      </c>
      <c r="VV60" s="9">
        <f>VQ60*PriceEssMonthly*VE60+VR60*PricePremMonthly*VE60+VS60*PriceEssAnnual*VE60/12+VT60*PricePremAnnual*VE60/12</f>
        <v/>
      </c>
      <c r="VW60" s="9">
        <f>VV60*12</f>
        <v/>
      </c>
      <c r="VX60" s="12">
        <f>VQ60*PriceEssMonthly*VE60+VR60*PricePremMonthly*VE60</f>
        <v/>
      </c>
      <c r="VY60" s="12">
        <f>VO60*PriceEssAnnual*VE60+VP60*PricePremAnnual*VE60</f>
        <v/>
      </c>
      <c r="VZ60" s="12">
        <f>VO48*POWER(1-(AnnualChurn*VLOOKUP(VB60,ChurnSeasonTable,4,FALSE)),1)*PriceEssAnnual*VE60+VO36*POWER(1-(AnnualChurn*VLOOKUP(VB60,ChurnSeasonTable,4,FALSE)),2)*PriceEssAnnual*VE60+VO24*POWER(1-(AnnualChurn*VLOOKUP(VB60,ChurnSeasonTable,4,FALSE)),3)*PriceEssAnnual*VE60+VO12*POWER(1-(AnnualChurn*VLOOKUP(VB60,ChurnSeasonTable,4,FALSE)),4)*PriceEssAnnual*VE60+VP48*POWER(1-(AnnualChurn*VLOOKUP(VB60,ChurnSeasonTable,4,FALSE)),1)*PricePremAnnual*VE60+VP36*POWER(1-(AnnualChurn*VLOOKUP(VB60,ChurnSeasonTable,4,FALSE)),2)*PricePremAnnual*VE60+VP24*POWER(1-(AnnualChurn*VLOOKUP(VB60,ChurnSeasonTable,4,FALSE)),3)*PricePremAnnual*VE60+VP12*POWER(1-(AnnualChurn*VLOOKUP(VB60,ChurnSeasonTable,4,FALSE)),4)*PricePremAnnual*VE60</f>
        <v/>
      </c>
      <c r="WA60" s="9">
        <f>VX60+VY60+VZ60</f>
        <v/>
      </c>
      <c r="WB60" s="12">
        <f>SUM(WA49:WA60)</f>
        <v/>
      </c>
      <c r="WC60" s="12">
        <f>OR(WC59,WB60&gt;=VATThreshold)</f>
        <v/>
      </c>
      <c r="WD60" s="9">
        <f>IF(WC60,WA60/(1+VATRate),WA60)</f>
        <v/>
      </c>
      <c r="WE60" s="12">
        <f>WA60-WD60</f>
        <v/>
      </c>
      <c r="WF60" s="12">
        <f>IF(WC60=0,0,IF(VB60=1,SUMPRODUCT(--(($VC$5:$VC60=$VC60-1)*($VB$5:$VB60&gt;=10)*($VB$5:$VB60&lt;=12)),$WE$5:$WE60),IF(VB60=4,SUMPRODUCT(--(($VC$5:$VC60=$VC60)*($VB$5:$VB60&gt;=1)*($VB$5:$VB60&lt;=3)),$WE$5:$WE60),IF(VB60=7,SUMPRODUCT(--(($VC$5:$VC60=$VC60)*($VB$5:$VB60&gt;=4)*($VB$5:$VB60&lt;=6)),$WE$5:$WE60),IF(VB60=10,SUMPRODUCT(--(($VC$5:$VC60=$VC60)*($VB$5:$VB60&gt;=7)*($VB$5:$VB60&lt;=9)),$WE$5:$WE60),0)))))</f>
        <v/>
      </c>
      <c r="WG60" s="12">
        <f>WG59+WE60-WF60</f>
        <v/>
      </c>
      <c r="WH60" s="12">
        <f>IF(ProviderDelay&gt;=1,WD59*ProviderShare,WD60*ProviderShare)</f>
        <v/>
      </c>
      <c r="WI60" s="12">
        <f>WA60*PaymentFee</f>
        <v/>
      </c>
      <c r="WJ60" s="12">
        <f>VU60*OpsAI</f>
        <v/>
      </c>
      <c r="WK60" s="12">
        <f>MonthlyFixed</f>
        <v/>
      </c>
      <c r="WL60" s="12">
        <f>VI60*ReferralReward</f>
        <v/>
      </c>
      <c r="WM60" s="12">
        <f>VG60</f>
        <v/>
      </c>
      <c r="WN60" s="9">
        <f>WD60-WH60-WI60-WJ60-WK60-WL60-WM60</f>
        <v/>
      </c>
      <c r="WO60" s="9">
        <f>WO59+WA60-(WH60+WI60+WJ60+WK60+WL60+WM60+WF60)</f>
        <v/>
      </c>
      <c r="WP60" s="12">
        <f>IF(VU60&gt;0,VV60/VU60,0)</f>
        <v/>
      </c>
      <c r="WQ60" s="11">
        <f>IF(VU59&gt;0,MAX(0,(VU59+VJ60-VU60)/VU59),0)</f>
        <v/>
      </c>
      <c r="WS60" s="12" t="n">
        <v>56</v>
      </c>
      <c r="WT60" s="12">
        <f>MOD(WS60-1+LaunchMonth-1,12)+1</f>
        <v/>
      </c>
      <c r="WU60" s="12">
        <f>INT((WS60-1+LaunchMonth-1)/12)+1</f>
        <v/>
      </c>
      <c r="WV60" s="12">
        <f>VLOOKUP(WT60,SeasonTable,2,FALSE)</f>
        <v/>
      </c>
      <c r="WW60" s="12">
        <f>(1+InflationRate)^INT((WS60-1)/12)</f>
        <v/>
      </c>
      <c r="WX60" s="11">
        <f>MonthlyChurn*VLOOKUP(WT60,ChurnSeasonTable,4,FALSE)</f>
        <v/>
      </c>
      <c r="WY60" s="12">
        <f>MIN(MAX(MktMin19plus,XS59*MktPct19plus),MAX(0,YG59-CashBuffer))</f>
        <v/>
      </c>
      <c r="WZ60" s="12">
        <f>IF(WY60&gt;0,MAX(1,ROUND(WY60/CAC*WV60,0)),0)</f>
        <v/>
      </c>
      <c r="XA60" s="12">
        <f>IF(WZ60&gt;0,ROUND(WZ60*ReferralMix/(1-ReferralMix),0),0)</f>
        <v/>
      </c>
      <c r="XB60" s="12">
        <f>WZ60+XA60</f>
        <v/>
      </c>
      <c r="XC60" s="12">
        <f>ROUND(XB60*(1-'Sens - Annual Mix'!$A$11),0)</f>
        <v/>
      </c>
      <c r="XD60" s="12">
        <f>XB60-XC60</f>
        <v/>
      </c>
      <c r="XE60" s="12">
        <f>ROUND(XC60*EssentialMix,0)</f>
        <v/>
      </c>
      <c r="XF60" s="12">
        <f>XC60-XE60</f>
        <v/>
      </c>
      <c r="XG60" s="12">
        <f>ROUND(XD60*EssentialMix,0)</f>
        <v/>
      </c>
      <c r="XH60" s="12">
        <f>XD60-XG60</f>
        <v/>
      </c>
      <c r="XI60" s="12">
        <f>XE60+XE59+XE58+MAX(0,XI59-XE59-XE58)*(1-WX60)</f>
        <v/>
      </c>
      <c r="XJ60" s="12">
        <f>XF60+XF59+XF58+MAX(0,XJ59-XF59-XF58)*(1-WX60)</f>
        <v/>
      </c>
      <c r="XK60" s="12">
        <f>XK59+XG60-XG48*(AnnualChurn*VLOOKUP(WT60,ChurnSeasonTable,4,FALSE))*POWER(1-(AnnualChurn*VLOOKUP(WT60,ChurnSeasonTable,4,FALSE)),0)+XG36*(AnnualChurn*VLOOKUP(WT60,ChurnSeasonTable,4,FALSE))*POWER(1-(AnnualChurn*VLOOKUP(WT60,ChurnSeasonTable,4,FALSE)),1)+XG24*(AnnualChurn*VLOOKUP(WT60,ChurnSeasonTable,4,FALSE))*POWER(1-(AnnualChurn*VLOOKUP(WT60,ChurnSeasonTable,4,FALSE)),2)+XG12*(AnnualChurn*VLOOKUP(WT60,ChurnSeasonTable,4,FALSE))*POWER(1-(AnnualChurn*VLOOKUP(WT60,ChurnSeasonTable,4,FALSE)),3)</f>
        <v/>
      </c>
      <c r="XL60" s="12">
        <f>XL59+XH60-XH48*(AnnualChurn*VLOOKUP(WT60,ChurnSeasonTable,4,FALSE))*POWER(1-(AnnualChurn*VLOOKUP(WT60,ChurnSeasonTable,4,FALSE)),0)+XH36*(AnnualChurn*VLOOKUP(WT60,ChurnSeasonTable,4,FALSE))*POWER(1-(AnnualChurn*VLOOKUP(WT60,ChurnSeasonTable,4,FALSE)),1)+XH24*(AnnualChurn*VLOOKUP(WT60,ChurnSeasonTable,4,FALSE))*POWER(1-(AnnualChurn*VLOOKUP(WT60,ChurnSeasonTable,4,FALSE)),2)+XH12*(AnnualChurn*VLOOKUP(WT60,ChurnSeasonTable,4,FALSE))*POWER(1-(AnnualChurn*VLOOKUP(WT60,ChurnSeasonTable,4,FALSE)),3)</f>
        <v/>
      </c>
      <c r="XM60" s="12">
        <f>XI60+XJ60+XK60+XL60</f>
        <v/>
      </c>
      <c r="XN60" s="9">
        <f>XI60*PriceEssMonthly*WW60+XJ60*PricePremMonthly*WW60+XK60*PriceEssAnnual*WW60/12+XL60*PricePremAnnual*WW60/12</f>
        <v/>
      </c>
      <c r="XO60" s="9">
        <f>XN60*12</f>
        <v/>
      </c>
      <c r="XP60" s="12">
        <f>XI60*PriceEssMonthly*WW60+XJ60*PricePremMonthly*WW60</f>
        <v/>
      </c>
      <c r="XQ60" s="12">
        <f>XG60*PriceEssAnnual*WW60+XH60*PricePremAnnual*WW60</f>
        <v/>
      </c>
      <c r="XR60" s="12">
        <f>XG48*POWER(1-(AnnualChurn*VLOOKUP(WT60,ChurnSeasonTable,4,FALSE)),1)*PriceEssAnnual*WW60+XG36*POWER(1-(AnnualChurn*VLOOKUP(WT60,ChurnSeasonTable,4,FALSE)),2)*PriceEssAnnual*WW60+XG24*POWER(1-(AnnualChurn*VLOOKUP(WT60,ChurnSeasonTable,4,FALSE)),3)*PriceEssAnnual*WW60+XG12*POWER(1-(AnnualChurn*VLOOKUP(WT60,ChurnSeasonTable,4,FALSE)),4)*PriceEssAnnual*WW60+XH48*POWER(1-(AnnualChurn*VLOOKUP(WT60,ChurnSeasonTable,4,FALSE)),1)*PricePremAnnual*WW60+XH36*POWER(1-(AnnualChurn*VLOOKUP(WT60,ChurnSeasonTable,4,FALSE)),2)*PricePremAnnual*WW60+XH24*POWER(1-(AnnualChurn*VLOOKUP(WT60,ChurnSeasonTable,4,FALSE)),3)*PricePremAnnual*WW60+XH12*POWER(1-(AnnualChurn*VLOOKUP(WT60,ChurnSeasonTable,4,FALSE)),4)*PricePremAnnual*WW60</f>
        <v/>
      </c>
      <c r="XS60" s="9">
        <f>XP60+XQ60+XR60</f>
        <v/>
      </c>
      <c r="XT60" s="12">
        <f>SUM(XS49:XS60)</f>
        <v/>
      </c>
      <c r="XU60" s="12">
        <f>OR(XU59,XT60&gt;=VATThreshold)</f>
        <v/>
      </c>
      <c r="XV60" s="9">
        <f>IF(XU60,XS60/(1+VATRate),XS60)</f>
        <v/>
      </c>
      <c r="XW60" s="12">
        <f>XS60-XV60</f>
        <v/>
      </c>
      <c r="XX60" s="12">
        <f>IF(XU60=0,0,IF(WT60=1,SUMPRODUCT(--(($WU$5:$WU60=$WU60-1)*($WT$5:$WT60&gt;=10)*($WT$5:$WT60&lt;=12)),$XW$5:$XW60),IF(WT60=4,SUMPRODUCT(--(($WU$5:$WU60=$WU60)*($WT$5:$WT60&gt;=1)*($WT$5:$WT60&lt;=3)),$XW$5:$XW60),IF(WT60=7,SUMPRODUCT(--(($WU$5:$WU60=$WU60)*($WT$5:$WT60&gt;=4)*($WT$5:$WT60&lt;=6)),$XW$5:$XW60),IF(WT60=10,SUMPRODUCT(--(($WU$5:$WU60=$WU60)*($WT$5:$WT60&gt;=7)*($WT$5:$WT60&lt;=9)),$XW$5:$XW60),0)))))</f>
        <v/>
      </c>
      <c r="XY60" s="12">
        <f>XY59+XW60-XX60</f>
        <v/>
      </c>
      <c r="XZ60" s="12">
        <f>IF(ProviderDelay&gt;=1,XV59*ProviderShare,XV60*ProviderShare)</f>
        <v/>
      </c>
      <c r="YA60" s="12">
        <f>XS60*PaymentFee</f>
        <v/>
      </c>
      <c r="YB60" s="12">
        <f>XM60*OpsAI</f>
        <v/>
      </c>
      <c r="YC60" s="12">
        <f>MonthlyFixed</f>
        <v/>
      </c>
      <c r="YD60" s="12">
        <f>XA60*ReferralReward</f>
        <v/>
      </c>
      <c r="YE60" s="12">
        <f>WY60</f>
        <v/>
      </c>
      <c r="YF60" s="9">
        <f>XV60-XZ60-YA60-YB60-YC60-YD60-YE60</f>
        <v/>
      </c>
      <c r="YG60" s="9">
        <f>YG59+XS60-(XZ60+YA60+YB60+YC60+YD60+YE60+XX60)</f>
        <v/>
      </c>
      <c r="YH60" s="12">
        <f>IF(XM60&gt;0,XN60/XM60,0)</f>
        <v/>
      </c>
      <c r="YI60" s="11">
        <f>IF(XM59&gt;0,MAX(0,(XM59+XB60-XM60)/XM59),0)</f>
        <v/>
      </c>
      <c r="YK60" s="12" t="n">
        <v>56</v>
      </c>
      <c r="YL60" s="12">
        <f>MOD(YK60-1+LaunchMonth-1,12)+1</f>
        <v/>
      </c>
      <c r="YM60" s="12">
        <f>INT((YK60-1+LaunchMonth-1)/12)+1</f>
        <v/>
      </c>
      <c r="YN60" s="12">
        <f>VLOOKUP(YL60,SeasonTable,2,FALSE)</f>
        <v/>
      </c>
      <c r="YO60" s="12">
        <f>(1+InflationRate)^INT((YK60-1)/12)</f>
        <v/>
      </c>
      <c r="YP60" s="11">
        <f>MonthlyChurn*VLOOKUP(YL60,ChurnSeasonTable,4,FALSE)</f>
        <v/>
      </c>
      <c r="YQ60" s="12">
        <f>MIN(MAX(MktMin19plus,ZK59*MktPct19plus),MAX(0,ZY59-CashBuffer))</f>
        <v/>
      </c>
      <c r="YR60" s="12">
        <f>IF(YQ60&gt;0,MAX(1,ROUND(YQ60/CAC*YN60,0)),0)</f>
        <v/>
      </c>
      <c r="YS60" s="12">
        <f>IF(YR60&gt;0,ROUND(YR60*ReferralMix/(1-ReferralMix),0),0)</f>
        <v/>
      </c>
      <c r="YT60" s="12">
        <f>YR60+YS60</f>
        <v/>
      </c>
      <c r="YU60" s="12">
        <f>ROUND(YT60*(1-'Sens - Annual Mix'!$A$12),0)</f>
        <v/>
      </c>
      <c r="YV60" s="12">
        <f>YT60-YU60</f>
        <v/>
      </c>
      <c r="YW60" s="12">
        <f>ROUND(YU60*EssentialMix,0)</f>
        <v/>
      </c>
      <c r="YX60" s="12">
        <f>YU60-YW60</f>
        <v/>
      </c>
      <c r="YY60" s="12">
        <f>ROUND(YV60*EssentialMix,0)</f>
        <v/>
      </c>
      <c r="YZ60" s="12">
        <f>YV60-YY60</f>
        <v/>
      </c>
      <c r="ZA60" s="12">
        <f>YW60+YW59+YW58+MAX(0,ZA59-YW59-YW58)*(1-YP60)</f>
        <v/>
      </c>
      <c r="ZB60" s="12">
        <f>YX60+YX59+YX58+MAX(0,ZB59-YX59-YX58)*(1-YP60)</f>
        <v/>
      </c>
      <c r="ZC60" s="12">
        <f>ZC59+YY60-YY48*(AnnualChurn*VLOOKUP(YL60,ChurnSeasonTable,4,FALSE))*POWER(1-(AnnualChurn*VLOOKUP(YL60,ChurnSeasonTable,4,FALSE)),0)+YY36*(AnnualChurn*VLOOKUP(YL60,ChurnSeasonTable,4,FALSE))*POWER(1-(AnnualChurn*VLOOKUP(YL60,ChurnSeasonTable,4,FALSE)),1)+YY24*(AnnualChurn*VLOOKUP(YL60,ChurnSeasonTable,4,FALSE))*POWER(1-(AnnualChurn*VLOOKUP(YL60,ChurnSeasonTable,4,FALSE)),2)+YY12*(AnnualChurn*VLOOKUP(YL60,ChurnSeasonTable,4,FALSE))*POWER(1-(AnnualChurn*VLOOKUP(YL60,ChurnSeasonTable,4,FALSE)),3)</f>
        <v/>
      </c>
      <c r="ZD60" s="12">
        <f>ZD59+YZ60-YZ48*(AnnualChurn*VLOOKUP(YL60,ChurnSeasonTable,4,FALSE))*POWER(1-(AnnualChurn*VLOOKUP(YL60,ChurnSeasonTable,4,FALSE)),0)+YZ36*(AnnualChurn*VLOOKUP(YL60,ChurnSeasonTable,4,FALSE))*POWER(1-(AnnualChurn*VLOOKUP(YL60,ChurnSeasonTable,4,FALSE)),1)+YZ24*(AnnualChurn*VLOOKUP(YL60,ChurnSeasonTable,4,FALSE))*POWER(1-(AnnualChurn*VLOOKUP(YL60,ChurnSeasonTable,4,FALSE)),2)+YZ12*(AnnualChurn*VLOOKUP(YL60,ChurnSeasonTable,4,FALSE))*POWER(1-(AnnualChurn*VLOOKUP(YL60,ChurnSeasonTable,4,FALSE)),3)</f>
        <v/>
      </c>
      <c r="ZE60" s="12">
        <f>ZA60+ZB60+ZC60+ZD60</f>
        <v/>
      </c>
      <c r="ZF60" s="9">
        <f>ZA60*PriceEssMonthly*YO60+ZB60*PricePremMonthly*YO60+ZC60*PriceEssAnnual*YO60/12+ZD60*PricePremAnnual*YO60/12</f>
        <v/>
      </c>
      <c r="ZG60" s="9">
        <f>ZF60*12</f>
        <v/>
      </c>
      <c r="ZH60" s="12">
        <f>ZA60*PriceEssMonthly*YO60+ZB60*PricePremMonthly*YO60</f>
        <v/>
      </c>
      <c r="ZI60" s="12">
        <f>YY60*PriceEssAnnual*YO60+YZ60*PricePremAnnual*YO60</f>
        <v/>
      </c>
      <c r="ZJ60" s="12">
        <f>YY48*POWER(1-(AnnualChurn*VLOOKUP(YL60,ChurnSeasonTable,4,FALSE)),1)*PriceEssAnnual*YO60+YY36*POWER(1-(AnnualChurn*VLOOKUP(YL60,ChurnSeasonTable,4,FALSE)),2)*PriceEssAnnual*YO60+YY24*POWER(1-(AnnualChurn*VLOOKUP(YL60,ChurnSeasonTable,4,FALSE)),3)*PriceEssAnnual*YO60+YY12*POWER(1-(AnnualChurn*VLOOKUP(YL60,ChurnSeasonTable,4,FALSE)),4)*PriceEssAnnual*YO60+YZ48*POWER(1-(AnnualChurn*VLOOKUP(YL60,ChurnSeasonTable,4,FALSE)),1)*PricePremAnnual*YO60+YZ36*POWER(1-(AnnualChurn*VLOOKUP(YL60,ChurnSeasonTable,4,FALSE)),2)*PricePremAnnual*YO60+YZ24*POWER(1-(AnnualChurn*VLOOKUP(YL60,ChurnSeasonTable,4,FALSE)),3)*PricePremAnnual*YO60+YZ12*POWER(1-(AnnualChurn*VLOOKUP(YL60,ChurnSeasonTable,4,FALSE)),4)*PricePremAnnual*YO60</f>
        <v/>
      </c>
      <c r="ZK60" s="9">
        <f>ZH60+ZI60+ZJ60</f>
        <v/>
      </c>
      <c r="ZL60" s="12">
        <f>SUM(ZK49:ZK60)</f>
        <v/>
      </c>
      <c r="ZM60" s="12">
        <f>OR(ZM59,ZL60&gt;=VATThreshold)</f>
        <v/>
      </c>
      <c r="ZN60" s="9">
        <f>IF(ZM60,ZK60/(1+VATRate),ZK60)</f>
        <v/>
      </c>
      <c r="ZO60" s="12">
        <f>ZK60-ZN60</f>
        <v/>
      </c>
      <c r="ZP60" s="12">
        <f>IF(ZM60=0,0,IF(YL60=1,SUMPRODUCT(--(($YM$5:$YM60=$YM60-1)*($YL$5:$YL60&gt;=10)*($YL$5:$YL60&lt;=12)),$ZO$5:$ZO60),IF(YL60=4,SUMPRODUCT(--(($YM$5:$YM60=$YM60)*($YL$5:$YL60&gt;=1)*($YL$5:$YL60&lt;=3)),$ZO$5:$ZO60),IF(YL60=7,SUMPRODUCT(--(($YM$5:$YM60=$YM60)*($YL$5:$YL60&gt;=4)*($YL$5:$YL60&lt;=6)),$ZO$5:$ZO60),IF(YL60=10,SUMPRODUCT(--(($YM$5:$YM60=$YM60)*($YL$5:$YL60&gt;=7)*($YL$5:$YL60&lt;=9)),$ZO$5:$ZO60),0)))))</f>
        <v/>
      </c>
      <c r="ZQ60" s="12">
        <f>ZQ59+ZO60-ZP60</f>
        <v/>
      </c>
      <c r="ZR60" s="12">
        <f>IF(ProviderDelay&gt;=1,ZN59*ProviderShare,ZN60*ProviderShare)</f>
        <v/>
      </c>
      <c r="ZS60" s="12">
        <f>ZK60*PaymentFee</f>
        <v/>
      </c>
      <c r="ZT60" s="12">
        <f>ZE60*OpsAI</f>
        <v/>
      </c>
      <c r="ZU60" s="12">
        <f>MonthlyFixed</f>
        <v/>
      </c>
      <c r="ZV60" s="12">
        <f>YS60*ReferralReward</f>
        <v/>
      </c>
      <c r="ZW60" s="12">
        <f>YQ60</f>
        <v/>
      </c>
      <c r="ZX60" s="9">
        <f>ZN60-ZR60-ZS60-ZT60-ZU60-ZV60-ZW60</f>
        <v/>
      </c>
      <c r="ZY60" s="9">
        <f>ZY59+ZK60-(ZR60+ZS60+ZT60+ZU60+ZV60+ZW60+ZP60)</f>
        <v/>
      </c>
      <c r="ZZ60" s="12">
        <f>IF(ZE60&gt;0,ZF60/ZE60,0)</f>
        <v/>
      </c>
      <c r="AAA60" s="11">
        <f>IF(ZE59&gt;0,MAX(0,(ZE59+YT60-ZE60)/ZE59),0)</f>
        <v/>
      </c>
      <c r="AAC60" s="12" t="n">
        <v>56</v>
      </c>
      <c r="AAD60" s="12">
        <f>MOD(AAC60-1+LaunchMonth-1,12)+1</f>
        <v/>
      </c>
      <c r="AAE60" s="12">
        <f>INT((AAC60-1+LaunchMonth-1)/12)+1</f>
        <v/>
      </c>
      <c r="AAF60" s="12">
        <f>VLOOKUP(AAD60,SeasonTable,2,FALSE)</f>
        <v/>
      </c>
      <c r="AAG60" s="12">
        <f>(1+InflationRate)^INT((AAC60-1)/12)</f>
        <v/>
      </c>
      <c r="AAH60" s="11">
        <f>MonthlyChurn*VLOOKUP(AAD60,ChurnSeasonTable,4,FALSE)</f>
        <v/>
      </c>
      <c r="AAI60" s="12">
        <f>MIN(MAX(MktMin19plus,ABC59*MktPct19plus),MAX(0,ABQ59-CashBuffer))</f>
        <v/>
      </c>
      <c r="AAJ60" s="12">
        <f>IF(AAI60&gt;0,MAX(1,ROUND(AAI60/CAC*AAF60,0)),0)</f>
        <v/>
      </c>
      <c r="AAK60" s="12">
        <f>IF(AAJ60&gt;0,ROUND(AAJ60*ReferralMix/(1-ReferralMix),0),0)</f>
        <v/>
      </c>
      <c r="AAL60" s="12">
        <f>AAJ60+AAK60</f>
        <v/>
      </c>
      <c r="AAM60" s="12">
        <f>ROUND(AAL60*(1-'Sens - Annual Mix'!$A$13),0)</f>
        <v/>
      </c>
      <c r="AAN60" s="12">
        <f>AAL60-AAM60</f>
        <v/>
      </c>
      <c r="AAO60" s="12">
        <f>ROUND(AAM60*EssentialMix,0)</f>
        <v/>
      </c>
      <c r="AAP60" s="12">
        <f>AAM60-AAO60</f>
        <v/>
      </c>
      <c r="AAQ60" s="12">
        <f>ROUND(AAN60*EssentialMix,0)</f>
        <v/>
      </c>
      <c r="AAR60" s="12">
        <f>AAN60-AAQ60</f>
        <v/>
      </c>
      <c r="AAS60" s="12">
        <f>AAO60+AAO59+AAO58+MAX(0,AAS59-AAO59-AAO58)*(1-AAH60)</f>
        <v/>
      </c>
      <c r="AAT60" s="12">
        <f>AAP60+AAP59+AAP58+MAX(0,AAT59-AAP59-AAP58)*(1-AAH60)</f>
        <v/>
      </c>
      <c r="AAU60" s="12">
        <f>AAU59+AAQ60-AAQ48*(AnnualChurn*VLOOKUP(AAD60,ChurnSeasonTable,4,FALSE))*POWER(1-(AnnualChurn*VLOOKUP(AAD60,ChurnSeasonTable,4,FALSE)),0)+AAQ36*(AnnualChurn*VLOOKUP(AAD60,ChurnSeasonTable,4,FALSE))*POWER(1-(AnnualChurn*VLOOKUP(AAD60,ChurnSeasonTable,4,FALSE)),1)+AAQ24*(AnnualChurn*VLOOKUP(AAD60,ChurnSeasonTable,4,FALSE))*POWER(1-(AnnualChurn*VLOOKUP(AAD60,ChurnSeasonTable,4,FALSE)),2)+AAQ12*(AnnualChurn*VLOOKUP(AAD60,ChurnSeasonTable,4,FALSE))*POWER(1-(AnnualChurn*VLOOKUP(AAD60,ChurnSeasonTable,4,FALSE)),3)</f>
        <v/>
      </c>
      <c r="AAV60" s="12">
        <f>AAV59+AAR60-AAR48*(AnnualChurn*VLOOKUP(AAD60,ChurnSeasonTable,4,FALSE))*POWER(1-(AnnualChurn*VLOOKUP(AAD60,ChurnSeasonTable,4,FALSE)),0)+AAR36*(AnnualChurn*VLOOKUP(AAD60,ChurnSeasonTable,4,FALSE))*POWER(1-(AnnualChurn*VLOOKUP(AAD60,ChurnSeasonTable,4,FALSE)),1)+AAR24*(AnnualChurn*VLOOKUP(AAD60,ChurnSeasonTable,4,FALSE))*POWER(1-(AnnualChurn*VLOOKUP(AAD60,ChurnSeasonTable,4,FALSE)),2)+AAR12*(AnnualChurn*VLOOKUP(AAD60,ChurnSeasonTable,4,FALSE))*POWER(1-(AnnualChurn*VLOOKUP(AAD60,ChurnSeasonTable,4,FALSE)),3)</f>
        <v/>
      </c>
      <c r="AAW60" s="12">
        <f>AAS60+AAT60+AAU60+AAV60</f>
        <v/>
      </c>
      <c r="AAX60" s="9">
        <f>AAS60*PriceEssMonthly*AAG60+AAT60*PricePremMonthly*AAG60+AAU60*PriceEssAnnual*AAG60/12+AAV60*PricePremAnnual*AAG60/12</f>
        <v/>
      </c>
      <c r="AAY60" s="9">
        <f>AAX60*12</f>
        <v/>
      </c>
      <c r="AAZ60" s="12">
        <f>AAS60*PriceEssMonthly*AAG60+AAT60*PricePremMonthly*AAG60</f>
        <v/>
      </c>
      <c r="ABA60" s="12">
        <f>AAQ60*PriceEssAnnual*AAG60+AAR60*PricePremAnnual*AAG60</f>
        <v/>
      </c>
      <c r="ABB60" s="12">
        <f>AAQ48*POWER(1-(AnnualChurn*VLOOKUP(AAD60,ChurnSeasonTable,4,FALSE)),1)*PriceEssAnnual*AAG60+AAQ36*POWER(1-(AnnualChurn*VLOOKUP(AAD60,ChurnSeasonTable,4,FALSE)),2)*PriceEssAnnual*AAG60+AAQ24*POWER(1-(AnnualChurn*VLOOKUP(AAD60,ChurnSeasonTable,4,FALSE)),3)*PriceEssAnnual*AAG60+AAQ12*POWER(1-(AnnualChurn*VLOOKUP(AAD60,ChurnSeasonTable,4,FALSE)),4)*PriceEssAnnual*AAG60+AAR48*POWER(1-(AnnualChurn*VLOOKUP(AAD60,ChurnSeasonTable,4,FALSE)),1)*PricePremAnnual*AAG60+AAR36*POWER(1-(AnnualChurn*VLOOKUP(AAD60,ChurnSeasonTable,4,FALSE)),2)*PricePremAnnual*AAG60+AAR24*POWER(1-(AnnualChurn*VLOOKUP(AAD60,ChurnSeasonTable,4,FALSE)),3)*PricePremAnnual*AAG60+AAR12*POWER(1-(AnnualChurn*VLOOKUP(AAD60,ChurnSeasonTable,4,FALSE)),4)*PricePremAnnual*AAG60</f>
        <v/>
      </c>
      <c r="ABC60" s="9">
        <f>AAZ60+ABA60+ABB60</f>
        <v/>
      </c>
      <c r="ABD60" s="12">
        <f>SUM(ABC49:ABC60)</f>
        <v/>
      </c>
      <c r="ABE60" s="12">
        <f>OR(ABE59,ABD60&gt;=VATThreshold)</f>
        <v/>
      </c>
      <c r="ABF60" s="9">
        <f>IF(ABE60,ABC60/(1+VATRate),ABC60)</f>
        <v/>
      </c>
      <c r="ABG60" s="12">
        <f>ABC60-ABF60</f>
        <v/>
      </c>
      <c r="ABH60" s="12">
        <f>IF(ABE60=0,0,IF(AAD60=1,SUMPRODUCT(--(($AAE$5:$AAE60=$AAE60-1)*($AAD$5:$AAD60&gt;=10)*($AAD$5:$AAD60&lt;=12)),$ABG$5:$ABG60),IF(AAD60=4,SUMPRODUCT(--(($AAE$5:$AAE60=$AAE60)*($AAD$5:$AAD60&gt;=1)*($AAD$5:$AAD60&lt;=3)),$ABG$5:$ABG60),IF(AAD60=7,SUMPRODUCT(--(($AAE$5:$AAE60=$AAE60)*($AAD$5:$AAD60&gt;=4)*($AAD$5:$AAD60&lt;=6)),$ABG$5:$ABG60),IF(AAD60=10,SUMPRODUCT(--(($AAE$5:$AAE60=$AAE60)*($AAD$5:$AAD60&gt;=7)*($AAD$5:$AAD60&lt;=9)),$ABG$5:$ABG60),0)))))</f>
        <v/>
      </c>
      <c r="ABI60" s="12">
        <f>ABI59+ABG60-ABH60</f>
        <v/>
      </c>
      <c r="ABJ60" s="12">
        <f>IF(ProviderDelay&gt;=1,ABF59*ProviderShare,ABF60*ProviderShare)</f>
        <v/>
      </c>
      <c r="ABK60" s="12">
        <f>ABC60*PaymentFee</f>
        <v/>
      </c>
      <c r="ABL60" s="12">
        <f>AAW60*OpsAI</f>
        <v/>
      </c>
      <c r="ABM60" s="12">
        <f>MonthlyFixed</f>
        <v/>
      </c>
      <c r="ABN60" s="12">
        <f>AAK60*ReferralReward</f>
        <v/>
      </c>
      <c r="ABO60" s="12">
        <f>AAI60</f>
        <v/>
      </c>
      <c r="ABP60" s="9">
        <f>ABF60-ABJ60-ABK60-ABL60-ABM60-ABN60-ABO60</f>
        <v/>
      </c>
      <c r="ABQ60" s="9">
        <f>ABQ59+ABC60-(ABJ60+ABK60+ABL60+ABM60+ABN60+ABO60+ABH60)</f>
        <v/>
      </c>
      <c r="ABR60" s="12">
        <f>IF(AAW60&gt;0,AAX60/AAW60,0)</f>
        <v/>
      </c>
      <c r="ABS60" s="11">
        <f>IF(AAW59&gt;0,MAX(0,(AAW59+AAL60-AAW60)/AAW59),0)</f>
        <v/>
      </c>
      <c r="ABU60" s="12" t="n">
        <v>56</v>
      </c>
      <c r="ABV60" s="12">
        <f>MOD(ABU60-1+LaunchMonth-1,12)+1</f>
        <v/>
      </c>
      <c r="ABW60" s="12">
        <f>INT((ABU60-1+LaunchMonth-1)/12)+1</f>
        <v/>
      </c>
      <c r="ABX60" s="12">
        <f>VLOOKUP(ABV60,SeasonTable,2,FALSE)</f>
        <v/>
      </c>
      <c r="ABY60" s="12">
        <f>(1+InflationRate)^INT((ABU60-1)/12)</f>
        <v/>
      </c>
      <c r="ABZ60" s="11">
        <f>MonthlyChurn*VLOOKUP(ABV60,ChurnSeasonTable,4,FALSE)</f>
        <v/>
      </c>
      <c r="ACA60" s="12">
        <f>MIN(MAX(MktMin19plus,ACU59*MktPct19plus),MAX(0,ADI59-CashBuffer))</f>
        <v/>
      </c>
      <c r="ACB60" s="12">
        <f>IF(ACA60&gt;0,MAX(1,ROUND(ACA60/CAC*ABX60,0)),0)</f>
        <v/>
      </c>
      <c r="ACC60" s="12">
        <f>IF(ACB60&gt;0,ROUND(ACB60*ReferralMix/(1-ReferralMix),0),0)</f>
        <v/>
      </c>
      <c r="ACD60" s="12">
        <f>ACB60+ACC60</f>
        <v/>
      </c>
      <c r="ACE60" s="12">
        <f>ROUND(ACD60*(1-'Sens - Annual Mix'!$A$14),0)</f>
        <v/>
      </c>
      <c r="ACF60" s="12">
        <f>ACD60-ACE60</f>
        <v/>
      </c>
      <c r="ACG60" s="12">
        <f>ROUND(ACE60*EssentialMix,0)</f>
        <v/>
      </c>
      <c r="ACH60" s="12">
        <f>ACE60-ACG60</f>
        <v/>
      </c>
      <c r="ACI60" s="12">
        <f>ROUND(ACF60*EssentialMix,0)</f>
        <v/>
      </c>
      <c r="ACJ60" s="12">
        <f>ACF60-ACI60</f>
        <v/>
      </c>
      <c r="ACK60" s="12">
        <f>ACG60+ACG59+ACG58+MAX(0,ACK59-ACG59-ACG58)*(1-ABZ60)</f>
        <v/>
      </c>
      <c r="ACL60" s="12">
        <f>ACH60+ACH59+ACH58+MAX(0,ACL59-ACH59-ACH58)*(1-ABZ60)</f>
        <v/>
      </c>
      <c r="ACM60" s="12">
        <f>ACM59+ACI60-ACI48*(AnnualChurn*VLOOKUP(ABV60,ChurnSeasonTable,4,FALSE))*POWER(1-(AnnualChurn*VLOOKUP(ABV60,ChurnSeasonTable,4,FALSE)),0)+ACI36*(AnnualChurn*VLOOKUP(ABV60,ChurnSeasonTable,4,FALSE))*POWER(1-(AnnualChurn*VLOOKUP(ABV60,ChurnSeasonTable,4,FALSE)),1)+ACI24*(AnnualChurn*VLOOKUP(ABV60,ChurnSeasonTable,4,FALSE))*POWER(1-(AnnualChurn*VLOOKUP(ABV60,ChurnSeasonTable,4,FALSE)),2)+ACI12*(AnnualChurn*VLOOKUP(ABV60,ChurnSeasonTable,4,FALSE))*POWER(1-(AnnualChurn*VLOOKUP(ABV60,ChurnSeasonTable,4,FALSE)),3)</f>
        <v/>
      </c>
      <c r="ACN60" s="12">
        <f>ACN59+ACJ60-ACJ48*(AnnualChurn*VLOOKUP(ABV60,ChurnSeasonTable,4,FALSE))*POWER(1-(AnnualChurn*VLOOKUP(ABV60,ChurnSeasonTable,4,FALSE)),0)+ACJ36*(AnnualChurn*VLOOKUP(ABV60,ChurnSeasonTable,4,FALSE))*POWER(1-(AnnualChurn*VLOOKUP(ABV60,ChurnSeasonTable,4,FALSE)),1)+ACJ24*(AnnualChurn*VLOOKUP(ABV60,ChurnSeasonTable,4,FALSE))*POWER(1-(AnnualChurn*VLOOKUP(ABV60,ChurnSeasonTable,4,FALSE)),2)+ACJ12*(AnnualChurn*VLOOKUP(ABV60,ChurnSeasonTable,4,FALSE))*POWER(1-(AnnualChurn*VLOOKUP(ABV60,ChurnSeasonTable,4,FALSE)),3)</f>
        <v/>
      </c>
      <c r="ACO60" s="12">
        <f>ACK60+ACL60+ACM60+ACN60</f>
        <v/>
      </c>
      <c r="ACP60" s="9">
        <f>ACK60*PriceEssMonthly*ABY60+ACL60*PricePremMonthly*ABY60+ACM60*PriceEssAnnual*ABY60/12+ACN60*PricePremAnnual*ABY60/12</f>
        <v/>
      </c>
      <c r="ACQ60" s="9">
        <f>ACP60*12</f>
        <v/>
      </c>
      <c r="ACR60" s="12">
        <f>ACK60*PriceEssMonthly*ABY60+ACL60*PricePremMonthly*ABY60</f>
        <v/>
      </c>
      <c r="ACS60" s="12">
        <f>ACI60*PriceEssAnnual*ABY60+ACJ60*PricePremAnnual*ABY60</f>
        <v/>
      </c>
      <c r="ACT60" s="12">
        <f>ACI48*POWER(1-(AnnualChurn*VLOOKUP(ABV60,ChurnSeasonTable,4,FALSE)),1)*PriceEssAnnual*ABY60+ACI36*POWER(1-(AnnualChurn*VLOOKUP(ABV60,ChurnSeasonTable,4,FALSE)),2)*PriceEssAnnual*ABY60+ACI24*POWER(1-(AnnualChurn*VLOOKUP(ABV60,ChurnSeasonTable,4,FALSE)),3)*PriceEssAnnual*ABY60+ACI12*POWER(1-(AnnualChurn*VLOOKUP(ABV60,ChurnSeasonTable,4,FALSE)),4)*PriceEssAnnual*ABY60+ACJ48*POWER(1-(AnnualChurn*VLOOKUP(ABV60,ChurnSeasonTable,4,FALSE)),1)*PricePremAnnual*ABY60+ACJ36*POWER(1-(AnnualChurn*VLOOKUP(ABV60,ChurnSeasonTable,4,FALSE)),2)*PricePremAnnual*ABY60+ACJ24*POWER(1-(AnnualChurn*VLOOKUP(ABV60,ChurnSeasonTable,4,FALSE)),3)*PricePremAnnual*ABY60+ACJ12*POWER(1-(AnnualChurn*VLOOKUP(ABV60,ChurnSeasonTable,4,FALSE)),4)*PricePremAnnual*ABY60</f>
        <v/>
      </c>
      <c r="ACU60" s="9">
        <f>ACR60+ACS60+ACT60</f>
        <v/>
      </c>
      <c r="ACV60" s="12">
        <f>SUM(ACU49:ACU60)</f>
        <v/>
      </c>
      <c r="ACW60" s="12">
        <f>OR(ACW59,ACV60&gt;=VATThreshold)</f>
        <v/>
      </c>
      <c r="ACX60" s="9">
        <f>IF(ACW60,ACU60/(1+VATRate),ACU60)</f>
        <v/>
      </c>
      <c r="ACY60" s="12">
        <f>ACU60-ACX60</f>
        <v/>
      </c>
      <c r="ACZ60" s="12">
        <f>IF(ACW60=0,0,IF(ABV60=1,SUMPRODUCT(--(($ABW$5:$ABW60=$ABW60-1)*($ABV$5:$ABV60&gt;=10)*($ABV$5:$ABV60&lt;=12)),$ACY$5:$ACY60),IF(ABV60=4,SUMPRODUCT(--(($ABW$5:$ABW60=$ABW60)*($ABV$5:$ABV60&gt;=1)*($ABV$5:$ABV60&lt;=3)),$ACY$5:$ACY60),IF(ABV60=7,SUMPRODUCT(--(($ABW$5:$ABW60=$ABW60)*($ABV$5:$ABV60&gt;=4)*($ABV$5:$ABV60&lt;=6)),$ACY$5:$ACY60),IF(ABV60=10,SUMPRODUCT(--(($ABW$5:$ABW60=$ABW60)*($ABV$5:$ABV60&gt;=7)*($ABV$5:$ABV60&lt;=9)),$ACY$5:$ACY60),0)))))</f>
        <v/>
      </c>
      <c r="ADA60" s="12">
        <f>ADA59+ACY60-ACZ60</f>
        <v/>
      </c>
      <c r="ADB60" s="12">
        <f>IF(ProviderDelay&gt;=1,ACX59*ProviderShare,ACX60*ProviderShare)</f>
        <v/>
      </c>
      <c r="ADC60" s="12">
        <f>ACU60*PaymentFee</f>
        <v/>
      </c>
      <c r="ADD60" s="12">
        <f>ACO60*OpsAI</f>
        <v/>
      </c>
      <c r="ADE60" s="12">
        <f>MonthlyFixed</f>
        <v/>
      </c>
      <c r="ADF60" s="12">
        <f>ACC60*ReferralReward</f>
        <v/>
      </c>
      <c r="ADG60" s="12">
        <f>ACA60</f>
        <v/>
      </c>
      <c r="ADH60" s="9">
        <f>ACX60-ADB60-ADC60-ADD60-ADE60-ADF60-ADG60</f>
        <v/>
      </c>
      <c r="ADI60" s="9">
        <f>ADI59+ACU60-(ADB60+ADC60+ADD60+ADE60+ADF60+ADG60+ACZ60)</f>
        <v/>
      </c>
      <c r="ADJ60" s="12">
        <f>IF(ACO60&gt;0,ACP60/ACO60,0)</f>
        <v/>
      </c>
      <c r="ADK60" s="11">
        <f>IF(ACO59&gt;0,MAX(0,(ACO59+ACD60-ACO60)/ACO59),0)</f>
        <v/>
      </c>
      <c r="ADM60" s="12" t="n">
        <v>56</v>
      </c>
      <c r="ADN60" s="12">
        <f>MOD(ADM60-1+LaunchMonth-1,12)+1</f>
        <v/>
      </c>
      <c r="ADO60" s="12">
        <f>INT((ADM60-1+LaunchMonth-1)/12)+1</f>
        <v/>
      </c>
      <c r="ADP60" s="12">
        <f>VLOOKUP(ADN60,SeasonTable,2,FALSE)</f>
        <v/>
      </c>
      <c r="ADQ60" s="12">
        <f>(1+InflationRate)^INT((ADM60-1)/12)</f>
        <v/>
      </c>
      <c r="ADR60" s="11">
        <f>MonthlyChurn*VLOOKUP(ADN60,ChurnSeasonTable,4,FALSE)</f>
        <v/>
      </c>
      <c r="ADS60" s="12">
        <f>MIN(MAX(MktMin19plus,AEM59*MktPct19plus),MAX(0,AFA59-CashBuffer))</f>
        <v/>
      </c>
      <c r="ADT60" s="12">
        <f>IF(ADS60&gt;0,MAX(1,ROUND(ADS60/CAC*ADP60,0)),0)</f>
        <v/>
      </c>
      <c r="ADU60" s="12">
        <f>IF(ADT60&gt;0,ROUND(ADT60*ReferralMix/(1-ReferralMix),0),0)</f>
        <v/>
      </c>
      <c r="ADV60" s="12">
        <f>ADT60+ADU60</f>
        <v/>
      </c>
      <c r="ADW60" s="12">
        <f>ROUND(ADV60*(1-'Sens - Annual Mix'!$A$15),0)</f>
        <v/>
      </c>
      <c r="ADX60" s="12">
        <f>ADV60-ADW60</f>
        <v/>
      </c>
      <c r="ADY60" s="12">
        <f>ROUND(ADW60*EssentialMix,0)</f>
        <v/>
      </c>
      <c r="ADZ60" s="12">
        <f>ADW60-ADY60</f>
        <v/>
      </c>
      <c r="AEA60" s="12">
        <f>ROUND(ADX60*EssentialMix,0)</f>
        <v/>
      </c>
      <c r="AEB60" s="12">
        <f>ADX60-AEA60</f>
        <v/>
      </c>
      <c r="AEC60" s="12">
        <f>ADY60+ADY59+ADY58+MAX(0,AEC59-ADY59-ADY58)*(1-ADR60)</f>
        <v/>
      </c>
      <c r="AED60" s="12">
        <f>ADZ60+ADZ59+ADZ58+MAX(0,AED59-ADZ59-ADZ58)*(1-ADR60)</f>
        <v/>
      </c>
      <c r="AEE60" s="12">
        <f>AEE59+AEA60-AEA48*(AnnualChurn*VLOOKUP(ADN60,ChurnSeasonTable,4,FALSE))*POWER(1-(AnnualChurn*VLOOKUP(ADN60,ChurnSeasonTable,4,FALSE)),0)+AEA36*(AnnualChurn*VLOOKUP(ADN60,ChurnSeasonTable,4,FALSE))*POWER(1-(AnnualChurn*VLOOKUP(ADN60,ChurnSeasonTable,4,FALSE)),1)+AEA24*(AnnualChurn*VLOOKUP(ADN60,ChurnSeasonTable,4,FALSE))*POWER(1-(AnnualChurn*VLOOKUP(ADN60,ChurnSeasonTable,4,FALSE)),2)+AEA12*(AnnualChurn*VLOOKUP(ADN60,ChurnSeasonTable,4,FALSE))*POWER(1-(AnnualChurn*VLOOKUP(ADN60,ChurnSeasonTable,4,FALSE)),3)</f>
        <v/>
      </c>
      <c r="AEF60" s="12">
        <f>AEF59+AEB60-AEB48*(AnnualChurn*VLOOKUP(ADN60,ChurnSeasonTable,4,FALSE))*POWER(1-(AnnualChurn*VLOOKUP(ADN60,ChurnSeasonTable,4,FALSE)),0)+AEB36*(AnnualChurn*VLOOKUP(ADN60,ChurnSeasonTable,4,FALSE))*POWER(1-(AnnualChurn*VLOOKUP(ADN60,ChurnSeasonTable,4,FALSE)),1)+AEB24*(AnnualChurn*VLOOKUP(ADN60,ChurnSeasonTable,4,FALSE))*POWER(1-(AnnualChurn*VLOOKUP(ADN60,ChurnSeasonTable,4,FALSE)),2)+AEB12*(AnnualChurn*VLOOKUP(ADN60,ChurnSeasonTable,4,FALSE))*POWER(1-(AnnualChurn*VLOOKUP(ADN60,ChurnSeasonTable,4,FALSE)),3)</f>
        <v/>
      </c>
      <c r="AEG60" s="12">
        <f>AEC60+AED60+AEE60+AEF60</f>
        <v/>
      </c>
      <c r="AEH60" s="9">
        <f>AEC60*PriceEssMonthly*ADQ60+AED60*PricePremMonthly*ADQ60+AEE60*PriceEssAnnual*ADQ60/12+AEF60*PricePremAnnual*ADQ60/12</f>
        <v/>
      </c>
      <c r="AEI60" s="9">
        <f>AEH60*12</f>
        <v/>
      </c>
      <c r="AEJ60" s="12">
        <f>AEC60*PriceEssMonthly*ADQ60+AED60*PricePremMonthly*ADQ60</f>
        <v/>
      </c>
      <c r="AEK60" s="12">
        <f>AEA60*PriceEssAnnual*ADQ60+AEB60*PricePremAnnual*ADQ60</f>
        <v/>
      </c>
      <c r="AEL60" s="12">
        <f>AEA48*POWER(1-(AnnualChurn*VLOOKUP(ADN60,ChurnSeasonTable,4,FALSE)),1)*PriceEssAnnual*ADQ60+AEA36*POWER(1-(AnnualChurn*VLOOKUP(ADN60,ChurnSeasonTable,4,FALSE)),2)*PriceEssAnnual*ADQ60+AEA24*POWER(1-(AnnualChurn*VLOOKUP(ADN60,ChurnSeasonTable,4,FALSE)),3)*PriceEssAnnual*ADQ60+AEA12*POWER(1-(AnnualChurn*VLOOKUP(ADN60,ChurnSeasonTable,4,FALSE)),4)*PriceEssAnnual*ADQ60+AEB48*POWER(1-(AnnualChurn*VLOOKUP(ADN60,ChurnSeasonTable,4,FALSE)),1)*PricePremAnnual*ADQ60+AEB36*POWER(1-(AnnualChurn*VLOOKUP(ADN60,ChurnSeasonTable,4,FALSE)),2)*PricePremAnnual*ADQ60+AEB24*POWER(1-(AnnualChurn*VLOOKUP(ADN60,ChurnSeasonTable,4,FALSE)),3)*PricePremAnnual*ADQ60+AEB12*POWER(1-(AnnualChurn*VLOOKUP(ADN60,ChurnSeasonTable,4,FALSE)),4)*PricePremAnnual*ADQ60</f>
        <v/>
      </c>
      <c r="AEM60" s="9">
        <f>AEJ60+AEK60+AEL60</f>
        <v/>
      </c>
      <c r="AEN60" s="12">
        <f>SUM(AEM49:AEM60)</f>
        <v/>
      </c>
      <c r="AEO60" s="12">
        <f>OR(AEO59,AEN60&gt;=VATThreshold)</f>
        <v/>
      </c>
      <c r="AEP60" s="9">
        <f>IF(AEO60,AEM60/(1+VATRate),AEM60)</f>
        <v/>
      </c>
      <c r="AEQ60" s="12">
        <f>AEM60-AEP60</f>
        <v/>
      </c>
      <c r="AER60" s="12">
        <f>IF(AEO60=0,0,IF(ADN60=1,SUMPRODUCT(--(($ADO$5:$ADO60=$ADO60-1)*($ADN$5:$ADN60&gt;=10)*($ADN$5:$ADN60&lt;=12)),$AEQ$5:$AEQ60),IF(ADN60=4,SUMPRODUCT(--(($ADO$5:$ADO60=$ADO60)*($ADN$5:$ADN60&gt;=1)*($ADN$5:$ADN60&lt;=3)),$AEQ$5:$AEQ60),IF(ADN60=7,SUMPRODUCT(--(($ADO$5:$ADO60=$ADO60)*($ADN$5:$ADN60&gt;=4)*($ADN$5:$ADN60&lt;=6)),$AEQ$5:$AEQ60),IF(ADN60=10,SUMPRODUCT(--(($ADO$5:$ADO60=$ADO60)*($ADN$5:$ADN60&gt;=7)*($ADN$5:$ADN60&lt;=9)),$AEQ$5:$AEQ60),0)))))</f>
        <v/>
      </c>
      <c r="AES60" s="12">
        <f>AES59+AEQ60-AER60</f>
        <v/>
      </c>
      <c r="AET60" s="12">
        <f>IF(ProviderDelay&gt;=1,AEP59*ProviderShare,AEP60*ProviderShare)</f>
        <v/>
      </c>
      <c r="AEU60" s="12">
        <f>AEM60*PaymentFee</f>
        <v/>
      </c>
      <c r="AEV60" s="12">
        <f>AEG60*OpsAI</f>
        <v/>
      </c>
      <c r="AEW60" s="12">
        <f>MonthlyFixed</f>
        <v/>
      </c>
      <c r="AEX60" s="12">
        <f>ADU60*ReferralReward</f>
        <v/>
      </c>
      <c r="AEY60" s="12">
        <f>ADS60</f>
        <v/>
      </c>
      <c r="AEZ60" s="9">
        <f>AEP60-AET60-AEU60-AEV60-AEW60-AEX60-AEY60</f>
        <v/>
      </c>
      <c r="AFA60" s="9">
        <f>AFA59+AEM60-(AET60+AEU60+AEV60+AEW60+AEX60+AEY60+AER60)</f>
        <v/>
      </c>
      <c r="AFB60" s="12">
        <f>IF(AEG60&gt;0,AEH60/AEG60,0)</f>
        <v/>
      </c>
      <c r="AFC60" s="11">
        <f>IF(AEG59&gt;0,MAX(0,(AEG59+ADV60-AEG60)/AEG59),0)</f>
        <v/>
      </c>
      <c r="AFE60" s="12" t="n">
        <v>56</v>
      </c>
      <c r="AFF60" s="12">
        <f>MOD(AFE60-1+LaunchMonth-1,12)+1</f>
        <v/>
      </c>
      <c r="AFG60" s="12">
        <f>INT((AFE60-1+LaunchMonth-1)/12)+1</f>
        <v/>
      </c>
      <c r="AFH60" s="12">
        <f>VLOOKUP(AFF60,SeasonTable,2,FALSE)</f>
        <v/>
      </c>
      <c r="AFI60" s="12">
        <f>(1+InflationRate)^INT((AFE60-1)/12)</f>
        <v/>
      </c>
      <c r="AFJ60" s="11">
        <f>MonthlyChurn*VLOOKUP(AFF60,ChurnSeasonTable,4,FALSE)</f>
        <v/>
      </c>
      <c r="AFK60" s="12">
        <f>MIN(MAX(MktMin19plus,AGE59*MktPct19plus),MAX(0,AGS59-CashBuffer))</f>
        <v/>
      </c>
      <c r="AFL60" s="12">
        <f>IF(AFK60&gt;0,MAX(1,ROUND(AFK60/'Sens - CAC &amp; Marketing'!$A$9*AFH60,0)),0)</f>
        <v/>
      </c>
      <c r="AFM60" s="12">
        <f>IF(AFL60&gt;0,ROUND(AFL60*ReferralMix/(1-ReferralMix),0),0)</f>
        <v/>
      </c>
      <c r="AFN60" s="12">
        <f>AFL60+AFM60</f>
        <v/>
      </c>
      <c r="AFO60" s="12">
        <f>ROUND(AFN60*(1-AnnualMix),0)</f>
        <v/>
      </c>
      <c r="AFP60" s="12">
        <f>AFN60-AFO60</f>
        <v/>
      </c>
      <c r="AFQ60" s="12">
        <f>ROUND(AFO60*EssentialMix,0)</f>
        <v/>
      </c>
      <c r="AFR60" s="12">
        <f>AFO60-AFQ60</f>
        <v/>
      </c>
      <c r="AFS60" s="12">
        <f>ROUND(AFP60*EssentialMix,0)</f>
        <v/>
      </c>
      <c r="AFT60" s="12">
        <f>AFP60-AFS60</f>
        <v/>
      </c>
      <c r="AFU60" s="12">
        <f>AFQ60+AFQ59+AFQ58+MAX(0,AFU59-AFQ59-AFQ58)*(1-AFJ60)</f>
        <v/>
      </c>
      <c r="AFV60" s="12">
        <f>AFR60+AFR59+AFR58+MAX(0,AFV59-AFR59-AFR58)*(1-AFJ60)</f>
        <v/>
      </c>
      <c r="AFW60" s="12">
        <f>AFW59+AFS60-AFS48*(AnnualChurn*VLOOKUP(AFF60,ChurnSeasonTable,4,FALSE))*POWER(1-(AnnualChurn*VLOOKUP(AFF60,ChurnSeasonTable,4,FALSE)),0)+AFS36*(AnnualChurn*VLOOKUP(AFF60,ChurnSeasonTable,4,FALSE))*POWER(1-(AnnualChurn*VLOOKUP(AFF60,ChurnSeasonTable,4,FALSE)),1)+AFS24*(AnnualChurn*VLOOKUP(AFF60,ChurnSeasonTable,4,FALSE))*POWER(1-(AnnualChurn*VLOOKUP(AFF60,ChurnSeasonTable,4,FALSE)),2)+AFS12*(AnnualChurn*VLOOKUP(AFF60,ChurnSeasonTable,4,FALSE))*POWER(1-(AnnualChurn*VLOOKUP(AFF60,ChurnSeasonTable,4,FALSE)),3)</f>
        <v/>
      </c>
      <c r="AFX60" s="12">
        <f>AFX59+AFT60-AFT48*(AnnualChurn*VLOOKUP(AFF60,ChurnSeasonTable,4,FALSE))*POWER(1-(AnnualChurn*VLOOKUP(AFF60,ChurnSeasonTable,4,FALSE)),0)+AFT36*(AnnualChurn*VLOOKUP(AFF60,ChurnSeasonTable,4,FALSE))*POWER(1-(AnnualChurn*VLOOKUP(AFF60,ChurnSeasonTable,4,FALSE)),1)+AFT24*(AnnualChurn*VLOOKUP(AFF60,ChurnSeasonTable,4,FALSE))*POWER(1-(AnnualChurn*VLOOKUP(AFF60,ChurnSeasonTable,4,FALSE)),2)+AFT12*(AnnualChurn*VLOOKUP(AFF60,ChurnSeasonTable,4,FALSE))*POWER(1-(AnnualChurn*VLOOKUP(AFF60,ChurnSeasonTable,4,FALSE)),3)</f>
        <v/>
      </c>
      <c r="AFY60" s="12">
        <f>AFU60+AFV60+AFW60+AFX60</f>
        <v/>
      </c>
      <c r="AFZ60" s="9">
        <f>AFU60*PriceEssMonthly*AFI60+AFV60*PricePremMonthly*AFI60+AFW60*PriceEssAnnual*AFI60/12+AFX60*PricePremAnnual*AFI60/12</f>
        <v/>
      </c>
      <c r="AGA60" s="9">
        <f>AFZ60*12</f>
        <v/>
      </c>
      <c r="AGB60" s="12">
        <f>AFU60*PriceEssMonthly*AFI60+AFV60*PricePremMonthly*AFI60</f>
        <v/>
      </c>
      <c r="AGC60" s="12">
        <f>AFS60*PriceEssAnnual*AFI60+AFT60*PricePremAnnual*AFI60</f>
        <v/>
      </c>
      <c r="AGD60" s="12">
        <f>AFS48*POWER(1-(AnnualChurn*VLOOKUP(AFF60,ChurnSeasonTable,4,FALSE)),1)*PriceEssAnnual*AFI60+AFS36*POWER(1-(AnnualChurn*VLOOKUP(AFF60,ChurnSeasonTable,4,FALSE)),2)*PriceEssAnnual*AFI60+AFS24*POWER(1-(AnnualChurn*VLOOKUP(AFF60,ChurnSeasonTable,4,FALSE)),3)*PriceEssAnnual*AFI60+AFS12*POWER(1-(AnnualChurn*VLOOKUP(AFF60,ChurnSeasonTable,4,FALSE)),4)*PriceEssAnnual*AFI60+AFT48*POWER(1-(AnnualChurn*VLOOKUP(AFF60,ChurnSeasonTable,4,FALSE)),1)*PricePremAnnual*AFI60+AFT36*POWER(1-(AnnualChurn*VLOOKUP(AFF60,ChurnSeasonTable,4,FALSE)),2)*PricePremAnnual*AFI60+AFT24*POWER(1-(AnnualChurn*VLOOKUP(AFF60,ChurnSeasonTable,4,FALSE)),3)*PricePremAnnual*AFI60+AFT12*POWER(1-(AnnualChurn*VLOOKUP(AFF60,ChurnSeasonTable,4,FALSE)),4)*PricePremAnnual*AFI60</f>
        <v/>
      </c>
      <c r="AGE60" s="9">
        <f>AGB60+AGC60+AGD60</f>
        <v/>
      </c>
      <c r="AGF60" s="12">
        <f>SUM(AGE49:AGE60)</f>
        <v/>
      </c>
      <c r="AGG60" s="12">
        <f>OR(AGG59,AGF60&gt;=VATThreshold)</f>
        <v/>
      </c>
      <c r="AGH60" s="9">
        <f>IF(AGG60,AGE60/(1+VATRate),AGE60)</f>
        <v/>
      </c>
      <c r="AGI60" s="12">
        <f>AGE60-AGH60</f>
        <v/>
      </c>
      <c r="AGJ60" s="12">
        <f>IF(AGG60=0,0,IF(AFF60=1,SUMPRODUCT(--(($AFG$5:$AFG60=$AFG60-1)*($AFF$5:$AFF60&gt;=10)*($AFF$5:$AFF60&lt;=12)),$AGI$5:$AGI60),IF(AFF60=4,SUMPRODUCT(--(($AFG$5:$AFG60=$AFG60)*($AFF$5:$AFF60&gt;=1)*($AFF$5:$AFF60&lt;=3)),$AGI$5:$AGI60),IF(AFF60=7,SUMPRODUCT(--(($AFG$5:$AFG60=$AFG60)*($AFF$5:$AFF60&gt;=4)*($AFF$5:$AFF60&lt;=6)),$AGI$5:$AGI60),IF(AFF60=10,SUMPRODUCT(--(($AFG$5:$AFG60=$AFG60)*($AFF$5:$AFF60&gt;=7)*($AFF$5:$AFF60&lt;=9)),$AGI$5:$AGI60),0)))))</f>
        <v/>
      </c>
      <c r="AGK60" s="12">
        <f>AGK59+AGI60-AGJ60</f>
        <v/>
      </c>
      <c r="AGL60" s="12">
        <f>IF(ProviderDelay&gt;=1,AGH59*ProviderShare,AGH60*ProviderShare)</f>
        <v/>
      </c>
      <c r="AGM60" s="12">
        <f>AGE60*PaymentFee</f>
        <v/>
      </c>
      <c r="AGN60" s="12">
        <f>AFY60*OpsAI</f>
        <v/>
      </c>
      <c r="AGO60" s="12">
        <f>MonthlyFixed</f>
        <v/>
      </c>
      <c r="AGP60" s="12">
        <f>AFM60*ReferralReward</f>
        <v/>
      </c>
      <c r="AGQ60" s="12">
        <f>AFK60</f>
        <v/>
      </c>
      <c r="AGR60" s="9">
        <f>AGH60-AGL60-AGM60-AGN60-AGO60-AGP60-AGQ60</f>
        <v/>
      </c>
      <c r="AGS60" s="9">
        <f>AGS59+AGE60-(AGL60+AGM60+AGN60+AGO60+AGP60+AGQ60+AGJ60)</f>
        <v/>
      </c>
      <c r="AGT60" s="12">
        <f>IF(AFY60&gt;0,AFZ60/AFY60,0)</f>
        <v/>
      </c>
      <c r="AGU60" s="11">
        <f>IF(AFY59&gt;0,MAX(0,(AFY59+AFN60-AFY60)/AFY59),0)</f>
        <v/>
      </c>
      <c r="AGW60" s="12" t="n">
        <v>56</v>
      </c>
      <c r="AGX60" s="12">
        <f>MOD(AGW60-1+LaunchMonth-1,12)+1</f>
        <v/>
      </c>
      <c r="AGY60" s="12">
        <f>INT((AGW60-1+LaunchMonth-1)/12)+1</f>
        <v/>
      </c>
      <c r="AGZ60" s="12">
        <f>VLOOKUP(AGX60,SeasonTable,2,FALSE)</f>
        <v/>
      </c>
      <c r="AHA60" s="12">
        <f>(1+InflationRate)^INT((AGW60-1)/12)</f>
        <v/>
      </c>
      <c r="AHB60" s="11">
        <f>MonthlyChurn*VLOOKUP(AGX60,ChurnSeasonTable,4,FALSE)</f>
        <v/>
      </c>
      <c r="AHC60" s="12">
        <f>MIN(MAX(MktMin19plus,AHW59*MktPct19plus),MAX(0,AIK59-CashBuffer))</f>
        <v/>
      </c>
      <c r="AHD60" s="12">
        <f>IF(AHC60&gt;0,MAX(1,ROUND(AHC60/'Sens - CAC &amp; Marketing'!$A$10*AGZ60,0)),0)</f>
        <v/>
      </c>
      <c r="AHE60" s="12">
        <f>IF(AHD60&gt;0,ROUND(AHD60*ReferralMix/(1-ReferralMix),0),0)</f>
        <v/>
      </c>
      <c r="AHF60" s="12">
        <f>AHD60+AHE60</f>
        <v/>
      </c>
      <c r="AHG60" s="12">
        <f>ROUND(AHF60*(1-AnnualMix),0)</f>
        <v/>
      </c>
      <c r="AHH60" s="12">
        <f>AHF60-AHG60</f>
        <v/>
      </c>
      <c r="AHI60" s="12">
        <f>ROUND(AHG60*EssentialMix,0)</f>
        <v/>
      </c>
      <c r="AHJ60" s="12">
        <f>AHG60-AHI60</f>
        <v/>
      </c>
      <c r="AHK60" s="12">
        <f>ROUND(AHH60*EssentialMix,0)</f>
        <v/>
      </c>
      <c r="AHL60" s="12">
        <f>AHH60-AHK60</f>
        <v/>
      </c>
      <c r="AHM60" s="12">
        <f>AHI60+AHI59+AHI58+MAX(0,AHM59-AHI59-AHI58)*(1-AHB60)</f>
        <v/>
      </c>
      <c r="AHN60" s="12">
        <f>AHJ60+AHJ59+AHJ58+MAX(0,AHN59-AHJ59-AHJ58)*(1-AHB60)</f>
        <v/>
      </c>
      <c r="AHO60" s="12">
        <f>AHO59+AHK60-AHK48*(AnnualChurn*VLOOKUP(AGX60,ChurnSeasonTable,4,FALSE))*POWER(1-(AnnualChurn*VLOOKUP(AGX60,ChurnSeasonTable,4,FALSE)),0)+AHK36*(AnnualChurn*VLOOKUP(AGX60,ChurnSeasonTable,4,FALSE))*POWER(1-(AnnualChurn*VLOOKUP(AGX60,ChurnSeasonTable,4,FALSE)),1)+AHK24*(AnnualChurn*VLOOKUP(AGX60,ChurnSeasonTable,4,FALSE))*POWER(1-(AnnualChurn*VLOOKUP(AGX60,ChurnSeasonTable,4,FALSE)),2)+AHK12*(AnnualChurn*VLOOKUP(AGX60,ChurnSeasonTable,4,FALSE))*POWER(1-(AnnualChurn*VLOOKUP(AGX60,ChurnSeasonTable,4,FALSE)),3)</f>
        <v/>
      </c>
      <c r="AHP60" s="12">
        <f>AHP59+AHL60-AHL48*(AnnualChurn*VLOOKUP(AGX60,ChurnSeasonTable,4,FALSE))*POWER(1-(AnnualChurn*VLOOKUP(AGX60,ChurnSeasonTable,4,FALSE)),0)+AHL36*(AnnualChurn*VLOOKUP(AGX60,ChurnSeasonTable,4,FALSE))*POWER(1-(AnnualChurn*VLOOKUP(AGX60,ChurnSeasonTable,4,FALSE)),1)+AHL24*(AnnualChurn*VLOOKUP(AGX60,ChurnSeasonTable,4,FALSE))*POWER(1-(AnnualChurn*VLOOKUP(AGX60,ChurnSeasonTable,4,FALSE)),2)+AHL12*(AnnualChurn*VLOOKUP(AGX60,ChurnSeasonTable,4,FALSE))*POWER(1-(AnnualChurn*VLOOKUP(AGX60,ChurnSeasonTable,4,FALSE)),3)</f>
        <v/>
      </c>
      <c r="AHQ60" s="12">
        <f>AHM60+AHN60+AHO60+AHP60</f>
        <v/>
      </c>
      <c r="AHR60" s="9">
        <f>AHM60*PriceEssMonthly*AHA60+AHN60*PricePremMonthly*AHA60+AHO60*PriceEssAnnual*AHA60/12+AHP60*PricePremAnnual*AHA60/12</f>
        <v/>
      </c>
      <c r="AHS60" s="9">
        <f>AHR60*12</f>
        <v/>
      </c>
      <c r="AHT60" s="12">
        <f>AHM60*PriceEssMonthly*AHA60+AHN60*PricePremMonthly*AHA60</f>
        <v/>
      </c>
      <c r="AHU60" s="12">
        <f>AHK60*PriceEssAnnual*AHA60+AHL60*PricePremAnnual*AHA60</f>
        <v/>
      </c>
      <c r="AHV60" s="12">
        <f>AHK48*POWER(1-(AnnualChurn*VLOOKUP(AGX60,ChurnSeasonTable,4,FALSE)),1)*PriceEssAnnual*AHA60+AHK36*POWER(1-(AnnualChurn*VLOOKUP(AGX60,ChurnSeasonTable,4,FALSE)),2)*PriceEssAnnual*AHA60+AHK24*POWER(1-(AnnualChurn*VLOOKUP(AGX60,ChurnSeasonTable,4,FALSE)),3)*PriceEssAnnual*AHA60+AHK12*POWER(1-(AnnualChurn*VLOOKUP(AGX60,ChurnSeasonTable,4,FALSE)),4)*PriceEssAnnual*AHA60+AHL48*POWER(1-(AnnualChurn*VLOOKUP(AGX60,ChurnSeasonTable,4,FALSE)),1)*PricePremAnnual*AHA60+AHL36*POWER(1-(AnnualChurn*VLOOKUP(AGX60,ChurnSeasonTable,4,FALSE)),2)*PricePremAnnual*AHA60+AHL24*POWER(1-(AnnualChurn*VLOOKUP(AGX60,ChurnSeasonTable,4,FALSE)),3)*PricePremAnnual*AHA60+AHL12*POWER(1-(AnnualChurn*VLOOKUP(AGX60,ChurnSeasonTable,4,FALSE)),4)*PricePremAnnual*AHA60</f>
        <v/>
      </c>
      <c r="AHW60" s="9">
        <f>AHT60+AHU60+AHV60</f>
        <v/>
      </c>
      <c r="AHX60" s="12">
        <f>SUM(AHW49:AHW60)</f>
        <v/>
      </c>
      <c r="AHY60" s="12">
        <f>OR(AHY59,AHX60&gt;=VATThreshold)</f>
        <v/>
      </c>
      <c r="AHZ60" s="9">
        <f>IF(AHY60,AHW60/(1+VATRate),AHW60)</f>
        <v/>
      </c>
      <c r="AIA60" s="12">
        <f>AHW60-AHZ60</f>
        <v/>
      </c>
      <c r="AIB60" s="12">
        <f>IF(AHY60=0,0,IF(AGX60=1,SUMPRODUCT(--(($AGY$5:$AGY60=$AGY60-1)*($AGX$5:$AGX60&gt;=10)*($AGX$5:$AGX60&lt;=12)),$AIA$5:$AIA60),IF(AGX60=4,SUMPRODUCT(--(($AGY$5:$AGY60=$AGY60)*($AGX$5:$AGX60&gt;=1)*($AGX$5:$AGX60&lt;=3)),$AIA$5:$AIA60),IF(AGX60=7,SUMPRODUCT(--(($AGY$5:$AGY60=$AGY60)*($AGX$5:$AGX60&gt;=4)*($AGX$5:$AGX60&lt;=6)),$AIA$5:$AIA60),IF(AGX60=10,SUMPRODUCT(--(($AGY$5:$AGY60=$AGY60)*($AGX$5:$AGX60&gt;=7)*($AGX$5:$AGX60&lt;=9)),$AIA$5:$AIA60),0)))))</f>
        <v/>
      </c>
      <c r="AIC60" s="12">
        <f>AIC59+AIA60-AIB60</f>
        <v/>
      </c>
      <c r="AID60" s="12">
        <f>IF(ProviderDelay&gt;=1,AHZ59*ProviderShare,AHZ60*ProviderShare)</f>
        <v/>
      </c>
      <c r="AIE60" s="12">
        <f>AHW60*PaymentFee</f>
        <v/>
      </c>
      <c r="AIF60" s="12">
        <f>AHQ60*OpsAI</f>
        <v/>
      </c>
      <c r="AIG60" s="12">
        <f>MonthlyFixed</f>
        <v/>
      </c>
      <c r="AIH60" s="12">
        <f>AHE60*ReferralReward</f>
        <v/>
      </c>
      <c r="AII60" s="12">
        <f>AHC60</f>
        <v/>
      </c>
      <c r="AIJ60" s="9">
        <f>AHZ60-AID60-AIE60-AIF60-AIG60-AIH60-AII60</f>
        <v/>
      </c>
      <c r="AIK60" s="9">
        <f>AIK59+AHW60-(AID60+AIE60+AIF60+AIG60+AIH60+AII60+AIB60)</f>
        <v/>
      </c>
      <c r="AIL60" s="12">
        <f>IF(AHQ60&gt;0,AHR60/AHQ60,0)</f>
        <v/>
      </c>
      <c r="AIM60" s="11">
        <f>IF(AHQ59&gt;0,MAX(0,(AHQ59+AHF60-AHQ60)/AHQ59),0)</f>
        <v/>
      </c>
      <c r="AIO60" s="12" t="n">
        <v>56</v>
      </c>
      <c r="AIP60" s="12">
        <f>MOD(AIO60-1+LaunchMonth-1,12)+1</f>
        <v/>
      </c>
      <c r="AIQ60" s="12">
        <f>INT((AIO60-1+LaunchMonth-1)/12)+1</f>
        <v/>
      </c>
      <c r="AIR60" s="12">
        <f>VLOOKUP(AIP60,SeasonTable,2,FALSE)</f>
        <v/>
      </c>
      <c r="AIS60" s="12">
        <f>(1+InflationRate)^INT((AIO60-1)/12)</f>
        <v/>
      </c>
      <c r="AIT60" s="11">
        <f>MonthlyChurn*VLOOKUP(AIP60,ChurnSeasonTable,4,FALSE)</f>
        <v/>
      </c>
      <c r="AIU60" s="12">
        <f>MIN(MAX(MktMin19plus,AJO59*MktPct19plus),MAX(0,AKC59-CashBuffer))</f>
        <v/>
      </c>
      <c r="AIV60" s="12">
        <f>IF(AIU60&gt;0,MAX(1,ROUND(AIU60/'Sens - CAC &amp; Marketing'!$A$11*AIR60,0)),0)</f>
        <v/>
      </c>
      <c r="AIW60" s="12">
        <f>IF(AIV60&gt;0,ROUND(AIV60*ReferralMix/(1-ReferralMix),0),0)</f>
        <v/>
      </c>
      <c r="AIX60" s="12">
        <f>AIV60+AIW60</f>
        <v/>
      </c>
      <c r="AIY60" s="12">
        <f>ROUND(AIX60*(1-AnnualMix),0)</f>
        <v/>
      </c>
      <c r="AIZ60" s="12">
        <f>AIX60-AIY60</f>
        <v/>
      </c>
      <c r="AJA60" s="12">
        <f>ROUND(AIY60*EssentialMix,0)</f>
        <v/>
      </c>
      <c r="AJB60" s="12">
        <f>AIY60-AJA60</f>
        <v/>
      </c>
      <c r="AJC60" s="12">
        <f>ROUND(AIZ60*EssentialMix,0)</f>
        <v/>
      </c>
      <c r="AJD60" s="12">
        <f>AIZ60-AJC60</f>
        <v/>
      </c>
      <c r="AJE60" s="12">
        <f>AJA60+AJA59+AJA58+MAX(0,AJE59-AJA59-AJA58)*(1-AIT60)</f>
        <v/>
      </c>
      <c r="AJF60" s="12">
        <f>AJB60+AJB59+AJB58+MAX(0,AJF59-AJB59-AJB58)*(1-AIT60)</f>
        <v/>
      </c>
      <c r="AJG60" s="12">
        <f>AJG59+AJC60-AJC48*(AnnualChurn*VLOOKUP(AIP60,ChurnSeasonTable,4,FALSE))*POWER(1-(AnnualChurn*VLOOKUP(AIP60,ChurnSeasonTable,4,FALSE)),0)+AJC36*(AnnualChurn*VLOOKUP(AIP60,ChurnSeasonTable,4,FALSE))*POWER(1-(AnnualChurn*VLOOKUP(AIP60,ChurnSeasonTable,4,FALSE)),1)+AJC24*(AnnualChurn*VLOOKUP(AIP60,ChurnSeasonTable,4,FALSE))*POWER(1-(AnnualChurn*VLOOKUP(AIP60,ChurnSeasonTable,4,FALSE)),2)+AJC12*(AnnualChurn*VLOOKUP(AIP60,ChurnSeasonTable,4,FALSE))*POWER(1-(AnnualChurn*VLOOKUP(AIP60,ChurnSeasonTable,4,FALSE)),3)</f>
        <v/>
      </c>
      <c r="AJH60" s="12">
        <f>AJH59+AJD60-AJD48*(AnnualChurn*VLOOKUP(AIP60,ChurnSeasonTable,4,FALSE))*POWER(1-(AnnualChurn*VLOOKUP(AIP60,ChurnSeasonTable,4,FALSE)),0)+AJD36*(AnnualChurn*VLOOKUP(AIP60,ChurnSeasonTable,4,FALSE))*POWER(1-(AnnualChurn*VLOOKUP(AIP60,ChurnSeasonTable,4,FALSE)),1)+AJD24*(AnnualChurn*VLOOKUP(AIP60,ChurnSeasonTable,4,FALSE))*POWER(1-(AnnualChurn*VLOOKUP(AIP60,ChurnSeasonTable,4,FALSE)),2)+AJD12*(AnnualChurn*VLOOKUP(AIP60,ChurnSeasonTable,4,FALSE))*POWER(1-(AnnualChurn*VLOOKUP(AIP60,ChurnSeasonTable,4,FALSE)),3)</f>
        <v/>
      </c>
      <c r="AJI60" s="12">
        <f>AJE60+AJF60+AJG60+AJH60</f>
        <v/>
      </c>
      <c r="AJJ60" s="9">
        <f>AJE60*PriceEssMonthly*AIS60+AJF60*PricePremMonthly*AIS60+AJG60*PriceEssAnnual*AIS60/12+AJH60*PricePremAnnual*AIS60/12</f>
        <v/>
      </c>
      <c r="AJK60" s="9">
        <f>AJJ60*12</f>
        <v/>
      </c>
      <c r="AJL60" s="12">
        <f>AJE60*PriceEssMonthly*AIS60+AJF60*PricePremMonthly*AIS60</f>
        <v/>
      </c>
      <c r="AJM60" s="12">
        <f>AJC60*PriceEssAnnual*AIS60+AJD60*PricePremAnnual*AIS60</f>
        <v/>
      </c>
      <c r="AJN60" s="12">
        <f>AJC48*POWER(1-(AnnualChurn*VLOOKUP(AIP60,ChurnSeasonTable,4,FALSE)),1)*PriceEssAnnual*AIS60+AJC36*POWER(1-(AnnualChurn*VLOOKUP(AIP60,ChurnSeasonTable,4,FALSE)),2)*PriceEssAnnual*AIS60+AJC24*POWER(1-(AnnualChurn*VLOOKUP(AIP60,ChurnSeasonTable,4,FALSE)),3)*PriceEssAnnual*AIS60+AJC12*POWER(1-(AnnualChurn*VLOOKUP(AIP60,ChurnSeasonTable,4,FALSE)),4)*PriceEssAnnual*AIS60+AJD48*POWER(1-(AnnualChurn*VLOOKUP(AIP60,ChurnSeasonTable,4,FALSE)),1)*PricePremAnnual*AIS60+AJD36*POWER(1-(AnnualChurn*VLOOKUP(AIP60,ChurnSeasonTable,4,FALSE)),2)*PricePremAnnual*AIS60+AJD24*POWER(1-(AnnualChurn*VLOOKUP(AIP60,ChurnSeasonTable,4,FALSE)),3)*PricePremAnnual*AIS60+AJD12*POWER(1-(AnnualChurn*VLOOKUP(AIP60,ChurnSeasonTable,4,FALSE)),4)*PricePremAnnual*AIS60</f>
        <v/>
      </c>
      <c r="AJO60" s="9">
        <f>AJL60+AJM60+AJN60</f>
        <v/>
      </c>
      <c r="AJP60" s="12">
        <f>SUM(AJO49:AJO60)</f>
        <v/>
      </c>
      <c r="AJQ60" s="12">
        <f>OR(AJQ59,AJP60&gt;=VATThreshold)</f>
        <v/>
      </c>
      <c r="AJR60" s="9">
        <f>IF(AJQ60,AJO60/(1+VATRate),AJO60)</f>
        <v/>
      </c>
      <c r="AJS60" s="12">
        <f>AJO60-AJR60</f>
        <v/>
      </c>
      <c r="AJT60" s="12">
        <f>IF(AJQ60=0,0,IF(AIP60=1,SUMPRODUCT(--(($AIQ$5:$AIQ60=$AIQ60-1)*($AIP$5:$AIP60&gt;=10)*($AIP$5:$AIP60&lt;=12)),$AJS$5:$AJS60),IF(AIP60=4,SUMPRODUCT(--(($AIQ$5:$AIQ60=$AIQ60)*($AIP$5:$AIP60&gt;=1)*($AIP$5:$AIP60&lt;=3)),$AJS$5:$AJS60),IF(AIP60=7,SUMPRODUCT(--(($AIQ$5:$AIQ60=$AIQ60)*($AIP$5:$AIP60&gt;=4)*($AIP$5:$AIP60&lt;=6)),$AJS$5:$AJS60),IF(AIP60=10,SUMPRODUCT(--(($AIQ$5:$AIQ60=$AIQ60)*($AIP$5:$AIP60&gt;=7)*($AIP$5:$AIP60&lt;=9)),$AJS$5:$AJS60),0)))))</f>
        <v/>
      </c>
      <c r="AJU60" s="12">
        <f>AJU59+AJS60-AJT60</f>
        <v/>
      </c>
      <c r="AJV60" s="12">
        <f>IF(ProviderDelay&gt;=1,AJR59*ProviderShare,AJR60*ProviderShare)</f>
        <v/>
      </c>
      <c r="AJW60" s="12">
        <f>AJO60*PaymentFee</f>
        <v/>
      </c>
      <c r="AJX60" s="12">
        <f>AJI60*OpsAI</f>
        <v/>
      </c>
      <c r="AJY60" s="12">
        <f>MonthlyFixed</f>
        <v/>
      </c>
      <c r="AJZ60" s="12">
        <f>AIW60*ReferralReward</f>
        <v/>
      </c>
      <c r="AKA60" s="12">
        <f>AIU60</f>
        <v/>
      </c>
      <c r="AKB60" s="9">
        <f>AJR60-AJV60-AJW60-AJX60-AJY60-AJZ60-AKA60</f>
        <v/>
      </c>
      <c r="AKC60" s="9">
        <f>AKC59+AJO60-(AJV60+AJW60+AJX60+AJY60+AJZ60+AKA60+AJT60)</f>
        <v/>
      </c>
      <c r="AKD60" s="12">
        <f>IF(AJI60&gt;0,AJJ60/AJI60,0)</f>
        <v/>
      </c>
      <c r="AKE60" s="11">
        <f>IF(AJI59&gt;0,MAX(0,(AJI59+AIX60-AJI60)/AJI59),0)</f>
        <v/>
      </c>
      <c r="AKG60" s="12" t="n">
        <v>56</v>
      </c>
      <c r="AKH60" s="12">
        <f>MOD(AKG60-1+LaunchMonth-1,12)+1</f>
        <v/>
      </c>
      <c r="AKI60" s="12">
        <f>INT((AKG60-1+LaunchMonth-1)/12)+1</f>
        <v/>
      </c>
      <c r="AKJ60" s="12">
        <f>VLOOKUP(AKH60,SeasonTable,2,FALSE)</f>
        <v/>
      </c>
      <c r="AKK60" s="12">
        <f>(1+InflationRate)^INT((AKG60-1)/12)</f>
        <v/>
      </c>
      <c r="AKL60" s="11">
        <f>MonthlyChurn*VLOOKUP(AKH60,ChurnSeasonTable,4,FALSE)</f>
        <v/>
      </c>
      <c r="AKM60" s="12">
        <f>MIN(MAX(MktMin19plus,ALG59*MktPct19plus),MAX(0,ALU59-CashBuffer))</f>
        <v/>
      </c>
      <c r="AKN60" s="12">
        <f>IF(AKM60&gt;0,MAX(1,ROUND(AKM60/'Sens - CAC &amp; Marketing'!$A$12*AKJ60,0)),0)</f>
        <v/>
      </c>
      <c r="AKO60" s="12">
        <f>IF(AKN60&gt;0,ROUND(AKN60*ReferralMix/(1-ReferralMix),0),0)</f>
        <v/>
      </c>
      <c r="AKP60" s="12">
        <f>AKN60+AKO60</f>
        <v/>
      </c>
      <c r="AKQ60" s="12">
        <f>ROUND(AKP60*(1-AnnualMix),0)</f>
        <v/>
      </c>
      <c r="AKR60" s="12">
        <f>AKP60-AKQ60</f>
        <v/>
      </c>
      <c r="AKS60" s="12">
        <f>ROUND(AKQ60*EssentialMix,0)</f>
        <v/>
      </c>
      <c r="AKT60" s="12">
        <f>AKQ60-AKS60</f>
        <v/>
      </c>
      <c r="AKU60" s="12">
        <f>ROUND(AKR60*EssentialMix,0)</f>
        <v/>
      </c>
      <c r="AKV60" s="12">
        <f>AKR60-AKU60</f>
        <v/>
      </c>
      <c r="AKW60" s="12">
        <f>AKS60+AKS59+AKS58+MAX(0,AKW59-AKS59-AKS58)*(1-AKL60)</f>
        <v/>
      </c>
      <c r="AKX60" s="12">
        <f>AKT60+AKT59+AKT58+MAX(0,AKX59-AKT59-AKT58)*(1-AKL60)</f>
        <v/>
      </c>
      <c r="AKY60" s="12">
        <f>AKY59+AKU60-AKU48*(AnnualChurn*VLOOKUP(AKH60,ChurnSeasonTable,4,FALSE))*POWER(1-(AnnualChurn*VLOOKUP(AKH60,ChurnSeasonTable,4,FALSE)),0)+AKU36*(AnnualChurn*VLOOKUP(AKH60,ChurnSeasonTable,4,FALSE))*POWER(1-(AnnualChurn*VLOOKUP(AKH60,ChurnSeasonTable,4,FALSE)),1)+AKU24*(AnnualChurn*VLOOKUP(AKH60,ChurnSeasonTable,4,FALSE))*POWER(1-(AnnualChurn*VLOOKUP(AKH60,ChurnSeasonTable,4,FALSE)),2)+AKU12*(AnnualChurn*VLOOKUP(AKH60,ChurnSeasonTable,4,FALSE))*POWER(1-(AnnualChurn*VLOOKUP(AKH60,ChurnSeasonTable,4,FALSE)),3)</f>
        <v/>
      </c>
      <c r="AKZ60" s="12">
        <f>AKZ59+AKV60-AKV48*(AnnualChurn*VLOOKUP(AKH60,ChurnSeasonTable,4,FALSE))*POWER(1-(AnnualChurn*VLOOKUP(AKH60,ChurnSeasonTable,4,FALSE)),0)+AKV36*(AnnualChurn*VLOOKUP(AKH60,ChurnSeasonTable,4,FALSE))*POWER(1-(AnnualChurn*VLOOKUP(AKH60,ChurnSeasonTable,4,FALSE)),1)+AKV24*(AnnualChurn*VLOOKUP(AKH60,ChurnSeasonTable,4,FALSE))*POWER(1-(AnnualChurn*VLOOKUP(AKH60,ChurnSeasonTable,4,FALSE)),2)+AKV12*(AnnualChurn*VLOOKUP(AKH60,ChurnSeasonTable,4,FALSE))*POWER(1-(AnnualChurn*VLOOKUP(AKH60,ChurnSeasonTable,4,FALSE)),3)</f>
        <v/>
      </c>
      <c r="ALA60" s="12">
        <f>AKW60+AKX60+AKY60+AKZ60</f>
        <v/>
      </c>
      <c r="ALB60" s="9">
        <f>AKW60*PriceEssMonthly*AKK60+AKX60*PricePremMonthly*AKK60+AKY60*PriceEssAnnual*AKK60/12+AKZ60*PricePremAnnual*AKK60/12</f>
        <v/>
      </c>
      <c r="ALC60" s="9">
        <f>ALB60*12</f>
        <v/>
      </c>
      <c r="ALD60" s="12">
        <f>AKW60*PriceEssMonthly*AKK60+AKX60*PricePremMonthly*AKK60</f>
        <v/>
      </c>
      <c r="ALE60" s="12">
        <f>AKU60*PriceEssAnnual*AKK60+AKV60*PricePremAnnual*AKK60</f>
        <v/>
      </c>
      <c r="ALF60" s="12">
        <f>AKU48*POWER(1-(AnnualChurn*VLOOKUP(AKH60,ChurnSeasonTable,4,FALSE)),1)*PriceEssAnnual*AKK60+AKU36*POWER(1-(AnnualChurn*VLOOKUP(AKH60,ChurnSeasonTable,4,FALSE)),2)*PriceEssAnnual*AKK60+AKU24*POWER(1-(AnnualChurn*VLOOKUP(AKH60,ChurnSeasonTable,4,FALSE)),3)*PriceEssAnnual*AKK60+AKU12*POWER(1-(AnnualChurn*VLOOKUP(AKH60,ChurnSeasonTable,4,FALSE)),4)*PriceEssAnnual*AKK60+AKV48*POWER(1-(AnnualChurn*VLOOKUP(AKH60,ChurnSeasonTable,4,FALSE)),1)*PricePremAnnual*AKK60+AKV36*POWER(1-(AnnualChurn*VLOOKUP(AKH60,ChurnSeasonTable,4,FALSE)),2)*PricePremAnnual*AKK60+AKV24*POWER(1-(AnnualChurn*VLOOKUP(AKH60,ChurnSeasonTable,4,FALSE)),3)*PricePremAnnual*AKK60+AKV12*POWER(1-(AnnualChurn*VLOOKUP(AKH60,ChurnSeasonTable,4,FALSE)),4)*PricePremAnnual*AKK60</f>
        <v/>
      </c>
      <c r="ALG60" s="9">
        <f>ALD60+ALE60+ALF60</f>
        <v/>
      </c>
      <c r="ALH60" s="12">
        <f>SUM(ALG49:ALG60)</f>
        <v/>
      </c>
      <c r="ALI60" s="12">
        <f>OR(ALI59,ALH60&gt;=VATThreshold)</f>
        <v/>
      </c>
      <c r="ALJ60" s="9">
        <f>IF(ALI60,ALG60/(1+VATRate),ALG60)</f>
        <v/>
      </c>
      <c r="ALK60" s="12">
        <f>ALG60-ALJ60</f>
        <v/>
      </c>
      <c r="ALL60" s="12">
        <f>IF(ALI60=0,0,IF(AKH60=1,SUMPRODUCT(--(($AKI$5:$AKI60=$AKI60-1)*($AKH$5:$AKH60&gt;=10)*($AKH$5:$AKH60&lt;=12)),$ALK$5:$ALK60),IF(AKH60=4,SUMPRODUCT(--(($AKI$5:$AKI60=$AKI60)*($AKH$5:$AKH60&gt;=1)*($AKH$5:$AKH60&lt;=3)),$ALK$5:$ALK60),IF(AKH60=7,SUMPRODUCT(--(($AKI$5:$AKI60=$AKI60)*($AKH$5:$AKH60&gt;=4)*($AKH$5:$AKH60&lt;=6)),$ALK$5:$ALK60),IF(AKH60=10,SUMPRODUCT(--(($AKI$5:$AKI60=$AKI60)*($AKH$5:$AKH60&gt;=7)*($AKH$5:$AKH60&lt;=9)),$ALK$5:$ALK60),0)))))</f>
        <v/>
      </c>
      <c r="ALM60" s="12">
        <f>ALM59+ALK60-ALL60</f>
        <v/>
      </c>
      <c r="ALN60" s="12">
        <f>IF(ProviderDelay&gt;=1,ALJ59*ProviderShare,ALJ60*ProviderShare)</f>
        <v/>
      </c>
      <c r="ALO60" s="12">
        <f>ALG60*PaymentFee</f>
        <v/>
      </c>
      <c r="ALP60" s="12">
        <f>ALA60*OpsAI</f>
        <v/>
      </c>
      <c r="ALQ60" s="12">
        <f>MonthlyFixed</f>
        <v/>
      </c>
      <c r="ALR60" s="12">
        <f>AKO60*ReferralReward</f>
        <v/>
      </c>
      <c r="ALS60" s="12">
        <f>AKM60</f>
        <v/>
      </c>
      <c r="ALT60" s="9">
        <f>ALJ60-ALN60-ALO60-ALP60-ALQ60-ALR60-ALS60</f>
        <v/>
      </c>
      <c r="ALU60" s="9">
        <f>ALU59+ALG60-(ALN60+ALO60+ALP60+ALQ60+ALR60+ALS60+ALL60)</f>
        <v/>
      </c>
      <c r="ALV60" s="12">
        <f>IF(ALA60&gt;0,ALB60/ALA60,0)</f>
        <v/>
      </c>
      <c r="ALW60" s="11">
        <f>IF(ALA59&gt;0,MAX(0,(ALA59+AKP60-ALA60)/ALA59),0)</f>
        <v/>
      </c>
      <c r="ALY60" s="12" t="n">
        <v>56</v>
      </c>
      <c r="ALZ60" s="12">
        <f>MOD(ALY60-1+LaunchMonth-1,12)+1</f>
        <v/>
      </c>
      <c r="AMA60" s="12">
        <f>INT((ALY60-1+LaunchMonth-1)/12)+1</f>
        <v/>
      </c>
      <c r="AMB60" s="12">
        <f>VLOOKUP(ALZ60,SeasonTable,2,FALSE)</f>
        <v/>
      </c>
      <c r="AMC60" s="12">
        <f>(1+InflationRate)^INT((ALY60-1)/12)</f>
        <v/>
      </c>
      <c r="AMD60" s="11">
        <f>MonthlyChurn*VLOOKUP(ALZ60,ChurnSeasonTable,4,FALSE)</f>
        <v/>
      </c>
      <c r="AME60" s="12">
        <f>MIN(MAX(MktMin19plus,AMY59*MktPct19plus),MAX(0,ANM59-CashBuffer))</f>
        <v/>
      </c>
      <c r="AMF60" s="12">
        <f>IF(AME60&gt;0,MAX(1,ROUND(AME60/'Sens - CAC &amp; Marketing'!$A$13*AMB60,0)),0)</f>
        <v/>
      </c>
      <c r="AMG60" s="12">
        <f>IF(AMF60&gt;0,ROUND(AMF60*ReferralMix/(1-ReferralMix),0),0)</f>
        <v/>
      </c>
      <c r="AMH60" s="12">
        <f>AMF60+AMG60</f>
        <v/>
      </c>
      <c r="AMI60" s="12">
        <f>ROUND(AMH60*(1-AnnualMix),0)</f>
        <v/>
      </c>
      <c r="AMJ60" s="12">
        <f>AMH60-AMI60</f>
        <v/>
      </c>
      <c r="AMK60" s="12">
        <f>ROUND(AMI60*EssentialMix,0)</f>
        <v/>
      </c>
      <c r="AML60" s="12">
        <f>AMI60-AMK60</f>
        <v/>
      </c>
      <c r="AMM60" s="12">
        <f>ROUND(AMJ60*EssentialMix,0)</f>
        <v/>
      </c>
      <c r="AMN60" s="12">
        <f>AMJ60-AMM60</f>
        <v/>
      </c>
      <c r="AMO60" s="12">
        <f>AMK60+AMK59+AMK58+MAX(0,AMO59-AMK59-AMK58)*(1-AMD60)</f>
        <v/>
      </c>
      <c r="AMP60" s="12">
        <f>AML60+AML59+AML58+MAX(0,AMP59-AML59-AML58)*(1-AMD60)</f>
        <v/>
      </c>
      <c r="AMQ60" s="12">
        <f>AMQ59+AMM60-AMM48*(AnnualChurn*VLOOKUP(ALZ60,ChurnSeasonTable,4,FALSE))*POWER(1-(AnnualChurn*VLOOKUP(ALZ60,ChurnSeasonTable,4,FALSE)),0)+AMM36*(AnnualChurn*VLOOKUP(ALZ60,ChurnSeasonTable,4,FALSE))*POWER(1-(AnnualChurn*VLOOKUP(ALZ60,ChurnSeasonTable,4,FALSE)),1)+AMM24*(AnnualChurn*VLOOKUP(ALZ60,ChurnSeasonTable,4,FALSE))*POWER(1-(AnnualChurn*VLOOKUP(ALZ60,ChurnSeasonTable,4,FALSE)),2)+AMM12*(AnnualChurn*VLOOKUP(ALZ60,ChurnSeasonTable,4,FALSE))*POWER(1-(AnnualChurn*VLOOKUP(ALZ60,ChurnSeasonTable,4,FALSE)),3)</f>
        <v/>
      </c>
      <c r="AMR60" s="12">
        <f>AMR59+AMN60-AMN48*(AnnualChurn*VLOOKUP(ALZ60,ChurnSeasonTable,4,FALSE))*POWER(1-(AnnualChurn*VLOOKUP(ALZ60,ChurnSeasonTable,4,FALSE)),0)+AMN36*(AnnualChurn*VLOOKUP(ALZ60,ChurnSeasonTable,4,FALSE))*POWER(1-(AnnualChurn*VLOOKUP(ALZ60,ChurnSeasonTable,4,FALSE)),1)+AMN24*(AnnualChurn*VLOOKUP(ALZ60,ChurnSeasonTable,4,FALSE))*POWER(1-(AnnualChurn*VLOOKUP(ALZ60,ChurnSeasonTable,4,FALSE)),2)+AMN12*(AnnualChurn*VLOOKUP(ALZ60,ChurnSeasonTable,4,FALSE))*POWER(1-(AnnualChurn*VLOOKUP(ALZ60,ChurnSeasonTable,4,FALSE)),3)</f>
        <v/>
      </c>
      <c r="AMS60" s="12">
        <f>AMO60+AMP60+AMQ60+AMR60</f>
        <v/>
      </c>
      <c r="AMT60" s="9">
        <f>AMO60*PriceEssMonthly*AMC60+AMP60*PricePremMonthly*AMC60+AMQ60*PriceEssAnnual*AMC60/12+AMR60*PricePremAnnual*AMC60/12</f>
        <v/>
      </c>
      <c r="AMU60" s="9">
        <f>AMT60*12</f>
        <v/>
      </c>
      <c r="AMV60" s="12">
        <f>AMO60*PriceEssMonthly*AMC60+AMP60*PricePremMonthly*AMC60</f>
        <v/>
      </c>
      <c r="AMW60" s="12">
        <f>AMM60*PriceEssAnnual*AMC60+AMN60*PricePremAnnual*AMC60</f>
        <v/>
      </c>
      <c r="AMX60" s="12">
        <f>AMM48*POWER(1-(AnnualChurn*VLOOKUP(ALZ60,ChurnSeasonTable,4,FALSE)),1)*PriceEssAnnual*AMC60+AMM36*POWER(1-(AnnualChurn*VLOOKUP(ALZ60,ChurnSeasonTable,4,FALSE)),2)*PriceEssAnnual*AMC60+AMM24*POWER(1-(AnnualChurn*VLOOKUP(ALZ60,ChurnSeasonTable,4,FALSE)),3)*PriceEssAnnual*AMC60+AMM12*POWER(1-(AnnualChurn*VLOOKUP(ALZ60,ChurnSeasonTable,4,FALSE)),4)*PriceEssAnnual*AMC60+AMN48*POWER(1-(AnnualChurn*VLOOKUP(ALZ60,ChurnSeasonTable,4,FALSE)),1)*PricePremAnnual*AMC60+AMN36*POWER(1-(AnnualChurn*VLOOKUP(ALZ60,ChurnSeasonTable,4,FALSE)),2)*PricePremAnnual*AMC60+AMN24*POWER(1-(AnnualChurn*VLOOKUP(ALZ60,ChurnSeasonTable,4,FALSE)),3)*PricePremAnnual*AMC60+AMN12*POWER(1-(AnnualChurn*VLOOKUP(ALZ60,ChurnSeasonTable,4,FALSE)),4)*PricePremAnnual*AMC60</f>
        <v/>
      </c>
      <c r="AMY60" s="9">
        <f>AMV60+AMW60+AMX60</f>
        <v/>
      </c>
      <c r="AMZ60" s="12">
        <f>SUM(AMY49:AMY60)</f>
        <v/>
      </c>
      <c r="ANA60" s="12">
        <f>OR(ANA59,AMZ60&gt;=VATThreshold)</f>
        <v/>
      </c>
      <c r="ANB60" s="9">
        <f>IF(ANA60,AMY60/(1+VATRate),AMY60)</f>
        <v/>
      </c>
      <c r="ANC60" s="12">
        <f>AMY60-ANB60</f>
        <v/>
      </c>
      <c r="AND60" s="12">
        <f>IF(ANA60=0,0,IF(ALZ60=1,SUMPRODUCT(--(($AMA$5:$AMA60=$AMA60-1)*($ALZ$5:$ALZ60&gt;=10)*($ALZ$5:$ALZ60&lt;=12)),$ANC$5:$ANC60),IF(ALZ60=4,SUMPRODUCT(--(($AMA$5:$AMA60=$AMA60)*($ALZ$5:$ALZ60&gt;=1)*($ALZ$5:$ALZ60&lt;=3)),$ANC$5:$ANC60),IF(ALZ60=7,SUMPRODUCT(--(($AMA$5:$AMA60=$AMA60)*($ALZ$5:$ALZ60&gt;=4)*($ALZ$5:$ALZ60&lt;=6)),$ANC$5:$ANC60),IF(ALZ60=10,SUMPRODUCT(--(($AMA$5:$AMA60=$AMA60)*($ALZ$5:$ALZ60&gt;=7)*($ALZ$5:$ALZ60&lt;=9)),$ANC$5:$ANC60),0)))))</f>
        <v/>
      </c>
      <c r="ANE60" s="12">
        <f>ANE59+ANC60-AND60</f>
        <v/>
      </c>
      <c r="ANF60" s="12">
        <f>IF(ProviderDelay&gt;=1,ANB59*ProviderShare,ANB60*ProviderShare)</f>
        <v/>
      </c>
      <c r="ANG60" s="12">
        <f>AMY60*PaymentFee</f>
        <v/>
      </c>
      <c r="ANH60" s="12">
        <f>AMS60*OpsAI</f>
        <v/>
      </c>
      <c r="ANI60" s="12">
        <f>MonthlyFixed</f>
        <v/>
      </c>
      <c r="ANJ60" s="12">
        <f>AMG60*ReferralReward</f>
        <v/>
      </c>
      <c r="ANK60" s="12">
        <f>AME60</f>
        <v/>
      </c>
      <c r="ANL60" s="9">
        <f>ANB60-ANF60-ANG60-ANH60-ANI60-ANJ60-ANK60</f>
        <v/>
      </c>
      <c r="ANM60" s="9">
        <f>ANM59+AMY60-(ANF60+ANG60+ANH60+ANI60+ANJ60+ANK60+AND60)</f>
        <v/>
      </c>
      <c r="ANN60" s="12">
        <f>IF(AMS60&gt;0,AMT60/AMS60,0)</f>
        <v/>
      </c>
      <c r="ANO60" s="11">
        <f>IF(AMS59&gt;0,MAX(0,(AMS59+AMH60-AMS60)/AMS59),0)</f>
        <v/>
      </c>
      <c r="ANQ60" s="12" t="n">
        <v>56</v>
      </c>
      <c r="ANR60" s="12">
        <f>MOD(ANQ60-1+LaunchMonth-1,12)+1</f>
        <v/>
      </c>
      <c r="ANS60" s="12">
        <f>INT((ANQ60-1+LaunchMonth-1)/12)+1</f>
        <v/>
      </c>
      <c r="ANT60" s="12">
        <f>VLOOKUP(ANR60,SeasonTable,2,FALSE)</f>
        <v/>
      </c>
      <c r="ANU60" s="12">
        <f>(1+InflationRate)^INT((ANQ60-1)/12)</f>
        <v/>
      </c>
      <c r="ANV60" s="11">
        <f>MonthlyChurn*VLOOKUP(ANR60,ChurnSeasonTable,4,FALSE)</f>
        <v/>
      </c>
      <c r="ANW60" s="12">
        <f>MIN(MAX(MktMin19plus,AOQ59*MktPct19plus),MAX(0,APE59-CashBuffer))</f>
        <v/>
      </c>
      <c r="ANX60" s="12">
        <f>IF(ANW60&gt;0,MAX(1,ROUND(ANW60/'Sens - CAC &amp; Marketing'!$A$14*ANT60,0)),0)</f>
        <v/>
      </c>
      <c r="ANY60" s="12">
        <f>IF(ANX60&gt;0,ROUND(ANX60*ReferralMix/(1-ReferralMix),0),0)</f>
        <v/>
      </c>
      <c r="ANZ60" s="12">
        <f>ANX60+ANY60</f>
        <v/>
      </c>
      <c r="AOA60" s="12">
        <f>ROUND(ANZ60*(1-AnnualMix),0)</f>
        <v/>
      </c>
      <c r="AOB60" s="12">
        <f>ANZ60-AOA60</f>
        <v/>
      </c>
      <c r="AOC60" s="12">
        <f>ROUND(AOA60*EssentialMix,0)</f>
        <v/>
      </c>
      <c r="AOD60" s="12">
        <f>AOA60-AOC60</f>
        <v/>
      </c>
      <c r="AOE60" s="12">
        <f>ROUND(AOB60*EssentialMix,0)</f>
        <v/>
      </c>
      <c r="AOF60" s="12">
        <f>AOB60-AOE60</f>
        <v/>
      </c>
      <c r="AOG60" s="12">
        <f>AOC60+AOC59+AOC58+MAX(0,AOG59-AOC59-AOC58)*(1-ANV60)</f>
        <v/>
      </c>
      <c r="AOH60" s="12">
        <f>AOD60+AOD59+AOD58+MAX(0,AOH59-AOD59-AOD58)*(1-ANV60)</f>
        <v/>
      </c>
      <c r="AOI60" s="12">
        <f>AOI59+AOE60-AOE48*(AnnualChurn*VLOOKUP(ANR60,ChurnSeasonTable,4,FALSE))*POWER(1-(AnnualChurn*VLOOKUP(ANR60,ChurnSeasonTable,4,FALSE)),0)+AOE36*(AnnualChurn*VLOOKUP(ANR60,ChurnSeasonTable,4,FALSE))*POWER(1-(AnnualChurn*VLOOKUP(ANR60,ChurnSeasonTable,4,FALSE)),1)+AOE24*(AnnualChurn*VLOOKUP(ANR60,ChurnSeasonTable,4,FALSE))*POWER(1-(AnnualChurn*VLOOKUP(ANR60,ChurnSeasonTable,4,FALSE)),2)+AOE12*(AnnualChurn*VLOOKUP(ANR60,ChurnSeasonTable,4,FALSE))*POWER(1-(AnnualChurn*VLOOKUP(ANR60,ChurnSeasonTable,4,FALSE)),3)</f>
        <v/>
      </c>
      <c r="AOJ60" s="12">
        <f>AOJ59+AOF60-AOF48*(AnnualChurn*VLOOKUP(ANR60,ChurnSeasonTable,4,FALSE))*POWER(1-(AnnualChurn*VLOOKUP(ANR60,ChurnSeasonTable,4,FALSE)),0)+AOF36*(AnnualChurn*VLOOKUP(ANR60,ChurnSeasonTable,4,FALSE))*POWER(1-(AnnualChurn*VLOOKUP(ANR60,ChurnSeasonTable,4,FALSE)),1)+AOF24*(AnnualChurn*VLOOKUP(ANR60,ChurnSeasonTable,4,FALSE))*POWER(1-(AnnualChurn*VLOOKUP(ANR60,ChurnSeasonTable,4,FALSE)),2)+AOF12*(AnnualChurn*VLOOKUP(ANR60,ChurnSeasonTable,4,FALSE))*POWER(1-(AnnualChurn*VLOOKUP(ANR60,ChurnSeasonTable,4,FALSE)),3)</f>
        <v/>
      </c>
      <c r="AOK60" s="12">
        <f>AOG60+AOH60+AOI60+AOJ60</f>
        <v/>
      </c>
      <c r="AOL60" s="9">
        <f>AOG60*PriceEssMonthly*ANU60+AOH60*PricePremMonthly*ANU60+AOI60*PriceEssAnnual*ANU60/12+AOJ60*PricePremAnnual*ANU60/12</f>
        <v/>
      </c>
      <c r="AOM60" s="9">
        <f>AOL60*12</f>
        <v/>
      </c>
      <c r="AON60" s="12">
        <f>AOG60*PriceEssMonthly*ANU60+AOH60*PricePremMonthly*ANU60</f>
        <v/>
      </c>
      <c r="AOO60" s="12">
        <f>AOE60*PriceEssAnnual*ANU60+AOF60*PricePremAnnual*ANU60</f>
        <v/>
      </c>
      <c r="AOP60" s="12">
        <f>AOE48*POWER(1-(AnnualChurn*VLOOKUP(ANR60,ChurnSeasonTable,4,FALSE)),1)*PriceEssAnnual*ANU60+AOE36*POWER(1-(AnnualChurn*VLOOKUP(ANR60,ChurnSeasonTable,4,FALSE)),2)*PriceEssAnnual*ANU60+AOE24*POWER(1-(AnnualChurn*VLOOKUP(ANR60,ChurnSeasonTable,4,FALSE)),3)*PriceEssAnnual*ANU60+AOE12*POWER(1-(AnnualChurn*VLOOKUP(ANR60,ChurnSeasonTable,4,FALSE)),4)*PriceEssAnnual*ANU60+AOF48*POWER(1-(AnnualChurn*VLOOKUP(ANR60,ChurnSeasonTable,4,FALSE)),1)*PricePremAnnual*ANU60+AOF36*POWER(1-(AnnualChurn*VLOOKUP(ANR60,ChurnSeasonTable,4,FALSE)),2)*PricePremAnnual*ANU60+AOF24*POWER(1-(AnnualChurn*VLOOKUP(ANR60,ChurnSeasonTable,4,FALSE)),3)*PricePremAnnual*ANU60+AOF12*POWER(1-(AnnualChurn*VLOOKUP(ANR60,ChurnSeasonTable,4,FALSE)),4)*PricePremAnnual*ANU60</f>
        <v/>
      </c>
      <c r="AOQ60" s="9">
        <f>AON60+AOO60+AOP60</f>
        <v/>
      </c>
      <c r="AOR60" s="12">
        <f>SUM(AOQ49:AOQ60)</f>
        <v/>
      </c>
      <c r="AOS60" s="12">
        <f>OR(AOS59,AOR60&gt;=VATThreshold)</f>
        <v/>
      </c>
      <c r="AOT60" s="9">
        <f>IF(AOS60,AOQ60/(1+VATRate),AOQ60)</f>
        <v/>
      </c>
      <c r="AOU60" s="12">
        <f>AOQ60-AOT60</f>
        <v/>
      </c>
      <c r="AOV60" s="12">
        <f>IF(AOS60=0,0,IF(ANR60=1,SUMPRODUCT(--(($ANS$5:$ANS60=$ANS60-1)*($ANR$5:$ANR60&gt;=10)*($ANR$5:$ANR60&lt;=12)),$AOU$5:$AOU60),IF(ANR60=4,SUMPRODUCT(--(($ANS$5:$ANS60=$ANS60)*($ANR$5:$ANR60&gt;=1)*($ANR$5:$ANR60&lt;=3)),$AOU$5:$AOU60),IF(ANR60=7,SUMPRODUCT(--(($ANS$5:$ANS60=$ANS60)*($ANR$5:$ANR60&gt;=4)*($ANR$5:$ANR60&lt;=6)),$AOU$5:$AOU60),IF(ANR60=10,SUMPRODUCT(--(($ANS$5:$ANS60=$ANS60)*($ANR$5:$ANR60&gt;=7)*($ANR$5:$ANR60&lt;=9)),$AOU$5:$AOU60),0)))))</f>
        <v/>
      </c>
      <c r="AOW60" s="12">
        <f>AOW59+AOU60-AOV60</f>
        <v/>
      </c>
      <c r="AOX60" s="12">
        <f>IF(ProviderDelay&gt;=1,AOT59*ProviderShare,AOT60*ProviderShare)</f>
        <v/>
      </c>
      <c r="AOY60" s="12">
        <f>AOQ60*PaymentFee</f>
        <v/>
      </c>
      <c r="AOZ60" s="12">
        <f>AOK60*OpsAI</f>
        <v/>
      </c>
      <c r="APA60" s="12">
        <f>MonthlyFixed</f>
        <v/>
      </c>
      <c r="APB60" s="12">
        <f>ANY60*ReferralReward</f>
        <v/>
      </c>
      <c r="APC60" s="12">
        <f>ANW60</f>
        <v/>
      </c>
      <c r="APD60" s="9">
        <f>AOT60-AOX60-AOY60-AOZ60-APA60-APB60-APC60</f>
        <v/>
      </c>
      <c r="APE60" s="9">
        <f>APE59+AOQ60-(AOX60+AOY60+AOZ60+APA60+APB60+APC60+AOV60)</f>
        <v/>
      </c>
      <c r="APF60" s="12">
        <f>IF(AOK60&gt;0,AOL60/AOK60,0)</f>
        <v/>
      </c>
      <c r="APG60" s="11">
        <f>IF(AOK59&gt;0,MAX(0,(AOK59+ANZ60-AOK60)/AOK59),0)</f>
        <v/>
      </c>
      <c r="API60" s="12" t="n">
        <v>56</v>
      </c>
      <c r="APJ60" s="12">
        <f>MOD(API60-1+LaunchMonth-1,12)+1</f>
        <v/>
      </c>
      <c r="APK60" s="12">
        <f>INT((API60-1+LaunchMonth-1)/12)+1</f>
        <v/>
      </c>
      <c r="APL60" s="12">
        <f>VLOOKUP(APJ60,SeasonTable,2,FALSE)</f>
        <v/>
      </c>
      <c r="APM60" s="12">
        <f>(1+InflationRate)^INT((API60-1)/12)</f>
        <v/>
      </c>
      <c r="APN60" s="11">
        <f>MonthlyChurn*VLOOKUP(APJ60,ChurnSeasonTable,4,FALSE)</f>
        <v/>
      </c>
      <c r="APO60" s="12">
        <f>MIN(MAX(MktMin19plus,AQI59*MktPct19plus),MAX(0,AQW59-CashBuffer))</f>
        <v/>
      </c>
      <c r="APP60" s="12">
        <f>IF(APO60&gt;0,MAX(1,ROUND(APO60/'Sens - CAC &amp; Marketing'!$A$15*APL60,0)),0)</f>
        <v/>
      </c>
      <c r="APQ60" s="12">
        <f>IF(APP60&gt;0,ROUND(APP60*ReferralMix/(1-ReferralMix),0),0)</f>
        <v/>
      </c>
      <c r="APR60" s="12">
        <f>APP60+APQ60</f>
        <v/>
      </c>
      <c r="APS60" s="12">
        <f>ROUND(APR60*(1-AnnualMix),0)</f>
        <v/>
      </c>
      <c r="APT60" s="12">
        <f>APR60-APS60</f>
        <v/>
      </c>
      <c r="APU60" s="12">
        <f>ROUND(APS60*EssentialMix,0)</f>
        <v/>
      </c>
      <c r="APV60" s="12">
        <f>APS60-APU60</f>
        <v/>
      </c>
      <c r="APW60" s="12">
        <f>ROUND(APT60*EssentialMix,0)</f>
        <v/>
      </c>
      <c r="APX60" s="12">
        <f>APT60-APW60</f>
        <v/>
      </c>
      <c r="APY60" s="12">
        <f>APU60+APU59+APU58+MAX(0,APY59-APU59-APU58)*(1-APN60)</f>
        <v/>
      </c>
      <c r="APZ60" s="12">
        <f>APV60+APV59+APV58+MAX(0,APZ59-APV59-APV58)*(1-APN60)</f>
        <v/>
      </c>
      <c r="AQA60" s="12">
        <f>AQA59+APW60-APW48*(AnnualChurn*VLOOKUP(APJ60,ChurnSeasonTable,4,FALSE))*POWER(1-(AnnualChurn*VLOOKUP(APJ60,ChurnSeasonTable,4,FALSE)),0)+APW36*(AnnualChurn*VLOOKUP(APJ60,ChurnSeasonTable,4,FALSE))*POWER(1-(AnnualChurn*VLOOKUP(APJ60,ChurnSeasonTable,4,FALSE)),1)+APW24*(AnnualChurn*VLOOKUP(APJ60,ChurnSeasonTable,4,FALSE))*POWER(1-(AnnualChurn*VLOOKUP(APJ60,ChurnSeasonTable,4,FALSE)),2)+APW12*(AnnualChurn*VLOOKUP(APJ60,ChurnSeasonTable,4,FALSE))*POWER(1-(AnnualChurn*VLOOKUP(APJ60,ChurnSeasonTable,4,FALSE)),3)</f>
        <v/>
      </c>
      <c r="AQB60" s="12">
        <f>AQB59+APX60-APX48*(AnnualChurn*VLOOKUP(APJ60,ChurnSeasonTable,4,FALSE))*POWER(1-(AnnualChurn*VLOOKUP(APJ60,ChurnSeasonTable,4,FALSE)),0)+APX36*(AnnualChurn*VLOOKUP(APJ60,ChurnSeasonTable,4,FALSE))*POWER(1-(AnnualChurn*VLOOKUP(APJ60,ChurnSeasonTable,4,FALSE)),1)+APX24*(AnnualChurn*VLOOKUP(APJ60,ChurnSeasonTable,4,FALSE))*POWER(1-(AnnualChurn*VLOOKUP(APJ60,ChurnSeasonTable,4,FALSE)),2)+APX12*(AnnualChurn*VLOOKUP(APJ60,ChurnSeasonTable,4,FALSE))*POWER(1-(AnnualChurn*VLOOKUP(APJ60,ChurnSeasonTable,4,FALSE)),3)</f>
        <v/>
      </c>
      <c r="AQC60" s="12">
        <f>APY60+APZ60+AQA60+AQB60</f>
        <v/>
      </c>
      <c r="AQD60" s="9">
        <f>APY60*PriceEssMonthly*APM60+APZ60*PricePremMonthly*APM60+AQA60*PriceEssAnnual*APM60/12+AQB60*PricePremAnnual*APM60/12</f>
        <v/>
      </c>
      <c r="AQE60" s="9">
        <f>AQD60*12</f>
        <v/>
      </c>
      <c r="AQF60" s="12">
        <f>APY60*PriceEssMonthly*APM60+APZ60*PricePremMonthly*APM60</f>
        <v/>
      </c>
      <c r="AQG60" s="12">
        <f>APW60*PriceEssAnnual*APM60+APX60*PricePremAnnual*APM60</f>
        <v/>
      </c>
      <c r="AQH60" s="12">
        <f>APW48*POWER(1-(AnnualChurn*VLOOKUP(APJ60,ChurnSeasonTable,4,FALSE)),1)*PriceEssAnnual*APM60+APW36*POWER(1-(AnnualChurn*VLOOKUP(APJ60,ChurnSeasonTable,4,FALSE)),2)*PriceEssAnnual*APM60+APW24*POWER(1-(AnnualChurn*VLOOKUP(APJ60,ChurnSeasonTable,4,FALSE)),3)*PriceEssAnnual*APM60+APW12*POWER(1-(AnnualChurn*VLOOKUP(APJ60,ChurnSeasonTable,4,FALSE)),4)*PriceEssAnnual*APM60+APX48*POWER(1-(AnnualChurn*VLOOKUP(APJ60,ChurnSeasonTable,4,FALSE)),1)*PricePremAnnual*APM60+APX36*POWER(1-(AnnualChurn*VLOOKUP(APJ60,ChurnSeasonTable,4,FALSE)),2)*PricePremAnnual*APM60+APX24*POWER(1-(AnnualChurn*VLOOKUP(APJ60,ChurnSeasonTable,4,FALSE)),3)*PricePremAnnual*APM60+APX12*POWER(1-(AnnualChurn*VLOOKUP(APJ60,ChurnSeasonTable,4,FALSE)),4)*PricePremAnnual*APM60</f>
        <v/>
      </c>
      <c r="AQI60" s="9">
        <f>AQF60+AQG60+AQH60</f>
        <v/>
      </c>
      <c r="AQJ60" s="12">
        <f>SUM(AQI49:AQI60)</f>
        <v/>
      </c>
      <c r="AQK60" s="12">
        <f>OR(AQK59,AQJ60&gt;=VATThreshold)</f>
        <v/>
      </c>
      <c r="AQL60" s="9">
        <f>IF(AQK60,AQI60/(1+VATRate),AQI60)</f>
        <v/>
      </c>
      <c r="AQM60" s="12">
        <f>AQI60-AQL60</f>
        <v/>
      </c>
      <c r="AQN60" s="12">
        <f>IF(AQK60=0,0,IF(APJ60=1,SUMPRODUCT(--(($APK$5:$APK60=$APK60-1)*($APJ$5:$APJ60&gt;=10)*($APJ$5:$APJ60&lt;=12)),$AQM$5:$AQM60),IF(APJ60=4,SUMPRODUCT(--(($APK$5:$APK60=$APK60)*($APJ$5:$APJ60&gt;=1)*($APJ$5:$APJ60&lt;=3)),$AQM$5:$AQM60),IF(APJ60=7,SUMPRODUCT(--(($APK$5:$APK60=$APK60)*($APJ$5:$APJ60&gt;=4)*($APJ$5:$APJ60&lt;=6)),$AQM$5:$AQM60),IF(APJ60=10,SUMPRODUCT(--(($APK$5:$APK60=$APK60)*($APJ$5:$APJ60&gt;=7)*($APJ$5:$APJ60&lt;=9)),$AQM$5:$AQM60),0)))))</f>
        <v/>
      </c>
      <c r="AQO60" s="12">
        <f>AQO59+AQM60-AQN60</f>
        <v/>
      </c>
      <c r="AQP60" s="12">
        <f>IF(ProviderDelay&gt;=1,AQL59*ProviderShare,AQL60*ProviderShare)</f>
        <v/>
      </c>
      <c r="AQQ60" s="12">
        <f>AQI60*PaymentFee</f>
        <v/>
      </c>
      <c r="AQR60" s="12">
        <f>AQC60*OpsAI</f>
        <v/>
      </c>
      <c r="AQS60" s="12">
        <f>MonthlyFixed</f>
        <v/>
      </c>
      <c r="AQT60" s="12">
        <f>APQ60*ReferralReward</f>
        <v/>
      </c>
      <c r="AQU60" s="12">
        <f>APO60</f>
        <v/>
      </c>
      <c r="AQV60" s="9">
        <f>AQL60-AQP60-AQQ60-AQR60-AQS60-AQT60-AQU60</f>
        <v/>
      </c>
      <c r="AQW60" s="9">
        <f>AQW59+AQI60-(AQP60+AQQ60+AQR60+AQS60+AQT60+AQU60+AQN60)</f>
        <v/>
      </c>
      <c r="AQX60" s="12">
        <f>IF(AQC60&gt;0,AQD60/AQC60,0)</f>
        <v/>
      </c>
      <c r="AQY60" s="11">
        <f>IF(AQC59&gt;0,MAX(0,(AQC59+APR60-AQC60)/AQC59),0)</f>
        <v/>
      </c>
      <c r="ARA60" s="12" t="n">
        <v>56</v>
      </c>
      <c r="ARB60" s="12">
        <f>MOD(ARA60-1+LaunchMonth-1,12)+1</f>
        <v/>
      </c>
      <c r="ARC60" s="12">
        <f>INT((ARA60-1+LaunchMonth-1)/12)+1</f>
        <v/>
      </c>
      <c r="ARD60" s="12">
        <f>VLOOKUP(ARB60,WinterPivotSeasonTable,5,FALSE)</f>
        <v/>
      </c>
      <c r="ARE60" s="12">
        <f>(1+InflationRate)^INT((ARA60-1)/12)</f>
        <v/>
      </c>
      <c r="ARF60" s="11">
        <f>MonthlyChurn*VLOOKUP(ARB60,WinterPivotChurnTable,6,FALSE)</f>
        <v/>
      </c>
      <c r="ARG60" s="12">
        <f>MIN(MAX(MktMin19plus,ASA59*MktPct19plus),MAX(0,ASO59-CashBuffer))</f>
        <v/>
      </c>
      <c r="ARH60" s="12">
        <f>IF(ARG60&gt;0,MAX(1,ROUND(ARG60/CAC*ARD60,0)),0)</f>
        <v/>
      </c>
      <c r="ARI60" s="12">
        <f>IF(ARH60&gt;0,ROUND(ARH60*ReferralMix/(1-ReferralMix),0),0)</f>
        <v/>
      </c>
      <c r="ARJ60" s="12">
        <f>ARH60+ARI60</f>
        <v/>
      </c>
      <c r="ARK60" s="12">
        <f>ROUND(ARJ60*(1-AnnualMix),0)</f>
        <v/>
      </c>
      <c r="ARL60" s="12">
        <f>ARJ60-ARK60</f>
        <v/>
      </c>
      <c r="ARM60" s="12">
        <f>ROUND(ARK60*'Sens - Winter Pivot'!$B$6,0)</f>
        <v/>
      </c>
      <c r="ARN60" s="12">
        <f>ARK60-ARM60</f>
        <v/>
      </c>
      <c r="ARO60" s="12">
        <f>ROUND(ARL60*'Sens - Winter Pivot'!$B$6,0)</f>
        <v/>
      </c>
      <c r="ARP60" s="12">
        <f>ARL60-ARO60</f>
        <v/>
      </c>
      <c r="ARQ60" s="12">
        <f>ARM60+ARM59+ARM58+MAX(0,ARQ59-ARM59-ARM58)*(1-ARF60)</f>
        <v/>
      </c>
      <c r="ARR60" s="12">
        <f>ARN60+ARN59+ARN58+MAX(0,ARR59-ARN59-ARN58)*(1-ARF60)</f>
        <v/>
      </c>
      <c r="ARS60" s="12">
        <f>ARS59+ARO60-ARO48*(AnnualChurn*VLOOKUP(ARB60,WinterPivotChurnTable,6,FALSE))*POWER(1-(AnnualChurn*VLOOKUP(ARB60,WinterPivotChurnTable,6,FALSE)),0)+ARO36*(AnnualChurn*VLOOKUP(ARB60,WinterPivotChurnTable,6,FALSE))*POWER(1-(AnnualChurn*VLOOKUP(ARB60,WinterPivotChurnTable,6,FALSE)),1)+ARO24*(AnnualChurn*VLOOKUP(ARB60,WinterPivotChurnTable,6,FALSE))*POWER(1-(AnnualChurn*VLOOKUP(ARB60,WinterPivotChurnTable,6,FALSE)),2)+ARO12*(AnnualChurn*VLOOKUP(ARB60,WinterPivotChurnTable,6,FALSE))*POWER(1-(AnnualChurn*VLOOKUP(ARB60,WinterPivotChurnTable,6,FALSE)),3)</f>
        <v/>
      </c>
      <c r="ART60" s="12">
        <f>ART59+ARP60-ARP48*(AnnualChurn*VLOOKUP(ARB60,WinterPivotChurnTable,6,FALSE))*POWER(1-(AnnualChurn*VLOOKUP(ARB60,WinterPivotChurnTable,6,FALSE)),0)+ARP36*(AnnualChurn*VLOOKUP(ARB60,WinterPivotChurnTable,6,FALSE))*POWER(1-(AnnualChurn*VLOOKUP(ARB60,WinterPivotChurnTable,6,FALSE)),1)+ARP24*(AnnualChurn*VLOOKUP(ARB60,WinterPivotChurnTable,6,FALSE))*POWER(1-(AnnualChurn*VLOOKUP(ARB60,WinterPivotChurnTable,6,FALSE)),2)+ARP12*(AnnualChurn*VLOOKUP(ARB60,WinterPivotChurnTable,6,FALSE))*POWER(1-(AnnualChurn*VLOOKUP(ARB60,WinterPivotChurnTable,6,FALSE)),3)</f>
        <v/>
      </c>
      <c r="ARU60" s="12">
        <f>ARQ60+ARR60+ARS60+ART60</f>
        <v/>
      </c>
      <c r="ARV60" s="9">
        <f>ARQ60*PriceEssMonthly*ARE60+ARR60*(PricePremMonthly+'Sens - Winter Pivot'!$B$7)*ARE60+ARS60*PriceEssAnnual*ARE60/12+ART60*(PricePremAnnual+'Sens - Winter Pivot'!$B$7*12)*ARE60/12</f>
        <v/>
      </c>
      <c r="ARW60" s="9">
        <f>ARV60*12</f>
        <v/>
      </c>
      <c r="ARX60" s="12">
        <f>ARQ60*PriceEssMonthly*ARE60+ARR60*(PricePremMonthly+'Sens - Winter Pivot'!$B$7)*ARE60</f>
        <v/>
      </c>
      <c r="ARY60" s="12">
        <f>ARO60*PriceEssAnnual*ARE60+ARP60*(PricePremAnnual+'Sens - Winter Pivot'!$B$7*12)*ARE60</f>
        <v/>
      </c>
      <c r="ARZ60" s="12">
        <f>ARO48*POWER(1-(AnnualChurn*VLOOKUP(ARB60,WinterPivotChurnTable,6,FALSE)),1)*PriceEssAnnual*ARE60+ARO36*POWER(1-(AnnualChurn*VLOOKUP(ARB60,WinterPivotChurnTable,6,FALSE)),2)*PriceEssAnnual*ARE60+ARO24*POWER(1-(AnnualChurn*VLOOKUP(ARB60,WinterPivotChurnTable,6,FALSE)),3)*PriceEssAnnual*ARE60+ARO12*POWER(1-(AnnualChurn*VLOOKUP(ARB60,WinterPivotChurnTable,6,FALSE)),4)*PriceEssAnnual*ARE60+ARP48*POWER(1-(AnnualChurn*VLOOKUP(ARB60,WinterPivotChurnTable,6,FALSE)),1)*PricePremAnnual*ARE60+ARP36*POWER(1-(AnnualChurn*VLOOKUP(ARB60,WinterPivotChurnTable,6,FALSE)),2)*PricePremAnnual*ARE60+ARP24*POWER(1-(AnnualChurn*VLOOKUP(ARB60,WinterPivotChurnTable,6,FALSE)),3)*PricePremAnnual*ARE60+ARP12*POWER(1-(AnnualChurn*VLOOKUP(ARB60,WinterPivotChurnTable,6,FALSE)),4)*PricePremAnnual*ARE60</f>
        <v/>
      </c>
      <c r="ASA60" s="9">
        <f>ARX60+ARY60+ARZ60</f>
        <v/>
      </c>
      <c r="ASB60" s="12">
        <f>SUM(ASA49:ASA60)</f>
        <v/>
      </c>
      <c r="ASC60" s="12">
        <f>OR(ASC59,ASB60&gt;=VATThreshold)</f>
        <v/>
      </c>
      <c r="ASD60" s="9">
        <f>IF(ASC60,ASA60/(1+VATRate),ASA60)</f>
        <v/>
      </c>
      <c r="ASE60" s="12">
        <f>ASA60-ASD60</f>
        <v/>
      </c>
      <c r="ASF60" s="12">
        <f>IF(ASC60=0,0,IF(ARB60=1,SUMPRODUCT(--(($ARC$5:$ARC60=$ARC60-1)*($ARB$5:$ARB60&gt;=10)*($ARB$5:$ARB60&lt;=12)),$ASE$5:$ASE60),IF(ARB60=4,SUMPRODUCT(--(($ARC$5:$ARC60=$ARC60)*($ARB$5:$ARB60&gt;=1)*($ARB$5:$ARB60&lt;=3)),$ASE$5:$ASE60),IF(ARB60=7,SUMPRODUCT(--(($ARC$5:$ARC60=$ARC60)*($ARB$5:$ARB60&gt;=4)*($ARB$5:$ARB60&lt;=6)),$ASE$5:$ASE60),IF(ARB60=10,SUMPRODUCT(--(($ARC$5:$ARC60=$ARC60)*($ARB$5:$ARB60&gt;=7)*($ARB$5:$ARB60&lt;=9)),$ASE$5:$ASE60),0)))))</f>
        <v/>
      </c>
      <c r="ASG60" s="12">
        <f>ASG59+ASE60-ASF60</f>
        <v/>
      </c>
      <c r="ASH60" s="12">
        <f>IF(ProviderDelay&gt;=1,ASD59*ProviderShare,ASD60*ProviderShare)</f>
        <v/>
      </c>
      <c r="ASI60" s="12">
        <f>ASA60*PaymentFee</f>
        <v/>
      </c>
      <c r="ASJ60" s="12">
        <f>ARU60*OpsAI</f>
        <v/>
      </c>
      <c r="ASK60" s="12">
        <f>MonthlyFixed</f>
        <v/>
      </c>
      <c r="ASL60" s="12">
        <f>ARI60*ReferralReward</f>
        <v/>
      </c>
      <c r="ASM60" s="12">
        <f>ARG60</f>
        <v/>
      </c>
      <c r="ASN60" s="9">
        <f>ASD60-ASH60-ASI60-ASJ60-ASK60-ASL60-ASM60</f>
        <v/>
      </c>
      <c r="ASO60" s="9">
        <f>ASO59+ASA60-(ASH60+ASI60+ASJ60+ASK60+ASL60+ASM60+ASF60)</f>
        <v/>
      </c>
      <c r="ASP60" s="12">
        <f>IF(ARU60&gt;0,ARV60/ARU60,0)</f>
        <v/>
      </c>
      <c r="ASQ60" s="11">
        <f>IF(ARU59&gt;0,MAX(0,(ARU59+ARJ60-ARU60)/ARU59),0)</f>
        <v/>
      </c>
    </row>
    <row r="61">
      <c r="A61" s="12" t="n">
        <v>57</v>
      </c>
      <c r="B61" s="12">
        <f>MOD(A61-1+LaunchMonth-1,12)+1</f>
        <v/>
      </c>
      <c r="C61" s="12">
        <f>INT((A61-1+LaunchMonth-1)/12)+1</f>
        <v/>
      </c>
      <c r="D61" s="12">
        <f>VLOOKUP(B61,SeasonTable,2,FALSE)</f>
        <v/>
      </c>
      <c r="E61" s="12">
        <f>(1+InflationRate)^INT((A61-1)/12)</f>
        <v/>
      </c>
      <c r="F61" s="11">
        <f>'Sens - Scenarios'!$B$5*VLOOKUP(B61,ChurnSeasonTable,4,FALSE)</f>
        <v/>
      </c>
      <c r="G61" s="12">
        <f>MIN(MAX(MktMin19plus,AA60*MktPct19plus),MAX(0,AO60-CashBuffer))</f>
        <v/>
      </c>
      <c r="H61" s="12">
        <f>IF(G61&gt;0,MAX(1,ROUND(G61/'Sens - Scenarios'!$B$8*D61,0)),0)</f>
        <v/>
      </c>
      <c r="I61" s="12">
        <f>IF(H61&gt;0,ROUND(H61*ReferralMix/(1-ReferralMix),0),0)</f>
        <v/>
      </c>
      <c r="J61" s="12">
        <f>H61+I61</f>
        <v/>
      </c>
      <c r="K61" s="12">
        <f>ROUND(J61*(1-'Sens - Scenarios'!$B$7),0)</f>
        <v/>
      </c>
      <c r="L61" s="12">
        <f>J61-K61</f>
        <v/>
      </c>
      <c r="M61" s="12">
        <f>ROUND(K61*EssentialMix,0)</f>
        <v/>
      </c>
      <c r="N61" s="12">
        <f>K61-M61</f>
        <v/>
      </c>
      <c r="O61" s="12">
        <f>ROUND(L61*EssentialMix,0)</f>
        <v/>
      </c>
      <c r="P61" s="12">
        <f>L61-O61</f>
        <v/>
      </c>
      <c r="Q61" s="12">
        <f>M61+M60+M59+MAX(0,Q60-M60-M59)*(1-F61)</f>
        <v/>
      </c>
      <c r="R61" s="12">
        <f>N61+N60+N59+MAX(0,R60-N60-N59)*(1-F61)</f>
        <v/>
      </c>
      <c r="S61" s="12">
        <f>S60+O61-O49*('Sens - Scenarios'!$B$6*VLOOKUP(B61,ChurnSeasonTable,4,FALSE))*POWER(1-('Sens - Scenarios'!$B$6*VLOOKUP(B61,ChurnSeasonTable,4,FALSE)),0)+O37*('Sens - Scenarios'!$B$6*VLOOKUP(B61,ChurnSeasonTable,4,FALSE))*POWER(1-('Sens - Scenarios'!$B$6*VLOOKUP(B61,ChurnSeasonTable,4,FALSE)),1)+O25*('Sens - Scenarios'!$B$6*VLOOKUP(B61,ChurnSeasonTable,4,FALSE))*POWER(1-('Sens - Scenarios'!$B$6*VLOOKUP(B61,ChurnSeasonTable,4,FALSE)),2)+O13*('Sens - Scenarios'!$B$6*VLOOKUP(B61,ChurnSeasonTable,4,FALSE))*POWER(1-('Sens - Scenarios'!$B$6*VLOOKUP(B61,ChurnSeasonTable,4,FALSE)),3)</f>
        <v/>
      </c>
      <c r="T61" s="12">
        <f>T60+P61-P49*('Sens - Scenarios'!$B$6*VLOOKUP(B61,ChurnSeasonTable,4,FALSE))*POWER(1-('Sens - Scenarios'!$B$6*VLOOKUP(B61,ChurnSeasonTable,4,FALSE)),0)+P37*('Sens - Scenarios'!$B$6*VLOOKUP(B61,ChurnSeasonTable,4,FALSE))*POWER(1-('Sens - Scenarios'!$B$6*VLOOKUP(B61,ChurnSeasonTable,4,FALSE)),1)+P25*('Sens - Scenarios'!$B$6*VLOOKUP(B61,ChurnSeasonTable,4,FALSE))*POWER(1-('Sens - Scenarios'!$B$6*VLOOKUP(B61,ChurnSeasonTable,4,FALSE)),2)+P13*('Sens - Scenarios'!$B$6*VLOOKUP(B61,ChurnSeasonTable,4,FALSE))*POWER(1-('Sens - Scenarios'!$B$6*VLOOKUP(B61,ChurnSeasonTable,4,FALSE)),3)</f>
        <v/>
      </c>
      <c r="U61" s="12">
        <f>Q61+R61+S61+T61</f>
        <v/>
      </c>
      <c r="V61" s="9">
        <f>Q61*PriceEssMonthly*E61+R61*PricePremMonthly*E61+S61*PriceEssAnnual*E61/12+T61*PricePremAnnual*E61/12</f>
        <v/>
      </c>
      <c r="W61" s="9">
        <f>V61*12</f>
        <v/>
      </c>
      <c r="X61" s="12">
        <f>Q61*PriceEssMonthly*E61+R61*PricePremMonthly*E61</f>
        <v/>
      </c>
      <c r="Y61" s="12">
        <f>O61*PriceEssAnnual*E61+P61*PricePremAnnual*E61</f>
        <v/>
      </c>
      <c r="Z61" s="12">
        <f>O49*POWER(1-('Sens - Scenarios'!$B$6*VLOOKUP(B61,ChurnSeasonTable,4,FALSE)),1)*PriceEssAnnual*E61+O37*POWER(1-('Sens - Scenarios'!$B$6*VLOOKUP(B61,ChurnSeasonTable,4,FALSE)),2)*PriceEssAnnual*E61+O25*POWER(1-('Sens - Scenarios'!$B$6*VLOOKUP(B61,ChurnSeasonTable,4,FALSE)),3)*PriceEssAnnual*E61+O13*POWER(1-('Sens - Scenarios'!$B$6*VLOOKUP(B61,ChurnSeasonTable,4,FALSE)),4)*PriceEssAnnual*E61+P49*POWER(1-('Sens - Scenarios'!$B$6*VLOOKUP(B61,ChurnSeasonTable,4,FALSE)),1)*PricePremAnnual*E61+P37*POWER(1-('Sens - Scenarios'!$B$6*VLOOKUP(B61,ChurnSeasonTable,4,FALSE)),2)*PricePremAnnual*E61+P25*POWER(1-('Sens - Scenarios'!$B$6*VLOOKUP(B61,ChurnSeasonTable,4,FALSE)),3)*PricePremAnnual*E61+P13*POWER(1-('Sens - Scenarios'!$B$6*VLOOKUP(B61,ChurnSeasonTable,4,FALSE)),4)*PricePremAnnual*E61</f>
        <v/>
      </c>
      <c r="AA61" s="9">
        <f>X61+Y61+Z61</f>
        <v/>
      </c>
      <c r="AB61" s="12">
        <f>SUM(AA50:AA61)</f>
        <v/>
      </c>
      <c r="AC61" s="12">
        <f>OR(AC60,AB61&gt;=VATThreshold)</f>
        <v/>
      </c>
      <c r="AD61" s="9">
        <f>IF(AC61,AA61/(1+VATRate),AA61)</f>
        <v/>
      </c>
      <c r="AE61" s="12">
        <f>AA61-AD61</f>
        <v/>
      </c>
      <c r="AF61" s="12">
        <f>IF(AC61=0,0,IF(B61=1,SUMPRODUCT(--(($C$5:$C61=$C61-1)*($B$5:$B61&gt;=10)*($B$5:$B61&lt;=12)),$AE$5:$AE61),IF(B61=4,SUMPRODUCT(--(($C$5:$C61=$C61)*($B$5:$B61&gt;=1)*($B$5:$B61&lt;=3)),$AE$5:$AE61),IF(B61=7,SUMPRODUCT(--(($C$5:$C61=$C61)*($B$5:$B61&gt;=4)*($B$5:$B61&lt;=6)),$AE$5:$AE61),IF(B61=10,SUMPRODUCT(--(($C$5:$C61=$C61)*($B$5:$B61&gt;=7)*($B$5:$B61&lt;=9)),$AE$5:$AE61),0)))))</f>
        <v/>
      </c>
      <c r="AG61" s="12">
        <f>AG60+AE61-AF61</f>
        <v/>
      </c>
      <c r="AH61" s="12">
        <f>IF(ProviderDelay&gt;=1,AD60*ProviderShare,AD61*ProviderShare)</f>
        <v/>
      </c>
      <c r="AI61" s="12">
        <f>AA61*PaymentFee</f>
        <v/>
      </c>
      <c r="AJ61" s="12">
        <f>U61*OpsAI</f>
        <v/>
      </c>
      <c r="AK61" s="12">
        <f>MonthlyFixed</f>
        <v/>
      </c>
      <c r="AL61" s="12">
        <f>I61*ReferralReward</f>
        <v/>
      </c>
      <c r="AM61" s="12">
        <f>G61</f>
        <v/>
      </c>
      <c r="AN61" s="9">
        <f>AD61-AH61-AI61-AJ61-AK61-AL61-AM61</f>
        <v/>
      </c>
      <c r="AO61" s="9">
        <f>AO60+AA61-(AH61+AI61+AJ61+AK61+AL61+AM61+AF61)</f>
        <v/>
      </c>
      <c r="AP61" s="12">
        <f>IF(U61&gt;0,V61/U61,0)</f>
        <v/>
      </c>
      <c r="AQ61" s="11">
        <f>IF(U60&gt;0,MAX(0,(U60+J61-U61)/U60),0)</f>
        <v/>
      </c>
      <c r="AS61" s="12" t="n">
        <v>57</v>
      </c>
      <c r="AT61" s="12">
        <f>MOD(AS61-1+LaunchMonth-1,12)+1</f>
        <v/>
      </c>
      <c r="AU61" s="12">
        <f>INT((AS61-1+LaunchMonth-1)/12)+1</f>
        <v/>
      </c>
      <c r="AV61" s="12">
        <f>VLOOKUP(AT61,SeasonTable,2,FALSE)</f>
        <v/>
      </c>
      <c r="AW61" s="12">
        <f>(1+InflationRate)^INT((AS61-1)/12)</f>
        <v/>
      </c>
      <c r="AX61" s="11">
        <f>MonthlyChurn*VLOOKUP(AT61,ChurnSeasonTable,4,FALSE)</f>
        <v/>
      </c>
      <c r="AY61" s="12">
        <f>MIN(MAX(MktMin19plus,BS60*MktPct19plus),MAX(0,CG60-CashBuffer))</f>
        <v/>
      </c>
      <c r="AZ61" s="12">
        <f>IF(AY61&gt;0,MAX(1,ROUND(AY61/CAC*AV61,0)),0)</f>
        <v/>
      </c>
      <c r="BA61" s="12">
        <f>IF(AZ61&gt;0,ROUND(AZ61*ReferralMix/(1-ReferralMix),0),0)</f>
        <v/>
      </c>
      <c r="BB61" s="12">
        <f>AZ61+BA61</f>
        <v/>
      </c>
      <c r="BC61" s="12">
        <f>ROUND(BB61*(1-AnnualMix),0)</f>
        <v/>
      </c>
      <c r="BD61" s="12">
        <f>BB61-BC61</f>
        <v/>
      </c>
      <c r="BE61" s="12">
        <f>ROUND(BC61*EssentialMix,0)</f>
        <v/>
      </c>
      <c r="BF61" s="12">
        <f>BC61-BE61</f>
        <v/>
      </c>
      <c r="BG61" s="12">
        <f>ROUND(BD61*EssentialMix,0)</f>
        <v/>
      </c>
      <c r="BH61" s="12">
        <f>BD61-BG61</f>
        <v/>
      </c>
      <c r="BI61" s="12">
        <f>BE61+BE60+BE59+MAX(0,BI60-BE60-BE59)*(1-AX61)</f>
        <v/>
      </c>
      <c r="BJ61" s="12">
        <f>BF61+BF60+BF59+MAX(0,BJ60-BF60-BF59)*(1-AX61)</f>
        <v/>
      </c>
      <c r="BK61" s="12">
        <f>BK60+BG61-BG49*(AnnualChurn*VLOOKUP(AT61,ChurnSeasonTable,4,FALSE))*POWER(1-(AnnualChurn*VLOOKUP(AT61,ChurnSeasonTable,4,FALSE)),0)+BG37*(AnnualChurn*VLOOKUP(AT61,ChurnSeasonTable,4,FALSE))*POWER(1-(AnnualChurn*VLOOKUP(AT61,ChurnSeasonTable,4,FALSE)),1)+BG25*(AnnualChurn*VLOOKUP(AT61,ChurnSeasonTable,4,FALSE))*POWER(1-(AnnualChurn*VLOOKUP(AT61,ChurnSeasonTable,4,FALSE)),2)+BG13*(AnnualChurn*VLOOKUP(AT61,ChurnSeasonTable,4,FALSE))*POWER(1-(AnnualChurn*VLOOKUP(AT61,ChurnSeasonTable,4,FALSE)),3)</f>
        <v/>
      </c>
      <c r="BL61" s="12">
        <f>BL60+BH61-BH49*(AnnualChurn*VLOOKUP(AT61,ChurnSeasonTable,4,FALSE))*POWER(1-(AnnualChurn*VLOOKUP(AT61,ChurnSeasonTable,4,FALSE)),0)+BH37*(AnnualChurn*VLOOKUP(AT61,ChurnSeasonTable,4,FALSE))*POWER(1-(AnnualChurn*VLOOKUP(AT61,ChurnSeasonTable,4,FALSE)),1)+BH25*(AnnualChurn*VLOOKUP(AT61,ChurnSeasonTable,4,FALSE))*POWER(1-(AnnualChurn*VLOOKUP(AT61,ChurnSeasonTable,4,FALSE)),2)+BH13*(AnnualChurn*VLOOKUP(AT61,ChurnSeasonTable,4,FALSE))*POWER(1-(AnnualChurn*VLOOKUP(AT61,ChurnSeasonTable,4,FALSE)),3)</f>
        <v/>
      </c>
      <c r="BM61" s="12">
        <f>BI61+BJ61+BK61+BL61</f>
        <v/>
      </c>
      <c r="BN61" s="9">
        <f>BI61*PriceEssMonthly*AW61+BJ61*PricePremMonthly*AW61+BK61*PriceEssAnnual*AW61/12+BL61*PricePremAnnual*AW61/12</f>
        <v/>
      </c>
      <c r="BO61" s="9">
        <f>BN61*12</f>
        <v/>
      </c>
      <c r="BP61" s="12">
        <f>BI61*PriceEssMonthly*AW61+BJ61*PricePremMonthly*AW61</f>
        <v/>
      </c>
      <c r="BQ61" s="12">
        <f>BG61*PriceEssAnnual*AW61+BH61*PricePremAnnual*AW61</f>
        <v/>
      </c>
      <c r="BR61" s="12">
        <f>BG49*POWER(1-(AnnualChurn*VLOOKUP(AT61,ChurnSeasonTable,4,FALSE)),1)*PriceEssAnnual*AW61+BG37*POWER(1-(AnnualChurn*VLOOKUP(AT61,ChurnSeasonTable,4,FALSE)),2)*PriceEssAnnual*AW61+BG25*POWER(1-(AnnualChurn*VLOOKUP(AT61,ChurnSeasonTable,4,FALSE)),3)*PriceEssAnnual*AW61+BG13*POWER(1-(AnnualChurn*VLOOKUP(AT61,ChurnSeasonTable,4,FALSE)),4)*PriceEssAnnual*AW61+BH49*POWER(1-(AnnualChurn*VLOOKUP(AT61,ChurnSeasonTable,4,FALSE)),1)*PricePremAnnual*AW61+BH37*POWER(1-(AnnualChurn*VLOOKUP(AT61,ChurnSeasonTable,4,FALSE)),2)*PricePremAnnual*AW61+BH25*POWER(1-(AnnualChurn*VLOOKUP(AT61,ChurnSeasonTable,4,FALSE)),3)*PricePremAnnual*AW61+BH13*POWER(1-(AnnualChurn*VLOOKUP(AT61,ChurnSeasonTable,4,FALSE)),4)*PricePremAnnual*AW61</f>
        <v/>
      </c>
      <c r="BS61" s="9">
        <f>BP61+BQ61+BR61</f>
        <v/>
      </c>
      <c r="BT61" s="12">
        <f>SUM(BS50:BS61)</f>
        <v/>
      </c>
      <c r="BU61" s="12">
        <f>OR(BU60,BT61&gt;=VATThreshold)</f>
        <v/>
      </c>
      <c r="BV61" s="9">
        <f>IF(BU61,BS61/(1+VATRate),BS61)</f>
        <v/>
      </c>
      <c r="BW61" s="12">
        <f>BS61-BV61</f>
        <v/>
      </c>
      <c r="BX61" s="12">
        <f>IF(BU61=0,0,IF(AT61=1,SUMPRODUCT(--(($AU$5:$AU61=$AU61-1)*($AT$5:$AT61&gt;=10)*($AT$5:$AT61&lt;=12)),$BW$5:$BW61),IF(AT61=4,SUMPRODUCT(--(($AU$5:$AU61=$AU61)*($AT$5:$AT61&gt;=1)*($AT$5:$AT61&lt;=3)),$BW$5:$BW61),IF(AT61=7,SUMPRODUCT(--(($AU$5:$AU61=$AU61)*($AT$5:$AT61&gt;=4)*($AT$5:$AT61&lt;=6)),$BW$5:$BW61),IF(AT61=10,SUMPRODUCT(--(($AU$5:$AU61=$AU61)*($AT$5:$AT61&gt;=7)*($AT$5:$AT61&lt;=9)),$BW$5:$BW61),0)))))</f>
        <v/>
      </c>
      <c r="BY61" s="12">
        <f>BY60+BW61-BX61</f>
        <v/>
      </c>
      <c r="BZ61" s="12">
        <f>IF(ProviderDelay&gt;=1,BV60*ProviderShare,BV61*ProviderShare)</f>
        <v/>
      </c>
      <c r="CA61" s="12">
        <f>BS61*PaymentFee</f>
        <v/>
      </c>
      <c r="CB61" s="12">
        <f>BM61*OpsAI</f>
        <v/>
      </c>
      <c r="CC61" s="12">
        <f>MonthlyFixed</f>
        <v/>
      </c>
      <c r="CD61" s="12">
        <f>BA61*ReferralReward</f>
        <v/>
      </c>
      <c r="CE61" s="12">
        <f>AY61</f>
        <v/>
      </c>
      <c r="CF61" s="9">
        <f>BV61-BZ61-CA61-CB61-CC61-CD61-CE61</f>
        <v/>
      </c>
      <c r="CG61" s="9">
        <f>CG60+BS61-(BZ61+CA61+CB61+CC61+CD61+CE61+BX61)</f>
        <v/>
      </c>
      <c r="CH61" s="12">
        <f>IF(BM61&gt;0,BN61/BM61,0)</f>
        <v/>
      </c>
      <c r="CI61" s="11">
        <f>IF(BM60&gt;0,MAX(0,(BM60+BB61-BM61)/BM60),0)</f>
        <v/>
      </c>
      <c r="CK61" s="12" t="n">
        <v>57</v>
      </c>
      <c r="CL61" s="12">
        <f>MOD(CK61-1+LaunchMonth-1,12)+1</f>
        <v/>
      </c>
      <c r="CM61" s="12">
        <f>INT((CK61-1+LaunchMonth-1)/12)+1</f>
        <v/>
      </c>
      <c r="CN61" s="12">
        <f>VLOOKUP(CL61,SeasonTable,2,FALSE)</f>
        <v/>
      </c>
      <c r="CO61" s="12">
        <f>(1+InflationRate)^INT((CK61-1)/12)</f>
        <v/>
      </c>
      <c r="CP61" s="11">
        <f>'Sens - Scenarios'!$D$5*VLOOKUP(CL61,ChurnSeasonTable,4,FALSE)</f>
        <v/>
      </c>
      <c r="CQ61" s="12">
        <f>MIN(MAX(MktMin19plus,DK60*MktPct19plus),MAX(0,DY60-CashBuffer))</f>
        <v/>
      </c>
      <c r="CR61" s="12">
        <f>IF(CQ61&gt;0,MAX(1,ROUND(CQ61/'Sens - Scenarios'!$D$8*CN61,0)),0)</f>
        <v/>
      </c>
      <c r="CS61" s="12">
        <f>IF(CR61&gt;0,ROUND(CR61*ReferralMix/(1-ReferralMix),0),0)</f>
        <v/>
      </c>
      <c r="CT61" s="12">
        <f>CR61+CS61</f>
        <v/>
      </c>
      <c r="CU61" s="12">
        <f>ROUND(CT61*(1-'Sens - Scenarios'!$D$7),0)</f>
        <v/>
      </c>
      <c r="CV61" s="12">
        <f>CT61-CU61</f>
        <v/>
      </c>
      <c r="CW61" s="12">
        <f>ROUND(CU61*EssentialMix,0)</f>
        <v/>
      </c>
      <c r="CX61" s="12">
        <f>CU61-CW61</f>
        <v/>
      </c>
      <c r="CY61" s="12">
        <f>ROUND(CV61*EssentialMix,0)</f>
        <v/>
      </c>
      <c r="CZ61" s="12">
        <f>CV61-CY61</f>
        <v/>
      </c>
      <c r="DA61" s="12">
        <f>CW61+CW60+CW59+MAX(0,DA60-CW60-CW59)*(1-CP61)</f>
        <v/>
      </c>
      <c r="DB61" s="12">
        <f>CX61+CX60+CX59+MAX(0,DB60-CX60-CX59)*(1-CP61)</f>
        <v/>
      </c>
      <c r="DC61" s="12">
        <f>DC60+CY61-CY49*('Sens - Scenarios'!$D$6*VLOOKUP(CL61,ChurnSeasonTable,4,FALSE))*POWER(1-('Sens - Scenarios'!$D$6*VLOOKUP(CL61,ChurnSeasonTable,4,FALSE)),0)+CY37*('Sens - Scenarios'!$D$6*VLOOKUP(CL61,ChurnSeasonTable,4,FALSE))*POWER(1-('Sens - Scenarios'!$D$6*VLOOKUP(CL61,ChurnSeasonTable,4,FALSE)),1)+CY25*('Sens - Scenarios'!$D$6*VLOOKUP(CL61,ChurnSeasonTable,4,FALSE))*POWER(1-('Sens - Scenarios'!$D$6*VLOOKUP(CL61,ChurnSeasonTable,4,FALSE)),2)+CY13*('Sens - Scenarios'!$D$6*VLOOKUP(CL61,ChurnSeasonTable,4,FALSE))*POWER(1-('Sens - Scenarios'!$D$6*VLOOKUP(CL61,ChurnSeasonTable,4,FALSE)),3)</f>
        <v/>
      </c>
      <c r="DD61" s="12">
        <f>DD60+CZ61-CZ49*('Sens - Scenarios'!$D$6*VLOOKUP(CL61,ChurnSeasonTable,4,FALSE))*POWER(1-('Sens - Scenarios'!$D$6*VLOOKUP(CL61,ChurnSeasonTable,4,FALSE)),0)+CZ37*('Sens - Scenarios'!$D$6*VLOOKUP(CL61,ChurnSeasonTable,4,FALSE))*POWER(1-('Sens - Scenarios'!$D$6*VLOOKUP(CL61,ChurnSeasonTable,4,FALSE)),1)+CZ25*('Sens - Scenarios'!$D$6*VLOOKUP(CL61,ChurnSeasonTable,4,FALSE))*POWER(1-('Sens - Scenarios'!$D$6*VLOOKUP(CL61,ChurnSeasonTable,4,FALSE)),2)+CZ13*('Sens - Scenarios'!$D$6*VLOOKUP(CL61,ChurnSeasonTable,4,FALSE))*POWER(1-('Sens - Scenarios'!$D$6*VLOOKUP(CL61,ChurnSeasonTable,4,FALSE)),3)</f>
        <v/>
      </c>
      <c r="DE61" s="12">
        <f>DA61+DB61+DC61+DD61</f>
        <v/>
      </c>
      <c r="DF61" s="9">
        <f>DA61*PriceEssMonthly*CO61+DB61*PricePremMonthly*CO61+DC61*PriceEssAnnual*CO61/12+DD61*PricePremAnnual*CO61/12</f>
        <v/>
      </c>
      <c r="DG61" s="9">
        <f>DF61*12</f>
        <v/>
      </c>
      <c r="DH61" s="12">
        <f>DA61*PriceEssMonthly*CO61+DB61*PricePremMonthly*CO61</f>
        <v/>
      </c>
      <c r="DI61" s="12">
        <f>CY61*PriceEssAnnual*CO61+CZ61*PricePremAnnual*CO61</f>
        <v/>
      </c>
      <c r="DJ61" s="12">
        <f>CY49*POWER(1-('Sens - Scenarios'!$D$6*VLOOKUP(CL61,ChurnSeasonTable,4,FALSE)),1)*PriceEssAnnual*CO61+CY37*POWER(1-('Sens - Scenarios'!$D$6*VLOOKUP(CL61,ChurnSeasonTable,4,FALSE)),2)*PriceEssAnnual*CO61+CY25*POWER(1-('Sens - Scenarios'!$D$6*VLOOKUP(CL61,ChurnSeasonTable,4,FALSE)),3)*PriceEssAnnual*CO61+CY13*POWER(1-('Sens - Scenarios'!$D$6*VLOOKUP(CL61,ChurnSeasonTable,4,FALSE)),4)*PriceEssAnnual*CO61+CZ49*POWER(1-('Sens - Scenarios'!$D$6*VLOOKUP(CL61,ChurnSeasonTable,4,FALSE)),1)*PricePremAnnual*CO61+CZ37*POWER(1-('Sens - Scenarios'!$D$6*VLOOKUP(CL61,ChurnSeasonTable,4,FALSE)),2)*PricePremAnnual*CO61+CZ25*POWER(1-('Sens - Scenarios'!$D$6*VLOOKUP(CL61,ChurnSeasonTable,4,FALSE)),3)*PricePremAnnual*CO61+CZ13*POWER(1-('Sens - Scenarios'!$D$6*VLOOKUP(CL61,ChurnSeasonTable,4,FALSE)),4)*PricePremAnnual*CO61</f>
        <v/>
      </c>
      <c r="DK61" s="9">
        <f>DH61+DI61+DJ61</f>
        <v/>
      </c>
      <c r="DL61" s="12">
        <f>SUM(DK50:DK61)</f>
        <v/>
      </c>
      <c r="DM61" s="12">
        <f>OR(DM60,DL61&gt;=VATThreshold)</f>
        <v/>
      </c>
      <c r="DN61" s="9">
        <f>IF(DM61,DK61/(1+VATRate),DK61)</f>
        <v/>
      </c>
      <c r="DO61" s="12">
        <f>DK61-DN61</f>
        <v/>
      </c>
      <c r="DP61" s="12">
        <f>IF(DM61=0,0,IF(CL61=1,SUMPRODUCT(--(($CM$5:$CM61=$CM61-1)*($CL$5:$CL61&gt;=10)*($CL$5:$CL61&lt;=12)),$DO$5:$DO61),IF(CL61=4,SUMPRODUCT(--(($CM$5:$CM61=$CM61)*($CL$5:$CL61&gt;=1)*($CL$5:$CL61&lt;=3)),$DO$5:$DO61),IF(CL61=7,SUMPRODUCT(--(($CM$5:$CM61=$CM61)*($CL$5:$CL61&gt;=4)*($CL$5:$CL61&lt;=6)),$DO$5:$DO61),IF(CL61=10,SUMPRODUCT(--(($CM$5:$CM61=$CM61)*($CL$5:$CL61&gt;=7)*($CL$5:$CL61&lt;=9)),$DO$5:$DO61),0)))))</f>
        <v/>
      </c>
      <c r="DQ61" s="12">
        <f>DQ60+DO61-DP61</f>
        <v/>
      </c>
      <c r="DR61" s="12">
        <f>IF(ProviderDelay&gt;=1,DN60*ProviderShare,DN61*ProviderShare)</f>
        <v/>
      </c>
      <c r="DS61" s="12">
        <f>DK61*PaymentFee</f>
        <v/>
      </c>
      <c r="DT61" s="12">
        <f>DE61*OpsAI</f>
        <v/>
      </c>
      <c r="DU61" s="12">
        <f>MonthlyFixed</f>
        <v/>
      </c>
      <c r="DV61" s="12">
        <f>CS61*ReferralReward</f>
        <v/>
      </c>
      <c r="DW61" s="12">
        <f>CQ61</f>
        <v/>
      </c>
      <c r="DX61" s="9">
        <f>DN61-DR61-DS61-DT61-DU61-DV61-DW61</f>
        <v/>
      </c>
      <c r="DY61" s="9">
        <f>DY60+DK61-(DR61+DS61+DT61+DU61+DV61+DW61+DP61)</f>
        <v/>
      </c>
      <c r="DZ61" s="12">
        <f>IF(DE61&gt;0,DF61/DE61,0)</f>
        <v/>
      </c>
      <c r="EA61" s="11">
        <f>IF(DE60&gt;0,MAX(0,(DE60+CT61-DE61)/DE60),0)</f>
        <v/>
      </c>
      <c r="EC61" s="12" t="n">
        <v>57</v>
      </c>
      <c r="ED61" s="12">
        <f>MOD(EC61-1+LaunchMonth-1,12)+1</f>
        <v/>
      </c>
      <c r="EE61" s="12">
        <f>INT((EC61-1+LaunchMonth-1)/12)+1</f>
        <v/>
      </c>
      <c r="EF61" s="12">
        <f>VLOOKUP(ED61,SeasonTable,2,FALSE)</f>
        <v/>
      </c>
      <c r="EG61" s="12">
        <f>(1+InflationRate)^INT((EC61-1)/12)</f>
        <v/>
      </c>
      <c r="EH61" s="11">
        <f>'Sens - Churn'!$A$13*VLOOKUP(ED61,ChurnSeasonTable,4,FALSE)</f>
        <v/>
      </c>
      <c r="EI61" s="12">
        <f>MIN(MAX(MktMin19plus,FC60*MktPct19plus),MAX(0,FQ60-CashBuffer))</f>
        <v/>
      </c>
      <c r="EJ61" s="12">
        <f>IF(EI61&gt;0,MAX(1,ROUND(EI61/CAC*EF61,0)),0)</f>
        <v/>
      </c>
      <c r="EK61" s="12">
        <f>IF(EJ61&gt;0,ROUND(EJ61*ReferralMix/(1-ReferralMix),0),0)</f>
        <v/>
      </c>
      <c r="EL61" s="12">
        <f>EJ61+EK61</f>
        <v/>
      </c>
      <c r="EM61" s="12">
        <f>ROUND(EL61*(1-AnnualMix),0)</f>
        <v/>
      </c>
      <c r="EN61" s="12">
        <f>EL61-EM61</f>
        <v/>
      </c>
      <c r="EO61" s="12">
        <f>ROUND(EM61*EssentialMix,0)</f>
        <v/>
      </c>
      <c r="EP61" s="12">
        <f>EM61-EO61</f>
        <v/>
      </c>
      <c r="EQ61" s="12">
        <f>ROUND(EN61*EssentialMix,0)</f>
        <v/>
      </c>
      <c r="ER61" s="12">
        <f>EN61-EQ61</f>
        <v/>
      </c>
      <c r="ES61" s="12">
        <f>EO61+EO60+EO59+MAX(0,ES60-EO60-EO59)*(1-EH61)</f>
        <v/>
      </c>
      <c r="ET61" s="12">
        <f>EP61+EP60+EP59+MAX(0,ET60-EP60-EP59)*(1-EH61)</f>
        <v/>
      </c>
      <c r="EU61" s="12">
        <f>EU60+EQ61-EQ49*(AnnualChurn*VLOOKUP(ED61,ChurnSeasonTable,4,FALSE))*POWER(1-(AnnualChurn*VLOOKUP(ED61,ChurnSeasonTable,4,FALSE)),0)+EQ37*(AnnualChurn*VLOOKUP(ED61,ChurnSeasonTable,4,FALSE))*POWER(1-(AnnualChurn*VLOOKUP(ED61,ChurnSeasonTable,4,FALSE)),1)+EQ25*(AnnualChurn*VLOOKUP(ED61,ChurnSeasonTable,4,FALSE))*POWER(1-(AnnualChurn*VLOOKUP(ED61,ChurnSeasonTable,4,FALSE)),2)+EQ13*(AnnualChurn*VLOOKUP(ED61,ChurnSeasonTable,4,FALSE))*POWER(1-(AnnualChurn*VLOOKUP(ED61,ChurnSeasonTable,4,FALSE)),3)</f>
        <v/>
      </c>
      <c r="EV61" s="12">
        <f>EV60+ER61-ER49*(AnnualChurn*VLOOKUP(ED61,ChurnSeasonTable,4,FALSE))*POWER(1-(AnnualChurn*VLOOKUP(ED61,ChurnSeasonTable,4,FALSE)),0)+ER37*(AnnualChurn*VLOOKUP(ED61,ChurnSeasonTable,4,FALSE))*POWER(1-(AnnualChurn*VLOOKUP(ED61,ChurnSeasonTable,4,FALSE)),1)+ER25*(AnnualChurn*VLOOKUP(ED61,ChurnSeasonTable,4,FALSE))*POWER(1-(AnnualChurn*VLOOKUP(ED61,ChurnSeasonTable,4,FALSE)),2)+ER13*(AnnualChurn*VLOOKUP(ED61,ChurnSeasonTable,4,FALSE))*POWER(1-(AnnualChurn*VLOOKUP(ED61,ChurnSeasonTable,4,FALSE)),3)</f>
        <v/>
      </c>
      <c r="EW61" s="12">
        <f>ES61+ET61+EU61+EV61</f>
        <v/>
      </c>
      <c r="EX61" s="9">
        <f>ES61*PriceEssMonthly*EG61+ET61*PricePremMonthly*EG61+EU61*PriceEssAnnual*EG61/12+EV61*PricePremAnnual*EG61/12</f>
        <v/>
      </c>
      <c r="EY61" s="9">
        <f>EX61*12</f>
        <v/>
      </c>
      <c r="EZ61" s="12">
        <f>ES61*PriceEssMonthly*EG61+ET61*PricePremMonthly*EG61</f>
        <v/>
      </c>
      <c r="FA61" s="12">
        <f>EQ61*PriceEssAnnual*EG61+ER61*PricePremAnnual*EG61</f>
        <v/>
      </c>
      <c r="FB61" s="12">
        <f>EQ49*POWER(1-(AnnualChurn*VLOOKUP(ED61,ChurnSeasonTable,4,FALSE)),1)*PriceEssAnnual*EG61+EQ37*POWER(1-(AnnualChurn*VLOOKUP(ED61,ChurnSeasonTable,4,FALSE)),2)*PriceEssAnnual*EG61+EQ25*POWER(1-(AnnualChurn*VLOOKUP(ED61,ChurnSeasonTable,4,FALSE)),3)*PriceEssAnnual*EG61+EQ13*POWER(1-(AnnualChurn*VLOOKUP(ED61,ChurnSeasonTable,4,FALSE)),4)*PriceEssAnnual*EG61+ER49*POWER(1-(AnnualChurn*VLOOKUP(ED61,ChurnSeasonTable,4,FALSE)),1)*PricePremAnnual*EG61+ER37*POWER(1-(AnnualChurn*VLOOKUP(ED61,ChurnSeasonTable,4,FALSE)),2)*PricePremAnnual*EG61+ER25*POWER(1-(AnnualChurn*VLOOKUP(ED61,ChurnSeasonTable,4,FALSE)),3)*PricePremAnnual*EG61+ER13*POWER(1-(AnnualChurn*VLOOKUP(ED61,ChurnSeasonTable,4,FALSE)),4)*PricePremAnnual*EG61</f>
        <v/>
      </c>
      <c r="FC61" s="9">
        <f>EZ61+FA61+FB61</f>
        <v/>
      </c>
      <c r="FD61" s="12">
        <f>SUM(FC50:FC61)</f>
        <v/>
      </c>
      <c r="FE61" s="12">
        <f>OR(FE60,FD61&gt;=VATThreshold)</f>
        <v/>
      </c>
      <c r="FF61" s="9">
        <f>IF(FE61,FC61/(1+VATRate),FC61)</f>
        <v/>
      </c>
      <c r="FG61" s="12">
        <f>FC61-FF61</f>
        <v/>
      </c>
      <c r="FH61" s="12">
        <f>IF(FE61=0,0,IF(ED61=1,SUMPRODUCT(--(($EE$5:$EE61=$EE61-1)*($ED$5:$ED61&gt;=10)*($ED$5:$ED61&lt;=12)),$FG$5:$FG61),IF(ED61=4,SUMPRODUCT(--(($EE$5:$EE61=$EE61)*($ED$5:$ED61&gt;=1)*($ED$5:$ED61&lt;=3)),$FG$5:$FG61),IF(ED61=7,SUMPRODUCT(--(($EE$5:$EE61=$EE61)*($ED$5:$ED61&gt;=4)*($ED$5:$ED61&lt;=6)),$FG$5:$FG61),IF(ED61=10,SUMPRODUCT(--(($EE$5:$EE61=$EE61)*($ED$5:$ED61&gt;=7)*($ED$5:$ED61&lt;=9)),$FG$5:$FG61),0)))))</f>
        <v/>
      </c>
      <c r="FI61" s="12">
        <f>FI60+FG61-FH61</f>
        <v/>
      </c>
      <c r="FJ61" s="12">
        <f>IF(ProviderDelay&gt;=1,FF60*ProviderShare,FF61*ProviderShare)</f>
        <v/>
      </c>
      <c r="FK61" s="12">
        <f>FC61*PaymentFee</f>
        <v/>
      </c>
      <c r="FL61" s="12">
        <f>EW61*OpsAI</f>
        <v/>
      </c>
      <c r="FM61" s="12">
        <f>MonthlyFixed</f>
        <v/>
      </c>
      <c r="FN61" s="12">
        <f>EK61*ReferralReward</f>
        <v/>
      </c>
      <c r="FO61" s="12">
        <f>EI61</f>
        <v/>
      </c>
      <c r="FP61" s="9">
        <f>FF61-FJ61-FK61-FL61-FM61-FN61-FO61</f>
        <v/>
      </c>
      <c r="FQ61" s="9">
        <f>FQ60+FC61-(FJ61+FK61+FL61+FM61+FN61+FO61+FH61)</f>
        <v/>
      </c>
      <c r="FR61" s="12">
        <f>IF(EW61&gt;0,EX61/EW61,0)</f>
        <v/>
      </c>
      <c r="FS61" s="11">
        <f>IF(EW60&gt;0,MAX(0,(EW60+EL61-EW61)/EW60),0)</f>
        <v/>
      </c>
      <c r="FU61" s="12" t="n">
        <v>57</v>
      </c>
      <c r="FV61" s="12">
        <f>MOD(FU61-1+LaunchMonth-1,12)+1</f>
        <v/>
      </c>
      <c r="FW61" s="12">
        <f>INT((FU61-1+LaunchMonth-1)/12)+1</f>
        <v/>
      </c>
      <c r="FX61" s="12">
        <f>VLOOKUP(FV61,SeasonTable,2,FALSE)</f>
        <v/>
      </c>
      <c r="FY61" s="12">
        <f>(1+InflationRate)^INT((FU61-1)/12)</f>
        <v/>
      </c>
      <c r="FZ61" s="11">
        <f>'Sens - Churn'!$A$14*VLOOKUP(FV61,ChurnSeasonTable,4,FALSE)</f>
        <v/>
      </c>
      <c r="GA61" s="12">
        <f>MIN(MAX(MktMin19plus,GU60*MktPct19plus),MAX(0,HI60-CashBuffer))</f>
        <v/>
      </c>
      <c r="GB61" s="12">
        <f>IF(GA61&gt;0,MAX(1,ROUND(GA61/CAC*FX61,0)),0)</f>
        <v/>
      </c>
      <c r="GC61" s="12">
        <f>IF(GB61&gt;0,ROUND(GB61*ReferralMix/(1-ReferralMix),0),0)</f>
        <v/>
      </c>
      <c r="GD61" s="12">
        <f>GB61+GC61</f>
        <v/>
      </c>
      <c r="GE61" s="12">
        <f>ROUND(GD61*(1-AnnualMix),0)</f>
        <v/>
      </c>
      <c r="GF61" s="12">
        <f>GD61-GE61</f>
        <v/>
      </c>
      <c r="GG61" s="12">
        <f>ROUND(GE61*EssentialMix,0)</f>
        <v/>
      </c>
      <c r="GH61" s="12">
        <f>GE61-GG61</f>
        <v/>
      </c>
      <c r="GI61" s="12">
        <f>ROUND(GF61*EssentialMix,0)</f>
        <v/>
      </c>
      <c r="GJ61" s="12">
        <f>GF61-GI61</f>
        <v/>
      </c>
      <c r="GK61" s="12">
        <f>GG61+GG60+GG59+MAX(0,GK60-GG60-GG59)*(1-FZ61)</f>
        <v/>
      </c>
      <c r="GL61" s="12">
        <f>GH61+GH60+GH59+MAX(0,GL60-GH60-GH59)*(1-FZ61)</f>
        <v/>
      </c>
      <c r="GM61" s="12">
        <f>GM60+GI61-GI49*(AnnualChurn*VLOOKUP(FV61,ChurnSeasonTable,4,FALSE))*POWER(1-(AnnualChurn*VLOOKUP(FV61,ChurnSeasonTable,4,FALSE)),0)+GI37*(AnnualChurn*VLOOKUP(FV61,ChurnSeasonTable,4,FALSE))*POWER(1-(AnnualChurn*VLOOKUP(FV61,ChurnSeasonTable,4,FALSE)),1)+GI25*(AnnualChurn*VLOOKUP(FV61,ChurnSeasonTable,4,FALSE))*POWER(1-(AnnualChurn*VLOOKUP(FV61,ChurnSeasonTable,4,FALSE)),2)+GI13*(AnnualChurn*VLOOKUP(FV61,ChurnSeasonTable,4,FALSE))*POWER(1-(AnnualChurn*VLOOKUP(FV61,ChurnSeasonTable,4,FALSE)),3)</f>
        <v/>
      </c>
      <c r="GN61" s="12">
        <f>GN60+GJ61-GJ49*(AnnualChurn*VLOOKUP(FV61,ChurnSeasonTable,4,FALSE))*POWER(1-(AnnualChurn*VLOOKUP(FV61,ChurnSeasonTable,4,FALSE)),0)+GJ37*(AnnualChurn*VLOOKUP(FV61,ChurnSeasonTable,4,FALSE))*POWER(1-(AnnualChurn*VLOOKUP(FV61,ChurnSeasonTable,4,FALSE)),1)+GJ25*(AnnualChurn*VLOOKUP(FV61,ChurnSeasonTable,4,FALSE))*POWER(1-(AnnualChurn*VLOOKUP(FV61,ChurnSeasonTable,4,FALSE)),2)+GJ13*(AnnualChurn*VLOOKUP(FV61,ChurnSeasonTable,4,FALSE))*POWER(1-(AnnualChurn*VLOOKUP(FV61,ChurnSeasonTable,4,FALSE)),3)</f>
        <v/>
      </c>
      <c r="GO61" s="12">
        <f>GK61+GL61+GM61+GN61</f>
        <v/>
      </c>
      <c r="GP61" s="9">
        <f>GK61*PriceEssMonthly*FY61+GL61*PricePremMonthly*FY61+GM61*PriceEssAnnual*FY61/12+GN61*PricePremAnnual*FY61/12</f>
        <v/>
      </c>
      <c r="GQ61" s="9">
        <f>GP61*12</f>
        <v/>
      </c>
      <c r="GR61" s="12">
        <f>GK61*PriceEssMonthly*FY61+GL61*PricePremMonthly*FY61</f>
        <v/>
      </c>
      <c r="GS61" s="12">
        <f>GI61*PriceEssAnnual*FY61+GJ61*PricePremAnnual*FY61</f>
        <v/>
      </c>
      <c r="GT61" s="12">
        <f>GI49*POWER(1-(AnnualChurn*VLOOKUP(FV61,ChurnSeasonTable,4,FALSE)),1)*PriceEssAnnual*FY61+GI37*POWER(1-(AnnualChurn*VLOOKUP(FV61,ChurnSeasonTable,4,FALSE)),2)*PriceEssAnnual*FY61+GI25*POWER(1-(AnnualChurn*VLOOKUP(FV61,ChurnSeasonTable,4,FALSE)),3)*PriceEssAnnual*FY61+GI13*POWER(1-(AnnualChurn*VLOOKUP(FV61,ChurnSeasonTable,4,FALSE)),4)*PriceEssAnnual*FY61+GJ49*POWER(1-(AnnualChurn*VLOOKUP(FV61,ChurnSeasonTable,4,FALSE)),1)*PricePremAnnual*FY61+GJ37*POWER(1-(AnnualChurn*VLOOKUP(FV61,ChurnSeasonTable,4,FALSE)),2)*PricePremAnnual*FY61+GJ25*POWER(1-(AnnualChurn*VLOOKUP(FV61,ChurnSeasonTable,4,FALSE)),3)*PricePremAnnual*FY61+GJ13*POWER(1-(AnnualChurn*VLOOKUP(FV61,ChurnSeasonTable,4,FALSE)),4)*PricePremAnnual*FY61</f>
        <v/>
      </c>
      <c r="GU61" s="9">
        <f>GR61+GS61+GT61</f>
        <v/>
      </c>
      <c r="GV61" s="12">
        <f>SUM(GU50:GU61)</f>
        <v/>
      </c>
      <c r="GW61" s="12">
        <f>OR(GW60,GV61&gt;=VATThreshold)</f>
        <v/>
      </c>
      <c r="GX61" s="9">
        <f>IF(GW61,GU61/(1+VATRate),GU61)</f>
        <v/>
      </c>
      <c r="GY61" s="12">
        <f>GU61-GX61</f>
        <v/>
      </c>
      <c r="GZ61" s="12">
        <f>IF(GW61=0,0,IF(FV61=1,SUMPRODUCT(--(($FW$5:$FW61=$FW61-1)*($FV$5:$FV61&gt;=10)*($FV$5:$FV61&lt;=12)),$GY$5:$GY61),IF(FV61=4,SUMPRODUCT(--(($FW$5:$FW61=$FW61)*($FV$5:$FV61&gt;=1)*($FV$5:$FV61&lt;=3)),$GY$5:$GY61),IF(FV61=7,SUMPRODUCT(--(($FW$5:$FW61=$FW61)*($FV$5:$FV61&gt;=4)*($FV$5:$FV61&lt;=6)),$GY$5:$GY61),IF(FV61=10,SUMPRODUCT(--(($FW$5:$FW61=$FW61)*($FV$5:$FV61&gt;=7)*($FV$5:$FV61&lt;=9)),$GY$5:$GY61),0)))))</f>
        <v/>
      </c>
      <c r="HA61" s="12">
        <f>HA60+GY61-GZ61</f>
        <v/>
      </c>
      <c r="HB61" s="12">
        <f>IF(ProviderDelay&gt;=1,GX60*ProviderShare,GX61*ProviderShare)</f>
        <v/>
      </c>
      <c r="HC61" s="12">
        <f>GU61*PaymentFee</f>
        <v/>
      </c>
      <c r="HD61" s="12">
        <f>GO61*OpsAI</f>
        <v/>
      </c>
      <c r="HE61" s="12">
        <f>MonthlyFixed</f>
        <v/>
      </c>
      <c r="HF61" s="12">
        <f>GC61*ReferralReward</f>
        <v/>
      </c>
      <c r="HG61" s="12">
        <f>GA61</f>
        <v/>
      </c>
      <c r="HH61" s="9">
        <f>GX61-HB61-HC61-HD61-HE61-HF61-HG61</f>
        <v/>
      </c>
      <c r="HI61" s="9">
        <f>HI60+GU61-(HB61+HC61+HD61+HE61+HF61+HG61+GZ61)</f>
        <v/>
      </c>
      <c r="HJ61" s="12">
        <f>IF(GO61&gt;0,GP61/GO61,0)</f>
        <v/>
      </c>
      <c r="HK61" s="11">
        <f>IF(GO60&gt;0,MAX(0,(GO60+GD61-GO61)/GO60),0)</f>
        <v/>
      </c>
      <c r="HM61" s="12" t="n">
        <v>57</v>
      </c>
      <c r="HN61" s="12">
        <f>MOD(HM61-1+LaunchMonth-1,12)+1</f>
        <v/>
      </c>
      <c r="HO61" s="12">
        <f>INT((HM61-1+LaunchMonth-1)/12)+1</f>
        <v/>
      </c>
      <c r="HP61" s="12">
        <f>VLOOKUP(HN61,SeasonTable,2,FALSE)</f>
        <v/>
      </c>
      <c r="HQ61" s="12">
        <f>(1+InflationRate)^INT((HM61-1)/12)</f>
        <v/>
      </c>
      <c r="HR61" s="11">
        <f>'Sens - Churn'!$A$15*VLOOKUP(HN61,ChurnSeasonTable,4,FALSE)</f>
        <v/>
      </c>
      <c r="HS61" s="12">
        <f>MIN(MAX(MktMin19plus,IM60*MktPct19plus),MAX(0,JA60-CashBuffer))</f>
        <v/>
      </c>
      <c r="HT61" s="12">
        <f>IF(HS61&gt;0,MAX(1,ROUND(HS61/CAC*HP61,0)),0)</f>
        <v/>
      </c>
      <c r="HU61" s="12">
        <f>IF(HT61&gt;0,ROUND(HT61*ReferralMix/(1-ReferralMix),0),0)</f>
        <v/>
      </c>
      <c r="HV61" s="12">
        <f>HT61+HU61</f>
        <v/>
      </c>
      <c r="HW61" s="12">
        <f>ROUND(HV61*(1-AnnualMix),0)</f>
        <v/>
      </c>
      <c r="HX61" s="12">
        <f>HV61-HW61</f>
        <v/>
      </c>
      <c r="HY61" s="12">
        <f>ROUND(HW61*EssentialMix,0)</f>
        <v/>
      </c>
      <c r="HZ61" s="12">
        <f>HW61-HY61</f>
        <v/>
      </c>
      <c r="IA61" s="12">
        <f>ROUND(HX61*EssentialMix,0)</f>
        <v/>
      </c>
      <c r="IB61" s="12">
        <f>HX61-IA61</f>
        <v/>
      </c>
      <c r="IC61" s="12">
        <f>HY61+HY60+HY59+MAX(0,IC60-HY60-HY59)*(1-HR61)</f>
        <v/>
      </c>
      <c r="ID61" s="12">
        <f>HZ61+HZ60+HZ59+MAX(0,ID60-HZ60-HZ59)*(1-HR61)</f>
        <v/>
      </c>
      <c r="IE61" s="12">
        <f>IE60+IA61-IA49*(AnnualChurn*VLOOKUP(HN61,ChurnSeasonTable,4,FALSE))*POWER(1-(AnnualChurn*VLOOKUP(HN61,ChurnSeasonTable,4,FALSE)),0)+IA37*(AnnualChurn*VLOOKUP(HN61,ChurnSeasonTable,4,FALSE))*POWER(1-(AnnualChurn*VLOOKUP(HN61,ChurnSeasonTable,4,FALSE)),1)+IA25*(AnnualChurn*VLOOKUP(HN61,ChurnSeasonTable,4,FALSE))*POWER(1-(AnnualChurn*VLOOKUP(HN61,ChurnSeasonTable,4,FALSE)),2)+IA13*(AnnualChurn*VLOOKUP(HN61,ChurnSeasonTable,4,FALSE))*POWER(1-(AnnualChurn*VLOOKUP(HN61,ChurnSeasonTable,4,FALSE)),3)</f>
        <v/>
      </c>
      <c r="IF61" s="12">
        <f>IF60+IB61-IB49*(AnnualChurn*VLOOKUP(HN61,ChurnSeasonTable,4,FALSE))*POWER(1-(AnnualChurn*VLOOKUP(HN61,ChurnSeasonTable,4,FALSE)),0)+IB37*(AnnualChurn*VLOOKUP(HN61,ChurnSeasonTable,4,FALSE))*POWER(1-(AnnualChurn*VLOOKUP(HN61,ChurnSeasonTable,4,FALSE)),1)+IB25*(AnnualChurn*VLOOKUP(HN61,ChurnSeasonTable,4,FALSE))*POWER(1-(AnnualChurn*VLOOKUP(HN61,ChurnSeasonTable,4,FALSE)),2)+IB13*(AnnualChurn*VLOOKUP(HN61,ChurnSeasonTable,4,FALSE))*POWER(1-(AnnualChurn*VLOOKUP(HN61,ChurnSeasonTable,4,FALSE)),3)</f>
        <v/>
      </c>
      <c r="IG61" s="12">
        <f>IC61+ID61+IE61+IF61</f>
        <v/>
      </c>
      <c r="IH61" s="9">
        <f>IC61*PriceEssMonthly*HQ61+ID61*PricePremMonthly*HQ61+IE61*PriceEssAnnual*HQ61/12+IF61*PricePremAnnual*HQ61/12</f>
        <v/>
      </c>
      <c r="II61" s="9">
        <f>IH61*12</f>
        <v/>
      </c>
      <c r="IJ61" s="12">
        <f>IC61*PriceEssMonthly*HQ61+ID61*PricePremMonthly*HQ61</f>
        <v/>
      </c>
      <c r="IK61" s="12">
        <f>IA61*PriceEssAnnual*HQ61+IB61*PricePremAnnual*HQ61</f>
        <v/>
      </c>
      <c r="IL61" s="12">
        <f>IA49*POWER(1-(AnnualChurn*VLOOKUP(HN61,ChurnSeasonTable,4,FALSE)),1)*PriceEssAnnual*HQ61+IA37*POWER(1-(AnnualChurn*VLOOKUP(HN61,ChurnSeasonTable,4,FALSE)),2)*PriceEssAnnual*HQ61+IA25*POWER(1-(AnnualChurn*VLOOKUP(HN61,ChurnSeasonTable,4,FALSE)),3)*PriceEssAnnual*HQ61+IA13*POWER(1-(AnnualChurn*VLOOKUP(HN61,ChurnSeasonTable,4,FALSE)),4)*PriceEssAnnual*HQ61+IB49*POWER(1-(AnnualChurn*VLOOKUP(HN61,ChurnSeasonTable,4,FALSE)),1)*PricePremAnnual*HQ61+IB37*POWER(1-(AnnualChurn*VLOOKUP(HN61,ChurnSeasonTable,4,FALSE)),2)*PricePremAnnual*HQ61+IB25*POWER(1-(AnnualChurn*VLOOKUP(HN61,ChurnSeasonTable,4,FALSE)),3)*PricePremAnnual*HQ61+IB13*POWER(1-(AnnualChurn*VLOOKUP(HN61,ChurnSeasonTable,4,FALSE)),4)*PricePremAnnual*HQ61</f>
        <v/>
      </c>
      <c r="IM61" s="9">
        <f>IJ61+IK61+IL61</f>
        <v/>
      </c>
      <c r="IN61" s="12">
        <f>SUM(IM50:IM61)</f>
        <v/>
      </c>
      <c r="IO61" s="12">
        <f>OR(IO60,IN61&gt;=VATThreshold)</f>
        <v/>
      </c>
      <c r="IP61" s="9">
        <f>IF(IO61,IM61/(1+VATRate),IM61)</f>
        <v/>
      </c>
      <c r="IQ61" s="12">
        <f>IM61-IP61</f>
        <v/>
      </c>
      <c r="IR61" s="12">
        <f>IF(IO61=0,0,IF(HN61=1,SUMPRODUCT(--(($HO$5:$HO61=$HO61-1)*($HN$5:$HN61&gt;=10)*($HN$5:$HN61&lt;=12)),$IQ$5:$IQ61),IF(HN61=4,SUMPRODUCT(--(($HO$5:$HO61=$HO61)*($HN$5:$HN61&gt;=1)*($HN$5:$HN61&lt;=3)),$IQ$5:$IQ61),IF(HN61=7,SUMPRODUCT(--(($HO$5:$HO61=$HO61)*($HN$5:$HN61&gt;=4)*($HN$5:$HN61&lt;=6)),$IQ$5:$IQ61),IF(HN61=10,SUMPRODUCT(--(($HO$5:$HO61=$HO61)*($HN$5:$HN61&gt;=7)*($HN$5:$HN61&lt;=9)),$IQ$5:$IQ61),0)))))</f>
        <v/>
      </c>
      <c r="IS61" s="12">
        <f>IS60+IQ61-IR61</f>
        <v/>
      </c>
      <c r="IT61" s="12">
        <f>IF(ProviderDelay&gt;=1,IP60*ProviderShare,IP61*ProviderShare)</f>
        <v/>
      </c>
      <c r="IU61" s="12">
        <f>IM61*PaymentFee</f>
        <v/>
      </c>
      <c r="IV61" s="12">
        <f>IG61*OpsAI</f>
        <v/>
      </c>
      <c r="IW61" s="12">
        <f>MonthlyFixed</f>
        <v/>
      </c>
      <c r="IX61" s="12">
        <f>HU61*ReferralReward</f>
        <v/>
      </c>
      <c r="IY61" s="12">
        <f>HS61</f>
        <v/>
      </c>
      <c r="IZ61" s="9">
        <f>IP61-IT61-IU61-IV61-IW61-IX61-IY61</f>
        <v/>
      </c>
      <c r="JA61" s="9">
        <f>JA60+IM61-(IT61+IU61+IV61+IW61+IX61+IY61+IR61)</f>
        <v/>
      </c>
      <c r="JB61" s="12">
        <f>IF(IG61&gt;0,IH61/IG61,0)</f>
        <v/>
      </c>
      <c r="JC61" s="11">
        <f>IF(IG60&gt;0,MAX(0,(IG60+HV61-IG61)/IG60),0)</f>
        <v/>
      </c>
      <c r="JE61" s="12" t="n">
        <v>57</v>
      </c>
      <c r="JF61" s="12">
        <f>MOD(JE61-1+LaunchMonth-1,12)+1</f>
        <v/>
      </c>
      <c r="JG61" s="12">
        <f>INT((JE61-1+LaunchMonth-1)/12)+1</f>
        <v/>
      </c>
      <c r="JH61" s="12">
        <f>VLOOKUP(JF61,SeasonTable,2,FALSE)</f>
        <v/>
      </c>
      <c r="JI61" s="12">
        <f>(1+InflationRate)^INT((JE61-1)/12)</f>
        <v/>
      </c>
      <c r="JJ61" s="11">
        <f>'Sens - Churn'!$A$16*VLOOKUP(JF61,ChurnSeasonTable,4,FALSE)</f>
        <v/>
      </c>
      <c r="JK61" s="12">
        <f>MIN(MAX(MktMin19plus,KE60*MktPct19plus),MAX(0,KS60-CashBuffer))</f>
        <v/>
      </c>
      <c r="JL61" s="12">
        <f>IF(JK61&gt;0,MAX(1,ROUND(JK61/CAC*JH61,0)),0)</f>
        <v/>
      </c>
      <c r="JM61" s="12">
        <f>IF(JL61&gt;0,ROUND(JL61*ReferralMix/(1-ReferralMix),0),0)</f>
        <v/>
      </c>
      <c r="JN61" s="12">
        <f>JL61+JM61</f>
        <v/>
      </c>
      <c r="JO61" s="12">
        <f>ROUND(JN61*(1-AnnualMix),0)</f>
        <v/>
      </c>
      <c r="JP61" s="12">
        <f>JN61-JO61</f>
        <v/>
      </c>
      <c r="JQ61" s="12">
        <f>ROUND(JO61*EssentialMix,0)</f>
        <v/>
      </c>
      <c r="JR61" s="12">
        <f>JO61-JQ61</f>
        <v/>
      </c>
      <c r="JS61" s="12">
        <f>ROUND(JP61*EssentialMix,0)</f>
        <v/>
      </c>
      <c r="JT61" s="12">
        <f>JP61-JS61</f>
        <v/>
      </c>
      <c r="JU61" s="12">
        <f>JQ61+JQ60+JQ59+MAX(0,JU60-JQ60-JQ59)*(1-JJ61)</f>
        <v/>
      </c>
      <c r="JV61" s="12">
        <f>JR61+JR60+JR59+MAX(0,JV60-JR60-JR59)*(1-JJ61)</f>
        <v/>
      </c>
      <c r="JW61" s="12">
        <f>JW60+JS61-JS49*(AnnualChurn*VLOOKUP(JF61,ChurnSeasonTable,4,FALSE))*POWER(1-(AnnualChurn*VLOOKUP(JF61,ChurnSeasonTable,4,FALSE)),0)+JS37*(AnnualChurn*VLOOKUP(JF61,ChurnSeasonTable,4,FALSE))*POWER(1-(AnnualChurn*VLOOKUP(JF61,ChurnSeasonTable,4,FALSE)),1)+JS25*(AnnualChurn*VLOOKUP(JF61,ChurnSeasonTable,4,FALSE))*POWER(1-(AnnualChurn*VLOOKUP(JF61,ChurnSeasonTable,4,FALSE)),2)+JS13*(AnnualChurn*VLOOKUP(JF61,ChurnSeasonTable,4,FALSE))*POWER(1-(AnnualChurn*VLOOKUP(JF61,ChurnSeasonTable,4,FALSE)),3)</f>
        <v/>
      </c>
      <c r="JX61" s="12">
        <f>JX60+JT61-JT49*(AnnualChurn*VLOOKUP(JF61,ChurnSeasonTable,4,FALSE))*POWER(1-(AnnualChurn*VLOOKUP(JF61,ChurnSeasonTable,4,FALSE)),0)+JT37*(AnnualChurn*VLOOKUP(JF61,ChurnSeasonTable,4,FALSE))*POWER(1-(AnnualChurn*VLOOKUP(JF61,ChurnSeasonTable,4,FALSE)),1)+JT25*(AnnualChurn*VLOOKUP(JF61,ChurnSeasonTable,4,FALSE))*POWER(1-(AnnualChurn*VLOOKUP(JF61,ChurnSeasonTable,4,FALSE)),2)+JT13*(AnnualChurn*VLOOKUP(JF61,ChurnSeasonTable,4,FALSE))*POWER(1-(AnnualChurn*VLOOKUP(JF61,ChurnSeasonTable,4,FALSE)),3)</f>
        <v/>
      </c>
      <c r="JY61" s="12">
        <f>JU61+JV61+JW61+JX61</f>
        <v/>
      </c>
      <c r="JZ61" s="9">
        <f>JU61*PriceEssMonthly*JI61+JV61*PricePremMonthly*JI61+JW61*PriceEssAnnual*JI61/12+JX61*PricePremAnnual*JI61/12</f>
        <v/>
      </c>
      <c r="KA61" s="9">
        <f>JZ61*12</f>
        <v/>
      </c>
      <c r="KB61" s="12">
        <f>JU61*PriceEssMonthly*JI61+JV61*PricePremMonthly*JI61</f>
        <v/>
      </c>
      <c r="KC61" s="12">
        <f>JS61*PriceEssAnnual*JI61+JT61*PricePremAnnual*JI61</f>
        <v/>
      </c>
      <c r="KD61" s="12">
        <f>JS49*POWER(1-(AnnualChurn*VLOOKUP(JF61,ChurnSeasonTable,4,FALSE)),1)*PriceEssAnnual*JI61+JS37*POWER(1-(AnnualChurn*VLOOKUP(JF61,ChurnSeasonTable,4,FALSE)),2)*PriceEssAnnual*JI61+JS25*POWER(1-(AnnualChurn*VLOOKUP(JF61,ChurnSeasonTable,4,FALSE)),3)*PriceEssAnnual*JI61+JS13*POWER(1-(AnnualChurn*VLOOKUP(JF61,ChurnSeasonTable,4,FALSE)),4)*PriceEssAnnual*JI61+JT49*POWER(1-(AnnualChurn*VLOOKUP(JF61,ChurnSeasonTable,4,FALSE)),1)*PricePremAnnual*JI61+JT37*POWER(1-(AnnualChurn*VLOOKUP(JF61,ChurnSeasonTable,4,FALSE)),2)*PricePremAnnual*JI61+JT25*POWER(1-(AnnualChurn*VLOOKUP(JF61,ChurnSeasonTable,4,FALSE)),3)*PricePremAnnual*JI61+JT13*POWER(1-(AnnualChurn*VLOOKUP(JF61,ChurnSeasonTable,4,FALSE)),4)*PricePremAnnual*JI61</f>
        <v/>
      </c>
      <c r="KE61" s="9">
        <f>KB61+KC61+KD61</f>
        <v/>
      </c>
      <c r="KF61" s="12">
        <f>SUM(KE50:KE61)</f>
        <v/>
      </c>
      <c r="KG61" s="12">
        <f>OR(KG60,KF61&gt;=VATThreshold)</f>
        <v/>
      </c>
      <c r="KH61" s="9">
        <f>IF(KG61,KE61/(1+VATRate),KE61)</f>
        <v/>
      </c>
      <c r="KI61" s="12">
        <f>KE61-KH61</f>
        <v/>
      </c>
      <c r="KJ61" s="12">
        <f>IF(KG61=0,0,IF(JF61=1,SUMPRODUCT(--(($JG$5:$JG61=$JG61-1)*($JF$5:$JF61&gt;=10)*($JF$5:$JF61&lt;=12)),$KI$5:$KI61),IF(JF61=4,SUMPRODUCT(--(($JG$5:$JG61=$JG61)*($JF$5:$JF61&gt;=1)*($JF$5:$JF61&lt;=3)),$KI$5:$KI61),IF(JF61=7,SUMPRODUCT(--(($JG$5:$JG61=$JG61)*($JF$5:$JF61&gt;=4)*($JF$5:$JF61&lt;=6)),$KI$5:$KI61),IF(JF61=10,SUMPRODUCT(--(($JG$5:$JG61=$JG61)*($JF$5:$JF61&gt;=7)*($JF$5:$JF61&lt;=9)),$KI$5:$KI61),0)))))</f>
        <v/>
      </c>
      <c r="KK61" s="12">
        <f>KK60+KI61-KJ61</f>
        <v/>
      </c>
      <c r="KL61" s="12">
        <f>IF(ProviderDelay&gt;=1,KH60*ProviderShare,KH61*ProviderShare)</f>
        <v/>
      </c>
      <c r="KM61" s="12">
        <f>KE61*PaymentFee</f>
        <v/>
      </c>
      <c r="KN61" s="12">
        <f>JY61*OpsAI</f>
        <v/>
      </c>
      <c r="KO61" s="12">
        <f>MonthlyFixed</f>
        <v/>
      </c>
      <c r="KP61" s="12">
        <f>JM61*ReferralReward</f>
        <v/>
      </c>
      <c r="KQ61" s="12">
        <f>JK61</f>
        <v/>
      </c>
      <c r="KR61" s="9">
        <f>KH61-KL61-KM61-KN61-KO61-KP61-KQ61</f>
        <v/>
      </c>
      <c r="KS61" s="9">
        <f>KS60+KE61-(KL61+KM61+KN61+KO61+KP61+KQ61+KJ61)</f>
        <v/>
      </c>
      <c r="KT61" s="12">
        <f>IF(JY61&gt;0,JZ61/JY61,0)</f>
        <v/>
      </c>
      <c r="KU61" s="11">
        <f>IF(JY60&gt;0,MAX(0,(JY60+JN61-JY61)/JY60),0)</f>
        <v/>
      </c>
      <c r="KW61" s="12" t="n">
        <v>57</v>
      </c>
      <c r="KX61" s="12">
        <f>MOD(KW61-1+LaunchMonth-1,12)+1</f>
        <v/>
      </c>
      <c r="KY61" s="12">
        <f>INT((KW61-1+LaunchMonth-1)/12)+1</f>
        <v/>
      </c>
      <c r="KZ61" s="12">
        <f>VLOOKUP(KX61,SeasonTable,2,FALSE)</f>
        <v/>
      </c>
      <c r="LA61" s="12">
        <f>(1+InflationRate)^INT((KW61-1)/12)</f>
        <v/>
      </c>
      <c r="LB61" s="11">
        <f>'Sens - Churn'!$A$17*VLOOKUP(KX61,ChurnSeasonTable,4,FALSE)</f>
        <v/>
      </c>
      <c r="LC61" s="12">
        <f>MIN(MAX(MktMin19plus,LW60*MktPct19plus),MAX(0,MK60-CashBuffer))</f>
        <v/>
      </c>
      <c r="LD61" s="12">
        <f>IF(LC61&gt;0,MAX(1,ROUND(LC61/CAC*KZ61,0)),0)</f>
        <v/>
      </c>
      <c r="LE61" s="12">
        <f>IF(LD61&gt;0,ROUND(LD61*ReferralMix/(1-ReferralMix),0),0)</f>
        <v/>
      </c>
      <c r="LF61" s="12">
        <f>LD61+LE61</f>
        <v/>
      </c>
      <c r="LG61" s="12">
        <f>ROUND(LF61*(1-AnnualMix),0)</f>
        <v/>
      </c>
      <c r="LH61" s="12">
        <f>LF61-LG61</f>
        <v/>
      </c>
      <c r="LI61" s="12">
        <f>ROUND(LG61*EssentialMix,0)</f>
        <v/>
      </c>
      <c r="LJ61" s="12">
        <f>LG61-LI61</f>
        <v/>
      </c>
      <c r="LK61" s="12">
        <f>ROUND(LH61*EssentialMix,0)</f>
        <v/>
      </c>
      <c r="LL61" s="12">
        <f>LH61-LK61</f>
        <v/>
      </c>
      <c r="LM61" s="12">
        <f>LI61+LI60+LI59+MAX(0,LM60-LI60-LI59)*(1-LB61)</f>
        <v/>
      </c>
      <c r="LN61" s="12">
        <f>LJ61+LJ60+LJ59+MAX(0,LN60-LJ60-LJ59)*(1-LB61)</f>
        <v/>
      </c>
      <c r="LO61" s="12">
        <f>LO60+LK61-LK49*(AnnualChurn*VLOOKUP(KX61,ChurnSeasonTable,4,FALSE))*POWER(1-(AnnualChurn*VLOOKUP(KX61,ChurnSeasonTable,4,FALSE)),0)+LK37*(AnnualChurn*VLOOKUP(KX61,ChurnSeasonTable,4,FALSE))*POWER(1-(AnnualChurn*VLOOKUP(KX61,ChurnSeasonTable,4,FALSE)),1)+LK25*(AnnualChurn*VLOOKUP(KX61,ChurnSeasonTable,4,FALSE))*POWER(1-(AnnualChurn*VLOOKUP(KX61,ChurnSeasonTable,4,FALSE)),2)+LK13*(AnnualChurn*VLOOKUP(KX61,ChurnSeasonTable,4,FALSE))*POWER(1-(AnnualChurn*VLOOKUP(KX61,ChurnSeasonTable,4,FALSE)),3)</f>
        <v/>
      </c>
      <c r="LP61" s="12">
        <f>LP60+LL61-LL49*(AnnualChurn*VLOOKUP(KX61,ChurnSeasonTable,4,FALSE))*POWER(1-(AnnualChurn*VLOOKUP(KX61,ChurnSeasonTable,4,FALSE)),0)+LL37*(AnnualChurn*VLOOKUP(KX61,ChurnSeasonTable,4,FALSE))*POWER(1-(AnnualChurn*VLOOKUP(KX61,ChurnSeasonTable,4,FALSE)),1)+LL25*(AnnualChurn*VLOOKUP(KX61,ChurnSeasonTable,4,FALSE))*POWER(1-(AnnualChurn*VLOOKUP(KX61,ChurnSeasonTable,4,FALSE)),2)+LL13*(AnnualChurn*VLOOKUP(KX61,ChurnSeasonTable,4,FALSE))*POWER(1-(AnnualChurn*VLOOKUP(KX61,ChurnSeasonTable,4,FALSE)),3)</f>
        <v/>
      </c>
      <c r="LQ61" s="12">
        <f>LM61+LN61+LO61+LP61</f>
        <v/>
      </c>
      <c r="LR61" s="9">
        <f>LM61*PriceEssMonthly*LA61+LN61*PricePremMonthly*LA61+LO61*PriceEssAnnual*LA61/12+LP61*PricePremAnnual*LA61/12</f>
        <v/>
      </c>
      <c r="LS61" s="9">
        <f>LR61*12</f>
        <v/>
      </c>
      <c r="LT61" s="12">
        <f>LM61*PriceEssMonthly*LA61+LN61*PricePremMonthly*LA61</f>
        <v/>
      </c>
      <c r="LU61" s="12">
        <f>LK61*PriceEssAnnual*LA61+LL61*PricePremAnnual*LA61</f>
        <v/>
      </c>
      <c r="LV61" s="12">
        <f>LK49*POWER(1-(AnnualChurn*VLOOKUP(KX61,ChurnSeasonTable,4,FALSE)),1)*PriceEssAnnual*LA61+LK37*POWER(1-(AnnualChurn*VLOOKUP(KX61,ChurnSeasonTable,4,FALSE)),2)*PriceEssAnnual*LA61+LK25*POWER(1-(AnnualChurn*VLOOKUP(KX61,ChurnSeasonTable,4,FALSE)),3)*PriceEssAnnual*LA61+LK13*POWER(1-(AnnualChurn*VLOOKUP(KX61,ChurnSeasonTable,4,FALSE)),4)*PriceEssAnnual*LA61+LL49*POWER(1-(AnnualChurn*VLOOKUP(KX61,ChurnSeasonTable,4,FALSE)),1)*PricePremAnnual*LA61+LL37*POWER(1-(AnnualChurn*VLOOKUP(KX61,ChurnSeasonTable,4,FALSE)),2)*PricePremAnnual*LA61+LL25*POWER(1-(AnnualChurn*VLOOKUP(KX61,ChurnSeasonTable,4,FALSE)),3)*PricePremAnnual*LA61+LL13*POWER(1-(AnnualChurn*VLOOKUP(KX61,ChurnSeasonTable,4,FALSE)),4)*PricePremAnnual*LA61</f>
        <v/>
      </c>
      <c r="LW61" s="9">
        <f>LT61+LU61+LV61</f>
        <v/>
      </c>
      <c r="LX61" s="12">
        <f>SUM(LW50:LW61)</f>
        <v/>
      </c>
      <c r="LY61" s="12">
        <f>OR(LY60,LX61&gt;=VATThreshold)</f>
        <v/>
      </c>
      <c r="LZ61" s="9">
        <f>IF(LY61,LW61/(1+VATRate),LW61)</f>
        <v/>
      </c>
      <c r="MA61" s="12">
        <f>LW61-LZ61</f>
        <v/>
      </c>
      <c r="MB61" s="12">
        <f>IF(LY61=0,0,IF(KX61=1,SUMPRODUCT(--(($KY$5:$KY61=$KY61-1)*($KX$5:$KX61&gt;=10)*($KX$5:$KX61&lt;=12)),$MA$5:$MA61),IF(KX61=4,SUMPRODUCT(--(($KY$5:$KY61=$KY61)*($KX$5:$KX61&gt;=1)*($KX$5:$KX61&lt;=3)),$MA$5:$MA61),IF(KX61=7,SUMPRODUCT(--(($KY$5:$KY61=$KY61)*($KX$5:$KX61&gt;=4)*($KX$5:$KX61&lt;=6)),$MA$5:$MA61),IF(KX61=10,SUMPRODUCT(--(($KY$5:$KY61=$KY61)*($KX$5:$KX61&gt;=7)*($KX$5:$KX61&lt;=9)),$MA$5:$MA61),0)))))</f>
        <v/>
      </c>
      <c r="MC61" s="12">
        <f>MC60+MA61-MB61</f>
        <v/>
      </c>
      <c r="MD61" s="12">
        <f>IF(ProviderDelay&gt;=1,LZ60*ProviderShare,LZ61*ProviderShare)</f>
        <v/>
      </c>
      <c r="ME61" s="12">
        <f>LW61*PaymentFee</f>
        <v/>
      </c>
      <c r="MF61" s="12">
        <f>LQ61*OpsAI</f>
        <v/>
      </c>
      <c r="MG61" s="12">
        <f>MonthlyFixed</f>
        <v/>
      </c>
      <c r="MH61" s="12">
        <f>LE61*ReferralReward</f>
        <v/>
      </c>
      <c r="MI61" s="12">
        <f>LC61</f>
        <v/>
      </c>
      <c r="MJ61" s="9">
        <f>LZ61-MD61-ME61-MF61-MG61-MH61-MI61</f>
        <v/>
      </c>
      <c r="MK61" s="9">
        <f>MK60+LW61-(MD61+ME61+MF61+MG61+MH61+MI61+MB61)</f>
        <v/>
      </c>
      <c r="ML61" s="12">
        <f>IF(LQ61&gt;0,LR61/LQ61,0)</f>
        <v/>
      </c>
      <c r="MM61" s="11">
        <f>IF(LQ60&gt;0,MAX(0,(LQ60+LF61-LQ61)/LQ60),0)</f>
        <v/>
      </c>
      <c r="MO61" s="12" t="n">
        <v>57</v>
      </c>
      <c r="MP61" s="12">
        <f>MOD(MO61-1+LaunchMonth-1,12)+1</f>
        <v/>
      </c>
      <c r="MQ61" s="12">
        <f>INT((MO61-1+LaunchMonth-1)/12)+1</f>
        <v/>
      </c>
      <c r="MR61" s="12">
        <f>VLOOKUP(MP61,SeasonTable,2,FALSE)</f>
        <v/>
      </c>
      <c r="MS61" s="12">
        <f>(1+InflationRate)^INT((MO61-1)/12)</f>
        <v/>
      </c>
      <c r="MT61" s="11">
        <f>'Sens - Churn'!$A$18*VLOOKUP(MP61,ChurnSeasonTable,4,FALSE)</f>
        <v/>
      </c>
      <c r="MU61" s="12">
        <f>MIN(MAX(MktMin19plus,NO60*MktPct19plus),MAX(0,OC60-CashBuffer))</f>
        <v/>
      </c>
      <c r="MV61" s="12">
        <f>IF(MU61&gt;0,MAX(1,ROUND(MU61/CAC*MR61,0)),0)</f>
        <v/>
      </c>
      <c r="MW61" s="12">
        <f>IF(MV61&gt;0,ROUND(MV61*ReferralMix/(1-ReferralMix),0),0)</f>
        <v/>
      </c>
      <c r="MX61" s="12">
        <f>MV61+MW61</f>
        <v/>
      </c>
      <c r="MY61" s="12">
        <f>ROUND(MX61*(1-AnnualMix),0)</f>
        <v/>
      </c>
      <c r="MZ61" s="12">
        <f>MX61-MY61</f>
        <v/>
      </c>
      <c r="NA61" s="12">
        <f>ROUND(MY61*EssentialMix,0)</f>
        <v/>
      </c>
      <c r="NB61" s="12">
        <f>MY61-NA61</f>
        <v/>
      </c>
      <c r="NC61" s="12">
        <f>ROUND(MZ61*EssentialMix,0)</f>
        <v/>
      </c>
      <c r="ND61" s="12">
        <f>MZ61-NC61</f>
        <v/>
      </c>
      <c r="NE61" s="12">
        <f>NA61+NA60+NA59+MAX(0,NE60-NA60-NA59)*(1-MT61)</f>
        <v/>
      </c>
      <c r="NF61" s="12">
        <f>NB61+NB60+NB59+MAX(0,NF60-NB60-NB59)*(1-MT61)</f>
        <v/>
      </c>
      <c r="NG61" s="12">
        <f>NG60+NC61-NC49*(AnnualChurn*VLOOKUP(MP61,ChurnSeasonTable,4,FALSE))*POWER(1-(AnnualChurn*VLOOKUP(MP61,ChurnSeasonTable,4,FALSE)),0)+NC37*(AnnualChurn*VLOOKUP(MP61,ChurnSeasonTable,4,FALSE))*POWER(1-(AnnualChurn*VLOOKUP(MP61,ChurnSeasonTable,4,FALSE)),1)+NC25*(AnnualChurn*VLOOKUP(MP61,ChurnSeasonTable,4,FALSE))*POWER(1-(AnnualChurn*VLOOKUP(MP61,ChurnSeasonTable,4,FALSE)),2)+NC13*(AnnualChurn*VLOOKUP(MP61,ChurnSeasonTable,4,FALSE))*POWER(1-(AnnualChurn*VLOOKUP(MP61,ChurnSeasonTable,4,FALSE)),3)</f>
        <v/>
      </c>
      <c r="NH61" s="12">
        <f>NH60+ND61-ND49*(AnnualChurn*VLOOKUP(MP61,ChurnSeasonTable,4,FALSE))*POWER(1-(AnnualChurn*VLOOKUP(MP61,ChurnSeasonTable,4,FALSE)),0)+ND37*(AnnualChurn*VLOOKUP(MP61,ChurnSeasonTable,4,FALSE))*POWER(1-(AnnualChurn*VLOOKUP(MP61,ChurnSeasonTable,4,FALSE)),1)+ND25*(AnnualChurn*VLOOKUP(MP61,ChurnSeasonTable,4,FALSE))*POWER(1-(AnnualChurn*VLOOKUP(MP61,ChurnSeasonTable,4,FALSE)),2)+ND13*(AnnualChurn*VLOOKUP(MP61,ChurnSeasonTable,4,FALSE))*POWER(1-(AnnualChurn*VLOOKUP(MP61,ChurnSeasonTable,4,FALSE)),3)</f>
        <v/>
      </c>
      <c r="NI61" s="12">
        <f>NE61+NF61+NG61+NH61</f>
        <v/>
      </c>
      <c r="NJ61" s="9">
        <f>NE61*PriceEssMonthly*MS61+NF61*PricePremMonthly*MS61+NG61*PriceEssAnnual*MS61/12+NH61*PricePremAnnual*MS61/12</f>
        <v/>
      </c>
      <c r="NK61" s="9">
        <f>NJ61*12</f>
        <v/>
      </c>
      <c r="NL61" s="12">
        <f>NE61*PriceEssMonthly*MS61+NF61*PricePremMonthly*MS61</f>
        <v/>
      </c>
      <c r="NM61" s="12">
        <f>NC61*PriceEssAnnual*MS61+ND61*PricePremAnnual*MS61</f>
        <v/>
      </c>
      <c r="NN61" s="12">
        <f>NC49*POWER(1-(AnnualChurn*VLOOKUP(MP61,ChurnSeasonTable,4,FALSE)),1)*PriceEssAnnual*MS61+NC37*POWER(1-(AnnualChurn*VLOOKUP(MP61,ChurnSeasonTable,4,FALSE)),2)*PriceEssAnnual*MS61+NC25*POWER(1-(AnnualChurn*VLOOKUP(MP61,ChurnSeasonTable,4,FALSE)),3)*PriceEssAnnual*MS61+NC13*POWER(1-(AnnualChurn*VLOOKUP(MP61,ChurnSeasonTable,4,FALSE)),4)*PriceEssAnnual*MS61+ND49*POWER(1-(AnnualChurn*VLOOKUP(MP61,ChurnSeasonTable,4,FALSE)),1)*PricePremAnnual*MS61+ND37*POWER(1-(AnnualChurn*VLOOKUP(MP61,ChurnSeasonTable,4,FALSE)),2)*PricePremAnnual*MS61+ND25*POWER(1-(AnnualChurn*VLOOKUP(MP61,ChurnSeasonTable,4,FALSE)),3)*PricePremAnnual*MS61+ND13*POWER(1-(AnnualChurn*VLOOKUP(MP61,ChurnSeasonTable,4,FALSE)),4)*PricePremAnnual*MS61</f>
        <v/>
      </c>
      <c r="NO61" s="9">
        <f>NL61+NM61+NN61</f>
        <v/>
      </c>
      <c r="NP61" s="12">
        <f>SUM(NO50:NO61)</f>
        <v/>
      </c>
      <c r="NQ61" s="12">
        <f>OR(NQ60,NP61&gt;=VATThreshold)</f>
        <v/>
      </c>
      <c r="NR61" s="9">
        <f>IF(NQ61,NO61/(1+VATRate),NO61)</f>
        <v/>
      </c>
      <c r="NS61" s="12">
        <f>NO61-NR61</f>
        <v/>
      </c>
      <c r="NT61" s="12">
        <f>IF(NQ61=0,0,IF(MP61=1,SUMPRODUCT(--(($MQ$5:$MQ61=$MQ61-1)*($MP$5:$MP61&gt;=10)*($MP$5:$MP61&lt;=12)),$NS$5:$NS61),IF(MP61=4,SUMPRODUCT(--(($MQ$5:$MQ61=$MQ61)*($MP$5:$MP61&gt;=1)*($MP$5:$MP61&lt;=3)),$NS$5:$NS61),IF(MP61=7,SUMPRODUCT(--(($MQ$5:$MQ61=$MQ61)*($MP$5:$MP61&gt;=4)*($MP$5:$MP61&lt;=6)),$NS$5:$NS61),IF(MP61=10,SUMPRODUCT(--(($MQ$5:$MQ61=$MQ61)*($MP$5:$MP61&gt;=7)*($MP$5:$MP61&lt;=9)),$NS$5:$NS61),0)))))</f>
        <v/>
      </c>
      <c r="NU61" s="12">
        <f>NU60+NS61-NT61</f>
        <v/>
      </c>
      <c r="NV61" s="12">
        <f>IF(ProviderDelay&gt;=1,NR60*ProviderShare,NR61*ProviderShare)</f>
        <v/>
      </c>
      <c r="NW61" s="12">
        <f>NO61*PaymentFee</f>
        <v/>
      </c>
      <c r="NX61" s="12">
        <f>NI61*OpsAI</f>
        <v/>
      </c>
      <c r="NY61" s="12">
        <f>MonthlyFixed</f>
        <v/>
      </c>
      <c r="NZ61" s="12">
        <f>MW61*ReferralReward</f>
        <v/>
      </c>
      <c r="OA61" s="12">
        <f>MU61</f>
        <v/>
      </c>
      <c r="OB61" s="9">
        <f>NR61-NV61-NW61-NX61-NY61-NZ61-OA61</f>
        <v/>
      </c>
      <c r="OC61" s="9">
        <f>OC60+NO61-(NV61+NW61+NX61+NY61+NZ61+OA61+NT61)</f>
        <v/>
      </c>
      <c r="OD61" s="12">
        <f>IF(NI61&gt;0,NJ61/NI61,0)</f>
        <v/>
      </c>
      <c r="OE61" s="11">
        <f>IF(NI60&gt;0,MAX(0,(NI60+MX61-NI61)/NI60),0)</f>
        <v/>
      </c>
      <c r="OG61" s="12" t="n">
        <v>57</v>
      </c>
      <c r="OH61" s="12">
        <f>MOD(OG61-1+LaunchMonth-1,12)+1</f>
        <v/>
      </c>
      <c r="OI61" s="12">
        <f>INT((OG61-1+LaunchMonth-1)/12)+1</f>
        <v/>
      </c>
      <c r="OJ61" s="12">
        <f>VLOOKUP(OH61,SeasonTable,2,FALSE)</f>
        <v/>
      </c>
      <c r="OK61" s="12">
        <f>(1+InflationRate)^INT((OG61-1)/12)</f>
        <v/>
      </c>
      <c r="OL61" s="11">
        <f>'Sens - Churn'!$A$19*VLOOKUP(OH61,ChurnSeasonTable,4,FALSE)</f>
        <v/>
      </c>
      <c r="OM61" s="12">
        <f>MIN(MAX(MktMin19plus,PG60*MktPct19plus),MAX(0,PU60-CashBuffer))</f>
        <v/>
      </c>
      <c r="ON61" s="12">
        <f>IF(OM61&gt;0,MAX(1,ROUND(OM61/CAC*OJ61,0)),0)</f>
        <v/>
      </c>
      <c r="OO61" s="12">
        <f>IF(ON61&gt;0,ROUND(ON61*ReferralMix/(1-ReferralMix),0),0)</f>
        <v/>
      </c>
      <c r="OP61" s="12">
        <f>ON61+OO61</f>
        <v/>
      </c>
      <c r="OQ61" s="12">
        <f>ROUND(OP61*(1-AnnualMix),0)</f>
        <v/>
      </c>
      <c r="OR61" s="12">
        <f>OP61-OQ61</f>
        <v/>
      </c>
      <c r="OS61" s="12">
        <f>ROUND(OQ61*EssentialMix,0)</f>
        <v/>
      </c>
      <c r="OT61" s="12">
        <f>OQ61-OS61</f>
        <v/>
      </c>
      <c r="OU61" s="12">
        <f>ROUND(OR61*EssentialMix,0)</f>
        <v/>
      </c>
      <c r="OV61" s="12">
        <f>OR61-OU61</f>
        <v/>
      </c>
      <c r="OW61" s="12">
        <f>OS61+OS60+OS59+MAX(0,OW60-OS60-OS59)*(1-OL61)</f>
        <v/>
      </c>
      <c r="OX61" s="12">
        <f>OT61+OT60+OT59+MAX(0,OX60-OT60-OT59)*(1-OL61)</f>
        <v/>
      </c>
      <c r="OY61" s="12">
        <f>OY60+OU61-OU49*(AnnualChurn*VLOOKUP(OH61,ChurnSeasonTable,4,FALSE))*POWER(1-(AnnualChurn*VLOOKUP(OH61,ChurnSeasonTable,4,FALSE)),0)+OU37*(AnnualChurn*VLOOKUP(OH61,ChurnSeasonTable,4,FALSE))*POWER(1-(AnnualChurn*VLOOKUP(OH61,ChurnSeasonTable,4,FALSE)),1)+OU25*(AnnualChurn*VLOOKUP(OH61,ChurnSeasonTable,4,FALSE))*POWER(1-(AnnualChurn*VLOOKUP(OH61,ChurnSeasonTable,4,FALSE)),2)+OU13*(AnnualChurn*VLOOKUP(OH61,ChurnSeasonTable,4,FALSE))*POWER(1-(AnnualChurn*VLOOKUP(OH61,ChurnSeasonTable,4,FALSE)),3)</f>
        <v/>
      </c>
      <c r="OZ61" s="12">
        <f>OZ60+OV61-OV49*(AnnualChurn*VLOOKUP(OH61,ChurnSeasonTable,4,FALSE))*POWER(1-(AnnualChurn*VLOOKUP(OH61,ChurnSeasonTable,4,FALSE)),0)+OV37*(AnnualChurn*VLOOKUP(OH61,ChurnSeasonTable,4,FALSE))*POWER(1-(AnnualChurn*VLOOKUP(OH61,ChurnSeasonTable,4,FALSE)),1)+OV25*(AnnualChurn*VLOOKUP(OH61,ChurnSeasonTable,4,FALSE))*POWER(1-(AnnualChurn*VLOOKUP(OH61,ChurnSeasonTable,4,FALSE)),2)+OV13*(AnnualChurn*VLOOKUP(OH61,ChurnSeasonTable,4,FALSE))*POWER(1-(AnnualChurn*VLOOKUP(OH61,ChurnSeasonTable,4,FALSE)),3)</f>
        <v/>
      </c>
      <c r="PA61" s="12">
        <f>OW61+OX61+OY61+OZ61</f>
        <v/>
      </c>
      <c r="PB61" s="9">
        <f>OW61*PriceEssMonthly*OK61+OX61*PricePremMonthly*OK61+OY61*PriceEssAnnual*OK61/12+OZ61*PricePremAnnual*OK61/12</f>
        <v/>
      </c>
      <c r="PC61" s="9">
        <f>PB61*12</f>
        <v/>
      </c>
      <c r="PD61" s="12">
        <f>OW61*PriceEssMonthly*OK61+OX61*PricePremMonthly*OK61</f>
        <v/>
      </c>
      <c r="PE61" s="12">
        <f>OU61*PriceEssAnnual*OK61+OV61*PricePremAnnual*OK61</f>
        <v/>
      </c>
      <c r="PF61" s="12">
        <f>OU49*POWER(1-(AnnualChurn*VLOOKUP(OH61,ChurnSeasonTable,4,FALSE)),1)*PriceEssAnnual*OK61+OU37*POWER(1-(AnnualChurn*VLOOKUP(OH61,ChurnSeasonTable,4,FALSE)),2)*PriceEssAnnual*OK61+OU25*POWER(1-(AnnualChurn*VLOOKUP(OH61,ChurnSeasonTable,4,FALSE)),3)*PriceEssAnnual*OK61+OU13*POWER(1-(AnnualChurn*VLOOKUP(OH61,ChurnSeasonTable,4,FALSE)),4)*PriceEssAnnual*OK61+OV49*POWER(1-(AnnualChurn*VLOOKUP(OH61,ChurnSeasonTable,4,FALSE)),1)*PricePremAnnual*OK61+OV37*POWER(1-(AnnualChurn*VLOOKUP(OH61,ChurnSeasonTable,4,FALSE)),2)*PricePremAnnual*OK61+OV25*POWER(1-(AnnualChurn*VLOOKUP(OH61,ChurnSeasonTable,4,FALSE)),3)*PricePremAnnual*OK61+OV13*POWER(1-(AnnualChurn*VLOOKUP(OH61,ChurnSeasonTable,4,FALSE)),4)*PricePremAnnual*OK61</f>
        <v/>
      </c>
      <c r="PG61" s="9">
        <f>PD61+PE61+PF61</f>
        <v/>
      </c>
      <c r="PH61" s="12">
        <f>SUM(PG50:PG61)</f>
        <v/>
      </c>
      <c r="PI61" s="12">
        <f>OR(PI60,PH61&gt;=VATThreshold)</f>
        <v/>
      </c>
      <c r="PJ61" s="9">
        <f>IF(PI61,PG61/(1+VATRate),PG61)</f>
        <v/>
      </c>
      <c r="PK61" s="12">
        <f>PG61-PJ61</f>
        <v/>
      </c>
      <c r="PL61" s="12">
        <f>IF(PI61=0,0,IF(OH61=1,SUMPRODUCT(--(($OI$5:$OI61=$OI61-1)*($OH$5:$OH61&gt;=10)*($OH$5:$OH61&lt;=12)),$PK$5:$PK61),IF(OH61=4,SUMPRODUCT(--(($OI$5:$OI61=$OI61)*($OH$5:$OH61&gt;=1)*($OH$5:$OH61&lt;=3)),$PK$5:$PK61),IF(OH61=7,SUMPRODUCT(--(($OI$5:$OI61=$OI61)*($OH$5:$OH61&gt;=4)*($OH$5:$OH61&lt;=6)),$PK$5:$PK61),IF(OH61=10,SUMPRODUCT(--(($OI$5:$OI61=$OI61)*($OH$5:$OH61&gt;=7)*($OH$5:$OH61&lt;=9)),$PK$5:$PK61),0)))))</f>
        <v/>
      </c>
      <c r="PM61" s="12">
        <f>PM60+PK61-PL61</f>
        <v/>
      </c>
      <c r="PN61" s="12">
        <f>IF(ProviderDelay&gt;=1,PJ60*ProviderShare,PJ61*ProviderShare)</f>
        <v/>
      </c>
      <c r="PO61" s="12">
        <f>PG61*PaymentFee</f>
        <v/>
      </c>
      <c r="PP61" s="12">
        <f>PA61*OpsAI</f>
        <v/>
      </c>
      <c r="PQ61" s="12">
        <f>MonthlyFixed</f>
        <v/>
      </c>
      <c r="PR61" s="12">
        <f>OO61*ReferralReward</f>
        <v/>
      </c>
      <c r="PS61" s="12">
        <f>OM61</f>
        <v/>
      </c>
      <c r="PT61" s="9">
        <f>PJ61-PN61-PO61-PP61-PQ61-PR61-PS61</f>
        <v/>
      </c>
      <c r="PU61" s="9">
        <f>PU60+PG61-(PN61+PO61+PP61+PQ61+PR61+PS61+PL61)</f>
        <v/>
      </c>
      <c r="PV61" s="12">
        <f>IF(PA61&gt;0,PB61/PA61,0)</f>
        <v/>
      </c>
      <c r="PW61" s="11">
        <f>IF(PA60&gt;0,MAX(0,(PA60+OP61-PA61)/PA60),0)</f>
        <v/>
      </c>
      <c r="PY61" s="12" t="n">
        <v>57</v>
      </c>
      <c r="PZ61" s="12">
        <f>MOD(PY61-1+LaunchMonth-1,12)+1</f>
        <v/>
      </c>
      <c r="QA61" s="12">
        <f>INT((PY61-1+LaunchMonth-1)/12)+1</f>
        <v/>
      </c>
      <c r="QB61" s="12">
        <f>VLOOKUP(PZ61,SeasonTable,2,FALSE)</f>
        <v/>
      </c>
      <c r="QC61" s="12">
        <f>(1+InflationRate)^INT((PY61-1)/12)</f>
        <v/>
      </c>
      <c r="QD61" s="11">
        <f>'Sens - Churn'!$A$20*VLOOKUP(PZ61,ChurnSeasonTable,4,FALSE)</f>
        <v/>
      </c>
      <c r="QE61" s="12">
        <f>MIN(MAX(MktMin19plus,QY60*MktPct19plus),MAX(0,RM60-CashBuffer))</f>
        <v/>
      </c>
      <c r="QF61" s="12">
        <f>IF(QE61&gt;0,MAX(1,ROUND(QE61/CAC*QB61,0)),0)</f>
        <v/>
      </c>
      <c r="QG61" s="12">
        <f>IF(QF61&gt;0,ROUND(QF61*ReferralMix/(1-ReferralMix),0),0)</f>
        <v/>
      </c>
      <c r="QH61" s="12">
        <f>QF61+QG61</f>
        <v/>
      </c>
      <c r="QI61" s="12">
        <f>ROUND(QH61*(1-AnnualMix),0)</f>
        <v/>
      </c>
      <c r="QJ61" s="12">
        <f>QH61-QI61</f>
        <v/>
      </c>
      <c r="QK61" s="12">
        <f>ROUND(QI61*EssentialMix,0)</f>
        <v/>
      </c>
      <c r="QL61" s="12">
        <f>QI61-QK61</f>
        <v/>
      </c>
      <c r="QM61" s="12">
        <f>ROUND(QJ61*EssentialMix,0)</f>
        <v/>
      </c>
      <c r="QN61" s="12">
        <f>QJ61-QM61</f>
        <v/>
      </c>
      <c r="QO61" s="12">
        <f>QK61+QK60+QK59+MAX(0,QO60-QK60-QK59)*(1-QD61)</f>
        <v/>
      </c>
      <c r="QP61" s="12">
        <f>QL61+QL60+QL59+MAX(0,QP60-QL60-QL59)*(1-QD61)</f>
        <v/>
      </c>
      <c r="QQ61" s="12">
        <f>QQ60+QM61-QM49*(AnnualChurn*VLOOKUP(PZ61,ChurnSeasonTable,4,FALSE))*POWER(1-(AnnualChurn*VLOOKUP(PZ61,ChurnSeasonTable,4,FALSE)),0)+QM37*(AnnualChurn*VLOOKUP(PZ61,ChurnSeasonTable,4,FALSE))*POWER(1-(AnnualChurn*VLOOKUP(PZ61,ChurnSeasonTable,4,FALSE)),1)+QM25*(AnnualChurn*VLOOKUP(PZ61,ChurnSeasonTable,4,FALSE))*POWER(1-(AnnualChurn*VLOOKUP(PZ61,ChurnSeasonTable,4,FALSE)),2)+QM13*(AnnualChurn*VLOOKUP(PZ61,ChurnSeasonTable,4,FALSE))*POWER(1-(AnnualChurn*VLOOKUP(PZ61,ChurnSeasonTable,4,FALSE)),3)</f>
        <v/>
      </c>
      <c r="QR61" s="12">
        <f>QR60+QN61-QN49*(AnnualChurn*VLOOKUP(PZ61,ChurnSeasonTable,4,FALSE))*POWER(1-(AnnualChurn*VLOOKUP(PZ61,ChurnSeasonTable,4,FALSE)),0)+QN37*(AnnualChurn*VLOOKUP(PZ61,ChurnSeasonTable,4,FALSE))*POWER(1-(AnnualChurn*VLOOKUP(PZ61,ChurnSeasonTable,4,FALSE)),1)+QN25*(AnnualChurn*VLOOKUP(PZ61,ChurnSeasonTable,4,FALSE))*POWER(1-(AnnualChurn*VLOOKUP(PZ61,ChurnSeasonTable,4,FALSE)),2)+QN13*(AnnualChurn*VLOOKUP(PZ61,ChurnSeasonTable,4,FALSE))*POWER(1-(AnnualChurn*VLOOKUP(PZ61,ChurnSeasonTable,4,FALSE)),3)</f>
        <v/>
      </c>
      <c r="QS61" s="12">
        <f>QO61+QP61+QQ61+QR61</f>
        <v/>
      </c>
      <c r="QT61" s="9">
        <f>QO61*PriceEssMonthly*QC61+QP61*PricePremMonthly*QC61+QQ61*PriceEssAnnual*QC61/12+QR61*PricePremAnnual*QC61/12</f>
        <v/>
      </c>
      <c r="QU61" s="9">
        <f>QT61*12</f>
        <v/>
      </c>
      <c r="QV61" s="12">
        <f>QO61*PriceEssMonthly*QC61+QP61*PricePremMonthly*QC61</f>
        <v/>
      </c>
      <c r="QW61" s="12">
        <f>QM61*PriceEssAnnual*QC61+QN61*PricePremAnnual*QC61</f>
        <v/>
      </c>
      <c r="QX61" s="12">
        <f>QM49*POWER(1-(AnnualChurn*VLOOKUP(PZ61,ChurnSeasonTable,4,FALSE)),1)*PriceEssAnnual*QC61+QM37*POWER(1-(AnnualChurn*VLOOKUP(PZ61,ChurnSeasonTable,4,FALSE)),2)*PriceEssAnnual*QC61+QM25*POWER(1-(AnnualChurn*VLOOKUP(PZ61,ChurnSeasonTable,4,FALSE)),3)*PriceEssAnnual*QC61+QM13*POWER(1-(AnnualChurn*VLOOKUP(PZ61,ChurnSeasonTable,4,FALSE)),4)*PriceEssAnnual*QC61+QN49*POWER(1-(AnnualChurn*VLOOKUP(PZ61,ChurnSeasonTable,4,FALSE)),1)*PricePremAnnual*QC61+QN37*POWER(1-(AnnualChurn*VLOOKUP(PZ61,ChurnSeasonTable,4,FALSE)),2)*PricePremAnnual*QC61+QN25*POWER(1-(AnnualChurn*VLOOKUP(PZ61,ChurnSeasonTable,4,FALSE)),3)*PricePremAnnual*QC61+QN13*POWER(1-(AnnualChurn*VLOOKUP(PZ61,ChurnSeasonTable,4,FALSE)),4)*PricePremAnnual*QC61</f>
        <v/>
      </c>
      <c r="QY61" s="9">
        <f>QV61+QW61+QX61</f>
        <v/>
      </c>
      <c r="QZ61" s="12">
        <f>SUM(QY50:QY61)</f>
        <v/>
      </c>
      <c r="RA61" s="12">
        <f>OR(RA60,QZ61&gt;=VATThreshold)</f>
        <v/>
      </c>
      <c r="RB61" s="9">
        <f>IF(RA61,QY61/(1+VATRate),QY61)</f>
        <v/>
      </c>
      <c r="RC61" s="12">
        <f>QY61-RB61</f>
        <v/>
      </c>
      <c r="RD61" s="12">
        <f>IF(RA61=0,0,IF(PZ61=1,SUMPRODUCT(--(($QA$5:$QA61=$QA61-1)*($PZ$5:$PZ61&gt;=10)*($PZ$5:$PZ61&lt;=12)),$RC$5:$RC61),IF(PZ61=4,SUMPRODUCT(--(($QA$5:$QA61=$QA61)*($PZ$5:$PZ61&gt;=1)*($PZ$5:$PZ61&lt;=3)),$RC$5:$RC61),IF(PZ61=7,SUMPRODUCT(--(($QA$5:$QA61=$QA61)*($PZ$5:$PZ61&gt;=4)*($PZ$5:$PZ61&lt;=6)),$RC$5:$RC61),IF(PZ61=10,SUMPRODUCT(--(($QA$5:$QA61=$QA61)*($PZ$5:$PZ61&gt;=7)*($PZ$5:$PZ61&lt;=9)),$RC$5:$RC61),0)))))</f>
        <v/>
      </c>
      <c r="RE61" s="12">
        <f>RE60+RC61-RD61</f>
        <v/>
      </c>
      <c r="RF61" s="12">
        <f>IF(ProviderDelay&gt;=1,RB60*ProviderShare,RB61*ProviderShare)</f>
        <v/>
      </c>
      <c r="RG61" s="12">
        <f>QY61*PaymentFee</f>
        <v/>
      </c>
      <c r="RH61" s="12">
        <f>QS61*OpsAI</f>
        <v/>
      </c>
      <c r="RI61" s="12">
        <f>MonthlyFixed</f>
        <v/>
      </c>
      <c r="RJ61" s="12">
        <f>QG61*ReferralReward</f>
        <v/>
      </c>
      <c r="RK61" s="12">
        <f>QE61</f>
        <v/>
      </c>
      <c r="RL61" s="9">
        <f>RB61-RF61-RG61-RH61-RI61-RJ61-RK61</f>
        <v/>
      </c>
      <c r="RM61" s="9">
        <f>RM60+QY61-(RF61+RG61+RH61+RI61+RJ61+RK61+RD61)</f>
        <v/>
      </c>
      <c r="RN61" s="12">
        <f>IF(QS61&gt;0,QT61/QS61,0)</f>
        <v/>
      </c>
      <c r="RO61" s="11">
        <f>IF(QS60&gt;0,MAX(0,(QS60+QH61-QS61)/QS60),0)</f>
        <v/>
      </c>
      <c r="RQ61" s="12" t="n">
        <v>57</v>
      </c>
      <c r="RR61" s="12">
        <f>MOD(RQ61-1+LaunchMonth-1,12)+1</f>
        <v/>
      </c>
      <c r="RS61" s="12">
        <f>INT((RQ61-1+LaunchMonth-1)/12)+1</f>
        <v/>
      </c>
      <c r="RT61" s="12">
        <f>VLOOKUP(RR61,SeasonTable,2,FALSE)</f>
        <v/>
      </c>
      <c r="RU61" s="12">
        <f>(1+InflationRate)^INT((RQ61-1)/12)</f>
        <v/>
      </c>
      <c r="RV61" s="11">
        <f>'Sens - Churn'!$A$21*VLOOKUP(RR61,ChurnSeasonTable,4,FALSE)</f>
        <v/>
      </c>
      <c r="RW61" s="12">
        <f>MIN(MAX(MktMin19plus,SQ60*MktPct19plus),MAX(0,TE60-CashBuffer))</f>
        <v/>
      </c>
      <c r="RX61" s="12">
        <f>IF(RW61&gt;0,MAX(1,ROUND(RW61/CAC*RT61,0)),0)</f>
        <v/>
      </c>
      <c r="RY61" s="12">
        <f>IF(RX61&gt;0,ROUND(RX61*ReferralMix/(1-ReferralMix),0),0)</f>
        <v/>
      </c>
      <c r="RZ61" s="12">
        <f>RX61+RY61</f>
        <v/>
      </c>
      <c r="SA61" s="12">
        <f>ROUND(RZ61*(1-AnnualMix),0)</f>
        <v/>
      </c>
      <c r="SB61" s="12">
        <f>RZ61-SA61</f>
        <v/>
      </c>
      <c r="SC61" s="12">
        <f>ROUND(SA61*EssentialMix,0)</f>
        <v/>
      </c>
      <c r="SD61" s="12">
        <f>SA61-SC61</f>
        <v/>
      </c>
      <c r="SE61" s="12">
        <f>ROUND(SB61*EssentialMix,0)</f>
        <v/>
      </c>
      <c r="SF61" s="12">
        <f>SB61-SE61</f>
        <v/>
      </c>
      <c r="SG61" s="12">
        <f>SC61+SC60+SC59+MAX(0,SG60-SC60-SC59)*(1-RV61)</f>
        <v/>
      </c>
      <c r="SH61" s="12">
        <f>SD61+SD60+SD59+MAX(0,SH60-SD60-SD59)*(1-RV61)</f>
        <v/>
      </c>
      <c r="SI61" s="12">
        <f>SI60+SE61-SE49*(AnnualChurn*VLOOKUP(RR61,ChurnSeasonTable,4,FALSE))*POWER(1-(AnnualChurn*VLOOKUP(RR61,ChurnSeasonTable,4,FALSE)),0)+SE37*(AnnualChurn*VLOOKUP(RR61,ChurnSeasonTable,4,FALSE))*POWER(1-(AnnualChurn*VLOOKUP(RR61,ChurnSeasonTable,4,FALSE)),1)+SE25*(AnnualChurn*VLOOKUP(RR61,ChurnSeasonTable,4,FALSE))*POWER(1-(AnnualChurn*VLOOKUP(RR61,ChurnSeasonTable,4,FALSE)),2)+SE13*(AnnualChurn*VLOOKUP(RR61,ChurnSeasonTable,4,FALSE))*POWER(1-(AnnualChurn*VLOOKUP(RR61,ChurnSeasonTable,4,FALSE)),3)</f>
        <v/>
      </c>
      <c r="SJ61" s="12">
        <f>SJ60+SF61-SF49*(AnnualChurn*VLOOKUP(RR61,ChurnSeasonTable,4,FALSE))*POWER(1-(AnnualChurn*VLOOKUP(RR61,ChurnSeasonTable,4,FALSE)),0)+SF37*(AnnualChurn*VLOOKUP(RR61,ChurnSeasonTable,4,FALSE))*POWER(1-(AnnualChurn*VLOOKUP(RR61,ChurnSeasonTable,4,FALSE)),1)+SF25*(AnnualChurn*VLOOKUP(RR61,ChurnSeasonTable,4,FALSE))*POWER(1-(AnnualChurn*VLOOKUP(RR61,ChurnSeasonTable,4,FALSE)),2)+SF13*(AnnualChurn*VLOOKUP(RR61,ChurnSeasonTable,4,FALSE))*POWER(1-(AnnualChurn*VLOOKUP(RR61,ChurnSeasonTable,4,FALSE)),3)</f>
        <v/>
      </c>
      <c r="SK61" s="12">
        <f>SG61+SH61+SI61+SJ61</f>
        <v/>
      </c>
      <c r="SL61" s="9">
        <f>SG61*PriceEssMonthly*RU61+SH61*PricePremMonthly*RU61+SI61*PriceEssAnnual*RU61/12+SJ61*PricePremAnnual*RU61/12</f>
        <v/>
      </c>
      <c r="SM61" s="9">
        <f>SL61*12</f>
        <v/>
      </c>
      <c r="SN61" s="12">
        <f>SG61*PriceEssMonthly*RU61+SH61*PricePremMonthly*RU61</f>
        <v/>
      </c>
      <c r="SO61" s="12">
        <f>SE61*PriceEssAnnual*RU61+SF61*PricePremAnnual*RU61</f>
        <v/>
      </c>
      <c r="SP61" s="12">
        <f>SE49*POWER(1-(AnnualChurn*VLOOKUP(RR61,ChurnSeasonTable,4,FALSE)),1)*PriceEssAnnual*RU61+SE37*POWER(1-(AnnualChurn*VLOOKUP(RR61,ChurnSeasonTable,4,FALSE)),2)*PriceEssAnnual*RU61+SE25*POWER(1-(AnnualChurn*VLOOKUP(RR61,ChurnSeasonTable,4,FALSE)),3)*PriceEssAnnual*RU61+SE13*POWER(1-(AnnualChurn*VLOOKUP(RR61,ChurnSeasonTable,4,FALSE)),4)*PriceEssAnnual*RU61+SF49*POWER(1-(AnnualChurn*VLOOKUP(RR61,ChurnSeasonTable,4,FALSE)),1)*PricePremAnnual*RU61+SF37*POWER(1-(AnnualChurn*VLOOKUP(RR61,ChurnSeasonTable,4,FALSE)),2)*PricePremAnnual*RU61+SF25*POWER(1-(AnnualChurn*VLOOKUP(RR61,ChurnSeasonTable,4,FALSE)),3)*PricePremAnnual*RU61+SF13*POWER(1-(AnnualChurn*VLOOKUP(RR61,ChurnSeasonTable,4,FALSE)),4)*PricePremAnnual*RU61</f>
        <v/>
      </c>
      <c r="SQ61" s="9">
        <f>SN61+SO61+SP61</f>
        <v/>
      </c>
      <c r="SR61" s="12">
        <f>SUM(SQ50:SQ61)</f>
        <v/>
      </c>
      <c r="SS61" s="12">
        <f>OR(SS60,SR61&gt;=VATThreshold)</f>
        <v/>
      </c>
      <c r="ST61" s="9">
        <f>IF(SS61,SQ61/(1+VATRate),SQ61)</f>
        <v/>
      </c>
      <c r="SU61" s="12">
        <f>SQ61-ST61</f>
        <v/>
      </c>
      <c r="SV61" s="12">
        <f>IF(SS61=0,0,IF(RR61=1,SUMPRODUCT(--(($RS$5:$RS61=$RS61-1)*($RR$5:$RR61&gt;=10)*($RR$5:$RR61&lt;=12)),$SU$5:$SU61),IF(RR61=4,SUMPRODUCT(--(($RS$5:$RS61=$RS61)*($RR$5:$RR61&gt;=1)*($RR$5:$RR61&lt;=3)),$SU$5:$SU61),IF(RR61=7,SUMPRODUCT(--(($RS$5:$RS61=$RS61)*($RR$5:$RR61&gt;=4)*($RR$5:$RR61&lt;=6)),$SU$5:$SU61),IF(RR61=10,SUMPRODUCT(--(($RS$5:$RS61=$RS61)*($RR$5:$RR61&gt;=7)*($RR$5:$RR61&lt;=9)),$SU$5:$SU61),0)))))</f>
        <v/>
      </c>
      <c r="SW61" s="12">
        <f>SW60+SU61-SV61</f>
        <v/>
      </c>
      <c r="SX61" s="12">
        <f>IF(ProviderDelay&gt;=1,ST60*ProviderShare,ST61*ProviderShare)</f>
        <v/>
      </c>
      <c r="SY61" s="12">
        <f>SQ61*PaymentFee</f>
        <v/>
      </c>
      <c r="SZ61" s="12">
        <f>SK61*OpsAI</f>
        <v/>
      </c>
      <c r="TA61" s="12">
        <f>MonthlyFixed</f>
        <v/>
      </c>
      <c r="TB61" s="12">
        <f>RY61*ReferralReward</f>
        <v/>
      </c>
      <c r="TC61" s="12">
        <f>RW61</f>
        <v/>
      </c>
      <c r="TD61" s="9">
        <f>ST61-SX61-SY61-SZ61-TA61-TB61-TC61</f>
        <v/>
      </c>
      <c r="TE61" s="9">
        <f>TE60+SQ61-(SX61+SY61+SZ61+TA61+TB61+TC61+SV61)</f>
        <v/>
      </c>
      <c r="TF61" s="12">
        <f>IF(SK61&gt;0,SL61/SK61,0)</f>
        <v/>
      </c>
      <c r="TG61" s="11">
        <f>IF(SK60&gt;0,MAX(0,(SK60+RZ61-SK61)/SK60),0)</f>
        <v/>
      </c>
      <c r="TI61" s="12" t="n">
        <v>57</v>
      </c>
      <c r="TJ61" s="12">
        <f>MOD(TI61-1+LaunchMonth-1,12)+1</f>
        <v/>
      </c>
      <c r="TK61" s="12">
        <f>INT((TI61-1+LaunchMonth-1)/12)+1</f>
        <v/>
      </c>
      <c r="TL61" s="12">
        <f>VLOOKUP(TJ61,SeasonTable,2,FALSE)</f>
        <v/>
      </c>
      <c r="TM61" s="12">
        <f>(1+InflationRate)^INT((TI61-1)/12)</f>
        <v/>
      </c>
      <c r="TN61" s="11">
        <f>MonthlyChurn*VLOOKUP(TJ61,ChurnSeasonTable,4,FALSE)</f>
        <v/>
      </c>
      <c r="TO61" s="12">
        <f>MIN(MAX(MktMin19plus,UI60*MktPct19plus),MAX(0,UW60-CashBuffer))</f>
        <v/>
      </c>
      <c r="TP61" s="12">
        <f>IF(TO61&gt;0,MAX(1,ROUND(TO61/CAC*TL61,0)),0)</f>
        <v/>
      </c>
      <c r="TQ61" s="12">
        <f>IF(TP61&gt;0,ROUND(TP61*ReferralMix/(1-ReferralMix),0),0)</f>
        <v/>
      </c>
      <c r="TR61" s="12">
        <f>TP61+TQ61</f>
        <v/>
      </c>
      <c r="TS61" s="12">
        <f>ROUND(TR61*(1-'Sens - Annual Mix'!$A$9),0)</f>
        <v/>
      </c>
      <c r="TT61" s="12">
        <f>TR61-TS61</f>
        <v/>
      </c>
      <c r="TU61" s="12">
        <f>ROUND(TS61*EssentialMix,0)</f>
        <v/>
      </c>
      <c r="TV61" s="12">
        <f>TS61-TU61</f>
        <v/>
      </c>
      <c r="TW61" s="12">
        <f>ROUND(TT61*EssentialMix,0)</f>
        <v/>
      </c>
      <c r="TX61" s="12">
        <f>TT61-TW61</f>
        <v/>
      </c>
      <c r="TY61" s="12">
        <f>TU61+TU60+TU59+MAX(0,TY60-TU60-TU59)*(1-TN61)</f>
        <v/>
      </c>
      <c r="TZ61" s="12">
        <f>TV61+TV60+TV59+MAX(0,TZ60-TV60-TV59)*(1-TN61)</f>
        <v/>
      </c>
      <c r="UA61" s="12">
        <f>UA60+TW61-TW49*(AnnualChurn*VLOOKUP(TJ61,ChurnSeasonTable,4,FALSE))*POWER(1-(AnnualChurn*VLOOKUP(TJ61,ChurnSeasonTable,4,FALSE)),0)+TW37*(AnnualChurn*VLOOKUP(TJ61,ChurnSeasonTable,4,FALSE))*POWER(1-(AnnualChurn*VLOOKUP(TJ61,ChurnSeasonTable,4,FALSE)),1)+TW25*(AnnualChurn*VLOOKUP(TJ61,ChurnSeasonTable,4,FALSE))*POWER(1-(AnnualChurn*VLOOKUP(TJ61,ChurnSeasonTable,4,FALSE)),2)+TW13*(AnnualChurn*VLOOKUP(TJ61,ChurnSeasonTable,4,FALSE))*POWER(1-(AnnualChurn*VLOOKUP(TJ61,ChurnSeasonTable,4,FALSE)),3)</f>
        <v/>
      </c>
      <c r="UB61" s="12">
        <f>UB60+TX61-TX49*(AnnualChurn*VLOOKUP(TJ61,ChurnSeasonTable,4,FALSE))*POWER(1-(AnnualChurn*VLOOKUP(TJ61,ChurnSeasonTable,4,FALSE)),0)+TX37*(AnnualChurn*VLOOKUP(TJ61,ChurnSeasonTable,4,FALSE))*POWER(1-(AnnualChurn*VLOOKUP(TJ61,ChurnSeasonTable,4,FALSE)),1)+TX25*(AnnualChurn*VLOOKUP(TJ61,ChurnSeasonTable,4,FALSE))*POWER(1-(AnnualChurn*VLOOKUP(TJ61,ChurnSeasonTable,4,FALSE)),2)+TX13*(AnnualChurn*VLOOKUP(TJ61,ChurnSeasonTable,4,FALSE))*POWER(1-(AnnualChurn*VLOOKUP(TJ61,ChurnSeasonTable,4,FALSE)),3)</f>
        <v/>
      </c>
      <c r="UC61" s="12">
        <f>TY61+TZ61+UA61+UB61</f>
        <v/>
      </c>
      <c r="UD61" s="9">
        <f>TY61*PriceEssMonthly*TM61+TZ61*PricePremMonthly*TM61+UA61*PriceEssAnnual*TM61/12+UB61*PricePremAnnual*TM61/12</f>
        <v/>
      </c>
      <c r="UE61" s="9">
        <f>UD61*12</f>
        <v/>
      </c>
      <c r="UF61" s="12">
        <f>TY61*PriceEssMonthly*TM61+TZ61*PricePremMonthly*TM61</f>
        <v/>
      </c>
      <c r="UG61" s="12">
        <f>TW61*PriceEssAnnual*TM61+TX61*PricePremAnnual*TM61</f>
        <v/>
      </c>
      <c r="UH61" s="12">
        <f>TW49*POWER(1-(AnnualChurn*VLOOKUP(TJ61,ChurnSeasonTable,4,FALSE)),1)*PriceEssAnnual*TM61+TW37*POWER(1-(AnnualChurn*VLOOKUP(TJ61,ChurnSeasonTable,4,FALSE)),2)*PriceEssAnnual*TM61+TW25*POWER(1-(AnnualChurn*VLOOKUP(TJ61,ChurnSeasonTable,4,FALSE)),3)*PriceEssAnnual*TM61+TW13*POWER(1-(AnnualChurn*VLOOKUP(TJ61,ChurnSeasonTable,4,FALSE)),4)*PriceEssAnnual*TM61+TX49*POWER(1-(AnnualChurn*VLOOKUP(TJ61,ChurnSeasonTable,4,FALSE)),1)*PricePremAnnual*TM61+TX37*POWER(1-(AnnualChurn*VLOOKUP(TJ61,ChurnSeasonTable,4,FALSE)),2)*PricePremAnnual*TM61+TX25*POWER(1-(AnnualChurn*VLOOKUP(TJ61,ChurnSeasonTable,4,FALSE)),3)*PricePremAnnual*TM61+TX13*POWER(1-(AnnualChurn*VLOOKUP(TJ61,ChurnSeasonTable,4,FALSE)),4)*PricePremAnnual*TM61</f>
        <v/>
      </c>
      <c r="UI61" s="9">
        <f>UF61+UG61+UH61</f>
        <v/>
      </c>
      <c r="UJ61" s="12">
        <f>SUM(UI50:UI61)</f>
        <v/>
      </c>
      <c r="UK61" s="12">
        <f>OR(UK60,UJ61&gt;=VATThreshold)</f>
        <v/>
      </c>
      <c r="UL61" s="9">
        <f>IF(UK61,UI61/(1+VATRate),UI61)</f>
        <v/>
      </c>
      <c r="UM61" s="12">
        <f>UI61-UL61</f>
        <v/>
      </c>
      <c r="UN61" s="12">
        <f>IF(UK61=0,0,IF(TJ61=1,SUMPRODUCT(--(($TK$5:$TK61=$TK61-1)*($TJ$5:$TJ61&gt;=10)*($TJ$5:$TJ61&lt;=12)),$UM$5:$UM61),IF(TJ61=4,SUMPRODUCT(--(($TK$5:$TK61=$TK61)*($TJ$5:$TJ61&gt;=1)*($TJ$5:$TJ61&lt;=3)),$UM$5:$UM61),IF(TJ61=7,SUMPRODUCT(--(($TK$5:$TK61=$TK61)*($TJ$5:$TJ61&gt;=4)*($TJ$5:$TJ61&lt;=6)),$UM$5:$UM61),IF(TJ61=10,SUMPRODUCT(--(($TK$5:$TK61=$TK61)*($TJ$5:$TJ61&gt;=7)*($TJ$5:$TJ61&lt;=9)),$UM$5:$UM61),0)))))</f>
        <v/>
      </c>
      <c r="UO61" s="12">
        <f>UO60+UM61-UN61</f>
        <v/>
      </c>
      <c r="UP61" s="12">
        <f>IF(ProviderDelay&gt;=1,UL60*ProviderShare,UL61*ProviderShare)</f>
        <v/>
      </c>
      <c r="UQ61" s="12">
        <f>UI61*PaymentFee</f>
        <v/>
      </c>
      <c r="UR61" s="12">
        <f>UC61*OpsAI</f>
        <v/>
      </c>
      <c r="US61" s="12">
        <f>MonthlyFixed</f>
        <v/>
      </c>
      <c r="UT61" s="12">
        <f>TQ61*ReferralReward</f>
        <v/>
      </c>
      <c r="UU61" s="12">
        <f>TO61</f>
        <v/>
      </c>
      <c r="UV61" s="9">
        <f>UL61-UP61-UQ61-UR61-US61-UT61-UU61</f>
        <v/>
      </c>
      <c r="UW61" s="9">
        <f>UW60+UI61-(UP61+UQ61+UR61+US61+UT61+UU61+UN61)</f>
        <v/>
      </c>
      <c r="UX61" s="12">
        <f>IF(UC61&gt;0,UD61/UC61,0)</f>
        <v/>
      </c>
      <c r="UY61" s="11">
        <f>IF(UC60&gt;0,MAX(0,(UC60+TR61-UC61)/UC60),0)</f>
        <v/>
      </c>
      <c r="VA61" s="12" t="n">
        <v>57</v>
      </c>
      <c r="VB61" s="12">
        <f>MOD(VA61-1+LaunchMonth-1,12)+1</f>
        <v/>
      </c>
      <c r="VC61" s="12">
        <f>INT((VA61-1+LaunchMonth-1)/12)+1</f>
        <v/>
      </c>
      <c r="VD61" s="12">
        <f>VLOOKUP(VB61,SeasonTable,2,FALSE)</f>
        <v/>
      </c>
      <c r="VE61" s="12">
        <f>(1+InflationRate)^INT((VA61-1)/12)</f>
        <v/>
      </c>
      <c r="VF61" s="11">
        <f>MonthlyChurn*VLOOKUP(VB61,ChurnSeasonTable,4,FALSE)</f>
        <v/>
      </c>
      <c r="VG61" s="12">
        <f>MIN(MAX(MktMin19plus,WA60*MktPct19plus),MAX(0,WO60-CashBuffer))</f>
        <v/>
      </c>
      <c r="VH61" s="12">
        <f>IF(VG61&gt;0,MAX(1,ROUND(VG61/CAC*VD61,0)),0)</f>
        <v/>
      </c>
      <c r="VI61" s="12">
        <f>IF(VH61&gt;0,ROUND(VH61*ReferralMix/(1-ReferralMix),0),0)</f>
        <v/>
      </c>
      <c r="VJ61" s="12">
        <f>VH61+VI61</f>
        <v/>
      </c>
      <c r="VK61" s="12">
        <f>ROUND(VJ61*(1-'Sens - Annual Mix'!$A$10),0)</f>
        <v/>
      </c>
      <c r="VL61" s="12">
        <f>VJ61-VK61</f>
        <v/>
      </c>
      <c r="VM61" s="12">
        <f>ROUND(VK61*EssentialMix,0)</f>
        <v/>
      </c>
      <c r="VN61" s="12">
        <f>VK61-VM61</f>
        <v/>
      </c>
      <c r="VO61" s="12">
        <f>ROUND(VL61*EssentialMix,0)</f>
        <v/>
      </c>
      <c r="VP61" s="12">
        <f>VL61-VO61</f>
        <v/>
      </c>
      <c r="VQ61" s="12">
        <f>VM61+VM60+VM59+MAX(0,VQ60-VM60-VM59)*(1-VF61)</f>
        <v/>
      </c>
      <c r="VR61" s="12">
        <f>VN61+VN60+VN59+MAX(0,VR60-VN60-VN59)*(1-VF61)</f>
        <v/>
      </c>
      <c r="VS61" s="12">
        <f>VS60+VO61-VO49*(AnnualChurn*VLOOKUP(VB61,ChurnSeasonTable,4,FALSE))*POWER(1-(AnnualChurn*VLOOKUP(VB61,ChurnSeasonTable,4,FALSE)),0)+VO37*(AnnualChurn*VLOOKUP(VB61,ChurnSeasonTable,4,FALSE))*POWER(1-(AnnualChurn*VLOOKUP(VB61,ChurnSeasonTable,4,FALSE)),1)+VO25*(AnnualChurn*VLOOKUP(VB61,ChurnSeasonTable,4,FALSE))*POWER(1-(AnnualChurn*VLOOKUP(VB61,ChurnSeasonTable,4,FALSE)),2)+VO13*(AnnualChurn*VLOOKUP(VB61,ChurnSeasonTable,4,FALSE))*POWER(1-(AnnualChurn*VLOOKUP(VB61,ChurnSeasonTable,4,FALSE)),3)</f>
        <v/>
      </c>
      <c r="VT61" s="12">
        <f>VT60+VP61-VP49*(AnnualChurn*VLOOKUP(VB61,ChurnSeasonTable,4,FALSE))*POWER(1-(AnnualChurn*VLOOKUP(VB61,ChurnSeasonTable,4,FALSE)),0)+VP37*(AnnualChurn*VLOOKUP(VB61,ChurnSeasonTable,4,FALSE))*POWER(1-(AnnualChurn*VLOOKUP(VB61,ChurnSeasonTable,4,FALSE)),1)+VP25*(AnnualChurn*VLOOKUP(VB61,ChurnSeasonTable,4,FALSE))*POWER(1-(AnnualChurn*VLOOKUP(VB61,ChurnSeasonTable,4,FALSE)),2)+VP13*(AnnualChurn*VLOOKUP(VB61,ChurnSeasonTable,4,FALSE))*POWER(1-(AnnualChurn*VLOOKUP(VB61,ChurnSeasonTable,4,FALSE)),3)</f>
        <v/>
      </c>
      <c r="VU61" s="12">
        <f>VQ61+VR61+VS61+VT61</f>
        <v/>
      </c>
      <c r="VV61" s="9">
        <f>VQ61*PriceEssMonthly*VE61+VR61*PricePremMonthly*VE61+VS61*PriceEssAnnual*VE61/12+VT61*PricePremAnnual*VE61/12</f>
        <v/>
      </c>
      <c r="VW61" s="9">
        <f>VV61*12</f>
        <v/>
      </c>
      <c r="VX61" s="12">
        <f>VQ61*PriceEssMonthly*VE61+VR61*PricePremMonthly*VE61</f>
        <v/>
      </c>
      <c r="VY61" s="12">
        <f>VO61*PriceEssAnnual*VE61+VP61*PricePremAnnual*VE61</f>
        <v/>
      </c>
      <c r="VZ61" s="12">
        <f>VO49*POWER(1-(AnnualChurn*VLOOKUP(VB61,ChurnSeasonTable,4,FALSE)),1)*PriceEssAnnual*VE61+VO37*POWER(1-(AnnualChurn*VLOOKUP(VB61,ChurnSeasonTable,4,FALSE)),2)*PriceEssAnnual*VE61+VO25*POWER(1-(AnnualChurn*VLOOKUP(VB61,ChurnSeasonTable,4,FALSE)),3)*PriceEssAnnual*VE61+VO13*POWER(1-(AnnualChurn*VLOOKUP(VB61,ChurnSeasonTable,4,FALSE)),4)*PriceEssAnnual*VE61+VP49*POWER(1-(AnnualChurn*VLOOKUP(VB61,ChurnSeasonTable,4,FALSE)),1)*PricePremAnnual*VE61+VP37*POWER(1-(AnnualChurn*VLOOKUP(VB61,ChurnSeasonTable,4,FALSE)),2)*PricePremAnnual*VE61+VP25*POWER(1-(AnnualChurn*VLOOKUP(VB61,ChurnSeasonTable,4,FALSE)),3)*PricePremAnnual*VE61+VP13*POWER(1-(AnnualChurn*VLOOKUP(VB61,ChurnSeasonTable,4,FALSE)),4)*PricePremAnnual*VE61</f>
        <v/>
      </c>
      <c r="WA61" s="9">
        <f>VX61+VY61+VZ61</f>
        <v/>
      </c>
      <c r="WB61" s="12">
        <f>SUM(WA50:WA61)</f>
        <v/>
      </c>
      <c r="WC61" s="12">
        <f>OR(WC60,WB61&gt;=VATThreshold)</f>
        <v/>
      </c>
      <c r="WD61" s="9">
        <f>IF(WC61,WA61/(1+VATRate),WA61)</f>
        <v/>
      </c>
      <c r="WE61" s="12">
        <f>WA61-WD61</f>
        <v/>
      </c>
      <c r="WF61" s="12">
        <f>IF(WC61=0,0,IF(VB61=1,SUMPRODUCT(--(($VC$5:$VC61=$VC61-1)*($VB$5:$VB61&gt;=10)*($VB$5:$VB61&lt;=12)),$WE$5:$WE61),IF(VB61=4,SUMPRODUCT(--(($VC$5:$VC61=$VC61)*($VB$5:$VB61&gt;=1)*($VB$5:$VB61&lt;=3)),$WE$5:$WE61),IF(VB61=7,SUMPRODUCT(--(($VC$5:$VC61=$VC61)*($VB$5:$VB61&gt;=4)*($VB$5:$VB61&lt;=6)),$WE$5:$WE61),IF(VB61=10,SUMPRODUCT(--(($VC$5:$VC61=$VC61)*($VB$5:$VB61&gt;=7)*($VB$5:$VB61&lt;=9)),$WE$5:$WE61),0)))))</f>
        <v/>
      </c>
      <c r="WG61" s="12">
        <f>WG60+WE61-WF61</f>
        <v/>
      </c>
      <c r="WH61" s="12">
        <f>IF(ProviderDelay&gt;=1,WD60*ProviderShare,WD61*ProviderShare)</f>
        <v/>
      </c>
      <c r="WI61" s="12">
        <f>WA61*PaymentFee</f>
        <v/>
      </c>
      <c r="WJ61" s="12">
        <f>VU61*OpsAI</f>
        <v/>
      </c>
      <c r="WK61" s="12">
        <f>MonthlyFixed</f>
        <v/>
      </c>
      <c r="WL61" s="12">
        <f>VI61*ReferralReward</f>
        <v/>
      </c>
      <c r="WM61" s="12">
        <f>VG61</f>
        <v/>
      </c>
      <c r="WN61" s="9">
        <f>WD61-WH61-WI61-WJ61-WK61-WL61-WM61</f>
        <v/>
      </c>
      <c r="WO61" s="9">
        <f>WO60+WA61-(WH61+WI61+WJ61+WK61+WL61+WM61+WF61)</f>
        <v/>
      </c>
      <c r="WP61" s="12">
        <f>IF(VU61&gt;0,VV61/VU61,0)</f>
        <v/>
      </c>
      <c r="WQ61" s="11">
        <f>IF(VU60&gt;0,MAX(0,(VU60+VJ61-VU61)/VU60),0)</f>
        <v/>
      </c>
      <c r="WS61" s="12" t="n">
        <v>57</v>
      </c>
      <c r="WT61" s="12">
        <f>MOD(WS61-1+LaunchMonth-1,12)+1</f>
        <v/>
      </c>
      <c r="WU61" s="12">
        <f>INT((WS61-1+LaunchMonth-1)/12)+1</f>
        <v/>
      </c>
      <c r="WV61" s="12">
        <f>VLOOKUP(WT61,SeasonTable,2,FALSE)</f>
        <v/>
      </c>
      <c r="WW61" s="12">
        <f>(1+InflationRate)^INT((WS61-1)/12)</f>
        <v/>
      </c>
      <c r="WX61" s="11">
        <f>MonthlyChurn*VLOOKUP(WT61,ChurnSeasonTable,4,FALSE)</f>
        <v/>
      </c>
      <c r="WY61" s="12">
        <f>MIN(MAX(MktMin19plus,XS60*MktPct19plus),MAX(0,YG60-CashBuffer))</f>
        <v/>
      </c>
      <c r="WZ61" s="12">
        <f>IF(WY61&gt;0,MAX(1,ROUND(WY61/CAC*WV61,0)),0)</f>
        <v/>
      </c>
      <c r="XA61" s="12">
        <f>IF(WZ61&gt;0,ROUND(WZ61*ReferralMix/(1-ReferralMix),0),0)</f>
        <v/>
      </c>
      <c r="XB61" s="12">
        <f>WZ61+XA61</f>
        <v/>
      </c>
      <c r="XC61" s="12">
        <f>ROUND(XB61*(1-'Sens - Annual Mix'!$A$11),0)</f>
        <v/>
      </c>
      <c r="XD61" s="12">
        <f>XB61-XC61</f>
        <v/>
      </c>
      <c r="XE61" s="12">
        <f>ROUND(XC61*EssentialMix,0)</f>
        <v/>
      </c>
      <c r="XF61" s="12">
        <f>XC61-XE61</f>
        <v/>
      </c>
      <c r="XG61" s="12">
        <f>ROUND(XD61*EssentialMix,0)</f>
        <v/>
      </c>
      <c r="XH61" s="12">
        <f>XD61-XG61</f>
        <v/>
      </c>
      <c r="XI61" s="12">
        <f>XE61+XE60+XE59+MAX(0,XI60-XE60-XE59)*(1-WX61)</f>
        <v/>
      </c>
      <c r="XJ61" s="12">
        <f>XF61+XF60+XF59+MAX(0,XJ60-XF60-XF59)*(1-WX61)</f>
        <v/>
      </c>
      <c r="XK61" s="12">
        <f>XK60+XG61-XG49*(AnnualChurn*VLOOKUP(WT61,ChurnSeasonTable,4,FALSE))*POWER(1-(AnnualChurn*VLOOKUP(WT61,ChurnSeasonTable,4,FALSE)),0)+XG37*(AnnualChurn*VLOOKUP(WT61,ChurnSeasonTable,4,FALSE))*POWER(1-(AnnualChurn*VLOOKUP(WT61,ChurnSeasonTable,4,FALSE)),1)+XG25*(AnnualChurn*VLOOKUP(WT61,ChurnSeasonTable,4,FALSE))*POWER(1-(AnnualChurn*VLOOKUP(WT61,ChurnSeasonTable,4,FALSE)),2)+XG13*(AnnualChurn*VLOOKUP(WT61,ChurnSeasonTable,4,FALSE))*POWER(1-(AnnualChurn*VLOOKUP(WT61,ChurnSeasonTable,4,FALSE)),3)</f>
        <v/>
      </c>
      <c r="XL61" s="12">
        <f>XL60+XH61-XH49*(AnnualChurn*VLOOKUP(WT61,ChurnSeasonTable,4,FALSE))*POWER(1-(AnnualChurn*VLOOKUP(WT61,ChurnSeasonTable,4,FALSE)),0)+XH37*(AnnualChurn*VLOOKUP(WT61,ChurnSeasonTable,4,FALSE))*POWER(1-(AnnualChurn*VLOOKUP(WT61,ChurnSeasonTable,4,FALSE)),1)+XH25*(AnnualChurn*VLOOKUP(WT61,ChurnSeasonTable,4,FALSE))*POWER(1-(AnnualChurn*VLOOKUP(WT61,ChurnSeasonTable,4,FALSE)),2)+XH13*(AnnualChurn*VLOOKUP(WT61,ChurnSeasonTable,4,FALSE))*POWER(1-(AnnualChurn*VLOOKUP(WT61,ChurnSeasonTable,4,FALSE)),3)</f>
        <v/>
      </c>
      <c r="XM61" s="12">
        <f>XI61+XJ61+XK61+XL61</f>
        <v/>
      </c>
      <c r="XN61" s="9">
        <f>XI61*PriceEssMonthly*WW61+XJ61*PricePremMonthly*WW61+XK61*PriceEssAnnual*WW61/12+XL61*PricePremAnnual*WW61/12</f>
        <v/>
      </c>
      <c r="XO61" s="9">
        <f>XN61*12</f>
        <v/>
      </c>
      <c r="XP61" s="12">
        <f>XI61*PriceEssMonthly*WW61+XJ61*PricePremMonthly*WW61</f>
        <v/>
      </c>
      <c r="XQ61" s="12">
        <f>XG61*PriceEssAnnual*WW61+XH61*PricePremAnnual*WW61</f>
        <v/>
      </c>
      <c r="XR61" s="12">
        <f>XG49*POWER(1-(AnnualChurn*VLOOKUP(WT61,ChurnSeasonTable,4,FALSE)),1)*PriceEssAnnual*WW61+XG37*POWER(1-(AnnualChurn*VLOOKUP(WT61,ChurnSeasonTable,4,FALSE)),2)*PriceEssAnnual*WW61+XG25*POWER(1-(AnnualChurn*VLOOKUP(WT61,ChurnSeasonTable,4,FALSE)),3)*PriceEssAnnual*WW61+XG13*POWER(1-(AnnualChurn*VLOOKUP(WT61,ChurnSeasonTable,4,FALSE)),4)*PriceEssAnnual*WW61+XH49*POWER(1-(AnnualChurn*VLOOKUP(WT61,ChurnSeasonTable,4,FALSE)),1)*PricePremAnnual*WW61+XH37*POWER(1-(AnnualChurn*VLOOKUP(WT61,ChurnSeasonTable,4,FALSE)),2)*PricePremAnnual*WW61+XH25*POWER(1-(AnnualChurn*VLOOKUP(WT61,ChurnSeasonTable,4,FALSE)),3)*PricePremAnnual*WW61+XH13*POWER(1-(AnnualChurn*VLOOKUP(WT61,ChurnSeasonTable,4,FALSE)),4)*PricePremAnnual*WW61</f>
        <v/>
      </c>
      <c r="XS61" s="9">
        <f>XP61+XQ61+XR61</f>
        <v/>
      </c>
      <c r="XT61" s="12">
        <f>SUM(XS50:XS61)</f>
        <v/>
      </c>
      <c r="XU61" s="12">
        <f>OR(XU60,XT61&gt;=VATThreshold)</f>
        <v/>
      </c>
      <c r="XV61" s="9">
        <f>IF(XU61,XS61/(1+VATRate),XS61)</f>
        <v/>
      </c>
      <c r="XW61" s="12">
        <f>XS61-XV61</f>
        <v/>
      </c>
      <c r="XX61" s="12">
        <f>IF(XU61=0,0,IF(WT61=1,SUMPRODUCT(--(($WU$5:$WU61=$WU61-1)*($WT$5:$WT61&gt;=10)*($WT$5:$WT61&lt;=12)),$XW$5:$XW61),IF(WT61=4,SUMPRODUCT(--(($WU$5:$WU61=$WU61)*($WT$5:$WT61&gt;=1)*($WT$5:$WT61&lt;=3)),$XW$5:$XW61),IF(WT61=7,SUMPRODUCT(--(($WU$5:$WU61=$WU61)*($WT$5:$WT61&gt;=4)*($WT$5:$WT61&lt;=6)),$XW$5:$XW61),IF(WT61=10,SUMPRODUCT(--(($WU$5:$WU61=$WU61)*($WT$5:$WT61&gt;=7)*($WT$5:$WT61&lt;=9)),$XW$5:$XW61),0)))))</f>
        <v/>
      </c>
      <c r="XY61" s="12">
        <f>XY60+XW61-XX61</f>
        <v/>
      </c>
      <c r="XZ61" s="12">
        <f>IF(ProviderDelay&gt;=1,XV60*ProviderShare,XV61*ProviderShare)</f>
        <v/>
      </c>
      <c r="YA61" s="12">
        <f>XS61*PaymentFee</f>
        <v/>
      </c>
      <c r="YB61" s="12">
        <f>XM61*OpsAI</f>
        <v/>
      </c>
      <c r="YC61" s="12">
        <f>MonthlyFixed</f>
        <v/>
      </c>
      <c r="YD61" s="12">
        <f>XA61*ReferralReward</f>
        <v/>
      </c>
      <c r="YE61" s="12">
        <f>WY61</f>
        <v/>
      </c>
      <c r="YF61" s="9">
        <f>XV61-XZ61-YA61-YB61-YC61-YD61-YE61</f>
        <v/>
      </c>
      <c r="YG61" s="9">
        <f>YG60+XS61-(XZ61+YA61+YB61+YC61+YD61+YE61+XX61)</f>
        <v/>
      </c>
      <c r="YH61" s="12">
        <f>IF(XM61&gt;0,XN61/XM61,0)</f>
        <v/>
      </c>
      <c r="YI61" s="11">
        <f>IF(XM60&gt;0,MAX(0,(XM60+XB61-XM61)/XM60),0)</f>
        <v/>
      </c>
      <c r="YK61" s="12" t="n">
        <v>57</v>
      </c>
      <c r="YL61" s="12">
        <f>MOD(YK61-1+LaunchMonth-1,12)+1</f>
        <v/>
      </c>
      <c r="YM61" s="12">
        <f>INT((YK61-1+LaunchMonth-1)/12)+1</f>
        <v/>
      </c>
      <c r="YN61" s="12">
        <f>VLOOKUP(YL61,SeasonTable,2,FALSE)</f>
        <v/>
      </c>
      <c r="YO61" s="12">
        <f>(1+InflationRate)^INT((YK61-1)/12)</f>
        <v/>
      </c>
      <c r="YP61" s="11">
        <f>MonthlyChurn*VLOOKUP(YL61,ChurnSeasonTable,4,FALSE)</f>
        <v/>
      </c>
      <c r="YQ61" s="12">
        <f>MIN(MAX(MktMin19plus,ZK60*MktPct19plus),MAX(0,ZY60-CashBuffer))</f>
        <v/>
      </c>
      <c r="YR61" s="12">
        <f>IF(YQ61&gt;0,MAX(1,ROUND(YQ61/CAC*YN61,0)),0)</f>
        <v/>
      </c>
      <c r="YS61" s="12">
        <f>IF(YR61&gt;0,ROUND(YR61*ReferralMix/(1-ReferralMix),0),0)</f>
        <v/>
      </c>
      <c r="YT61" s="12">
        <f>YR61+YS61</f>
        <v/>
      </c>
      <c r="YU61" s="12">
        <f>ROUND(YT61*(1-'Sens - Annual Mix'!$A$12),0)</f>
        <v/>
      </c>
      <c r="YV61" s="12">
        <f>YT61-YU61</f>
        <v/>
      </c>
      <c r="YW61" s="12">
        <f>ROUND(YU61*EssentialMix,0)</f>
        <v/>
      </c>
      <c r="YX61" s="12">
        <f>YU61-YW61</f>
        <v/>
      </c>
      <c r="YY61" s="12">
        <f>ROUND(YV61*EssentialMix,0)</f>
        <v/>
      </c>
      <c r="YZ61" s="12">
        <f>YV61-YY61</f>
        <v/>
      </c>
      <c r="ZA61" s="12">
        <f>YW61+YW60+YW59+MAX(0,ZA60-YW60-YW59)*(1-YP61)</f>
        <v/>
      </c>
      <c r="ZB61" s="12">
        <f>YX61+YX60+YX59+MAX(0,ZB60-YX60-YX59)*(1-YP61)</f>
        <v/>
      </c>
      <c r="ZC61" s="12">
        <f>ZC60+YY61-YY49*(AnnualChurn*VLOOKUP(YL61,ChurnSeasonTable,4,FALSE))*POWER(1-(AnnualChurn*VLOOKUP(YL61,ChurnSeasonTable,4,FALSE)),0)+YY37*(AnnualChurn*VLOOKUP(YL61,ChurnSeasonTable,4,FALSE))*POWER(1-(AnnualChurn*VLOOKUP(YL61,ChurnSeasonTable,4,FALSE)),1)+YY25*(AnnualChurn*VLOOKUP(YL61,ChurnSeasonTable,4,FALSE))*POWER(1-(AnnualChurn*VLOOKUP(YL61,ChurnSeasonTable,4,FALSE)),2)+YY13*(AnnualChurn*VLOOKUP(YL61,ChurnSeasonTable,4,FALSE))*POWER(1-(AnnualChurn*VLOOKUP(YL61,ChurnSeasonTable,4,FALSE)),3)</f>
        <v/>
      </c>
      <c r="ZD61" s="12">
        <f>ZD60+YZ61-YZ49*(AnnualChurn*VLOOKUP(YL61,ChurnSeasonTable,4,FALSE))*POWER(1-(AnnualChurn*VLOOKUP(YL61,ChurnSeasonTable,4,FALSE)),0)+YZ37*(AnnualChurn*VLOOKUP(YL61,ChurnSeasonTable,4,FALSE))*POWER(1-(AnnualChurn*VLOOKUP(YL61,ChurnSeasonTable,4,FALSE)),1)+YZ25*(AnnualChurn*VLOOKUP(YL61,ChurnSeasonTable,4,FALSE))*POWER(1-(AnnualChurn*VLOOKUP(YL61,ChurnSeasonTable,4,FALSE)),2)+YZ13*(AnnualChurn*VLOOKUP(YL61,ChurnSeasonTable,4,FALSE))*POWER(1-(AnnualChurn*VLOOKUP(YL61,ChurnSeasonTable,4,FALSE)),3)</f>
        <v/>
      </c>
      <c r="ZE61" s="12">
        <f>ZA61+ZB61+ZC61+ZD61</f>
        <v/>
      </c>
      <c r="ZF61" s="9">
        <f>ZA61*PriceEssMonthly*YO61+ZB61*PricePremMonthly*YO61+ZC61*PriceEssAnnual*YO61/12+ZD61*PricePremAnnual*YO61/12</f>
        <v/>
      </c>
      <c r="ZG61" s="9">
        <f>ZF61*12</f>
        <v/>
      </c>
      <c r="ZH61" s="12">
        <f>ZA61*PriceEssMonthly*YO61+ZB61*PricePremMonthly*YO61</f>
        <v/>
      </c>
      <c r="ZI61" s="12">
        <f>YY61*PriceEssAnnual*YO61+YZ61*PricePremAnnual*YO61</f>
        <v/>
      </c>
      <c r="ZJ61" s="12">
        <f>YY49*POWER(1-(AnnualChurn*VLOOKUP(YL61,ChurnSeasonTable,4,FALSE)),1)*PriceEssAnnual*YO61+YY37*POWER(1-(AnnualChurn*VLOOKUP(YL61,ChurnSeasonTable,4,FALSE)),2)*PriceEssAnnual*YO61+YY25*POWER(1-(AnnualChurn*VLOOKUP(YL61,ChurnSeasonTable,4,FALSE)),3)*PriceEssAnnual*YO61+YY13*POWER(1-(AnnualChurn*VLOOKUP(YL61,ChurnSeasonTable,4,FALSE)),4)*PriceEssAnnual*YO61+YZ49*POWER(1-(AnnualChurn*VLOOKUP(YL61,ChurnSeasonTable,4,FALSE)),1)*PricePremAnnual*YO61+YZ37*POWER(1-(AnnualChurn*VLOOKUP(YL61,ChurnSeasonTable,4,FALSE)),2)*PricePremAnnual*YO61+YZ25*POWER(1-(AnnualChurn*VLOOKUP(YL61,ChurnSeasonTable,4,FALSE)),3)*PricePremAnnual*YO61+YZ13*POWER(1-(AnnualChurn*VLOOKUP(YL61,ChurnSeasonTable,4,FALSE)),4)*PricePremAnnual*YO61</f>
        <v/>
      </c>
      <c r="ZK61" s="9">
        <f>ZH61+ZI61+ZJ61</f>
        <v/>
      </c>
      <c r="ZL61" s="12">
        <f>SUM(ZK50:ZK61)</f>
        <v/>
      </c>
      <c r="ZM61" s="12">
        <f>OR(ZM60,ZL61&gt;=VATThreshold)</f>
        <v/>
      </c>
      <c r="ZN61" s="9">
        <f>IF(ZM61,ZK61/(1+VATRate),ZK61)</f>
        <v/>
      </c>
      <c r="ZO61" s="12">
        <f>ZK61-ZN61</f>
        <v/>
      </c>
      <c r="ZP61" s="12">
        <f>IF(ZM61=0,0,IF(YL61=1,SUMPRODUCT(--(($YM$5:$YM61=$YM61-1)*($YL$5:$YL61&gt;=10)*($YL$5:$YL61&lt;=12)),$ZO$5:$ZO61),IF(YL61=4,SUMPRODUCT(--(($YM$5:$YM61=$YM61)*($YL$5:$YL61&gt;=1)*($YL$5:$YL61&lt;=3)),$ZO$5:$ZO61),IF(YL61=7,SUMPRODUCT(--(($YM$5:$YM61=$YM61)*($YL$5:$YL61&gt;=4)*($YL$5:$YL61&lt;=6)),$ZO$5:$ZO61),IF(YL61=10,SUMPRODUCT(--(($YM$5:$YM61=$YM61)*($YL$5:$YL61&gt;=7)*($YL$5:$YL61&lt;=9)),$ZO$5:$ZO61),0)))))</f>
        <v/>
      </c>
      <c r="ZQ61" s="12">
        <f>ZQ60+ZO61-ZP61</f>
        <v/>
      </c>
      <c r="ZR61" s="12">
        <f>IF(ProviderDelay&gt;=1,ZN60*ProviderShare,ZN61*ProviderShare)</f>
        <v/>
      </c>
      <c r="ZS61" s="12">
        <f>ZK61*PaymentFee</f>
        <v/>
      </c>
      <c r="ZT61" s="12">
        <f>ZE61*OpsAI</f>
        <v/>
      </c>
      <c r="ZU61" s="12">
        <f>MonthlyFixed</f>
        <v/>
      </c>
      <c r="ZV61" s="12">
        <f>YS61*ReferralReward</f>
        <v/>
      </c>
      <c r="ZW61" s="12">
        <f>YQ61</f>
        <v/>
      </c>
      <c r="ZX61" s="9">
        <f>ZN61-ZR61-ZS61-ZT61-ZU61-ZV61-ZW61</f>
        <v/>
      </c>
      <c r="ZY61" s="9">
        <f>ZY60+ZK61-(ZR61+ZS61+ZT61+ZU61+ZV61+ZW61+ZP61)</f>
        <v/>
      </c>
      <c r="ZZ61" s="12">
        <f>IF(ZE61&gt;0,ZF61/ZE61,0)</f>
        <v/>
      </c>
      <c r="AAA61" s="11">
        <f>IF(ZE60&gt;0,MAX(0,(ZE60+YT61-ZE61)/ZE60),0)</f>
        <v/>
      </c>
      <c r="AAC61" s="12" t="n">
        <v>57</v>
      </c>
      <c r="AAD61" s="12">
        <f>MOD(AAC61-1+LaunchMonth-1,12)+1</f>
        <v/>
      </c>
      <c r="AAE61" s="12">
        <f>INT((AAC61-1+LaunchMonth-1)/12)+1</f>
        <v/>
      </c>
      <c r="AAF61" s="12">
        <f>VLOOKUP(AAD61,SeasonTable,2,FALSE)</f>
        <v/>
      </c>
      <c r="AAG61" s="12">
        <f>(1+InflationRate)^INT((AAC61-1)/12)</f>
        <v/>
      </c>
      <c r="AAH61" s="11">
        <f>MonthlyChurn*VLOOKUP(AAD61,ChurnSeasonTable,4,FALSE)</f>
        <v/>
      </c>
      <c r="AAI61" s="12">
        <f>MIN(MAX(MktMin19plus,ABC60*MktPct19plus),MAX(0,ABQ60-CashBuffer))</f>
        <v/>
      </c>
      <c r="AAJ61" s="12">
        <f>IF(AAI61&gt;0,MAX(1,ROUND(AAI61/CAC*AAF61,0)),0)</f>
        <v/>
      </c>
      <c r="AAK61" s="12">
        <f>IF(AAJ61&gt;0,ROUND(AAJ61*ReferralMix/(1-ReferralMix),0),0)</f>
        <v/>
      </c>
      <c r="AAL61" s="12">
        <f>AAJ61+AAK61</f>
        <v/>
      </c>
      <c r="AAM61" s="12">
        <f>ROUND(AAL61*(1-'Sens - Annual Mix'!$A$13),0)</f>
        <v/>
      </c>
      <c r="AAN61" s="12">
        <f>AAL61-AAM61</f>
        <v/>
      </c>
      <c r="AAO61" s="12">
        <f>ROUND(AAM61*EssentialMix,0)</f>
        <v/>
      </c>
      <c r="AAP61" s="12">
        <f>AAM61-AAO61</f>
        <v/>
      </c>
      <c r="AAQ61" s="12">
        <f>ROUND(AAN61*EssentialMix,0)</f>
        <v/>
      </c>
      <c r="AAR61" s="12">
        <f>AAN61-AAQ61</f>
        <v/>
      </c>
      <c r="AAS61" s="12">
        <f>AAO61+AAO60+AAO59+MAX(0,AAS60-AAO60-AAO59)*(1-AAH61)</f>
        <v/>
      </c>
      <c r="AAT61" s="12">
        <f>AAP61+AAP60+AAP59+MAX(0,AAT60-AAP60-AAP59)*(1-AAH61)</f>
        <v/>
      </c>
      <c r="AAU61" s="12">
        <f>AAU60+AAQ61-AAQ49*(AnnualChurn*VLOOKUP(AAD61,ChurnSeasonTable,4,FALSE))*POWER(1-(AnnualChurn*VLOOKUP(AAD61,ChurnSeasonTable,4,FALSE)),0)+AAQ37*(AnnualChurn*VLOOKUP(AAD61,ChurnSeasonTable,4,FALSE))*POWER(1-(AnnualChurn*VLOOKUP(AAD61,ChurnSeasonTable,4,FALSE)),1)+AAQ25*(AnnualChurn*VLOOKUP(AAD61,ChurnSeasonTable,4,FALSE))*POWER(1-(AnnualChurn*VLOOKUP(AAD61,ChurnSeasonTable,4,FALSE)),2)+AAQ13*(AnnualChurn*VLOOKUP(AAD61,ChurnSeasonTable,4,FALSE))*POWER(1-(AnnualChurn*VLOOKUP(AAD61,ChurnSeasonTable,4,FALSE)),3)</f>
        <v/>
      </c>
      <c r="AAV61" s="12">
        <f>AAV60+AAR61-AAR49*(AnnualChurn*VLOOKUP(AAD61,ChurnSeasonTable,4,FALSE))*POWER(1-(AnnualChurn*VLOOKUP(AAD61,ChurnSeasonTable,4,FALSE)),0)+AAR37*(AnnualChurn*VLOOKUP(AAD61,ChurnSeasonTable,4,FALSE))*POWER(1-(AnnualChurn*VLOOKUP(AAD61,ChurnSeasonTable,4,FALSE)),1)+AAR25*(AnnualChurn*VLOOKUP(AAD61,ChurnSeasonTable,4,FALSE))*POWER(1-(AnnualChurn*VLOOKUP(AAD61,ChurnSeasonTable,4,FALSE)),2)+AAR13*(AnnualChurn*VLOOKUP(AAD61,ChurnSeasonTable,4,FALSE))*POWER(1-(AnnualChurn*VLOOKUP(AAD61,ChurnSeasonTable,4,FALSE)),3)</f>
        <v/>
      </c>
      <c r="AAW61" s="12">
        <f>AAS61+AAT61+AAU61+AAV61</f>
        <v/>
      </c>
      <c r="AAX61" s="9">
        <f>AAS61*PriceEssMonthly*AAG61+AAT61*PricePremMonthly*AAG61+AAU61*PriceEssAnnual*AAG61/12+AAV61*PricePremAnnual*AAG61/12</f>
        <v/>
      </c>
      <c r="AAY61" s="9">
        <f>AAX61*12</f>
        <v/>
      </c>
      <c r="AAZ61" s="12">
        <f>AAS61*PriceEssMonthly*AAG61+AAT61*PricePremMonthly*AAG61</f>
        <v/>
      </c>
      <c r="ABA61" s="12">
        <f>AAQ61*PriceEssAnnual*AAG61+AAR61*PricePremAnnual*AAG61</f>
        <v/>
      </c>
      <c r="ABB61" s="12">
        <f>AAQ49*POWER(1-(AnnualChurn*VLOOKUP(AAD61,ChurnSeasonTable,4,FALSE)),1)*PriceEssAnnual*AAG61+AAQ37*POWER(1-(AnnualChurn*VLOOKUP(AAD61,ChurnSeasonTable,4,FALSE)),2)*PriceEssAnnual*AAG61+AAQ25*POWER(1-(AnnualChurn*VLOOKUP(AAD61,ChurnSeasonTable,4,FALSE)),3)*PriceEssAnnual*AAG61+AAQ13*POWER(1-(AnnualChurn*VLOOKUP(AAD61,ChurnSeasonTable,4,FALSE)),4)*PriceEssAnnual*AAG61+AAR49*POWER(1-(AnnualChurn*VLOOKUP(AAD61,ChurnSeasonTable,4,FALSE)),1)*PricePremAnnual*AAG61+AAR37*POWER(1-(AnnualChurn*VLOOKUP(AAD61,ChurnSeasonTable,4,FALSE)),2)*PricePremAnnual*AAG61+AAR25*POWER(1-(AnnualChurn*VLOOKUP(AAD61,ChurnSeasonTable,4,FALSE)),3)*PricePremAnnual*AAG61+AAR13*POWER(1-(AnnualChurn*VLOOKUP(AAD61,ChurnSeasonTable,4,FALSE)),4)*PricePremAnnual*AAG61</f>
        <v/>
      </c>
      <c r="ABC61" s="9">
        <f>AAZ61+ABA61+ABB61</f>
        <v/>
      </c>
      <c r="ABD61" s="12">
        <f>SUM(ABC50:ABC61)</f>
        <v/>
      </c>
      <c r="ABE61" s="12">
        <f>OR(ABE60,ABD61&gt;=VATThreshold)</f>
        <v/>
      </c>
      <c r="ABF61" s="9">
        <f>IF(ABE61,ABC61/(1+VATRate),ABC61)</f>
        <v/>
      </c>
      <c r="ABG61" s="12">
        <f>ABC61-ABF61</f>
        <v/>
      </c>
      <c r="ABH61" s="12">
        <f>IF(ABE61=0,0,IF(AAD61=1,SUMPRODUCT(--(($AAE$5:$AAE61=$AAE61-1)*($AAD$5:$AAD61&gt;=10)*($AAD$5:$AAD61&lt;=12)),$ABG$5:$ABG61),IF(AAD61=4,SUMPRODUCT(--(($AAE$5:$AAE61=$AAE61)*($AAD$5:$AAD61&gt;=1)*($AAD$5:$AAD61&lt;=3)),$ABG$5:$ABG61),IF(AAD61=7,SUMPRODUCT(--(($AAE$5:$AAE61=$AAE61)*($AAD$5:$AAD61&gt;=4)*($AAD$5:$AAD61&lt;=6)),$ABG$5:$ABG61),IF(AAD61=10,SUMPRODUCT(--(($AAE$5:$AAE61=$AAE61)*($AAD$5:$AAD61&gt;=7)*($AAD$5:$AAD61&lt;=9)),$ABG$5:$ABG61),0)))))</f>
        <v/>
      </c>
      <c r="ABI61" s="12">
        <f>ABI60+ABG61-ABH61</f>
        <v/>
      </c>
      <c r="ABJ61" s="12">
        <f>IF(ProviderDelay&gt;=1,ABF60*ProviderShare,ABF61*ProviderShare)</f>
        <v/>
      </c>
      <c r="ABK61" s="12">
        <f>ABC61*PaymentFee</f>
        <v/>
      </c>
      <c r="ABL61" s="12">
        <f>AAW61*OpsAI</f>
        <v/>
      </c>
      <c r="ABM61" s="12">
        <f>MonthlyFixed</f>
        <v/>
      </c>
      <c r="ABN61" s="12">
        <f>AAK61*ReferralReward</f>
        <v/>
      </c>
      <c r="ABO61" s="12">
        <f>AAI61</f>
        <v/>
      </c>
      <c r="ABP61" s="9">
        <f>ABF61-ABJ61-ABK61-ABL61-ABM61-ABN61-ABO61</f>
        <v/>
      </c>
      <c r="ABQ61" s="9">
        <f>ABQ60+ABC61-(ABJ61+ABK61+ABL61+ABM61+ABN61+ABO61+ABH61)</f>
        <v/>
      </c>
      <c r="ABR61" s="12">
        <f>IF(AAW61&gt;0,AAX61/AAW61,0)</f>
        <v/>
      </c>
      <c r="ABS61" s="11">
        <f>IF(AAW60&gt;0,MAX(0,(AAW60+AAL61-AAW61)/AAW60),0)</f>
        <v/>
      </c>
      <c r="ABU61" s="12" t="n">
        <v>57</v>
      </c>
      <c r="ABV61" s="12">
        <f>MOD(ABU61-1+LaunchMonth-1,12)+1</f>
        <v/>
      </c>
      <c r="ABW61" s="12">
        <f>INT((ABU61-1+LaunchMonth-1)/12)+1</f>
        <v/>
      </c>
      <c r="ABX61" s="12">
        <f>VLOOKUP(ABV61,SeasonTable,2,FALSE)</f>
        <v/>
      </c>
      <c r="ABY61" s="12">
        <f>(1+InflationRate)^INT((ABU61-1)/12)</f>
        <v/>
      </c>
      <c r="ABZ61" s="11">
        <f>MonthlyChurn*VLOOKUP(ABV61,ChurnSeasonTable,4,FALSE)</f>
        <v/>
      </c>
      <c r="ACA61" s="12">
        <f>MIN(MAX(MktMin19plus,ACU60*MktPct19plus),MAX(0,ADI60-CashBuffer))</f>
        <v/>
      </c>
      <c r="ACB61" s="12">
        <f>IF(ACA61&gt;0,MAX(1,ROUND(ACA61/CAC*ABX61,0)),0)</f>
        <v/>
      </c>
      <c r="ACC61" s="12">
        <f>IF(ACB61&gt;0,ROUND(ACB61*ReferralMix/(1-ReferralMix),0),0)</f>
        <v/>
      </c>
      <c r="ACD61" s="12">
        <f>ACB61+ACC61</f>
        <v/>
      </c>
      <c r="ACE61" s="12">
        <f>ROUND(ACD61*(1-'Sens - Annual Mix'!$A$14),0)</f>
        <v/>
      </c>
      <c r="ACF61" s="12">
        <f>ACD61-ACE61</f>
        <v/>
      </c>
      <c r="ACG61" s="12">
        <f>ROUND(ACE61*EssentialMix,0)</f>
        <v/>
      </c>
      <c r="ACH61" s="12">
        <f>ACE61-ACG61</f>
        <v/>
      </c>
      <c r="ACI61" s="12">
        <f>ROUND(ACF61*EssentialMix,0)</f>
        <v/>
      </c>
      <c r="ACJ61" s="12">
        <f>ACF61-ACI61</f>
        <v/>
      </c>
      <c r="ACK61" s="12">
        <f>ACG61+ACG60+ACG59+MAX(0,ACK60-ACG60-ACG59)*(1-ABZ61)</f>
        <v/>
      </c>
      <c r="ACL61" s="12">
        <f>ACH61+ACH60+ACH59+MAX(0,ACL60-ACH60-ACH59)*(1-ABZ61)</f>
        <v/>
      </c>
      <c r="ACM61" s="12">
        <f>ACM60+ACI61-ACI49*(AnnualChurn*VLOOKUP(ABV61,ChurnSeasonTable,4,FALSE))*POWER(1-(AnnualChurn*VLOOKUP(ABV61,ChurnSeasonTable,4,FALSE)),0)+ACI37*(AnnualChurn*VLOOKUP(ABV61,ChurnSeasonTable,4,FALSE))*POWER(1-(AnnualChurn*VLOOKUP(ABV61,ChurnSeasonTable,4,FALSE)),1)+ACI25*(AnnualChurn*VLOOKUP(ABV61,ChurnSeasonTable,4,FALSE))*POWER(1-(AnnualChurn*VLOOKUP(ABV61,ChurnSeasonTable,4,FALSE)),2)+ACI13*(AnnualChurn*VLOOKUP(ABV61,ChurnSeasonTable,4,FALSE))*POWER(1-(AnnualChurn*VLOOKUP(ABV61,ChurnSeasonTable,4,FALSE)),3)</f>
        <v/>
      </c>
      <c r="ACN61" s="12">
        <f>ACN60+ACJ61-ACJ49*(AnnualChurn*VLOOKUP(ABV61,ChurnSeasonTable,4,FALSE))*POWER(1-(AnnualChurn*VLOOKUP(ABV61,ChurnSeasonTable,4,FALSE)),0)+ACJ37*(AnnualChurn*VLOOKUP(ABV61,ChurnSeasonTable,4,FALSE))*POWER(1-(AnnualChurn*VLOOKUP(ABV61,ChurnSeasonTable,4,FALSE)),1)+ACJ25*(AnnualChurn*VLOOKUP(ABV61,ChurnSeasonTable,4,FALSE))*POWER(1-(AnnualChurn*VLOOKUP(ABV61,ChurnSeasonTable,4,FALSE)),2)+ACJ13*(AnnualChurn*VLOOKUP(ABV61,ChurnSeasonTable,4,FALSE))*POWER(1-(AnnualChurn*VLOOKUP(ABV61,ChurnSeasonTable,4,FALSE)),3)</f>
        <v/>
      </c>
      <c r="ACO61" s="12">
        <f>ACK61+ACL61+ACM61+ACN61</f>
        <v/>
      </c>
      <c r="ACP61" s="9">
        <f>ACK61*PriceEssMonthly*ABY61+ACL61*PricePremMonthly*ABY61+ACM61*PriceEssAnnual*ABY61/12+ACN61*PricePremAnnual*ABY61/12</f>
        <v/>
      </c>
      <c r="ACQ61" s="9">
        <f>ACP61*12</f>
        <v/>
      </c>
      <c r="ACR61" s="12">
        <f>ACK61*PriceEssMonthly*ABY61+ACL61*PricePremMonthly*ABY61</f>
        <v/>
      </c>
      <c r="ACS61" s="12">
        <f>ACI61*PriceEssAnnual*ABY61+ACJ61*PricePremAnnual*ABY61</f>
        <v/>
      </c>
      <c r="ACT61" s="12">
        <f>ACI49*POWER(1-(AnnualChurn*VLOOKUP(ABV61,ChurnSeasonTable,4,FALSE)),1)*PriceEssAnnual*ABY61+ACI37*POWER(1-(AnnualChurn*VLOOKUP(ABV61,ChurnSeasonTable,4,FALSE)),2)*PriceEssAnnual*ABY61+ACI25*POWER(1-(AnnualChurn*VLOOKUP(ABV61,ChurnSeasonTable,4,FALSE)),3)*PriceEssAnnual*ABY61+ACI13*POWER(1-(AnnualChurn*VLOOKUP(ABV61,ChurnSeasonTable,4,FALSE)),4)*PriceEssAnnual*ABY61+ACJ49*POWER(1-(AnnualChurn*VLOOKUP(ABV61,ChurnSeasonTable,4,FALSE)),1)*PricePremAnnual*ABY61+ACJ37*POWER(1-(AnnualChurn*VLOOKUP(ABV61,ChurnSeasonTable,4,FALSE)),2)*PricePremAnnual*ABY61+ACJ25*POWER(1-(AnnualChurn*VLOOKUP(ABV61,ChurnSeasonTable,4,FALSE)),3)*PricePremAnnual*ABY61+ACJ13*POWER(1-(AnnualChurn*VLOOKUP(ABV61,ChurnSeasonTable,4,FALSE)),4)*PricePremAnnual*ABY61</f>
        <v/>
      </c>
      <c r="ACU61" s="9">
        <f>ACR61+ACS61+ACT61</f>
        <v/>
      </c>
      <c r="ACV61" s="12">
        <f>SUM(ACU50:ACU61)</f>
        <v/>
      </c>
      <c r="ACW61" s="12">
        <f>OR(ACW60,ACV61&gt;=VATThreshold)</f>
        <v/>
      </c>
      <c r="ACX61" s="9">
        <f>IF(ACW61,ACU61/(1+VATRate),ACU61)</f>
        <v/>
      </c>
      <c r="ACY61" s="12">
        <f>ACU61-ACX61</f>
        <v/>
      </c>
      <c r="ACZ61" s="12">
        <f>IF(ACW61=0,0,IF(ABV61=1,SUMPRODUCT(--(($ABW$5:$ABW61=$ABW61-1)*($ABV$5:$ABV61&gt;=10)*($ABV$5:$ABV61&lt;=12)),$ACY$5:$ACY61),IF(ABV61=4,SUMPRODUCT(--(($ABW$5:$ABW61=$ABW61)*($ABV$5:$ABV61&gt;=1)*($ABV$5:$ABV61&lt;=3)),$ACY$5:$ACY61),IF(ABV61=7,SUMPRODUCT(--(($ABW$5:$ABW61=$ABW61)*($ABV$5:$ABV61&gt;=4)*($ABV$5:$ABV61&lt;=6)),$ACY$5:$ACY61),IF(ABV61=10,SUMPRODUCT(--(($ABW$5:$ABW61=$ABW61)*($ABV$5:$ABV61&gt;=7)*($ABV$5:$ABV61&lt;=9)),$ACY$5:$ACY61),0)))))</f>
        <v/>
      </c>
      <c r="ADA61" s="12">
        <f>ADA60+ACY61-ACZ61</f>
        <v/>
      </c>
      <c r="ADB61" s="12">
        <f>IF(ProviderDelay&gt;=1,ACX60*ProviderShare,ACX61*ProviderShare)</f>
        <v/>
      </c>
      <c r="ADC61" s="12">
        <f>ACU61*PaymentFee</f>
        <v/>
      </c>
      <c r="ADD61" s="12">
        <f>ACO61*OpsAI</f>
        <v/>
      </c>
      <c r="ADE61" s="12">
        <f>MonthlyFixed</f>
        <v/>
      </c>
      <c r="ADF61" s="12">
        <f>ACC61*ReferralReward</f>
        <v/>
      </c>
      <c r="ADG61" s="12">
        <f>ACA61</f>
        <v/>
      </c>
      <c r="ADH61" s="9">
        <f>ACX61-ADB61-ADC61-ADD61-ADE61-ADF61-ADG61</f>
        <v/>
      </c>
      <c r="ADI61" s="9">
        <f>ADI60+ACU61-(ADB61+ADC61+ADD61+ADE61+ADF61+ADG61+ACZ61)</f>
        <v/>
      </c>
      <c r="ADJ61" s="12">
        <f>IF(ACO61&gt;0,ACP61/ACO61,0)</f>
        <v/>
      </c>
      <c r="ADK61" s="11">
        <f>IF(ACO60&gt;0,MAX(0,(ACO60+ACD61-ACO61)/ACO60),0)</f>
        <v/>
      </c>
      <c r="ADM61" s="12" t="n">
        <v>57</v>
      </c>
      <c r="ADN61" s="12">
        <f>MOD(ADM61-1+LaunchMonth-1,12)+1</f>
        <v/>
      </c>
      <c r="ADO61" s="12">
        <f>INT((ADM61-1+LaunchMonth-1)/12)+1</f>
        <v/>
      </c>
      <c r="ADP61" s="12">
        <f>VLOOKUP(ADN61,SeasonTable,2,FALSE)</f>
        <v/>
      </c>
      <c r="ADQ61" s="12">
        <f>(1+InflationRate)^INT((ADM61-1)/12)</f>
        <v/>
      </c>
      <c r="ADR61" s="11">
        <f>MonthlyChurn*VLOOKUP(ADN61,ChurnSeasonTable,4,FALSE)</f>
        <v/>
      </c>
      <c r="ADS61" s="12">
        <f>MIN(MAX(MktMin19plus,AEM60*MktPct19plus),MAX(0,AFA60-CashBuffer))</f>
        <v/>
      </c>
      <c r="ADT61" s="12">
        <f>IF(ADS61&gt;0,MAX(1,ROUND(ADS61/CAC*ADP61,0)),0)</f>
        <v/>
      </c>
      <c r="ADU61" s="12">
        <f>IF(ADT61&gt;0,ROUND(ADT61*ReferralMix/(1-ReferralMix),0),0)</f>
        <v/>
      </c>
      <c r="ADV61" s="12">
        <f>ADT61+ADU61</f>
        <v/>
      </c>
      <c r="ADW61" s="12">
        <f>ROUND(ADV61*(1-'Sens - Annual Mix'!$A$15),0)</f>
        <v/>
      </c>
      <c r="ADX61" s="12">
        <f>ADV61-ADW61</f>
        <v/>
      </c>
      <c r="ADY61" s="12">
        <f>ROUND(ADW61*EssentialMix,0)</f>
        <v/>
      </c>
      <c r="ADZ61" s="12">
        <f>ADW61-ADY61</f>
        <v/>
      </c>
      <c r="AEA61" s="12">
        <f>ROUND(ADX61*EssentialMix,0)</f>
        <v/>
      </c>
      <c r="AEB61" s="12">
        <f>ADX61-AEA61</f>
        <v/>
      </c>
      <c r="AEC61" s="12">
        <f>ADY61+ADY60+ADY59+MAX(0,AEC60-ADY60-ADY59)*(1-ADR61)</f>
        <v/>
      </c>
      <c r="AED61" s="12">
        <f>ADZ61+ADZ60+ADZ59+MAX(0,AED60-ADZ60-ADZ59)*(1-ADR61)</f>
        <v/>
      </c>
      <c r="AEE61" s="12">
        <f>AEE60+AEA61-AEA49*(AnnualChurn*VLOOKUP(ADN61,ChurnSeasonTable,4,FALSE))*POWER(1-(AnnualChurn*VLOOKUP(ADN61,ChurnSeasonTable,4,FALSE)),0)+AEA37*(AnnualChurn*VLOOKUP(ADN61,ChurnSeasonTable,4,FALSE))*POWER(1-(AnnualChurn*VLOOKUP(ADN61,ChurnSeasonTable,4,FALSE)),1)+AEA25*(AnnualChurn*VLOOKUP(ADN61,ChurnSeasonTable,4,FALSE))*POWER(1-(AnnualChurn*VLOOKUP(ADN61,ChurnSeasonTable,4,FALSE)),2)+AEA13*(AnnualChurn*VLOOKUP(ADN61,ChurnSeasonTable,4,FALSE))*POWER(1-(AnnualChurn*VLOOKUP(ADN61,ChurnSeasonTable,4,FALSE)),3)</f>
        <v/>
      </c>
      <c r="AEF61" s="12">
        <f>AEF60+AEB61-AEB49*(AnnualChurn*VLOOKUP(ADN61,ChurnSeasonTable,4,FALSE))*POWER(1-(AnnualChurn*VLOOKUP(ADN61,ChurnSeasonTable,4,FALSE)),0)+AEB37*(AnnualChurn*VLOOKUP(ADN61,ChurnSeasonTable,4,FALSE))*POWER(1-(AnnualChurn*VLOOKUP(ADN61,ChurnSeasonTable,4,FALSE)),1)+AEB25*(AnnualChurn*VLOOKUP(ADN61,ChurnSeasonTable,4,FALSE))*POWER(1-(AnnualChurn*VLOOKUP(ADN61,ChurnSeasonTable,4,FALSE)),2)+AEB13*(AnnualChurn*VLOOKUP(ADN61,ChurnSeasonTable,4,FALSE))*POWER(1-(AnnualChurn*VLOOKUP(ADN61,ChurnSeasonTable,4,FALSE)),3)</f>
        <v/>
      </c>
      <c r="AEG61" s="12">
        <f>AEC61+AED61+AEE61+AEF61</f>
        <v/>
      </c>
      <c r="AEH61" s="9">
        <f>AEC61*PriceEssMonthly*ADQ61+AED61*PricePremMonthly*ADQ61+AEE61*PriceEssAnnual*ADQ61/12+AEF61*PricePremAnnual*ADQ61/12</f>
        <v/>
      </c>
      <c r="AEI61" s="9">
        <f>AEH61*12</f>
        <v/>
      </c>
      <c r="AEJ61" s="12">
        <f>AEC61*PriceEssMonthly*ADQ61+AED61*PricePremMonthly*ADQ61</f>
        <v/>
      </c>
      <c r="AEK61" s="12">
        <f>AEA61*PriceEssAnnual*ADQ61+AEB61*PricePremAnnual*ADQ61</f>
        <v/>
      </c>
      <c r="AEL61" s="12">
        <f>AEA49*POWER(1-(AnnualChurn*VLOOKUP(ADN61,ChurnSeasonTable,4,FALSE)),1)*PriceEssAnnual*ADQ61+AEA37*POWER(1-(AnnualChurn*VLOOKUP(ADN61,ChurnSeasonTable,4,FALSE)),2)*PriceEssAnnual*ADQ61+AEA25*POWER(1-(AnnualChurn*VLOOKUP(ADN61,ChurnSeasonTable,4,FALSE)),3)*PriceEssAnnual*ADQ61+AEA13*POWER(1-(AnnualChurn*VLOOKUP(ADN61,ChurnSeasonTable,4,FALSE)),4)*PriceEssAnnual*ADQ61+AEB49*POWER(1-(AnnualChurn*VLOOKUP(ADN61,ChurnSeasonTable,4,FALSE)),1)*PricePremAnnual*ADQ61+AEB37*POWER(1-(AnnualChurn*VLOOKUP(ADN61,ChurnSeasonTable,4,FALSE)),2)*PricePremAnnual*ADQ61+AEB25*POWER(1-(AnnualChurn*VLOOKUP(ADN61,ChurnSeasonTable,4,FALSE)),3)*PricePremAnnual*ADQ61+AEB13*POWER(1-(AnnualChurn*VLOOKUP(ADN61,ChurnSeasonTable,4,FALSE)),4)*PricePremAnnual*ADQ61</f>
        <v/>
      </c>
      <c r="AEM61" s="9">
        <f>AEJ61+AEK61+AEL61</f>
        <v/>
      </c>
      <c r="AEN61" s="12">
        <f>SUM(AEM50:AEM61)</f>
        <v/>
      </c>
      <c r="AEO61" s="12">
        <f>OR(AEO60,AEN61&gt;=VATThreshold)</f>
        <v/>
      </c>
      <c r="AEP61" s="9">
        <f>IF(AEO61,AEM61/(1+VATRate),AEM61)</f>
        <v/>
      </c>
      <c r="AEQ61" s="12">
        <f>AEM61-AEP61</f>
        <v/>
      </c>
      <c r="AER61" s="12">
        <f>IF(AEO61=0,0,IF(ADN61=1,SUMPRODUCT(--(($ADO$5:$ADO61=$ADO61-1)*($ADN$5:$ADN61&gt;=10)*($ADN$5:$ADN61&lt;=12)),$AEQ$5:$AEQ61),IF(ADN61=4,SUMPRODUCT(--(($ADO$5:$ADO61=$ADO61)*($ADN$5:$ADN61&gt;=1)*($ADN$5:$ADN61&lt;=3)),$AEQ$5:$AEQ61),IF(ADN61=7,SUMPRODUCT(--(($ADO$5:$ADO61=$ADO61)*($ADN$5:$ADN61&gt;=4)*($ADN$5:$ADN61&lt;=6)),$AEQ$5:$AEQ61),IF(ADN61=10,SUMPRODUCT(--(($ADO$5:$ADO61=$ADO61)*($ADN$5:$ADN61&gt;=7)*($ADN$5:$ADN61&lt;=9)),$AEQ$5:$AEQ61),0)))))</f>
        <v/>
      </c>
      <c r="AES61" s="12">
        <f>AES60+AEQ61-AER61</f>
        <v/>
      </c>
      <c r="AET61" s="12">
        <f>IF(ProviderDelay&gt;=1,AEP60*ProviderShare,AEP61*ProviderShare)</f>
        <v/>
      </c>
      <c r="AEU61" s="12">
        <f>AEM61*PaymentFee</f>
        <v/>
      </c>
      <c r="AEV61" s="12">
        <f>AEG61*OpsAI</f>
        <v/>
      </c>
      <c r="AEW61" s="12">
        <f>MonthlyFixed</f>
        <v/>
      </c>
      <c r="AEX61" s="12">
        <f>ADU61*ReferralReward</f>
        <v/>
      </c>
      <c r="AEY61" s="12">
        <f>ADS61</f>
        <v/>
      </c>
      <c r="AEZ61" s="9">
        <f>AEP61-AET61-AEU61-AEV61-AEW61-AEX61-AEY61</f>
        <v/>
      </c>
      <c r="AFA61" s="9">
        <f>AFA60+AEM61-(AET61+AEU61+AEV61+AEW61+AEX61+AEY61+AER61)</f>
        <v/>
      </c>
      <c r="AFB61" s="12">
        <f>IF(AEG61&gt;0,AEH61/AEG61,0)</f>
        <v/>
      </c>
      <c r="AFC61" s="11">
        <f>IF(AEG60&gt;0,MAX(0,(AEG60+ADV61-AEG61)/AEG60),0)</f>
        <v/>
      </c>
      <c r="AFE61" s="12" t="n">
        <v>57</v>
      </c>
      <c r="AFF61" s="12">
        <f>MOD(AFE61-1+LaunchMonth-1,12)+1</f>
        <v/>
      </c>
      <c r="AFG61" s="12">
        <f>INT((AFE61-1+LaunchMonth-1)/12)+1</f>
        <v/>
      </c>
      <c r="AFH61" s="12">
        <f>VLOOKUP(AFF61,SeasonTable,2,FALSE)</f>
        <v/>
      </c>
      <c r="AFI61" s="12">
        <f>(1+InflationRate)^INT((AFE61-1)/12)</f>
        <v/>
      </c>
      <c r="AFJ61" s="11">
        <f>MonthlyChurn*VLOOKUP(AFF61,ChurnSeasonTable,4,FALSE)</f>
        <v/>
      </c>
      <c r="AFK61" s="12">
        <f>MIN(MAX(MktMin19plus,AGE60*MktPct19plus),MAX(0,AGS60-CashBuffer))</f>
        <v/>
      </c>
      <c r="AFL61" s="12">
        <f>IF(AFK61&gt;0,MAX(1,ROUND(AFK61/'Sens - CAC &amp; Marketing'!$A$9*AFH61,0)),0)</f>
        <v/>
      </c>
      <c r="AFM61" s="12">
        <f>IF(AFL61&gt;0,ROUND(AFL61*ReferralMix/(1-ReferralMix),0),0)</f>
        <v/>
      </c>
      <c r="AFN61" s="12">
        <f>AFL61+AFM61</f>
        <v/>
      </c>
      <c r="AFO61" s="12">
        <f>ROUND(AFN61*(1-AnnualMix),0)</f>
        <v/>
      </c>
      <c r="AFP61" s="12">
        <f>AFN61-AFO61</f>
        <v/>
      </c>
      <c r="AFQ61" s="12">
        <f>ROUND(AFO61*EssentialMix,0)</f>
        <v/>
      </c>
      <c r="AFR61" s="12">
        <f>AFO61-AFQ61</f>
        <v/>
      </c>
      <c r="AFS61" s="12">
        <f>ROUND(AFP61*EssentialMix,0)</f>
        <v/>
      </c>
      <c r="AFT61" s="12">
        <f>AFP61-AFS61</f>
        <v/>
      </c>
      <c r="AFU61" s="12">
        <f>AFQ61+AFQ60+AFQ59+MAX(0,AFU60-AFQ60-AFQ59)*(1-AFJ61)</f>
        <v/>
      </c>
      <c r="AFV61" s="12">
        <f>AFR61+AFR60+AFR59+MAX(0,AFV60-AFR60-AFR59)*(1-AFJ61)</f>
        <v/>
      </c>
      <c r="AFW61" s="12">
        <f>AFW60+AFS61-AFS49*(AnnualChurn*VLOOKUP(AFF61,ChurnSeasonTable,4,FALSE))*POWER(1-(AnnualChurn*VLOOKUP(AFF61,ChurnSeasonTable,4,FALSE)),0)+AFS37*(AnnualChurn*VLOOKUP(AFF61,ChurnSeasonTable,4,FALSE))*POWER(1-(AnnualChurn*VLOOKUP(AFF61,ChurnSeasonTable,4,FALSE)),1)+AFS25*(AnnualChurn*VLOOKUP(AFF61,ChurnSeasonTable,4,FALSE))*POWER(1-(AnnualChurn*VLOOKUP(AFF61,ChurnSeasonTable,4,FALSE)),2)+AFS13*(AnnualChurn*VLOOKUP(AFF61,ChurnSeasonTable,4,FALSE))*POWER(1-(AnnualChurn*VLOOKUP(AFF61,ChurnSeasonTable,4,FALSE)),3)</f>
        <v/>
      </c>
      <c r="AFX61" s="12">
        <f>AFX60+AFT61-AFT49*(AnnualChurn*VLOOKUP(AFF61,ChurnSeasonTable,4,FALSE))*POWER(1-(AnnualChurn*VLOOKUP(AFF61,ChurnSeasonTable,4,FALSE)),0)+AFT37*(AnnualChurn*VLOOKUP(AFF61,ChurnSeasonTable,4,FALSE))*POWER(1-(AnnualChurn*VLOOKUP(AFF61,ChurnSeasonTable,4,FALSE)),1)+AFT25*(AnnualChurn*VLOOKUP(AFF61,ChurnSeasonTable,4,FALSE))*POWER(1-(AnnualChurn*VLOOKUP(AFF61,ChurnSeasonTable,4,FALSE)),2)+AFT13*(AnnualChurn*VLOOKUP(AFF61,ChurnSeasonTable,4,FALSE))*POWER(1-(AnnualChurn*VLOOKUP(AFF61,ChurnSeasonTable,4,FALSE)),3)</f>
        <v/>
      </c>
      <c r="AFY61" s="12">
        <f>AFU61+AFV61+AFW61+AFX61</f>
        <v/>
      </c>
      <c r="AFZ61" s="9">
        <f>AFU61*PriceEssMonthly*AFI61+AFV61*PricePremMonthly*AFI61+AFW61*PriceEssAnnual*AFI61/12+AFX61*PricePremAnnual*AFI61/12</f>
        <v/>
      </c>
      <c r="AGA61" s="9">
        <f>AFZ61*12</f>
        <v/>
      </c>
      <c r="AGB61" s="12">
        <f>AFU61*PriceEssMonthly*AFI61+AFV61*PricePremMonthly*AFI61</f>
        <v/>
      </c>
      <c r="AGC61" s="12">
        <f>AFS61*PriceEssAnnual*AFI61+AFT61*PricePremAnnual*AFI61</f>
        <v/>
      </c>
      <c r="AGD61" s="12">
        <f>AFS49*POWER(1-(AnnualChurn*VLOOKUP(AFF61,ChurnSeasonTable,4,FALSE)),1)*PriceEssAnnual*AFI61+AFS37*POWER(1-(AnnualChurn*VLOOKUP(AFF61,ChurnSeasonTable,4,FALSE)),2)*PriceEssAnnual*AFI61+AFS25*POWER(1-(AnnualChurn*VLOOKUP(AFF61,ChurnSeasonTable,4,FALSE)),3)*PriceEssAnnual*AFI61+AFS13*POWER(1-(AnnualChurn*VLOOKUP(AFF61,ChurnSeasonTable,4,FALSE)),4)*PriceEssAnnual*AFI61+AFT49*POWER(1-(AnnualChurn*VLOOKUP(AFF61,ChurnSeasonTable,4,FALSE)),1)*PricePremAnnual*AFI61+AFT37*POWER(1-(AnnualChurn*VLOOKUP(AFF61,ChurnSeasonTable,4,FALSE)),2)*PricePremAnnual*AFI61+AFT25*POWER(1-(AnnualChurn*VLOOKUP(AFF61,ChurnSeasonTable,4,FALSE)),3)*PricePremAnnual*AFI61+AFT13*POWER(1-(AnnualChurn*VLOOKUP(AFF61,ChurnSeasonTable,4,FALSE)),4)*PricePremAnnual*AFI61</f>
        <v/>
      </c>
      <c r="AGE61" s="9">
        <f>AGB61+AGC61+AGD61</f>
        <v/>
      </c>
      <c r="AGF61" s="12">
        <f>SUM(AGE50:AGE61)</f>
        <v/>
      </c>
      <c r="AGG61" s="12">
        <f>OR(AGG60,AGF61&gt;=VATThreshold)</f>
        <v/>
      </c>
      <c r="AGH61" s="9">
        <f>IF(AGG61,AGE61/(1+VATRate),AGE61)</f>
        <v/>
      </c>
      <c r="AGI61" s="12">
        <f>AGE61-AGH61</f>
        <v/>
      </c>
      <c r="AGJ61" s="12">
        <f>IF(AGG61=0,0,IF(AFF61=1,SUMPRODUCT(--(($AFG$5:$AFG61=$AFG61-1)*($AFF$5:$AFF61&gt;=10)*($AFF$5:$AFF61&lt;=12)),$AGI$5:$AGI61),IF(AFF61=4,SUMPRODUCT(--(($AFG$5:$AFG61=$AFG61)*($AFF$5:$AFF61&gt;=1)*($AFF$5:$AFF61&lt;=3)),$AGI$5:$AGI61),IF(AFF61=7,SUMPRODUCT(--(($AFG$5:$AFG61=$AFG61)*($AFF$5:$AFF61&gt;=4)*($AFF$5:$AFF61&lt;=6)),$AGI$5:$AGI61),IF(AFF61=10,SUMPRODUCT(--(($AFG$5:$AFG61=$AFG61)*($AFF$5:$AFF61&gt;=7)*($AFF$5:$AFF61&lt;=9)),$AGI$5:$AGI61),0)))))</f>
        <v/>
      </c>
      <c r="AGK61" s="12">
        <f>AGK60+AGI61-AGJ61</f>
        <v/>
      </c>
      <c r="AGL61" s="12">
        <f>IF(ProviderDelay&gt;=1,AGH60*ProviderShare,AGH61*ProviderShare)</f>
        <v/>
      </c>
      <c r="AGM61" s="12">
        <f>AGE61*PaymentFee</f>
        <v/>
      </c>
      <c r="AGN61" s="12">
        <f>AFY61*OpsAI</f>
        <v/>
      </c>
      <c r="AGO61" s="12">
        <f>MonthlyFixed</f>
        <v/>
      </c>
      <c r="AGP61" s="12">
        <f>AFM61*ReferralReward</f>
        <v/>
      </c>
      <c r="AGQ61" s="12">
        <f>AFK61</f>
        <v/>
      </c>
      <c r="AGR61" s="9">
        <f>AGH61-AGL61-AGM61-AGN61-AGO61-AGP61-AGQ61</f>
        <v/>
      </c>
      <c r="AGS61" s="9">
        <f>AGS60+AGE61-(AGL61+AGM61+AGN61+AGO61+AGP61+AGQ61+AGJ61)</f>
        <v/>
      </c>
      <c r="AGT61" s="12">
        <f>IF(AFY61&gt;0,AFZ61/AFY61,0)</f>
        <v/>
      </c>
      <c r="AGU61" s="11">
        <f>IF(AFY60&gt;0,MAX(0,(AFY60+AFN61-AFY61)/AFY60),0)</f>
        <v/>
      </c>
      <c r="AGW61" s="12" t="n">
        <v>57</v>
      </c>
      <c r="AGX61" s="12">
        <f>MOD(AGW61-1+LaunchMonth-1,12)+1</f>
        <v/>
      </c>
      <c r="AGY61" s="12">
        <f>INT((AGW61-1+LaunchMonth-1)/12)+1</f>
        <v/>
      </c>
      <c r="AGZ61" s="12">
        <f>VLOOKUP(AGX61,SeasonTable,2,FALSE)</f>
        <v/>
      </c>
      <c r="AHA61" s="12">
        <f>(1+InflationRate)^INT((AGW61-1)/12)</f>
        <v/>
      </c>
      <c r="AHB61" s="11">
        <f>MonthlyChurn*VLOOKUP(AGX61,ChurnSeasonTable,4,FALSE)</f>
        <v/>
      </c>
      <c r="AHC61" s="12">
        <f>MIN(MAX(MktMin19plus,AHW60*MktPct19plus),MAX(0,AIK60-CashBuffer))</f>
        <v/>
      </c>
      <c r="AHD61" s="12">
        <f>IF(AHC61&gt;0,MAX(1,ROUND(AHC61/'Sens - CAC &amp; Marketing'!$A$10*AGZ61,0)),0)</f>
        <v/>
      </c>
      <c r="AHE61" s="12">
        <f>IF(AHD61&gt;0,ROUND(AHD61*ReferralMix/(1-ReferralMix),0),0)</f>
        <v/>
      </c>
      <c r="AHF61" s="12">
        <f>AHD61+AHE61</f>
        <v/>
      </c>
      <c r="AHG61" s="12">
        <f>ROUND(AHF61*(1-AnnualMix),0)</f>
        <v/>
      </c>
      <c r="AHH61" s="12">
        <f>AHF61-AHG61</f>
        <v/>
      </c>
      <c r="AHI61" s="12">
        <f>ROUND(AHG61*EssentialMix,0)</f>
        <v/>
      </c>
      <c r="AHJ61" s="12">
        <f>AHG61-AHI61</f>
        <v/>
      </c>
      <c r="AHK61" s="12">
        <f>ROUND(AHH61*EssentialMix,0)</f>
        <v/>
      </c>
      <c r="AHL61" s="12">
        <f>AHH61-AHK61</f>
        <v/>
      </c>
      <c r="AHM61" s="12">
        <f>AHI61+AHI60+AHI59+MAX(0,AHM60-AHI60-AHI59)*(1-AHB61)</f>
        <v/>
      </c>
      <c r="AHN61" s="12">
        <f>AHJ61+AHJ60+AHJ59+MAX(0,AHN60-AHJ60-AHJ59)*(1-AHB61)</f>
        <v/>
      </c>
      <c r="AHO61" s="12">
        <f>AHO60+AHK61-AHK49*(AnnualChurn*VLOOKUP(AGX61,ChurnSeasonTable,4,FALSE))*POWER(1-(AnnualChurn*VLOOKUP(AGX61,ChurnSeasonTable,4,FALSE)),0)+AHK37*(AnnualChurn*VLOOKUP(AGX61,ChurnSeasonTable,4,FALSE))*POWER(1-(AnnualChurn*VLOOKUP(AGX61,ChurnSeasonTable,4,FALSE)),1)+AHK25*(AnnualChurn*VLOOKUP(AGX61,ChurnSeasonTable,4,FALSE))*POWER(1-(AnnualChurn*VLOOKUP(AGX61,ChurnSeasonTable,4,FALSE)),2)+AHK13*(AnnualChurn*VLOOKUP(AGX61,ChurnSeasonTable,4,FALSE))*POWER(1-(AnnualChurn*VLOOKUP(AGX61,ChurnSeasonTable,4,FALSE)),3)</f>
        <v/>
      </c>
      <c r="AHP61" s="12">
        <f>AHP60+AHL61-AHL49*(AnnualChurn*VLOOKUP(AGX61,ChurnSeasonTable,4,FALSE))*POWER(1-(AnnualChurn*VLOOKUP(AGX61,ChurnSeasonTable,4,FALSE)),0)+AHL37*(AnnualChurn*VLOOKUP(AGX61,ChurnSeasonTable,4,FALSE))*POWER(1-(AnnualChurn*VLOOKUP(AGX61,ChurnSeasonTable,4,FALSE)),1)+AHL25*(AnnualChurn*VLOOKUP(AGX61,ChurnSeasonTable,4,FALSE))*POWER(1-(AnnualChurn*VLOOKUP(AGX61,ChurnSeasonTable,4,FALSE)),2)+AHL13*(AnnualChurn*VLOOKUP(AGX61,ChurnSeasonTable,4,FALSE))*POWER(1-(AnnualChurn*VLOOKUP(AGX61,ChurnSeasonTable,4,FALSE)),3)</f>
        <v/>
      </c>
      <c r="AHQ61" s="12">
        <f>AHM61+AHN61+AHO61+AHP61</f>
        <v/>
      </c>
      <c r="AHR61" s="9">
        <f>AHM61*PriceEssMonthly*AHA61+AHN61*PricePremMonthly*AHA61+AHO61*PriceEssAnnual*AHA61/12+AHP61*PricePremAnnual*AHA61/12</f>
        <v/>
      </c>
      <c r="AHS61" s="9">
        <f>AHR61*12</f>
        <v/>
      </c>
      <c r="AHT61" s="12">
        <f>AHM61*PriceEssMonthly*AHA61+AHN61*PricePremMonthly*AHA61</f>
        <v/>
      </c>
      <c r="AHU61" s="12">
        <f>AHK61*PriceEssAnnual*AHA61+AHL61*PricePremAnnual*AHA61</f>
        <v/>
      </c>
      <c r="AHV61" s="12">
        <f>AHK49*POWER(1-(AnnualChurn*VLOOKUP(AGX61,ChurnSeasonTable,4,FALSE)),1)*PriceEssAnnual*AHA61+AHK37*POWER(1-(AnnualChurn*VLOOKUP(AGX61,ChurnSeasonTable,4,FALSE)),2)*PriceEssAnnual*AHA61+AHK25*POWER(1-(AnnualChurn*VLOOKUP(AGX61,ChurnSeasonTable,4,FALSE)),3)*PriceEssAnnual*AHA61+AHK13*POWER(1-(AnnualChurn*VLOOKUP(AGX61,ChurnSeasonTable,4,FALSE)),4)*PriceEssAnnual*AHA61+AHL49*POWER(1-(AnnualChurn*VLOOKUP(AGX61,ChurnSeasonTable,4,FALSE)),1)*PricePremAnnual*AHA61+AHL37*POWER(1-(AnnualChurn*VLOOKUP(AGX61,ChurnSeasonTable,4,FALSE)),2)*PricePremAnnual*AHA61+AHL25*POWER(1-(AnnualChurn*VLOOKUP(AGX61,ChurnSeasonTable,4,FALSE)),3)*PricePremAnnual*AHA61+AHL13*POWER(1-(AnnualChurn*VLOOKUP(AGX61,ChurnSeasonTable,4,FALSE)),4)*PricePremAnnual*AHA61</f>
        <v/>
      </c>
      <c r="AHW61" s="9">
        <f>AHT61+AHU61+AHV61</f>
        <v/>
      </c>
      <c r="AHX61" s="12">
        <f>SUM(AHW50:AHW61)</f>
        <v/>
      </c>
      <c r="AHY61" s="12">
        <f>OR(AHY60,AHX61&gt;=VATThreshold)</f>
        <v/>
      </c>
      <c r="AHZ61" s="9">
        <f>IF(AHY61,AHW61/(1+VATRate),AHW61)</f>
        <v/>
      </c>
      <c r="AIA61" s="12">
        <f>AHW61-AHZ61</f>
        <v/>
      </c>
      <c r="AIB61" s="12">
        <f>IF(AHY61=0,0,IF(AGX61=1,SUMPRODUCT(--(($AGY$5:$AGY61=$AGY61-1)*($AGX$5:$AGX61&gt;=10)*($AGX$5:$AGX61&lt;=12)),$AIA$5:$AIA61),IF(AGX61=4,SUMPRODUCT(--(($AGY$5:$AGY61=$AGY61)*($AGX$5:$AGX61&gt;=1)*($AGX$5:$AGX61&lt;=3)),$AIA$5:$AIA61),IF(AGX61=7,SUMPRODUCT(--(($AGY$5:$AGY61=$AGY61)*($AGX$5:$AGX61&gt;=4)*($AGX$5:$AGX61&lt;=6)),$AIA$5:$AIA61),IF(AGX61=10,SUMPRODUCT(--(($AGY$5:$AGY61=$AGY61)*($AGX$5:$AGX61&gt;=7)*($AGX$5:$AGX61&lt;=9)),$AIA$5:$AIA61),0)))))</f>
        <v/>
      </c>
      <c r="AIC61" s="12">
        <f>AIC60+AIA61-AIB61</f>
        <v/>
      </c>
      <c r="AID61" s="12">
        <f>IF(ProviderDelay&gt;=1,AHZ60*ProviderShare,AHZ61*ProviderShare)</f>
        <v/>
      </c>
      <c r="AIE61" s="12">
        <f>AHW61*PaymentFee</f>
        <v/>
      </c>
      <c r="AIF61" s="12">
        <f>AHQ61*OpsAI</f>
        <v/>
      </c>
      <c r="AIG61" s="12">
        <f>MonthlyFixed</f>
        <v/>
      </c>
      <c r="AIH61" s="12">
        <f>AHE61*ReferralReward</f>
        <v/>
      </c>
      <c r="AII61" s="12">
        <f>AHC61</f>
        <v/>
      </c>
      <c r="AIJ61" s="9">
        <f>AHZ61-AID61-AIE61-AIF61-AIG61-AIH61-AII61</f>
        <v/>
      </c>
      <c r="AIK61" s="9">
        <f>AIK60+AHW61-(AID61+AIE61+AIF61+AIG61+AIH61+AII61+AIB61)</f>
        <v/>
      </c>
      <c r="AIL61" s="12">
        <f>IF(AHQ61&gt;0,AHR61/AHQ61,0)</f>
        <v/>
      </c>
      <c r="AIM61" s="11">
        <f>IF(AHQ60&gt;0,MAX(0,(AHQ60+AHF61-AHQ61)/AHQ60),0)</f>
        <v/>
      </c>
      <c r="AIO61" s="12" t="n">
        <v>57</v>
      </c>
      <c r="AIP61" s="12">
        <f>MOD(AIO61-1+LaunchMonth-1,12)+1</f>
        <v/>
      </c>
      <c r="AIQ61" s="12">
        <f>INT((AIO61-1+LaunchMonth-1)/12)+1</f>
        <v/>
      </c>
      <c r="AIR61" s="12">
        <f>VLOOKUP(AIP61,SeasonTable,2,FALSE)</f>
        <v/>
      </c>
      <c r="AIS61" s="12">
        <f>(1+InflationRate)^INT((AIO61-1)/12)</f>
        <v/>
      </c>
      <c r="AIT61" s="11">
        <f>MonthlyChurn*VLOOKUP(AIP61,ChurnSeasonTable,4,FALSE)</f>
        <v/>
      </c>
      <c r="AIU61" s="12">
        <f>MIN(MAX(MktMin19plus,AJO60*MktPct19plus),MAX(0,AKC60-CashBuffer))</f>
        <v/>
      </c>
      <c r="AIV61" s="12">
        <f>IF(AIU61&gt;0,MAX(1,ROUND(AIU61/'Sens - CAC &amp; Marketing'!$A$11*AIR61,0)),0)</f>
        <v/>
      </c>
      <c r="AIW61" s="12">
        <f>IF(AIV61&gt;0,ROUND(AIV61*ReferralMix/(1-ReferralMix),0),0)</f>
        <v/>
      </c>
      <c r="AIX61" s="12">
        <f>AIV61+AIW61</f>
        <v/>
      </c>
      <c r="AIY61" s="12">
        <f>ROUND(AIX61*(1-AnnualMix),0)</f>
        <v/>
      </c>
      <c r="AIZ61" s="12">
        <f>AIX61-AIY61</f>
        <v/>
      </c>
      <c r="AJA61" s="12">
        <f>ROUND(AIY61*EssentialMix,0)</f>
        <v/>
      </c>
      <c r="AJB61" s="12">
        <f>AIY61-AJA61</f>
        <v/>
      </c>
      <c r="AJC61" s="12">
        <f>ROUND(AIZ61*EssentialMix,0)</f>
        <v/>
      </c>
      <c r="AJD61" s="12">
        <f>AIZ61-AJC61</f>
        <v/>
      </c>
      <c r="AJE61" s="12">
        <f>AJA61+AJA60+AJA59+MAX(0,AJE60-AJA60-AJA59)*(1-AIT61)</f>
        <v/>
      </c>
      <c r="AJF61" s="12">
        <f>AJB61+AJB60+AJB59+MAX(0,AJF60-AJB60-AJB59)*(1-AIT61)</f>
        <v/>
      </c>
      <c r="AJG61" s="12">
        <f>AJG60+AJC61-AJC49*(AnnualChurn*VLOOKUP(AIP61,ChurnSeasonTable,4,FALSE))*POWER(1-(AnnualChurn*VLOOKUP(AIP61,ChurnSeasonTable,4,FALSE)),0)+AJC37*(AnnualChurn*VLOOKUP(AIP61,ChurnSeasonTable,4,FALSE))*POWER(1-(AnnualChurn*VLOOKUP(AIP61,ChurnSeasonTable,4,FALSE)),1)+AJC25*(AnnualChurn*VLOOKUP(AIP61,ChurnSeasonTable,4,FALSE))*POWER(1-(AnnualChurn*VLOOKUP(AIP61,ChurnSeasonTable,4,FALSE)),2)+AJC13*(AnnualChurn*VLOOKUP(AIP61,ChurnSeasonTable,4,FALSE))*POWER(1-(AnnualChurn*VLOOKUP(AIP61,ChurnSeasonTable,4,FALSE)),3)</f>
        <v/>
      </c>
      <c r="AJH61" s="12">
        <f>AJH60+AJD61-AJD49*(AnnualChurn*VLOOKUP(AIP61,ChurnSeasonTable,4,FALSE))*POWER(1-(AnnualChurn*VLOOKUP(AIP61,ChurnSeasonTable,4,FALSE)),0)+AJD37*(AnnualChurn*VLOOKUP(AIP61,ChurnSeasonTable,4,FALSE))*POWER(1-(AnnualChurn*VLOOKUP(AIP61,ChurnSeasonTable,4,FALSE)),1)+AJD25*(AnnualChurn*VLOOKUP(AIP61,ChurnSeasonTable,4,FALSE))*POWER(1-(AnnualChurn*VLOOKUP(AIP61,ChurnSeasonTable,4,FALSE)),2)+AJD13*(AnnualChurn*VLOOKUP(AIP61,ChurnSeasonTable,4,FALSE))*POWER(1-(AnnualChurn*VLOOKUP(AIP61,ChurnSeasonTable,4,FALSE)),3)</f>
        <v/>
      </c>
      <c r="AJI61" s="12">
        <f>AJE61+AJF61+AJG61+AJH61</f>
        <v/>
      </c>
      <c r="AJJ61" s="9">
        <f>AJE61*PriceEssMonthly*AIS61+AJF61*PricePremMonthly*AIS61+AJG61*PriceEssAnnual*AIS61/12+AJH61*PricePremAnnual*AIS61/12</f>
        <v/>
      </c>
      <c r="AJK61" s="9">
        <f>AJJ61*12</f>
        <v/>
      </c>
      <c r="AJL61" s="12">
        <f>AJE61*PriceEssMonthly*AIS61+AJF61*PricePremMonthly*AIS61</f>
        <v/>
      </c>
      <c r="AJM61" s="12">
        <f>AJC61*PriceEssAnnual*AIS61+AJD61*PricePremAnnual*AIS61</f>
        <v/>
      </c>
      <c r="AJN61" s="12">
        <f>AJC49*POWER(1-(AnnualChurn*VLOOKUP(AIP61,ChurnSeasonTable,4,FALSE)),1)*PriceEssAnnual*AIS61+AJC37*POWER(1-(AnnualChurn*VLOOKUP(AIP61,ChurnSeasonTable,4,FALSE)),2)*PriceEssAnnual*AIS61+AJC25*POWER(1-(AnnualChurn*VLOOKUP(AIP61,ChurnSeasonTable,4,FALSE)),3)*PriceEssAnnual*AIS61+AJC13*POWER(1-(AnnualChurn*VLOOKUP(AIP61,ChurnSeasonTable,4,FALSE)),4)*PriceEssAnnual*AIS61+AJD49*POWER(1-(AnnualChurn*VLOOKUP(AIP61,ChurnSeasonTable,4,FALSE)),1)*PricePremAnnual*AIS61+AJD37*POWER(1-(AnnualChurn*VLOOKUP(AIP61,ChurnSeasonTable,4,FALSE)),2)*PricePremAnnual*AIS61+AJD25*POWER(1-(AnnualChurn*VLOOKUP(AIP61,ChurnSeasonTable,4,FALSE)),3)*PricePremAnnual*AIS61+AJD13*POWER(1-(AnnualChurn*VLOOKUP(AIP61,ChurnSeasonTable,4,FALSE)),4)*PricePremAnnual*AIS61</f>
        <v/>
      </c>
      <c r="AJO61" s="9">
        <f>AJL61+AJM61+AJN61</f>
        <v/>
      </c>
      <c r="AJP61" s="12">
        <f>SUM(AJO50:AJO61)</f>
        <v/>
      </c>
      <c r="AJQ61" s="12">
        <f>OR(AJQ60,AJP61&gt;=VATThreshold)</f>
        <v/>
      </c>
      <c r="AJR61" s="9">
        <f>IF(AJQ61,AJO61/(1+VATRate),AJO61)</f>
        <v/>
      </c>
      <c r="AJS61" s="12">
        <f>AJO61-AJR61</f>
        <v/>
      </c>
      <c r="AJT61" s="12">
        <f>IF(AJQ61=0,0,IF(AIP61=1,SUMPRODUCT(--(($AIQ$5:$AIQ61=$AIQ61-1)*($AIP$5:$AIP61&gt;=10)*($AIP$5:$AIP61&lt;=12)),$AJS$5:$AJS61),IF(AIP61=4,SUMPRODUCT(--(($AIQ$5:$AIQ61=$AIQ61)*($AIP$5:$AIP61&gt;=1)*($AIP$5:$AIP61&lt;=3)),$AJS$5:$AJS61),IF(AIP61=7,SUMPRODUCT(--(($AIQ$5:$AIQ61=$AIQ61)*($AIP$5:$AIP61&gt;=4)*($AIP$5:$AIP61&lt;=6)),$AJS$5:$AJS61),IF(AIP61=10,SUMPRODUCT(--(($AIQ$5:$AIQ61=$AIQ61)*($AIP$5:$AIP61&gt;=7)*($AIP$5:$AIP61&lt;=9)),$AJS$5:$AJS61),0)))))</f>
        <v/>
      </c>
      <c r="AJU61" s="12">
        <f>AJU60+AJS61-AJT61</f>
        <v/>
      </c>
      <c r="AJV61" s="12">
        <f>IF(ProviderDelay&gt;=1,AJR60*ProviderShare,AJR61*ProviderShare)</f>
        <v/>
      </c>
      <c r="AJW61" s="12">
        <f>AJO61*PaymentFee</f>
        <v/>
      </c>
      <c r="AJX61" s="12">
        <f>AJI61*OpsAI</f>
        <v/>
      </c>
      <c r="AJY61" s="12">
        <f>MonthlyFixed</f>
        <v/>
      </c>
      <c r="AJZ61" s="12">
        <f>AIW61*ReferralReward</f>
        <v/>
      </c>
      <c r="AKA61" s="12">
        <f>AIU61</f>
        <v/>
      </c>
      <c r="AKB61" s="9">
        <f>AJR61-AJV61-AJW61-AJX61-AJY61-AJZ61-AKA61</f>
        <v/>
      </c>
      <c r="AKC61" s="9">
        <f>AKC60+AJO61-(AJV61+AJW61+AJX61+AJY61+AJZ61+AKA61+AJT61)</f>
        <v/>
      </c>
      <c r="AKD61" s="12">
        <f>IF(AJI61&gt;0,AJJ61/AJI61,0)</f>
        <v/>
      </c>
      <c r="AKE61" s="11">
        <f>IF(AJI60&gt;0,MAX(0,(AJI60+AIX61-AJI61)/AJI60),0)</f>
        <v/>
      </c>
      <c r="AKG61" s="12" t="n">
        <v>57</v>
      </c>
      <c r="AKH61" s="12">
        <f>MOD(AKG61-1+LaunchMonth-1,12)+1</f>
        <v/>
      </c>
      <c r="AKI61" s="12">
        <f>INT((AKG61-1+LaunchMonth-1)/12)+1</f>
        <v/>
      </c>
      <c r="AKJ61" s="12">
        <f>VLOOKUP(AKH61,SeasonTable,2,FALSE)</f>
        <v/>
      </c>
      <c r="AKK61" s="12">
        <f>(1+InflationRate)^INT((AKG61-1)/12)</f>
        <v/>
      </c>
      <c r="AKL61" s="11">
        <f>MonthlyChurn*VLOOKUP(AKH61,ChurnSeasonTable,4,FALSE)</f>
        <v/>
      </c>
      <c r="AKM61" s="12">
        <f>MIN(MAX(MktMin19plus,ALG60*MktPct19plus),MAX(0,ALU60-CashBuffer))</f>
        <v/>
      </c>
      <c r="AKN61" s="12">
        <f>IF(AKM61&gt;0,MAX(1,ROUND(AKM61/'Sens - CAC &amp; Marketing'!$A$12*AKJ61,0)),0)</f>
        <v/>
      </c>
      <c r="AKO61" s="12">
        <f>IF(AKN61&gt;0,ROUND(AKN61*ReferralMix/(1-ReferralMix),0),0)</f>
        <v/>
      </c>
      <c r="AKP61" s="12">
        <f>AKN61+AKO61</f>
        <v/>
      </c>
      <c r="AKQ61" s="12">
        <f>ROUND(AKP61*(1-AnnualMix),0)</f>
        <v/>
      </c>
      <c r="AKR61" s="12">
        <f>AKP61-AKQ61</f>
        <v/>
      </c>
      <c r="AKS61" s="12">
        <f>ROUND(AKQ61*EssentialMix,0)</f>
        <v/>
      </c>
      <c r="AKT61" s="12">
        <f>AKQ61-AKS61</f>
        <v/>
      </c>
      <c r="AKU61" s="12">
        <f>ROUND(AKR61*EssentialMix,0)</f>
        <v/>
      </c>
      <c r="AKV61" s="12">
        <f>AKR61-AKU61</f>
        <v/>
      </c>
      <c r="AKW61" s="12">
        <f>AKS61+AKS60+AKS59+MAX(0,AKW60-AKS60-AKS59)*(1-AKL61)</f>
        <v/>
      </c>
      <c r="AKX61" s="12">
        <f>AKT61+AKT60+AKT59+MAX(0,AKX60-AKT60-AKT59)*(1-AKL61)</f>
        <v/>
      </c>
      <c r="AKY61" s="12">
        <f>AKY60+AKU61-AKU49*(AnnualChurn*VLOOKUP(AKH61,ChurnSeasonTable,4,FALSE))*POWER(1-(AnnualChurn*VLOOKUP(AKH61,ChurnSeasonTable,4,FALSE)),0)+AKU37*(AnnualChurn*VLOOKUP(AKH61,ChurnSeasonTable,4,FALSE))*POWER(1-(AnnualChurn*VLOOKUP(AKH61,ChurnSeasonTable,4,FALSE)),1)+AKU25*(AnnualChurn*VLOOKUP(AKH61,ChurnSeasonTable,4,FALSE))*POWER(1-(AnnualChurn*VLOOKUP(AKH61,ChurnSeasonTable,4,FALSE)),2)+AKU13*(AnnualChurn*VLOOKUP(AKH61,ChurnSeasonTable,4,FALSE))*POWER(1-(AnnualChurn*VLOOKUP(AKH61,ChurnSeasonTable,4,FALSE)),3)</f>
        <v/>
      </c>
      <c r="AKZ61" s="12">
        <f>AKZ60+AKV61-AKV49*(AnnualChurn*VLOOKUP(AKH61,ChurnSeasonTable,4,FALSE))*POWER(1-(AnnualChurn*VLOOKUP(AKH61,ChurnSeasonTable,4,FALSE)),0)+AKV37*(AnnualChurn*VLOOKUP(AKH61,ChurnSeasonTable,4,FALSE))*POWER(1-(AnnualChurn*VLOOKUP(AKH61,ChurnSeasonTable,4,FALSE)),1)+AKV25*(AnnualChurn*VLOOKUP(AKH61,ChurnSeasonTable,4,FALSE))*POWER(1-(AnnualChurn*VLOOKUP(AKH61,ChurnSeasonTable,4,FALSE)),2)+AKV13*(AnnualChurn*VLOOKUP(AKH61,ChurnSeasonTable,4,FALSE))*POWER(1-(AnnualChurn*VLOOKUP(AKH61,ChurnSeasonTable,4,FALSE)),3)</f>
        <v/>
      </c>
      <c r="ALA61" s="12">
        <f>AKW61+AKX61+AKY61+AKZ61</f>
        <v/>
      </c>
      <c r="ALB61" s="9">
        <f>AKW61*PriceEssMonthly*AKK61+AKX61*PricePremMonthly*AKK61+AKY61*PriceEssAnnual*AKK61/12+AKZ61*PricePremAnnual*AKK61/12</f>
        <v/>
      </c>
      <c r="ALC61" s="9">
        <f>ALB61*12</f>
        <v/>
      </c>
      <c r="ALD61" s="12">
        <f>AKW61*PriceEssMonthly*AKK61+AKX61*PricePremMonthly*AKK61</f>
        <v/>
      </c>
      <c r="ALE61" s="12">
        <f>AKU61*PriceEssAnnual*AKK61+AKV61*PricePremAnnual*AKK61</f>
        <v/>
      </c>
      <c r="ALF61" s="12">
        <f>AKU49*POWER(1-(AnnualChurn*VLOOKUP(AKH61,ChurnSeasonTable,4,FALSE)),1)*PriceEssAnnual*AKK61+AKU37*POWER(1-(AnnualChurn*VLOOKUP(AKH61,ChurnSeasonTable,4,FALSE)),2)*PriceEssAnnual*AKK61+AKU25*POWER(1-(AnnualChurn*VLOOKUP(AKH61,ChurnSeasonTable,4,FALSE)),3)*PriceEssAnnual*AKK61+AKU13*POWER(1-(AnnualChurn*VLOOKUP(AKH61,ChurnSeasonTable,4,FALSE)),4)*PriceEssAnnual*AKK61+AKV49*POWER(1-(AnnualChurn*VLOOKUP(AKH61,ChurnSeasonTable,4,FALSE)),1)*PricePremAnnual*AKK61+AKV37*POWER(1-(AnnualChurn*VLOOKUP(AKH61,ChurnSeasonTable,4,FALSE)),2)*PricePremAnnual*AKK61+AKV25*POWER(1-(AnnualChurn*VLOOKUP(AKH61,ChurnSeasonTable,4,FALSE)),3)*PricePremAnnual*AKK61+AKV13*POWER(1-(AnnualChurn*VLOOKUP(AKH61,ChurnSeasonTable,4,FALSE)),4)*PricePremAnnual*AKK61</f>
        <v/>
      </c>
      <c r="ALG61" s="9">
        <f>ALD61+ALE61+ALF61</f>
        <v/>
      </c>
      <c r="ALH61" s="12">
        <f>SUM(ALG50:ALG61)</f>
        <v/>
      </c>
      <c r="ALI61" s="12">
        <f>OR(ALI60,ALH61&gt;=VATThreshold)</f>
        <v/>
      </c>
      <c r="ALJ61" s="9">
        <f>IF(ALI61,ALG61/(1+VATRate),ALG61)</f>
        <v/>
      </c>
      <c r="ALK61" s="12">
        <f>ALG61-ALJ61</f>
        <v/>
      </c>
      <c r="ALL61" s="12">
        <f>IF(ALI61=0,0,IF(AKH61=1,SUMPRODUCT(--(($AKI$5:$AKI61=$AKI61-1)*($AKH$5:$AKH61&gt;=10)*($AKH$5:$AKH61&lt;=12)),$ALK$5:$ALK61),IF(AKH61=4,SUMPRODUCT(--(($AKI$5:$AKI61=$AKI61)*($AKH$5:$AKH61&gt;=1)*($AKH$5:$AKH61&lt;=3)),$ALK$5:$ALK61),IF(AKH61=7,SUMPRODUCT(--(($AKI$5:$AKI61=$AKI61)*($AKH$5:$AKH61&gt;=4)*($AKH$5:$AKH61&lt;=6)),$ALK$5:$ALK61),IF(AKH61=10,SUMPRODUCT(--(($AKI$5:$AKI61=$AKI61)*($AKH$5:$AKH61&gt;=7)*($AKH$5:$AKH61&lt;=9)),$ALK$5:$ALK61),0)))))</f>
        <v/>
      </c>
      <c r="ALM61" s="12">
        <f>ALM60+ALK61-ALL61</f>
        <v/>
      </c>
      <c r="ALN61" s="12">
        <f>IF(ProviderDelay&gt;=1,ALJ60*ProviderShare,ALJ61*ProviderShare)</f>
        <v/>
      </c>
      <c r="ALO61" s="12">
        <f>ALG61*PaymentFee</f>
        <v/>
      </c>
      <c r="ALP61" s="12">
        <f>ALA61*OpsAI</f>
        <v/>
      </c>
      <c r="ALQ61" s="12">
        <f>MonthlyFixed</f>
        <v/>
      </c>
      <c r="ALR61" s="12">
        <f>AKO61*ReferralReward</f>
        <v/>
      </c>
      <c r="ALS61" s="12">
        <f>AKM61</f>
        <v/>
      </c>
      <c r="ALT61" s="9">
        <f>ALJ61-ALN61-ALO61-ALP61-ALQ61-ALR61-ALS61</f>
        <v/>
      </c>
      <c r="ALU61" s="9">
        <f>ALU60+ALG61-(ALN61+ALO61+ALP61+ALQ61+ALR61+ALS61+ALL61)</f>
        <v/>
      </c>
      <c r="ALV61" s="12">
        <f>IF(ALA61&gt;0,ALB61/ALA61,0)</f>
        <v/>
      </c>
      <c r="ALW61" s="11">
        <f>IF(ALA60&gt;0,MAX(0,(ALA60+AKP61-ALA61)/ALA60),0)</f>
        <v/>
      </c>
      <c r="ALY61" s="12" t="n">
        <v>57</v>
      </c>
      <c r="ALZ61" s="12">
        <f>MOD(ALY61-1+LaunchMonth-1,12)+1</f>
        <v/>
      </c>
      <c r="AMA61" s="12">
        <f>INT((ALY61-1+LaunchMonth-1)/12)+1</f>
        <v/>
      </c>
      <c r="AMB61" s="12">
        <f>VLOOKUP(ALZ61,SeasonTable,2,FALSE)</f>
        <v/>
      </c>
      <c r="AMC61" s="12">
        <f>(1+InflationRate)^INT((ALY61-1)/12)</f>
        <v/>
      </c>
      <c r="AMD61" s="11">
        <f>MonthlyChurn*VLOOKUP(ALZ61,ChurnSeasonTable,4,FALSE)</f>
        <v/>
      </c>
      <c r="AME61" s="12">
        <f>MIN(MAX(MktMin19plus,AMY60*MktPct19plus),MAX(0,ANM60-CashBuffer))</f>
        <v/>
      </c>
      <c r="AMF61" s="12">
        <f>IF(AME61&gt;0,MAX(1,ROUND(AME61/'Sens - CAC &amp; Marketing'!$A$13*AMB61,0)),0)</f>
        <v/>
      </c>
      <c r="AMG61" s="12">
        <f>IF(AMF61&gt;0,ROUND(AMF61*ReferralMix/(1-ReferralMix),0),0)</f>
        <v/>
      </c>
      <c r="AMH61" s="12">
        <f>AMF61+AMG61</f>
        <v/>
      </c>
      <c r="AMI61" s="12">
        <f>ROUND(AMH61*(1-AnnualMix),0)</f>
        <v/>
      </c>
      <c r="AMJ61" s="12">
        <f>AMH61-AMI61</f>
        <v/>
      </c>
      <c r="AMK61" s="12">
        <f>ROUND(AMI61*EssentialMix,0)</f>
        <v/>
      </c>
      <c r="AML61" s="12">
        <f>AMI61-AMK61</f>
        <v/>
      </c>
      <c r="AMM61" s="12">
        <f>ROUND(AMJ61*EssentialMix,0)</f>
        <v/>
      </c>
      <c r="AMN61" s="12">
        <f>AMJ61-AMM61</f>
        <v/>
      </c>
      <c r="AMO61" s="12">
        <f>AMK61+AMK60+AMK59+MAX(0,AMO60-AMK60-AMK59)*(1-AMD61)</f>
        <v/>
      </c>
      <c r="AMP61" s="12">
        <f>AML61+AML60+AML59+MAX(0,AMP60-AML60-AML59)*(1-AMD61)</f>
        <v/>
      </c>
      <c r="AMQ61" s="12">
        <f>AMQ60+AMM61-AMM49*(AnnualChurn*VLOOKUP(ALZ61,ChurnSeasonTable,4,FALSE))*POWER(1-(AnnualChurn*VLOOKUP(ALZ61,ChurnSeasonTable,4,FALSE)),0)+AMM37*(AnnualChurn*VLOOKUP(ALZ61,ChurnSeasonTable,4,FALSE))*POWER(1-(AnnualChurn*VLOOKUP(ALZ61,ChurnSeasonTable,4,FALSE)),1)+AMM25*(AnnualChurn*VLOOKUP(ALZ61,ChurnSeasonTable,4,FALSE))*POWER(1-(AnnualChurn*VLOOKUP(ALZ61,ChurnSeasonTable,4,FALSE)),2)+AMM13*(AnnualChurn*VLOOKUP(ALZ61,ChurnSeasonTable,4,FALSE))*POWER(1-(AnnualChurn*VLOOKUP(ALZ61,ChurnSeasonTable,4,FALSE)),3)</f>
        <v/>
      </c>
      <c r="AMR61" s="12">
        <f>AMR60+AMN61-AMN49*(AnnualChurn*VLOOKUP(ALZ61,ChurnSeasonTable,4,FALSE))*POWER(1-(AnnualChurn*VLOOKUP(ALZ61,ChurnSeasonTable,4,FALSE)),0)+AMN37*(AnnualChurn*VLOOKUP(ALZ61,ChurnSeasonTable,4,FALSE))*POWER(1-(AnnualChurn*VLOOKUP(ALZ61,ChurnSeasonTable,4,FALSE)),1)+AMN25*(AnnualChurn*VLOOKUP(ALZ61,ChurnSeasonTable,4,FALSE))*POWER(1-(AnnualChurn*VLOOKUP(ALZ61,ChurnSeasonTable,4,FALSE)),2)+AMN13*(AnnualChurn*VLOOKUP(ALZ61,ChurnSeasonTable,4,FALSE))*POWER(1-(AnnualChurn*VLOOKUP(ALZ61,ChurnSeasonTable,4,FALSE)),3)</f>
        <v/>
      </c>
      <c r="AMS61" s="12">
        <f>AMO61+AMP61+AMQ61+AMR61</f>
        <v/>
      </c>
      <c r="AMT61" s="9">
        <f>AMO61*PriceEssMonthly*AMC61+AMP61*PricePremMonthly*AMC61+AMQ61*PriceEssAnnual*AMC61/12+AMR61*PricePremAnnual*AMC61/12</f>
        <v/>
      </c>
      <c r="AMU61" s="9">
        <f>AMT61*12</f>
        <v/>
      </c>
      <c r="AMV61" s="12">
        <f>AMO61*PriceEssMonthly*AMC61+AMP61*PricePremMonthly*AMC61</f>
        <v/>
      </c>
      <c r="AMW61" s="12">
        <f>AMM61*PriceEssAnnual*AMC61+AMN61*PricePremAnnual*AMC61</f>
        <v/>
      </c>
      <c r="AMX61" s="12">
        <f>AMM49*POWER(1-(AnnualChurn*VLOOKUP(ALZ61,ChurnSeasonTable,4,FALSE)),1)*PriceEssAnnual*AMC61+AMM37*POWER(1-(AnnualChurn*VLOOKUP(ALZ61,ChurnSeasonTable,4,FALSE)),2)*PriceEssAnnual*AMC61+AMM25*POWER(1-(AnnualChurn*VLOOKUP(ALZ61,ChurnSeasonTable,4,FALSE)),3)*PriceEssAnnual*AMC61+AMM13*POWER(1-(AnnualChurn*VLOOKUP(ALZ61,ChurnSeasonTable,4,FALSE)),4)*PriceEssAnnual*AMC61+AMN49*POWER(1-(AnnualChurn*VLOOKUP(ALZ61,ChurnSeasonTable,4,FALSE)),1)*PricePremAnnual*AMC61+AMN37*POWER(1-(AnnualChurn*VLOOKUP(ALZ61,ChurnSeasonTable,4,FALSE)),2)*PricePremAnnual*AMC61+AMN25*POWER(1-(AnnualChurn*VLOOKUP(ALZ61,ChurnSeasonTable,4,FALSE)),3)*PricePremAnnual*AMC61+AMN13*POWER(1-(AnnualChurn*VLOOKUP(ALZ61,ChurnSeasonTable,4,FALSE)),4)*PricePremAnnual*AMC61</f>
        <v/>
      </c>
      <c r="AMY61" s="9">
        <f>AMV61+AMW61+AMX61</f>
        <v/>
      </c>
      <c r="AMZ61" s="12">
        <f>SUM(AMY50:AMY61)</f>
        <v/>
      </c>
      <c r="ANA61" s="12">
        <f>OR(ANA60,AMZ61&gt;=VATThreshold)</f>
        <v/>
      </c>
      <c r="ANB61" s="9">
        <f>IF(ANA61,AMY61/(1+VATRate),AMY61)</f>
        <v/>
      </c>
      <c r="ANC61" s="12">
        <f>AMY61-ANB61</f>
        <v/>
      </c>
      <c r="AND61" s="12">
        <f>IF(ANA61=0,0,IF(ALZ61=1,SUMPRODUCT(--(($AMA$5:$AMA61=$AMA61-1)*($ALZ$5:$ALZ61&gt;=10)*($ALZ$5:$ALZ61&lt;=12)),$ANC$5:$ANC61),IF(ALZ61=4,SUMPRODUCT(--(($AMA$5:$AMA61=$AMA61)*($ALZ$5:$ALZ61&gt;=1)*($ALZ$5:$ALZ61&lt;=3)),$ANC$5:$ANC61),IF(ALZ61=7,SUMPRODUCT(--(($AMA$5:$AMA61=$AMA61)*($ALZ$5:$ALZ61&gt;=4)*($ALZ$5:$ALZ61&lt;=6)),$ANC$5:$ANC61),IF(ALZ61=10,SUMPRODUCT(--(($AMA$5:$AMA61=$AMA61)*($ALZ$5:$ALZ61&gt;=7)*($ALZ$5:$ALZ61&lt;=9)),$ANC$5:$ANC61),0)))))</f>
        <v/>
      </c>
      <c r="ANE61" s="12">
        <f>ANE60+ANC61-AND61</f>
        <v/>
      </c>
      <c r="ANF61" s="12">
        <f>IF(ProviderDelay&gt;=1,ANB60*ProviderShare,ANB61*ProviderShare)</f>
        <v/>
      </c>
      <c r="ANG61" s="12">
        <f>AMY61*PaymentFee</f>
        <v/>
      </c>
      <c r="ANH61" s="12">
        <f>AMS61*OpsAI</f>
        <v/>
      </c>
      <c r="ANI61" s="12">
        <f>MonthlyFixed</f>
        <v/>
      </c>
      <c r="ANJ61" s="12">
        <f>AMG61*ReferralReward</f>
        <v/>
      </c>
      <c r="ANK61" s="12">
        <f>AME61</f>
        <v/>
      </c>
      <c r="ANL61" s="9">
        <f>ANB61-ANF61-ANG61-ANH61-ANI61-ANJ61-ANK61</f>
        <v/>
      </c>
      <c r="ANM61" s="9">
        <f>ANM60+AMY61-(ANF61+ANG61+ANH61+ANI61+ANJ61+ANK61+AND61)</f>
        <v/>
      </c>
      <c r="ANN61" s="12">
        <f>IF(AMS61&gt;0,AMT61/AMS61,0)</f>
        <v/>
      </c>
      <c r="ANO61" s="11">
        <f>IF(AMS60&gt;0,MAX(0,(AMS60+AMH61-AMS61)/AMS60),0)</f>
        <v/>
      </c>
      <c r="ANQ61" s="12" t="n">
        <v>57</v>
      </c>
      <c r="ANR61" s="12">
        <f>MOD(ANQ61-1+LaunchMonth-1,12)+1</f>
        <v/>
      </c>
      <c r="ANS61" s="12">
        <f>INT((ANQ61-1+LaunchMonth-1)/12)+1</f>
        <v/>
      </c>
      <c r="ANT61" s="12">
        <f>VLOOKUP(ANR61,SeasonTable,2,FALSE)</f>
        <v/>
      </c>
      <c r="ANU61" s="12">
        <f>(1+InflationRate)^INT((ANQ61-1)/12)</f>
        <v/>
      </c>
      <c r="ANV61" s="11">
        <f>MonthlyChurn*VLOOKUP(ANR61,ChurnSeasonTable,4,FALSE)</f>
        <v/>
      </c>
      <c r="ANW61" s="12">
        <f>MIN(MAX(MktMin19plus,AOQ60*MktPct19plus),MAX(0,APE60-CashBuffer))</f>
        <v/>
      </c>
      <c r="ANX61" s="12">
        <f>IF(ANW61&gt;0,MAX(1,ROUND(ANW61/'Sens - CAC &amp; Marketing'!$A$14*ANT61,0)),0)</f>
        <v/>
      </c>
      <c r="ANY61" s="12">
        <f>IF(ANX61&gt;0,ROUND(ANX61*ReferralMix/(1-ReferralMix),0),0)</f>
        <v/>
      </c>
      <c r="ANZ61" s="12">
        <f>ANX61+ANY61</f>
        <v/>
      </c>
      <c r="AOA61" s="12">
        <f>ROUND(ANZ61*(1-AnnualMix),0)</f>
        <v/>
      </c>
      <c r="AOB61" s="12">
        <f>ANZ61-AOA61</f>
        <v/>
      </c>
      <c r="AOC61" s="12">
        <f>ROUND(AOA61*EssentialMix,0)</f>
        <v/>
      </c>
      <c r="AOD61" s="12">
        <f>AOA61-AOC61</f>
        <v/>
      </c>
      <c r="AOE61" s="12">
        <f>ROUND(AOB61*EssentialMix,0)</f>
        <v/>
      </c>
      <c r="AOF61" s="12">
        <f>AOB61-AOE61</f>
        <v/>
      </c>
      <c r="AOG61" s="12">
        <f>AOC61+AOC60+AOC59+MAX(0,AOG60-AOC60-AOC59)*(1-ANV61)</f>
        <v/>
      </c>
      <c r="AOH61" s="12">
        <f>AOD61+AOD60+AOD59+MAX(0,AOH60-AOD60-AOD59)*(1-ANV61)</f>
        <v/>
      </c>
      <c r="AOI61" s="12">
        <f>AOI60+AOE61-AOE49*(AnnualChurn*VLOOKUP(ANR61,ChurnSeasonTable,4,FALSE))*POWER(1-(AnnualChurn*VLOOKUP(ANR61,ChurnSeasonTable,4,FALSE)),0)+AOE37*(AnnualChurn*VLOOKUP(ANR61,ChurnSeasonTable,4,FALSE))*POWER(1-(AnnualChurn*VLOOKUP(ANR61,ChurnSeasonTable,4,FALSE)),1)+AOE25*(AnnualChurn*VLOOKUP(ANR61,ChurnSeasonTable,4,FALSE))*POWER(1-(AnnualChurn*VLOOKUP(ANR61,ChurnSeasonTable,4,FALSE)),2)+AOE13*(AnnualChurn*VLOOKUP(ANR61,ChurnSeasonTable,4,FALSE))*POWER(1-(AnnualChurn*VLOOKUP(ANR61,ChurnSeasonTable,4,FALSE)),3)</f>
        <v/>
      </c>
      <c r="AOJ61" s="12">
        <f>AOJ60+AOF61-AOF49*(AnnualChurn*VLOOKUP(ANR61,ChurnSeasonTable,4,FALSE))*POWER(1-(AnnualChurn*VLOOKUP(ANR61,ChurnSeasonTable,4,FALSE)),0)+AOF37*(AnnualChurn*VLOOKUP(ANR61,ChurnSeasonTable,4,FALSE))*POWER(1-(AnnualChurn*VLOOKUP(ANR61,ChurnSeasonTable,4,FALSE)),1)+AOF25*(AnnualChurn*VLOOKUP(ANR61,ChurnSeasonTable,4,FALSE))*POWER(1-(AnnualChurn*VLOOKUP(ANR61,ChurnSeasonTable,4,FALSE)),2)+AOF13*(AnnualChurn*VLOOKUP(ANR61,ChurnSeasonTable,4,FALSE))*POWER(1-(AnnualChurn*VLOOKUP(ANR61,ChurnSeasonTable,4,FALSE)),3)</f>
        <v/>
      </c>
      <c r="AOK61" s="12">
        <f>AOG61+AOH61+AOI61+AOJ61</f>
        <v/>
      </c>
      <c r="AOL61" s="9">
        <f>AOG61*PriceEssMonthly*ANU61+AOH61*PricePremMonthly*ANU61+AOI61*PriceEssAnnual*ANU61/12+AOJ61*PricePremAnnual*ANU61/12</f>
        <v/>
      </c>
      <c r="AOM61" s="9">
        <f>AOL61*12</f>
        <v/>
      </c>
      <c r="AON61" s="12">
        <f>AOG61*PriceEssMonthly*ANU61+AOH61*PricePremMonthly*ANU61</f>
        <v/>
      </c>
      <c r="AOO61" s="12">
        <f>AOE61*PriceEssAnnual*ANU61+AOF61*PricePremAnnual*ANU61</f>
        <v/>
      </c>
      <c r="AOP61" s="12">
        <f>AOE49*POWER(1-(AnnualChurn*VLOOKUP(ANR61,ChurnSeasonTable,4,FALSE)),1)*PriceEssAnnual*ANU61+AOE37*POWER(1-(AnnualChurn*VLOOKUP(ANR61,ChurnSeasonTable,4,FALSE)),2)*PriceEssAnnual*ANU61+AOE25*POWER(1-(AnnualChurn*VLOOKUP(ANR61,ChurnSeasonTable,4,FALSE)),3)*PriceEssAnnual*ANU61+AOE13*POWER(1-(AnnualChurn*VLOOKUP(ANR61,ChurnSeasonTable,4,FALSE)),4)*PriceEssAnnual*ANU61+AOF49*POWER(1-(AnnualChurn*VLOOKUP(ANR61,ChurnSeasonTable,4,FALSE)),1)*PricePremAnnual*ANU61+AOF37*POWER(1-(AnnualChurn*VLOOKUP(ANR61,ChurnSeasonTable,4,FALSE)),2)*PricePremAnnual*ANU61+AOF25*POWER(1-(AnnualChurn*VLOOKUP(ANR61,ChurnSeasonTable,4,FALSE)),3)*PricePremAnnual*ANU61+AOF13*POWER(1-(AnnualChurn*VLOOKUP(ANR61,ChurnSeasonTable,4,FALSE)),4)*PricePremAnnual*ANU61</f>
        <v/>
      </c>
      <c r="AOQ61" s="9">
        <f>AON61+AOO61+AOP61</f>
        <v/>
      </c>
      <c r="AOR61" s="12">
        <f>SUM(AOQ50:AOQ61)</f>
        <v/>
      </c>
      <c r="AOS61" s="12">
        <f>OR(AOS60,AOR61&gt;=VATThreshold)</f>
        <v/>
      </c>
      <c r="AOT61" s="9">
        <f>IF(AOS61,AOQ61/(1+VATRate),AOQ61)</f>
        <v/>
      </c>
      <c r="AOU61" s="12">
        <f>AOQ61-AOT61</f>
        <v/>
      </c>
      <c r="AOV61" s="12">
        <f>IF(AOS61=0,0,IF(ANR61=1,SUMPRODUCT(--(($ANS$5:$ANS61=$ANS61-1)*($ANR$5:$ANR61&gt;=10)*($ANR$5:$ANR61&lt;=12)),$AOU$5:$AOU61),IF(ANR61=4,SUMPRODUCT(--(($ANS$5:$ANS61=$ANS61)*($ANR$5:$ANR61&gt;=1)*($ANR$5:$ANR61&lt;=3)),$AOU$5:$AOU61),IF(ANR61=7,SUMPRODUCT(--(($ANS$5:$ANS61=$ANS61)*($ANR$5:$ANR61&gt;=4)*($ANR$5:$ANR61&lt;=6)),$AOU$5:$AOU61),IF(ANR61=10,SUMPRODUCT(--(($ANS$5:$ANS61=$ANS61)*($ANR$5:$ANR61&gt;=7)*($ANR$5:$ANR61&lt;=9)),$AOU$5:$AOU61),0)))))</f>
        <v/>
      </c>
      <c r="AOW61" s="12">
        <f>AOW60+AOU61-AOV61</f>
        <v/>
      </c>
      <c r="AOX61" s="12">
        <f>IF(ProviderDelay&gt;=1,AOT60*ProviderShare,AOT61*ProviderShare)</f>
        <v/>
      </c>
      <c r="AOY61" s="12">
        <f>AOQ61*PaymentFee</f>
        <v/>
      </c>
      <c r="AOZ61" s="12">
        <f>AOK61*OpsAI</f>
        <v/>
      </c>
      <c r="APA61" s="12">
        <f>MonthlyFixed</f>
        <v/>
      </c>
      <c r="APB61" s="12">
        <f>ANY61*ReferralReward</f>
        <v/>
      </c>
      <c r="APC61" s="12">
        <f>ANW61</f>
        <v/>
      </c>
      <c r="APD61" s="9">
        <f>AOT61-AOX61-AOY61-AOZ61-APA61-APB61-APC61</f>
        <v/>
      </c>
      <c r="APE61" s="9">
        <f>APE60+AOQ61-(AOX61+AOY61+AOZ61+APA61+APB61+APC61+AOV61)</f>
        <v/>
      </c>
      <c r="APF61" s="12">
        <f>IF(AOK61&gt;0,AOL61/AOK61,0)</f>
        <v/>
      </c>
      <c r="APG61" s="11">
        <f>IF(AOK60&gt;0,MAX(0,(AOK60+ANZ61-AOK61)/AOK60),0)</f>
        <v/>
      </c>
      <c r="API61" s="12" t="n">
        <v>57</v>
      </c>
      <c r="APJ61" s="12">
        <f>MOD(API61-1+LaunchMonth-1,12)+1</f>
        <v/>
      </c>
      <c r="APK61" s="12">
        <f>INT((API61-1+LaunchMonth-1)/12)+1</f>
        <v/>
      </c>
      <c r="APL61" s="12">
        <f>VLOOKUP(APJ61,SeasonTable,2,FALSE)</f>
        <v/>
      </c>
      <c r="APM61" s="12">
        <f>(1+InflationRate)^INT((API61-1)/12)</f>
        <v/>
      </c>
      <c r="APN61" s="11">
        <f>MonthlyChurn*VLOOKUP(APJ61,ChurnSeasonTable,4,FALSE)</f>
        <v/>
      </c>
      <c r="APO61" s="12">
        <f>MIN(MAX(MktMin19plus,AQI60*MktPct19plus),MAX(0,AQW60-CashBuffer))</f>
        <v/>
      </c>
      <c r="APP61" s="12">
        <f>IF(APO61&gt;0,MAX(1,ROUND(APO61/'Sens - CAC &amp; Marketing'!$A$15*APL61,0)),0)</f>
        <v/>
      </c>
      <c r="APQ61" s="12">
        <f>IF(APP61&gt;0,ROUND(APP61*ReferralMix/(1-ReferralMix),0),0)</f>
        <v/>
      </c>
      <c r="APR61" s="12">
        <f>APP61+APQ61</f>
        <v/>
      </c>
      <c r="APS61" s="12">
        <f>ROUND(APR61*(1-AnnualMix),0)</f>
        <v/>
      </c>
      <c r="APT61" s="12">
        <f>APR61-APS61</f>
        <v/>
      </c>
      <c r="APU61" s="12">
        <f>ROUND(APS61*EssentialMix,0)</f>
        <v/>
      </c>
      <c r="APV61" s="12">
        <f>APS61-APU61</f>
        <v/>
      </c>
      <c r="APW61" s="12">
        <f>ROUND(APT61*EssentialMix,0)</f>
        <v/>
      </c>
      <c r="APX61" s="12">
        <f>APT61-APW61</f>
        <v/>
      </c>
      <c r="APY61" s="12">
        <f>APU61+APU60+APU59+MAX(0,APY60-APU60-APU59)*(1-APN61)</f>
        <v/>
      </c>
      <c r="APZ61" s="12">
        <f>APV61+APV60+APV59+MAX(0,APZ60-APV60-APV59)*(1-APN61)</f>
        <v/>
      </c>
      <c r="AQA61" s="12">
        <f>AQA60+APW61-APW49*(AnnualChurn*VLOOKUP(APJ61,ChurnSeasonTable,4,FALSE))*POWER(1-(AnnualChurn*VLOOKUP(APJ61,ChurnSeasonTable,4,FALSE)),0)+APW37*(AnnualChurn*VLOOKUP(APJ61,ChurnSeasonTable,4,FALSE))*POWER(1-(AnnualChurn*VLOOKUP(APJ61,ChurnSeasonTable,4,FALSE)),1)+APW25*(AnnualChurn*VLOOKUP(APJ61,ChurnSeasonTable,4,FALSE))*POWER(1-(AnnualChurn*VLOOKUP(APJ61,ChurnSeasonTable,4,FALSE)),2)+APW13*(AnnualChurn*VLOOKUP(APJ61,ChurnSeasonTable,4,FALSE))*POWER(1-(AnnualChurn*VLOOKUP(APJ61,ChurnSeasonTable,4,FALSE)),3)</f>
        <v/>
      </c>
      <c r="AQB61" s="12">
        <f>AQB60+APX61-APX49*(AnnualChurn*VLOOKUP(APJ61,ChurnSeasonTable,4,FALSE))*POWER(1-(AnnualChurn*VLOOKUP(APJ61,ChurnSeasonTable,4,FALSE)),0)+APX37*(AnnualChurn*VLOOKUP(APJ61,ChurnSeasonTable,4,FALSE))*POWER(1-(AnnualChurn*VLOOKUP(APJ61,ChurnSeasonTable,4,FALSE)),1)+APX25*(AnnualChurn*VLOOKUP(APJ61,ChurnSeasonTable,4,FALSE))*POWER(1-(AnnualChurn*VLOOKUP(APJ61,ChurnSeasonTable,4,FALSE)),2)+APX13*(AnnualChurn*VLOOKUP(APJ61,ChurnSeasonTable,4,FALSE))*POWER(1-(AnnualChurn*VLOOKUP(APJ61,ChurnSeasonTable,4,FALSE)),3)</f>
        <v/>
      </c>
      <c r="AQC61" s="12">
        <f>APY61+APZ61+AQA61+AQB61</f>
        <v/>
      </c>
      <c r="AQD61" s="9">
        <f>APY61*PriceEssMonthly*APM61+APZ61*PricePremMonthly*APM61+AQA61*PriceEssAnnual*APM61/12+AQB61*PricePremAnnual*APM61/12</f>
        <v/>
      </c>
      <c r="AQE61" s="9">
        <f>AQD61*12</f>
        <v/>
      </c>
      <c r="AQF61" s="12">
        <f>APY61*PriceEssMonthly*APM61+APZ61*PricePremMonthly*APM61</f>
        <v/>
      </c>
      <c r="AQG61" s="12">
        <f>APW61*PriceEssAnnual*APM61+APX61*PricePremAnnual*APM61</f>
        <v/>
      </c>
      <c r="AQH61" s="12">
        <f>APW49*POWER(1-(AnnualChurn*VLOOKUP(APJ61,ChurnSeasonTable,4,FALSE)),1)*PriceEssAnnual*APM61+APW37*POWER(1-(AnnualChurn*VLOOKUP(APJ61,ChurnSeasonTable,4,FALSE)),2)*PriceEssAnnual*APM61+APW25*POWER(1-(AnnualChurn*VLOOKUP(APJ61,ChurnSeasonTable,4,FALSE)),3)*PriceEssAnnual*APM61+APW13*POWER(1-(AnnualChurn*VLOOKUP(APJ61,ChurnSeasonTable,4,FALSE)),4)*PriceEssAnnual*APM61+APX49*POWER(1-(AnnualChurn*VLOOKUP(APJ61,ChurnSeasonTable,4,FALSE)),1)*PricePremAnnual*APM61+APX37*POWER(1-(AnnualChurn*VLOOKUP(APJ61,ChurnSeasonTable,4,FALSE)),2)*PricePremAnnual*APM61+APX25*POWER(1-(AnnualChurn*VLOOKUP(APJ61,ChurnSeasonTable,4,FALSE)),3)*PricePremAnnual*APM61+APX13*POWER(1-(AnnualChurn*VLOOKUP(APJ61,ChurnSeasonTable,4,FALSE)),4)*PricePremAnnual*APM61</f>
        <v/>
      </c>
      <c r="AQI61" s="9">
        <f>AQF61+AQG61+AQH61</f>
        <v/>
      </c>
      <c r="AQJ61" s="12">
        <f>SUM(AQI50:AQI61)</f>
        <v/>
      </c>
      <c r="AQK61" s="12">
        <f>OR(AQK60,AQJ61&gt;=VATThreshold)</f>
        <v/>
      </c>
      <c r="AQL61" s="9">
        <f>IF(AQK61,AQI61/(1+VATRate),AQI61)</f>
        <v/>
      </c>
      <c r="AQM61" s="12">
        <f>AQI61-AQL61</f>
        <v/>
      </c>
      <c r="AQN61" s="12">
        <f>IF(AQK61=0,0,IF(APJ61=1,SUMPRODUCT(--(($APK$5:$APK61=$APK61-1)*($APJ$5:$APJ61&gt;=10)*($APJ$5:$APJ61&lt;=12)),$AQM$5:$AQM61),IF(APJ61=4,SUMPRODUCT(--(($APK$5:$APK61=$APK61)*($APJ$5:$APJ61&gt;=1)*($APJ$5:$APJ61&lt;=3)),$AQM$5:$AQM61),IF(APJ61=7,SUMPRODUCT(--(($APK$5:$APK61=$APK61)*($APJ$5:$APJ61&gt;=4)*($APJ$5:$APJ61&lt;=6)),$AQM$5:$AQM61),IF(APJ61=10,SUMPRODUCT(--(($APK$5:$APK61=$APK61)*($APJ$5:$APJ61&gt;=7)*($APJ$5:$APJ61&lt;=9)),$AQM$5:$AQM61),0)))))</f>
        <v/>
      </c>
      <c r="AQO61" s="12">
        <f>AQO60+AQM61-AQN61</f>
        <v/>
      </c>
      <c r="AQP61" s="12">
        <f>IF(ProviderDelay&gt;=1,AQL60*ProviderShare,AQL61*ProviderShare)</f>
        <v/>
      </c>
      <c r="AQQ61" s="12">
        <f>AQI61*PaymentFee</f>
        <v/>
      </c>
      <c r="AQR61" s="12">
        <f>AQC61*OpsAI</f>
        <v/>
      </c>
      <c r="AQS61" s="12">
        <f>MonthlyFixed</f>
        <v/>
      </c>
      <c r="AQT61" s="12">
        <f>APQ61*ReferralReward</f>
        <v/>
      </c>
      <c r="AQU61" s="12">
        <f>APO61</f>
        <v/>
      </c>
      <c r="AQV61" s="9">
        <f>AQL61-AQP61-AQQ61-AQR61-AQS61-AQT61-AQU61</f>
        <v/>
      </c>
      <c r="AQW61" s="9">
        <f>AQW60+AQI61-(AQP61+AQQ61+AQR61+AQS61+AQT61+AQU61+AQN61)</f>
        <v/>
      </c>
      <c r="AQX61" s="12">
        <f>IF(AQC61&gt;0,AQD61/AQC61,0)</f>
        <v/>
      </c>
      <c r="AQY61" s="11">
        <f>IF(AQC60&gt;0,MAX(0,(AQC60+APR61-AQC61)/AQC60),0)</f>
        <v/>
      </c>
      <c r="ARA61" s="12" t="n">
        <v>57</v>
      </c>
      <c r="ARB61" s="12">
        <f>MOD(ARA61-1+LaunchMonth-1,12)+1</f>
        <v/>
      </c>
      <c r="ARC61" s="12">
        <f>INT((ARA61-1+LaunchMonth-1)/12)+1</f>
        <v/>
      </c>
      <c r="ARD61" s="12">
        <f>VLOOKUP(ARB61,WinterPivotSeasonTable,5,FALSE)</f>
        <v/>
      </c>
      <c r="ARE61" s="12">
        <f>(1+InflationRate)^INT((ARA61-1)/12)</f>
        <v/>
      </c>
      <c r="ARF61" s="11">
        <f>MonthlyChurn*VLOOKUP(ARB61,WinterPivotChurnTable,6,FALSE)</f>
        <v/>
      </c>
      <c r="ARG61" s="12">
        <f>MIN(MAX(MktMin19plus,ASA60*MktPct19plus),MAX(0,ASO60-CashBuffer))</f>
        <v/>
      </c>
      <c r="ARH61" s="12">
        <f>IF(ARG61&gt;0,MAX(1,ROUND(ARG61/CAC*ARD61,0)),0)</f>
        <v/>
      </c>
      <c r="ARI61" s="12">
        <f>IF(ARH61&gt;0,ROUND(ARH61*ReferralMix/(1-ReferralMix),0),0)</f>
        <v/>
      </c>
      <c r="ARJ61" s="12">
        <f>ARH61+ARI61</f>
        <v/>
      </c>
      <c r="ARK61" s="12">
        <f>ROUND(ARJ61*(1-AnnualMix),0)</f>
        <v/>
      </c>
      <c r="ARL61" s="12">
        <f>ARJ61-ARK61</f>
        <v/>
      </c>
      <c r="ARM61" s="12">
        <f>ROUND(ARK61*'Sens - Winter Pivot'!$B$6,0)</f>
        <v/>
      </c>
      <c r="ARN61" s="12">
        <f>ARK61-ARM61</f>
        <v/>
      </c>
      <c r="ARO61" s="12">
        <f>ROUND(ARL61*'Sens - Winter Pivot'!$B$6,0)</f>
        <v/>
      </c>
      <c r="ARP61" s="12">
        <f>ARL61-ARO61</f>
        <v/>
      </c>
      <c r="ARQ61" s="12">
        <f>ARM61+ARM60+ARM59+MAX(0,ARQ60-ARM60-ARM59)*(1-ARF61)</f>
        <v/>
      </c>
      <c r="ARR61" s="12">
        <f>ARN61+ARN60+ARN59+MAX(0,ARR60-ARN60-ARN59)*(1-ARF61)</f>
        <v/>
      </c>
      <c r="ARS61" s="12">
        <f>ARS60+ARO61-ARO49*(AnnualChurn*VLOOKUP(ARB61,WinterPivotChurnTable,6,FALSE))*POWER(1-(AnnualChurn*VLOOKUP(ARB61,WinterPivotChurnTable,6,FALSE)),0)+ARO37*(AnnualChurn*VLOOKUP(ARB61,WinterPivotChurnTable,6,FALSE))*POWER(1-(AnnualChurn*VLOOKUP(ARB61,WinterPivotChurnTable,6,FALSE)),1)+ARO25*(AnnualChurn*VLOOKUP(ARB61,WinterPivotChurnTable,6,FALSE))*POWER(1-(AnnualChurn*VLOOKUP(ARB61,WinterPivotChurnTable,6,FALSE)),2)+ARO13*(AnnualChurn*VLOOKUP(ARB61,WinterPivotChurnTable,6,FALSE))*POWER(1-(AnnualChurn*VLOOKUP(ARB61,WinterPivotChurnTable,6,FALSE)),3)</f>
        <v/>
      </c>
      <c r="ART61" s="12">
        <f>ART60+ARP61-ARP49*(AnnualChurn*VLOOKUP(ARB61,WinterPivotChurnTable,6,FALSE))*POWER(1-(AnnualChurn*VLOOKUP(ARB61,WinterPivotChurnTable,6,FALSE)),0)+ARP37*(AnnualChurn*VLOOKUP(ARB61,WinterPivotChurnTable,6,FALSE))*POWER(1-(AnnualChurn*VLOOKUP(ARB61,WinterPivotChurnTable,6,FALSE)),1)+ARP25*(AnnualChurn*VLOOKUP(ARB61,WinterPivotChurnTable,6,FALSE))*POWER(1-(AnnualChurn*VLOOKUP(ARB61,WinterPivotChurnTable,6,FALSE)),2)+ARP13*(AnnualChurn*VLOOKUP(ARB61,WinterPivotChurnTable,6,FALSE))*POWER(1-(AnnualChurn*VLOOKUP(ARB61,WinterPivotChurnTable,6,FALSE)),3)</f>
        <v/>
      </c>
      <c r="ARU61" s="12">
        <f>ARQ61+ARR61+ARS61+ART61</f>
        <v/>
      </c>
      <c r="ARV61" s="9">
        <f>ARQ61*PriceEssMonthly*ARE61+ARR61*(PricePremMonthly+'Sens - Winter Pivot'!$B$7)*ARE61+ARS61*PriceEssAnnual*ARE61/12+ART61*(PricePremAnnual+'Sens - Winter Pivot'!$B$7*12)*ARE61/12</f>
        <v/>
      </c>
      <c r="ARW61" s="9">
        <f>ARV61*12</f>
        <v/>
      </c>
      <c r="ARX61" s="12">
        <f>ARQ61*PriceEssMonthly*ARE61+ARR61*(PricePremMonthly+'Sens - Winter Pivot'!$B$7)*ARE61</f>
        <v/>
      </c>
      <c r="ARY61" s="12">
        <f>ARO61*PriceEssAnnual*ARE61+ARP61*(PricePremAnnual+'Sens - Winter Pivot'!$B$7*12)*ARE61</f>
        <v/>
      </c>
      <c r="ARZ61" s="12">
        <f>ARO49*POWER(1-(AnnualChurn*VLOOKUP(ARB61,WinterPivotChurnTable,6,FALSE)),1)*PriceEssAnnual*ARE61+ARO37*POWER(1-(AnnualChurn*VLOOKUP(ARB61,WinterPivotChurnTable,6,FALSE)),2)*PriceEssAnnual*ARE61+ARO25*POWER(1-(AnnualChurn*VLOOKUP(ARB61,WinterPivotChurnTable,6,FALSE)),3)*PriceEssAnnual*ARE61+ARO13*POWER(1-(AnnualChurn*VLOOKUP(ARB61,WinterPivotChurnTable,6,FALSE)),4)*PriceEssAnnual*ARE61+ARP49*POWER(1-(AnnualChurn*VLOOKUP(ARB61,WinterPivotChurnTable,6,FALSE)),1)*PricePremAnnual*ARE61+ARP37*POWER(1-(AnnualChurn*VLOOKUP(ARB61,WinterPivotChurnTable,6,FALSE)),2)*PricePremAnnual*ARE61+ARP25*POWER(1-(AnnualChurn*VLOOKUP(ARB61,WinterPivotChurnTable,6,FALSE)),3)*PricePremAnnual*ARE61+ARP13*POWER(1-(AnnualChurn*VLOOKUP(ARB61,WinterPivotChurnTable,6,FALSE)),4)*PricePremAnnual*ARE61</f>
        <v/>
      </c>
      <c r="ASA61" s="9">
        <f>ARX61+ARY61+ARZ61</f>
        <v/>
      </c>
      <c r="ASB61" s="12">
        <f>SUM(ASA50:ASA61)</f>
        <v/>
      </c>
      <c r="ASC61" s="12">
        <f>OR(ASC60,ASB61&gt;=VATThreshold)</f>
        <v/>
      </c>
      <c r="ASD61" s="9">
        <f>IF(ASC61,ASA61/(1+VATRate),ASA61)</f>
        <v/>
      </c>
      <c r="ASE61" s="12">
        <f>ASA61-ASD61</f>
        <v/>
      </c>
      <c r="ASF61" s="12">
        <f>IF(ASC61=0,0,IF(ARB61=1,SUMPRODUCT(--(($ARC$5:$ARC61=$ARC61-1)*($ARB$5:$ARB61&gt;=10)*($ARB$5:$ARB61&lt;=12)),$ASE$5:$ASE61),IF(ARB61=4,SUMPRODUCT(--(($ARC$5:$ARC61=$ARC61)*($ARB$5:$ARB61&gt;=1)*($ARB$5:$ARB61&lt;=3)),$ASE$5:$ASE61),IF(ARB61=7,SUMPRODUCT(--(($ARC$5:$ARC61=$ARC61)*($ARB$5:$ARB61&gt;=4)*($ARB$5:$ARB61&lt;=6)),$ASE$5:$ASE61),IF(ARB61=10,SUMPRODUCT(--(($ARC$5:$ARC61=$ARC61)*($ARB$5:$ARB61&gt;=7)*($ARB$5:$ARB61&lt;=9)),$ASE$5:$ASE61),0)))))</f>
        <v/>
      </c>
      <c r="ASG61" s="12">
        <f>ASG60+ASE61-ASF61</f>
        <v/>
      </c>
      <c r="ASH61" s="12">
        <f>IF(ProviderDelay&gt;=1,ASD60*ProviderShare,ASD61*ProviderShare)</f>
        <v/>
      </c>
      <c r="ASI61" s="12">
        <f>ASA61*PaymentFee</f>
        <v/>
      </c>
      <c r="ASJ61" s="12">
        <f>ARU61*OpsAI</f>
        <v/>
      </c>
      <c r="ASK61" s="12">
        <f>MonthlyFixed</f>
        <v/>
      </c>
      <c r="ASL61" s="12">
        <f>ARI61*ReferralReward</f>
        <v/>
      </c>
      <c r="ASM61" s="12">
        <f>ARG61</f>
        <v/>
      </c>
      <c r="ASN61" s="9">
        <f>ASD61-ASH61-ASI61-ASJ61-ASK61-ASL61-ASM61</f>
        <v/>
      </c>
      <c r="ASO61" s="9">
        <f>ASO60+ASA61-(ASH61+ASI61+ASJ61+ASK61+ASL61+ASM61+ASF61)</f>
        <v/>
      </c>
      <c r="ASP61" s="12">
        <f>IF(ARU61&gt;0,ARV61/ARU61,0)</f>
        <v/>
      </c>
      <c r="ASQ61" s="11">
        <f>IF(ARU60&gt;0,MAX(0,(ARU60+ARJ61-ARU61)/ARU60),0)</f>
        <v/>
      </c>
    </row>
    <row r="62">
      <c r="A62" s="12" t="n">
        <v>58</v>
      </c>
      <c r="B62" s="12">
        <f>MOD(A62-1+LaunchMonth-1,12)+1</f>
        <v/>
      </c>
      <c r="C62" s="12">
        <f>INT((A62-1+LaunchMonth-1)/12)+1</f>
        <v/>
      </c>
      <c r="D62" s="12">
        <f>VLOOKUP(B62,SeasonTable,2,FALSE)</f>
        <v/>
      </c>
      <c r="E62" s="12">
        <f>(1+InflationRate)^INT((A62-1)/12)</f>
        <v/>
      </c>
      <c r="F62" s="11">
        <f>'Sens - Scenarios'!$B$5*VLOOKUP(B62,ChurnSeasonTable,4,FALSE)</f>
        <v/>
      </c>
      <c r="G62" s="12">
        <f>MIN(MAX(MktMin19plus,AA61*MktPct19plus),MAX(0,AO61-CashBuffer))</f>
        <v/>
      </c>
      <c r="H62" s="12">
        <f>IF(G62&gt;0,MAX(1,ROUND(G62/'Sens - Scenarios'!$B$8*D62,0)),0)</f>
        <v/>
      </c>
      <c r="I62" s="12">
        <f>IF(H62&gt;0,ROUND(H62*ReferralMix/(1-ReferralMix),0),0)</f>
        <v/>
      </c>
      <c r="J62" s="12">
        <f>H62+I62</f>
        <v/>
      </c>
      <c r="K62" s="12">
        <f>ROUND(J62*(1-'Sens - Scenarios'!$B$7),0)</f>
        <v/>
      </c>
      <c r="L62" s="12">
        <f>J62-K62</f>
        <v/>
      </c>
      <c r="M62" s="12">
        <f>ROUND(K62*EssentialMix,0)</f>
        <v/>
      </c>
      <c r="N62" s="12">
        <f>K62-M62</f>
        <v/>
      </c>
      <c r="O62" s="12">
        <f>ROUND(L62*EssentialMix,0)</f>
        <v/>
      </c>
      <c r="P62" s="12">
        <f>L62-O62</f>
        <v/>
      </c>
      <c r="Q62" s="12">
        <f>M62+M61+M60+MAX(0,Q61-M61-M60)*(1-F62)</f>
        <v/>
      </c>
      <c r="R62" s="12">
        <f>N62+N61+N60+MAX(0,R61-N61-N60)*(1-F62)</f>
        <v/>
      </c>
      <c r="S62" s="12">
        <f>S61+O62-O50*('Sens - Scenarios'!$B$6*VLOOKUP(B62,ChurnSeasonTable,4,FALSE))*POWER(1-('Sens - Scenarios'!$B$6*VLOOKUP(B62,ChurnSeasonTable,4,FALSE)),0)+O38*('Sens - Scenarios'!$B$6*VLOOKUP(B62,ChurnSeasonTable,4,FALSE))*POWER(1-('Sens - Scenarios'!$B$6*VLOOKUP(B62,ChurnSeasonTable,4,FALSE)),1)+O26*('Sens - Scenarios'!$B$6*VLOOKUP(B62,ChurnSeasonTable,4,FALSE))*POWER(1-('Sens - Scenarios'!$B$6*VLOOKUP(B62,ChurnSeasonTable,4,FALSE)),2)+O14*('Sens - Scenarios'!$B$6*VLOOKUP(B62,ChurnSeasonTable,4,FALSE))*POWER(1-('Sens - Scenarios'!$B$6*VLOOKUP(B62,ChurnSeasonTable,4,FALSE)),3)</f>
        <v/>
      </c>
      <c r="T62" s="12">
        <f>T61+P62-P50*('Sens - Scenarios'!$B$6*VLOOKUP(B62,ChurnSeasonTable,4,FALSE))*POWER(1-('Sens - Scenarios'!$B$6*VLOOKUP(B62,ChurnSeasonTable,4,FALSE)),0)+P38*('Sens - Scenarios'!$B$6*VLOOKUP(B62,ChurnSeasonTable,4,FALSE))*POWER(1-('Sens - Scenarios'!$B$6*VLOOKUP(B62,ChurnSeasonTable,4,FALSE)),1)+P26*('Sens - Scenarios'!$B$6*VLOOKUP(B62,ChurnSeasonTable,4,FALSE))*POWER(1-('Sens - Scenarios'!$B$6*VLOOKUP(B62,ChurnSeasonTable,4,FALSE)),2)+P14*('Sens - Scenarios'!$B$6*VLOOKUP(B62,ChurnSeasonTable,4,FALSE))*POWER(1-('Sens - Scenarios'!$B$6*VLOOKUP(B62,ChurnSeasonTable,4,FALSE)),3)</f>
        <v/>
      </c>
      <c r="U62" s="12">
        <f>Q62+R62+S62+T62</f>
        <v/>
      </c>
      <c r="V62" s="9">
        <f>Q62*PriceEssMonthly*E62+R62*PricePremMonthly*E62+S62*PriceEssAnnual*E62/12+T62*PricePremAnnual*E62/12</f>
        <v/>
      </c>
      <c r="W62" s="9">
        <f>V62*12</f>
        <v/>
      </c>
      <c r="X62" s="12">
        <f>Q62*PriceEssMonthly*E62+R62*PricePremMonthly*E62</f>
        <v/>
      </c>
      <c r="Y62" s="12">
        <f>O62*PriceEssAnnual*E62+P62*PricePremAnnual*E62</f>
        <v/>
      </c>
      <c r="Z62" s="12">
        <f>O50*POWER(1-('Sens - Scenarios'!$B$6*VLOOKUP(B62,ChurnSeasonTable,4,FALSE)),1)*PriceEssAnnual*E62+O38*POWER(1-('Sens - Scenarios'!$B$6*VLOOKUP(B62,ChurnSeasonTable,4,FALSE)),2)*PriceEssAnnual*E62+O26*POWER(1-('Sens - Scenarios'!$B$6*VLOOKUP(B62,ChurnSeasonTable,4,FALSE)),3)*PriceEssAnnual*E62+O14*POWER(1-('Sens - Scenarios'!$B$6*VLOOKUP(B62,ChurnSeasonTable,4,FALSE)),4)*PriceEssAnnual*E62+P50*POWER(1-('Sens - Scenarios'!$B$6*VLOOKUP(B62,ChurnSeasonTable,4,FALSE)),1)*PricePremAnnual*E62+P38*POWER(1-('Sens - Scenarios'!$B$6*VLOOKUP(B62,ChurnSeasonTable,4,FALSE)),2)*PricePremAnnual*E62+P26*POWER(1-('Sens - Scenarios'!$B$6*VLOOKUP(B62,ChurnSeasonTable,4,FALSE)),3)*PricePremAnnual*E62+P14*POWER(1-('Sens - Scenarios'!$B$6*VLOOKUP(B62,ChurnSeasonTable,4,FALSE)),4)*PricePremAnnual*E62</f>
        <v/>
      </c>
      <c r="AA62" s="9">
        <f>X62+Y62+Z62</f>
        <v/>
      </c>
      <c r="AB62" s="12">
        <f>SUM(AA51:AA62)</f>
        <v/>
      </c>
      <c r="AC62" s="12">
        <f>OR(AC61,AB62&gt;=VATThreshold)</f>
        <v/>
      </c>
      <c r="AD62" s="9">
        <f>IF(AC62,AA62/(1+VATRate),AA62)</f>
        <v/>
      </c>
      <c r="AE62" s="12">
        <f>AA62-AD62</f>
        <v/>
      </c>
      <c r="AF62" s="12">
        <f>IF(AC62=0,0,IF(B62=1,SUMPRODUCT(--(($C$5:$C62=$C62-1)*($B$5:$B62&gt;=10)*($B$5:$B62&lt;=12)),$AE$5:$AE62),IF(B62=4,SUMPRODUCT(--(($C$5:$C62=$C62)*($B$5:$B62&gt;=1)*($B$5:$B62&lt;=3)),$AE$5:$AE62),IF(B62=7,SUMPRODUCT(--(($C$5:$C62=$C62)*($B$5:$B62&gt;=4)*($B$5:$B62&lt;=6)),$AE$5:$AE62),IF(B62=10,SUMPRODUCT(--(($C$5:$C62=$C62)*($B$5:$B62&gt;=7)*($B$5:$B62&lt;=9)),$AE$5:$AE62),0)))))</f>
        <v/>
      </c>
      <c r="AG62" s="12">
        <f>AG61+AE62-AF62</f>
        <v/>
      </c>
      <c r="AH62" s="12">
        <f>IF(ProviderDelay&gt;=1,AD61*ProviderShare,AD62*ProviderShare)</f>
        <v/>
      </c>
      <c r="AI62" s="12">
        <f>AA62*PaymentFee</f>
        <v/>
      </c>
      <c r="AJ62" s="12">
        <f>U62*OpsAI</f>
        <v/>
      </c>
      <c r="AK62" s="12">
        <f>MonthlyFixed</f>
        <v/>
      </c>
      <c r="AL62" s="12">
        <f>I62*ReferralReward</f>
        <v/>
      </c>
      <c r="AM62" s="12">
        <f>G62</f>
        <v/>
      </c>
      <c r="AN62" s="9">
        <f>AD62-AH62-AI62-AJ62-AK62-AL62-AM62</f>
        <v/>
      </c>
      <c r="AO62" s="9">
        <f>AO61+AA62-(AH62+AI62+AJ62+AK62+AL62+AM62+AF62)</f>
        <v/>
      </c>
      <c r="AP62" s="12">
        <f>IF(U62&gt;0,V62/U62,0)</f>
        <v/>
      </c>
      <c r="AQ62" s="11">
        <f>IF(U61&gt;0,MAX(0,(U61+J62-U62)/U61),0)</f>
        <v/>
      </c>
      <c r="AS62" s="12" t="n">
        <v>58</v>
      </c>
      <c r="AT62" s="12">
        <f>MOD(AS62-1+LaunchMonth-1,12)+1</f>
        <v/>
      </c>
      <c r="AU62" s="12">
        <f>INT((AS62-1+LaunchMonth-1)/12)+1</f>
        <v/>
      </c>
      <c r="AV62" s="12">
        <f>VLOOKUP(AT62,SeasonTable,2,FALSE)</f>
        <v/>
      </c>
      <c r="AW62" s="12">
        <f>(1+InflationRate)^INT((AS62-1)/12)</f>
        <v/>
      </c>
      <c r="AX62" s="11">
        <f>MonthlyChurn*VLOOKUP(AT62,ChurnSeasonTable,4,FALSE)</f>
        <v/>
      </c>
      <c r="AY62" s="12">
        <f>MIN(MAX(MktMin19plus,BS61*MktPct19plus),MAX(0,CG61-CashBuffer))</f>
        <v/>
      </c>
      <c r="AZ62" s="12">
        <f>IF(AY62&gt;0,MAX(1,ROUND(AY62/CAC*AV62,0)),0)</f>
        <v/>
      </c>
      <c r="BA62" s="12">
        <f>IF(AZ62&gt;0,ROUND(AZ62*ReferralMix/(1-ReferralMix),0),0)</f>
        <v/>
      </c>
      <c r="BB62" s="12">
        <f>AZ62+BA62</f>
        <v/>
      </c>
      <c r="BC62" s="12">
        <f>ROUND(BB62*(1-AnnualMix),0)</f>
        <v/>
      </c>
      <c r="BD62" s="12">
        <f>BB62-BC62</f>
        <v/>
      </c>
      <c r="BE62" s="12">
        <f>ROUND(BC62*EssentialMix,0)</f>
        <v/>
      </c>
      <c r="BF62" s="12">
        <f>BC62-BE62</f>
        <v/>
      </c>
      <c r="BG62" s="12">
        <f>ROUND(BD62*EssentialMix,0)</f>
        <v/>
      </c>
      <c r="BH62" s="12">
        <f>BD62-BG62</f>
        <v/>
      </c>
      <c r="BI62" s="12">
        <f>BE62+BE61+BE60+MAX(0,BI61-BE61-BE60)*(1-AX62)</f>
        <v/>
      </c>
      <c r="BJ62" s="12">
        <f>BF62+BF61+BF60+MAX(0,BJ61-BF61-BF60)*(1-AX62)</f>
        <v/>
      </c>
      <c r="BK62" s="12">
        <f>BK61+BG62-BG50*(AnnualChurn*VLOOKUP(AT62,ChurnSeasonTable,4,FALSE))*POWER(1-(AnnualChurn*VLOOKUP(AT62,ChurnSeasonTable,4,FALSE)),0)+BG38*(AnnualChurn*VLOOKUP(AT62,ChurnSeasonTable,4,FALSE))*POWER(1-(AnnualChurn*VLOOKUP(AT62,ChurnSeasonTable,4,FALSE)),1)+BG26*(AnnualChurn*VLOOKUP(AT62,ChurnSeasonTable,4,FALSE))*POWER(1-(AnnualChurn*VLOOKUP(AT62,ChurnSeasonTable,4,FALSE)),2)+BG14*(AnnualChurn*VLOOKUP(AT62,ChurnSeasonTable,4,FALSE))*POWER(1-(AnnualChurn*VLOOKUP(AT62,ChurnSeasonTable,4,FALSE)),3)</f>
        <v/>
      </c>
      <c r="BL62" s="12">
        <f>BL61+BH62-BH50*(AnnualChurn*VLOOKUP(AT62,ChurnSeasonTable,4,FALSE))*POWER(1-(AnnualChurn*VLOOKUP(AT62,ChurnSeasonTable,4,FALSE)),0)+BH38*(AnnualChurn*VLOOKUP(AT62,ChurnSeasonTable,4,FALSE))*POWER(1-(AnnualChurn*VLOOKUP(AT62,ChurnSeasonTable,4,FALSE)),1)+BH26*(AnnualChurn*VLOOKUP(AT62,ChurnSeasonTable,4,FALSE))*POWER(1-(AnnualChurn*VLOOKUP(AT62,ChurnSeasonTable,4,FALSE)),2)+BH14*(AnnualChurn*VLOOKUP(AT62,ChurnSeasonTable,4,FALSE))*POWER(1-(AnnualChurn*VLOOKUP(AT62,ChurnSeasonTable,4,FALSE)),3)</f>
        <v/>
      </c>
      <c r="BM62" s="12">
        <f>BI62+BJ62+BK62+BL62</f>
        <v/>
      </c>
      <c r="BN62" s="9">
        <f>BI62*PriceEssMonthly*AW62+BJ62*PricePremMonthly*AW62+BK62*PriceEssAnnual*AW62/12+BL62*PricePremAnnual*AW62/12</f>
        <v/>
      </c>
      <c r="BO62" s="9">
        <f>BN62*12</f>
        <v/>
      </c>
      <c r="BP62" s="12">
        <f>BI62*PriceEssMonthly*AW62+BJ62*PricePremMonthly*AW62</f>
        <v/>
      </c>
      <c r="BQ62" s="12">
        <f>BG62*PriceEssAnnual*AW62+BH62*PricePremAnnual*AW62</f>
        <v/>
      </c>
      <c r="BR62" s="12">
        <f>BG50*POWER(1-(AnnualChurn*VLOOKUP(AT62,ChurnSeasonTable,4,FALSE)),1)*PriceEssAnnual*AW62+BG38*POWER(1-(AnnualChurn*VLOOKUP(AT62,ChurnSeasonTable,4,FALSE)),2)*PriceEssAnnual*AW62+BG26*POWER(1-(AnnualChurn*VLOOKUP(AT62,ChurnSeasonTable,4,FALSE)),3)*PriceEssAnnual*AW62+BG14*POWER(1-(AnnualChurn*VLOOKUP(AT62,ChurnSeasonTable,4,FALSE)),4)*PriceEssAnnual*AW62+BH50*POWER(1-(AnnualChurn*VLOOKUP(AT62,ChurnSeasonTable,4,FALSE)),1)*PricePremAnnual*AW62+BH38*POWER(1-(AnnualChurn*VLOOKUP(AT62,ChurnSeasonTable,4,FALSE)),2)*PricePremAnnual*AW62+BH26*POWER(1-(AnnualChurn*VLOOKUP(AT62,ChurnSeasonTable,4,FALSE)),3)*PricePremAnnual*AW62+BH14*POWER(1-(AnnualChurn*VLOOKUP(AT62,ChurnSeasonTable,4,FALSE)),4)*PricePremAnnual*AW62</f>
        <v/>
      </c>
      <c r="BS62" s="9">
        <f>BP62+BQ62+BR62</f>
        <v/>
      </c>
      <c r="BT62" s="12">
        <f>SUM(BS51:BS62)</f>
        <v/>
      </c>
      <c r="BU62" s="12">
        <f>OR(BU61,BT62&gt;=VATThreshold)</f>
        <v/>
      </c>
      <c r="BV62" s="9">
        <f>IF(BU62,BS62/(1+VATRate),BS62)</f>
        <v/>
      </c>
      <c r="BW62" s="12">
        <f>BS62-BV62</f>
        <v/>
      </c>
      <c r="BX62" s="12">
        <f>IF(BU62=0,0,IF(AT62=1,SUMPRODUCT(--(($AU$5:$AU62=$AU62-1)*($AT$5:$AT62&gt;=10)*($AT$5:$AT62&lt;=12)),$BW$5:$BW62),IF(AT62=4,SUMPRODUCT(--(($AU$5:$AU62=$AU62)*($AT$5:$AT62&gt;=1)*($AT$5:$AT62&lt;=3)),$BW$5:$BW62),IF(AT62=7,SUMPRODUCT(--(($AU$5:$AU62=$AU62)*($AT$5:$AT62&gt;=4)*($AT$5:$AT62&lt;=6)),$BW$5:$BW62),IF(AT62=10,SUMPRODUCT(--(($AU$5:$AU62=$AU62)*($AT$5:$AT62&gt;=7)*($AT$5:$AT62&lt;=9)),$BW$5:$BW62),0)))))</f>
        <v/>
      </c>
      <c r="BY62" s="12">
        <f>BY61+BW62-BX62</f>
        <v/>
      </c>
      <c r="BZ62" s="12">
        <f>IF(ProviderDelay&gt;=1,BV61*ProviderShare,BV62*ProviderShare)</f>
        <v/>
      </c>
      <c r="CA62" s="12">
        <f>BS62*PaymentFee</f>
        <v/>
      </c>
      <c r="CB62" s="12">
        <f>BM62*OpsAI</f>
        <v/>
      </c>
      <c r="CC62" s="12">
        <f>MonthlyFixed</f>
        <v/>
      </c>
      <c r="CD62" s="12">
        <f>BA62*ReferralReward</f>
        <v/>
      </c>
      <c r="CE62" s="12">
        <f>AY62</f>
        <v/>
      </c>
      <c r="CF62" s="9">
        <f>BV62-BZ62-CA62-CB62-CC62-CD62-CE62</f>
        <v/>
      </c>
      <c r="CG62" s="9">
        <f>CG61+BS62-(BZ62+CA62+CB62+CC62+CD62+CE62+BX62)</f>
        <v/>
      </c>
      <c r="CH62" s="12">
        <f>IF(BM62&gt;0,BN62/BM62,0)</f>
        <v/>
      </c>
      <c r="CI62" s="11">
        <f>IF(BM61&gt;0,MAX(0,(BM61+BB62-BM62)/BM61),0)</f>
        <v/>
      </c>
      <c r="CK62" s="12" t="n">
        <v>58</v>
      </c>
      <c r="CL62" s="12">
        <f>MOD(CK62-1+LaunchMonth-1,12)+1</f>
        <v/>
      </c>
      <c r="CM62" s="12">
        <f>INT((CK62-1+LaunchMonth-1)/12)+1</f>
        <v/>
      </c>
      <c r="CN62" s="12">
        <f>VLOOKUP(CL62,SeasonTable,2,FALSE)</f>
        <v/>
      </c>
      <c r="CO62" s="12">
        <f>(1+InflationRate)^INT((CK62-1)/12)</f>
        <v/>
      </c>
      <c r="CP62" s="11">
        <f>'Sens - Scenarios'!$D$5*VLOOKUP(CL62,ChurnSeasonTable,4,FALSE)</f>
        <v/>
      </c>
      <c r="CQ62" s="12">
        <f>MIN(MAX(MktMin19plus,DK61*MktPct19plus),MAX(0,DY61-CashBuffer))</f>
        <v/>
      </c>
      <c r="CR62" s="12">
        <f>IF(CQ62&gt;0,MAX(1,ROUND(CQ62/'Sens - Scenarios'!$D$8*CN62,0)),0)</f>
        <v/>
      </c>
      <c r="CS62" s="12">
        <f>IF(CR62&gt;0,ROUND(CR62*ReferralMix/(1-ReferralMix),0),0)</f>
        <v/>
      </c>
      <c r="CT62" s="12">
        <f>CR62+CS62</f>
        <v/>
      </c>
      <c r="CU62" s="12">
        <f>ROUND(CT62*(1-'Sens - Scenarios'!$D$7),0)</f>
        <v/>
      </c>
      <c r="CV62" s="12">
        <f>CT62-CU62</f>
        <v/>
      </c>
      <c r="CW62" s="12">
        <f>ROUND(CU62*EssentialMix,0)</f>
        <v/>
      </c>
      <c r="CX62" s="12">
        <f>CU62-CW62</f>
        <v/>
      </c>
      <c r="CY62" s="12">
        <f>ROUND(CV62*EssentialMix,0)</f>
        <v/>
      </c>
      <c r="CZ62" s="12">
        <f>CV62-CY62</f>
        <v/>
      </c>
      <c r="DA62" s="12">
        <f>CW62+CW61+CW60+MAX(0,DA61-CW61-CW60)*(1-CP62)</f>
        <v/>
      </c>
      <c r="DB62" s="12">
        <f>CX62+CX61+CX60+MAX(0,DB61-CX61-CX60)*(1-CP62)</f>
        <v/>
      </c>
      <c r="DC62" s="12">
        <f>DC61+CY62-CY50*('Sens - Scenarios'!$D$6*VLOOKUP(CL62,ChurnSeasonTable,4,FALSE))*POWER(1-('Sens - Scenarios'!$D$6*VLOOKUP(CL62,ChurnSeasonTable,4,FALSE)),0)+CY38*('Sens - Scenarios'!$D$6*VLOOKUP(CL62,ChurnSeasonTable,4,FALSE))*POWER(1-('Sens - Scenarios'!$D$6*VLOOKUP(CL62,ChurnSeasonTable,4,FALSE)),1)+CY26*('Sens - Scenarios'!$D$6*VLOOKUP(CL62,ChurnSeasonTable,4,FALSE))*POWER(1-('Sens - Scenarios'!$D$6*VLOOKUP(CL62,ChurnSeasonTable,4,FALSE)),2)+CY14*('Sens - Scenarios'!$D$6*VLOOKUP(CL62,ChurnSeasonTable,4,FALSE))*POWER(1-('Sens - Scenarios'!$D$6*VLOOKUP(CL62,ChurnSeasonTable,4,FALSE)),3)</f>
        <v/>
      </c>
      <c r="DD62" s="12">
        <f>DD61+CZ62-CZ50*('Sens - Scenarios'!$D$6*VLOOKUP(CL62,ChurnSeasonTable,4,FALSE))*POWER(1-('Sens - Scenarios'!$D$6*VLOOKUP(CL62,ChurnSeasonTable,4,FALSE)),0)+CZ38*('Sens - Scenarios'!$D$6*VLOOKUP(CL62,ChurnSeasonTable,4,FALSE))*POWER(1-('Sens - Scenarios'!$D$6*VLOOKUP(CL62,ChurnSeasonTable,4,FALSE)),1)+CZ26*('Sens - Scenarios'!$D$6*VLOOKUP(CL62,ChurnSeasonTable,4,FALSE))*POWER(1-('Sens - Scenarios'!$D$6*VLOOKUP(CL62,ChurnSeasonTable,4,FALSE)),2)+CZ14*('Sens - Scenarios'!$D$6*VLOOKUP(CL62,ChurnSeasonTable,4,FALSE))*POWER(1-('Sens - Scenarios'!$D$6*VLOOKUP(CL62,ChurnSeasonTable,4,FALSE)),3)</f>
        <v/>
      </c>
      <c r="DE62" s="12">
        <f>DA62+DB62+DC62+DD62</f>
        <v/>
      </c>
      <c r="DF62" s="9">
        <f>DA62*PriceEssMonthly*CO62+DB62*PricePremMonthly*CO62+DC62*PriceEssAnnual*CO62/12+DD62*PricePremAnnual*CO62/12</f>
        <v/>
      </c>
      <c r="DG62" s="9">
        <f>DF62*12</f>
        <v/>
      </c>
      <c r="DH62" s="12">
        <f>DA62*PriceEssMonthly*CO62+DB62*PricePremMonthly*CO62</f>
        <v/>
      </c>
      <c r="DI62" s="12">
        <f>CY62*PriceEssAnnual*CO62+CZ62*PricePremAnnual*CO62</f>
        <v/>
      </c>
      <c r="DJ62" s="12">
        <f>CY50*POWER(1-('Sens - Scenarios'!$D$6*VLOOKUP(CL62,ChurnSeasonTable,4,FALSE)),1)*PriceEssAnnual*CO62+CY38*POWER(1-('Sens - Scenarios'!$D$6*VLOOKUP(CL62,ChurnSeasonTable,4,FALSE)),2)*PriceEssAnnual*CO62+CY26*POWER(1-('Sens - Scenarios'!$D$6*VLOOKUP(CL62,ChurnSeasonTable,4,FALSE)),3)*PriceEssAnnual*CO62+CY14*POWER(1-('Sens - Scenarios'!$D$6*VLOOKUP(CL62,ChurnSeasonTable,4,FALSE)),4)*PriceEssAnnual*CO62+CZ50*POWER(1-('Sens - Scenarios'!$D$6*VLOOKUP(CL62,ChurnSeasonTable,4,FALSE)),1)*PricePremAnnual*CO62+CZ38*POWER(1-('Sens - Scenarios'!$D$6*VLOOKUP(CL62,ChurnSeasonTable,4,FALSE)),2)*PricePremAnnual*CO62+CZ26*POWER(1-('Sens - Scenarios'!$D$6*VLOOKUP(CL62,ChurnSeasonTable,4,FALSE)),3)*PricePremAnnual*CO62+CZ14*POWER(1-('Sens - Scenarios'!$D$6*VLOOKUP(CL62,ChurnSeasonTable,4,FALSE)),4)*PricePremAnnual*CO62</f>
        <v/>
      </c>
      <c r="DK62" s="9">
        <f>DH62+DI62+DJ62</f>
        <v/>
      </c>
      <c r="DL62" s="12">
        <f>SUM(DK51:DK62)</f>
        <v/>
      </c>
      <c r="DM62" s="12">
        <f>OR(DM61,DL62&gt;=VATThreshold)</f>
        <v/>
      </c>
      <c r="DN62" s="9">
        <f>IF(DM62,DK62/(1+VATRate),DK62)</f>
        <v/>
      </c>
      <c r="DO62" s="12">
        <f>DK62-DN62</f>
        <v/>
      </c>
      <c r="DP62" s="12">
        <f>IF(DM62=0,0,IF(CL62=1,SUMPRODUCT(--(($CM$5:$CM62=$CM62-1)*($CL$5:$CL62&gt;=10)*($CL$5:$CL62&lt;=12)),$DO$5:$DO62),IF(CL62=4,SUMPRODUCT(--(($CM$5:$CM62=$CM62)*($CL$5:$CL62&gt;=1)*($CL$5:$CL62&lt;=3)),$DO$5:$DO62),IF(CL62=7,SUMPRODUCT(--(($CM$5:$CM62=$CM62)*($CL$5:$CL62&gt;=4)*($CL$5:$CL62&lt;=6)),$DO$5:$DO62),IF(CL62=10,SUMPRODUCT(--(($CM$5:$CM62=$CM62)*($CL$5:$CL62&gt;=7)*($CL$5:$CL62&lt;=9)),$DO$5:$DO62),0)))))</f>
        <v/>
      </c>
      <c r="DQ62" s="12">
        <f>DQ61+DO62-DP62</f>
        <v/>
      </c>
      <c r="DR62" s="12">
        <f>IF(ProviderDelay&gt;=1,DN61*ProviderShare,DN62*ProviderShare)</f>
        <v/>
      </c>
      <c r="DS62" s="12">
        <f>DK62*PaymentFee</f>
        <v/>
      </c>
      <c r="DT62" s="12">
        <f>DE62*OpsAI</f>
        <v/>
      </c>
      <c r="DU62" s="12">
        <f>MonthlyFixed</f>
        <v/>
      </c>
      <c r="DV62" s="12">
        <f>CS62*ReferralReward</f>
        <v/>
      </c>
      <c r="DW62" s="12">
        <f>CQ62</f>
        <v/>
      </c>
      <c r="DX62" s="9">
        <f>DN62-DR62-DS62-DT62-DU62-DV62-DW62</f>
        <v/>
      </c>
      <c r="DY62" s="9">
        <f>DY61+DK62-(DR62+DS62+DT62+DU62+DV62+DW62+DP62)</f>
        <v/>
      </c>
      <c r="DZ62" s="12">
        <f>IF(DE62&gt;0,DF62/DE62,0)</f>
        <v/>
      </c>
      <c r="EA62" s="11">
        <f>IF(DE61&gt;0,MAX(0,(DE61+CT62-DE62)/DE61),0)</f>
        <v/>
      </c>
      <c r="EC62" s="12" t="n">
        <v>58</v>
      </c>
      <c r="ED62" s="12">
        <f>MOD(EC62-1+LaunchMonth-1,12)+1</f>
        <v/>
      </c>
      <c r="EE62" s="12">
        <f>INT((EC62-1+LaunchMonth-1)/12)+1</f>
        <v/>
      </c>
      <c r="EF62" s="12">
        <f>VLOOKUP(ED62,SeasonTable,2,FALSE)</f>
        <v/>
      </c>
      <c r="EG62" s="12">
        <f>(1+InflationRate)^INT((EC62-1)/12)</f>
        <v/>
      </c>
      <c r="EH62" s="11">
        <f>'Sens - Churn'!$A$13*VLOOKUP(ED62,ChurnSeasonTable,4,FALSE)</f>
        <v/>
      </c>
      <c r="EI62" s="12">
        <f>MIN(MAX(MktMin19plus,FC61*MktPct19plus),MAX(0,FQ61-CashBuffer))</f>
        <v/>
      </c>
      <c r="EJ62" s="12">
        <f>IF(EI62&gt;0,MAX(1,ROUND(EI62/CAC*EF62,0)),0)</f>
        <v/>
      </c>
      <c r="EK62" s="12">
        <f>IF(EJ62&gt;0,ROUND(EJ62*ReferralMix/(1-ReferralMix),0),0)</f>
        <v/>
      </c>
      <c r="EL62" s="12">
        <f>EJ62+EK62</f>
        <v/>
      </c>
      <c r="EM62" s="12">
        <f>ROUND(EL62*(1-AnnualMix),0)</f>
        <v/>
      </c>
      <c r="EN62" s="12">
        <f>EL62-EM62</f>
        <v/>
      </c>
      <c r="EO62" s="12">
        <f>ROUND(EM62*EssentialMix,0)</f>
        <v/>
      </c>
      <c r="EP62" s="12">
        <f>EM62-EO62</f>
        <v/>
      </c>
      <c r="EQ62" s="12">
        <f>ROUND(EN62*EssentialMix,0)</f>
        <v/>
      </c>
      <c r="ER62" s="12">
        <f>EN62-EQ62</f>
        <v/>
      </c>
      <c r="ES62" s="12">
        <f>EO62+EO61+EO60+MAX(0,ES61-EO61-EO60)*(1-EH62)</f>
        <v/>
      </c>
      <c r="ET62" s="12">
        <f>EP62+EP61+EP60+MAX(0,ET61-EP61-EP60)*(1-EH62)</f>
        <v/>
      </c>
      <c r="EU62" s="12">
        <f>EU61+EQ62-EQ50*(AnnualChurn*VLOOKUP(ED62,ChurnSeasonTable,4,FALSE))*POWER(1-(AnnualChurn*VLOOKUP(ED62,ChurnSeasonTable,4,FALSE)),0)+EQ38*(AnnualChurn*VLOOKUP(ED62,ChurnSeasonTable,4,FALSE))*POWER(1-(AnnualChurn*VLOOKUP(ED62,ChurnSeasonTable,4,FALSE)),1)+EQ26*(AnnualChurn*VLOOKUP(ED62,ChurnSeasonTable,4,FALSE))*POWER(1-(AnnualChurn*VLOOKUP(ED62,ChurnSeasonTable,4,FALSE)),2)+EQ14*(AnnualChurn*VLOOKUP(ED62,ChurnSeasonTable,4,FALSE))*POWER(1-(AnnualChurn*VLOOKUP(ED62,ChurnSeasonTable,4,FALSE)),3)</f>
        <v/>
      </c>
      <c r="EV62" s="12">
        <f>EV61+ER62-ER50*(AnnualChurn*VLOOKUP(ED62,ChurnSeasonTable,4,FALSE))*POWER(1-(AnnualChurn*VLOOKUP(ED62,ChurnSeasonTable,4,FALSE)),0)+ER38*(AnnualChurn*VLOOKUP(ED62,ChurnSeasonTable,4,FALSE))*POWER(1-(AnnualChurn*VLOOKUP(ED62,ChurnSeasonTable,4,FALSE)),1)+ER26*(AnnualChurn*VLOOKUP(ED62,ChurnSeasonTable,4,FALSE))*POWER(1-(AnnualChurn*VLOOKUP(ED62,ChurnSeasonTable,4,FALSE)),2)+ER14*(AnnualChurn*VLOOKUP(ED62,ChurnSeasonTable,4,FALSE))*POWER(1-(AnnualChurn*VLOOKUP(ED62,ChurnSeasonTable,4,FALSE)),3)</f>
        <v/>
      </c>
      <c r="EW62" s="12">
        <f>ES62+ET62+EU62+EV62</f>
        <v/>
      </c>
      <c r="EX62" s="9">
        <f>ES62*PriceEssMonthly*EG62+ET62*PricePremMonthly*EG62+EU62*PriceEssAnnual*EG62/12+EV62*PricePremAnnual*EG62/12</f>
        <v/>
      </c>
      <c r="EY62" s="9">
        <f>EX62*12</f>
        <v/>
      </c>
      <c r="EZ62" s="12">
        <f>ES62*PriceEssMonthly*EG62+ET62*PricePremMonthly*EG62</f>
        <v/>
      </c>
      <c r="FA62" s="12">
        <f>EQ62*PriceEssAnnual*EG62+ER62*PricePremAnnual*EG62</f>
        <v/>
      </c>
      <c r="FB62" s="12">
        <f>EQ50*POWER(1-(AnnualChurn*VLOOKUP(ED62,ChurnSeasonTable,4,FALSE)),1)*PriceEssAnnual*EG62+EQ38*POWER(1-(AnnualChurn*VLOOKUP(ED62,ChurnSeasonTable,4,FALSE)),2)*PriceEssAnnual*EG62+EQ26*POWER(1-(AnnualChurn*VLOOKUP(ED62,ChurnSeasonTable,4,FALSE)),3)*PriceEssAnnual*EG62+EQ14*POWER(1-(AnnualChurn*VLOOKUP(ED62,ChurnSeasonTable,4,FALSE)),4)*PriceEssAnnual*EG62+ER50*POWER(1-(AnnualChurn*VLOOKUP(ED62,ChurnSeasonTable,4,FALSE)),1)*PricePremAnnual*EG62+ER38*POWER(1-(AnnualChurn*VLOOKUP(ED62,ChurnSeasonTable,4,FALSE)),2)*PricePremAnnual*EG62+ER26*POWER(1-(AnnualChurn*VLOOKUP(ED62,ChurnSeasonTable,4,FALSE)),3)*PricePremAnnual*EG62+ER14*POWER(1-(AnnualChurn*VLOOKUP(ED62,ChurnSeasonTable,4,FALSE)),4)*PricePremAnnual*EG62</f>
        <v/>
      </c>
      <c r="FC62" s="9">
        <f>EZ62+FA62+FB62</f>
        <v/>
      </c>
      <c r="FD62" s="12">
        <f>SUM(FC51:FC62)</f>
        <v/>
      </c>
      <c r="FE62" s="12">
        <f>OR(FE61,FD62&gt;=VATThreshold)</f>
        <v/>
      </c>
      <c r="FF62" s="9">
        <f>IF(FE62,FC62/(1+VATRate),FC62)</f>
        <v/>
      </c>
      <c r="FG62" s="12">
        <f>FC62-FF62</f>
        <v/>
      </c>
      <c r="FH62" s="12">
        <f>IF(FE62=0,0,IF(ED62=1,SUMPRODUCT(--(($EE$5:$EE62=$EE62-1)*($ED$5:$ED62&gt;=10)*($ED$5:$ED62&lt;=12)),$FG$5:$FG62),IF(ED62=4,SUMPRODUCT(--(($EE$5:$EE62=$EE62)*($ED$5:$ED62&gt;=1)*($ED$5:$ED62&lt;=3)),$FG$5:$FG62),IF(ED62=7,SUMPRODUCT(--(($EE$5:$EE62=$EE62)*($ED$5:$ED62&gt;=4)*($ED$5:$ED62&lt;=6)),$FG$5:$FG62),IF(ED62=10,SUMPRODUCT(--(($EE$5:$EE62=$EE62)*($ED$5:$ED62&gt;=7)*($ED$5:$ED62&lt;=9)),$FG$5:$FG62),0)))))</f>
        <v/>
      </c>
      <c r="FI62" s="12">
        <f>FI61+FG62-FH62</f>
        <v/>
      </c>
      <c r="FJ62" s="12">
        <f>IF(ProviderDelay&gt;=1,FF61*ProviderShare,FF62*ProviderShare)</f>
        <v/>
      </c>
      <c r="FK62" s="12">
        <f>FC62*PaymentFee</f>
        <v/>
      </c>
      <c r="FL62" s="12">
        <f>EW62*OpsAI</f>
        <v/>
      </c>
      <c r="FM62" s="12">
        <f>MonthlyFixed</f>
        <v/>
      </c>
      <c r="FN62" s="12">
        <f>EK62*ReferralReward</f>
        <v/>
      </c>
      <c r="FO62" s="12">
        <f>EI62</f>
        <v/>
      </c>
      <c r="FP62" s="9">
        <f>FF62-FJ62-FK62-FL62-FM62-FN62-FO62</f>
        <v/>
      </c>
      <c r="FQ62" s="9">
        <f>FQ61+FC62-(FJ62+FK62+FL62+FM62+FN62+FO62+FH62)</f>
        <v/>
      </c>
      <c r="FR62" s="12">
        <f>IF(EW62&gt;0,EX62/EW62,0)</f>
        <v/>
      </c>
      <c r="FS62" s="11">
        <f>IF(EW61&gt;0,MAX(0,(EW61+EL62-EW62)/EW61),0)</f>
        <v/>
      </c>
      <c r="FU62" s="12" t="n">
        <v>58</v>
      </c>
      <c r="FV62" s="12">
        <f>MOD(FU62-1+LaunchMonth-1,12)+1</f>
        <v/>
      </c>
      <c r="FW62" s="12">
        <f>INT((FU62-1+LaunchMonth-1)/12)+1</f>
        <v/>
      </c>
      <c r="FX62" s="12">
        <f>VLOOKUP(FV62,SeasonTable,2,FALSE)</f>
        <v/>
      </c>
      <c r="FY62" s="12">
        <f>(1+InflationRate)^INT((FU62-1)/12)</f>
        <v/>
      </c>
      <c r="FZ62" s="11">
        <f>'Sens - Churn'!$A$14*VLOOKUP(FV62,ChurnSeasonTable,4,FALSE)</f>
        <v/>
      </c>
      <c r="GA62" s="12">
        <f>MIN(MAX(MktMin19plus,GU61*MktPct19plus),MAX(0,HI61-CashBuffer))</f>
        <v/>
      </c>
      <c r="GB62" s="12">
        <f>IF(GA62&gt;0,MAX(1,ROUND(GA62/CAC*FX62,0)),0)</f>
        <v/>
      </c>
      <c r="GC62" s="12">
        <f>IF(GB62&gt;0,ROUND(GB62*ReferralMix/(1-ReferralMix),0),0)</f>
        <v/>
      </c>
      <c r="GD62" s="12">
        <f>GB62+GC62</f>
        <v/>
      </c>
      <c r="GE62" s="12">
        <f>ROUND(GD62*(1-AnnualMix),0)</f>
        <v/>
      </c>
      <c r="GF62" s="12">
        <f>GD62-GE62</f>
        <v/>
      </c>
      <c r="GG62" s="12">
        <f>ROUND(GE62*EssentialMix,0)</f>
        <v/>
      </c>
      <c r="GH62" s="12">
        <f>GE62-GG62</f>
        <v/>
      </c>
      <c r="GI62" s="12">
        <f>ROUND(GF62*EssentialMix,0)</f>
        <v/>
      </c>
      <c r="GJ62" s="12">
        <f>GF62-GI62</f>
        <v/>
      </c>
      <c r="GK62" s="12">
        <f>GG62+GG61+GG60+MAX(0,GK61-GG61-GG60)*(1-FZ62)</f>
        <v/>
      </c>
      <c r="GL62" s="12">
        <f>GH62+GH61+GH60+MAX(0,GL61-GH61-GH60)*(1-FZ62)</f>
        <v/>
      </c>
      <c r="GM62" s="12">
        <f>GM61+GI62-GI50*(AnnualChurn*VLOOKUP(FV62,ChurnSeasonTable,4,FALSE))*POWER(1-(AnnualChurn*VLOOKUP(FV62,ChurnSeasonTable,4,FALSE)),0)+GI38*(AnnualChurn*VLOOKUP(FV62,ChurnSeasonTable,4,FALSE))*POWER(1-(AnnualChurn*VLOOKUP(FV62,ChurnSeasonTable,4,FALSE)),1)+GI26*(AnnualChurn*VLOOKUP(FV62,ChurnSeasonTable,4,FALSE))*POWER(1-(AnnualChurn*VLOOKUP(FV62,ChurnSeasonTable,4,FALSE)),2)+GI14*(AnnualChurn*VLOOKUP(FV62,ChurnSeasonTable,4,FALSE))*POWER(1-(AnnualChurn*VLOOKUP(FV62,ChurnSeasonTable,4,FALSE)),3)</f>
        <v/>
      </c>
      <c r="GN62" s="12">
        <f>GN61+GJ62-GJ50*(AnnualChurn*VLOOKUP(FV62,ChurnSeasonTable,4,FALSE))*POWER(1-(AnnualChurn*VLOOKUP(FV62,ChurnSeasonTable,4,FALSE)),0)+GJ38*(AnnualChurn*VLOOKUP(FV62,ChurnSeasonTable,4,FALSE))*POWER(1-(AnnualChurn*VLOOKUP(FV62,ChurnSeasonTable,4,FALSE)),1)+GJ26*(AnnualChurn*VLOOKUP(FV62,ChurnSeasonTable,4,FALSE))*POWER(1-(AnnualChurn*VLOOKUP(FV62,ChurnSeasonTable,4,FALSE)),2)+GJ14*(AnnualChurn*VLOOKUP(FV62,ChurnSeasonTable,4,FALSE))*POWER(1-(AnnualChurn*VLOOKUP(FV62,ChurnSeasonTable,4,FALSE)),3)</f>
        <v/>
      </c>
      <c r="GO62" s="12">
        <f>GK62+GL62+GM62+GN62</f>
        <v/>
      </c>
      <c r="GP62" s="9">
        <f>GK62*PriceEssMonthly*FY62+GL62*PricePremMonthly*FY62+GM62*PriceEssAnnual*FY62/12+GN62*PricePremAnnual*FY62/12</f>
        <v/>
      </c>
      <c r="GQ62" s="9">
        <f>GP62*12</f>
        <v/>
      </c>
      <c r="GR62" s="12">
        <f>GK62*PriceEssMonthly*FY62+GL62*PricePremMonthly*FY62</f>
        <v/>
      </c>
      <c r="GS62" s="12">
        <f>GI62*PriceEssAnnual*FY62+GJ62*PricePremAnnual*FY62</f>
        <v/>
      </c>
      <c r="GT62" s="12">
        <f>GI50*POWER(1-(AnnualChurn*VLOOKUP(FV62,ChurnSeasonTable,4,FALSE)),1)*PriceEssAnnual*FY62+GI38*POWER(1-(AnnualChurn*VLOOKUP(FV62,ChurnSeasonTable,4,FALSE)),2)*PriceEssAnnual*FY62+GI26*POWER(1-(AnnualChurn*VLOOKUP(FV62,ChurnSeasonTable,4,FALSE)),3)*PriceEssAnnual*FY62+GI14*POWER(1-(AnnualChurn*VLOOKUP(FV62,ChurnSeasonTable,4,FALSE)),4)*PriceEssAnnual*FY62+GJ50*POWER(1-(AnnualChurn*VLOOKUP(FV62,ChurnSeasonTable,4,FALSE)),1)*PricePremAnnual*FY62+GJ38*POWER(1-(AnnualChurn*VLOOKUP(FV62,ChurnSeasonTable,4,FALSE)),2)*PricePremAnnual*FY62+GJ26*POWER(1-(AnnualChurn*VLOOKUP(FV62,ChurnSeasonTable,4,FALSE)),3)*PricePremAnnual*FY62+GJ14*POWER(1-(AnnualChurn*VLOOKUP(FV62,ChurnSeasonTable,4,FALSE)),4)*PricePremAnnual*FY62</f>
        <v/>
      </c>
      <c r="GU62" s="9">
        <f>GR62+GS62+GT62</f>
        <v/>
      </c>
      <c r="GV62" s="12">
        <f>SUM(GU51:GU62)</f>
        <v/>
      </c>
      <c r="GW62" s="12">
        <f>OR(GW61,GV62&gt;=VATThreshold)</f>
        <v/>
      </c>
      <c r="GX62" s="9">
        <f>IF(GW62,GU62/(1+VATRate),GU62)</f>
        <v/>
      </c>
      <c r="GY62" s="12">
        <f>GU62-GX62</f>
        <v/>
      </c>
      <c r="GZ62" s="12">
        <f>IF(GW62=0,0,IF(FV62=1,SUMPRODUCT(--(($FW$5:$FW62=$FW62-1)*($FV$5:$FV62&gt;=10)*($FV$5:$FV62&lt;=12)),$GY$5:$GY62),IF(FV62=4,SUMPRODUCT(--(($FW$5:$FW62=$FW62)*($FV$5:$FV62&gt;=1)*($FV$5:$FV62&lt;=3)),$GY$5:$GY62),IF(FV62=7,SUMPRODUCT(--(($FW$5:$FW62=$FW62)*($FV$5:$FV62&gt;=4)*($FV$5:$FV62&lt;=6)),$GY$5:$GY62),IF(FV62=10,SUMPRODUCT(--(($FW$5:$FW62=$FW62)*($FV$5:$FV62&gt;=7)*($FV$5:$FV62&lt;=9)),$GY$5:$GY62),0)))))</f>
        <v/>
      </c>
      <c r="HA62" s="12">
        <f>HA61+GY62-GZ62</f>
        <v/>
      </c>
      <c r="HB62" s="12">
        <f>IF(ProviderDelay&gt;=1,GX61*ProviderShare,GX62*ProviderShare)</f>
        <v/>
      </c>
      <c r="HC62" s="12">
        <f>GU62*PaymentFee</f>
        <v/>
      </c>
      <c r="HD62" s="12">
        <f>GO62*OpsAI</f>
        <v/>
      </c>
      <c r="HE62" s="12">
        <f>MonthlyFixed</f>
        <v/>
      </c>
      <c r="HF62" s="12">
        <f>GC62*ReferralReward</f>
        <v/>
      </c>
      <c r="HG62" s="12">
        <f>GA62</f>
        <v/>
      </c>
      <c r="HH62" s="9">
        <f>GX62-HB62-HC62-HD62-HE62-HF62-HG62</f>
        <v/>
      </c>
      <c r="HI62" s="9">
        <f>HI61+GU62-(HB62+HC62+HD62+HE62+HF62+HG62+GZ62)</f>
        <v/>
      </c>
      <c r="HJ62" s="12">
        <f>IF(GO62&gt;0,GP62/GO62,0)</f>
        <v/>
      </c>
      <c r="HK62" s="11">
        <f>IF(GO61&gt;0,MAX(0,(GO61+GD62-GO62)/GO61),0)</f>
        <v/>
      </c>
      <c r="HM62" s="12" t="n">
        <v>58</v>
      </c>
      <c r="HN62" s="12">
        <f>MOD(HM62-1+LaunchMonth-1,12)+1</f>
        <v/>
      </c>
      <c r="HO62" s="12">
        <f>INT((HM62-1+LaunchMonth-1)/12)+1</f>
        <v/>
      </c>
      <c r="HP62" s="12">
        <f>VLOOKUP(HN62,SeasonTable,2,FALSE)</f>
        <v/>
      </c>
      <c r="HQ62" s="12">
        <f>(1+InflationRate)^INT((HM62-1)/12)</f>
        <v/>
      </c>
      <c r="HR62" s="11">
        <f>'Sens - Churn'!$A$15*VLOOKUP(HN62,ChurnSeasonTable,4,FALSE)</f>
        <v/>
      </c>
      <c r="HS62" s="12">
        <f>MIN(MAX(MktMin19plus,IM61*MktPct19plus),MAX(0,JA61-CashBuffer))</f>
        <v/>
      </c>
      <c r="HT62" s="12">
        <f>IF(HS62&gt;0,MAX(1,ROUND(HS62/CAC*HP62,0)),0)</f>
        <v/>
      </c>
      <c r="HU62" s="12">
        <f>IF(HT62&gt;0,ROUND(HT62*ReferralMix/(1-ReferralMix),0),0)</f>
        <v/>
      </c>
      <c r="HV62" s="12">
        <f>HT62+HU62</f>
        <v/>
      </c>
      <c r="HW62" s="12">
        <f>ROUND(HV62*(1-AnnualMix),0)</f>
        <v/>
      </c>
      <c r="HX62" s="12">
        <f>HV62-HW62</f>
        <v/>
      </c>
      <c r="HY62" s="12">
        <f>ROUND(HW62*EssentialMix,0)</f>
        <v/>
      </c>
      <c r="HZ62" s="12">
        <f>HW62-HY62</f>
        <v/>
      </c>
      <c r="IA62" s="12">
        <f>ROUND(HX62*EssentialMix,0)</f>
        <v/>
      </c>
      <c r="IB62" s="12">
        <f>HX62-IA62</f>
        <v/>
      </c>
      <c r="IC62" s="12">
        <f>HY62+HY61+HY60+MAX(0,IC61-HY61-HY60)*(1-HR62)</f>
        <v/>
      </c>
      <c r="ID62" s="12">
        <f>HZ62+HZ61+HZ60+MAX(0,ID61-HZ61-HZ60)*(1-HR62)</f>
        <v/>
      </c>
      <c r="IE62" s="12">
        <f>IE61+IA62-IA50*(AnnualChurn*VLOOKUP(HN62,ChurnSeasonTable,4,FALSE))*POWER(1-(AnnualChurn*VLOOKUP(HN62,ChurnSeasonTable,4,FALSE)),0)+IA38*(AnnualChurn*VLOOKUP(HN62,ChurnSeasonTable,4,FALSE))*POWER(1-(AnnualChurn*VLOOKUP(HN62,ChurnSeasonTable,4,FALSE)),1)+IA26*(AnnualChurn*VLOOKUP(HN62,ChurnSeasonTable,4,FALSE))*POWER(1-(AnnualChurn*VLOOKUP(HN62,ChurnSeasonTable,4,FALSE)),2)+IA14*(AnnualChurn*VLOOKUP(HN62,ChurnSeasonTable,4,FALSE))*POWER(1-(AnnualChurn*VLOOKUP(HN62,ChurnSeasonTable,4,FALSE)),3)</f>
        <v/>
      </c>
      <c r="IF62" s="12">
        <f>IF61+IB62-IB50*(AnnualChurn*VLOOKUP(HN62,ChurnSeasonTable,4,FALSE))*POWER(1-(AnnualChurn*VLOOKUP(HN62,ChurnSeasonTable,4,FALSE)),0)+IB38*(AnnualChurn*VLOOKUP(HN62,ChurnSeasonTable,4,FALSE))*POWER(1-(AnnualChurn*VLOOKUP(HN62,ChurnSeasonTable,4,FALSE)),1)+IB26*(AnnualChurn*VLOOKUP(HN62,ChurnSeasonTable,4,FALSE))*POWER(1-(AnnualChurn*VLOOKUP(HN62,ChurnSeasonTable,4,FALSE)),2)+IB14*(AnnualChurn*VLOOKUP(HN62,ChurnSeasonTable,4,FALSE))*POWER(1-(AnnualChurn*VLOOKUP(HN62,ChurnSeasonTable,4,FALSE)),3)</f>
        <v/>
      </c>
      <c r="IG62" s="12">
        <f>IC62+ID62+IE62+IF62</f>
        <v/>
      </c>
      <c r="IH62" s="9">
        <f>IC62*PriceEssMonthly*HQ62+ID62*PricePremMonthly*HQ62+IE62*PriceEssAnnual*HQ62/12+IF62*PricePremAnnual*HQ62/12</f>
        <v/>
      </c>
      <c r="II62" s="9">
        <f>IH62*12</f>
        <v/>
      </c>
      <c r="IJ62" s="12">
        <f>IC62*PriceEssMonthly*HQ62+ID62*PricePremMonthly*HQ62</f>
        <v/>
      </c>
      <c r="IK62" s="12">
        <f>IA62*PriceEssAnnual*HQ62+IB62*PricePremAnnual*HQ62</f>
        <v/>
      </c>
      <c r="IL62" s="12">
        <f>IA50*POWER(1-(AnnualChurn*VLOOKUP(HN62,ChurnSeasonTable,4,FALSE)),1)*PriceEssAnnual*HQ62+IA38*POWER(1-(AnnualChurn*VLOOKUP(HN62,ChurnSeasonTable,4,FALSE)),2)*PriceEssAnnual*HQ62+IA26*POWER(1-(AnnualChurn*VLOOKUP(HN62,ChurnSeasonTable,4,FALSE)),3)*PriceEssAnnual*HQ62+IA14*POWER(1-(AnnualChurn*VLOOKUP(HN62,ChurnSeasonTable,4,FALSE)),4)*PriceEssAnnual*HQ62+IB50*POWER(1-(AnnualChurn*VLOOKUP(HN62,ChurnSeasonTable,4,FALSE)),1)*PricePremAnnual*HQ62+IB38*POWER(1-(AnnualChurn*VLOOKUP(HN62,ChurnSeasonTable,4,FALSE)),2)*PricePremAnnual*HQ62+IB26*POWER(1-(AnnualChurn*VLOOKUP(HN62,ChurnSeasonTable,4,FALSE)),3)*PricePremAnnual*HQ62+IB14*POWER(1-(AnnualChurn*VLOOKUP(HN62,ChurnSeasonTable,4,FALSE)),4)*PricePremAnnual*HQ62</f>
        <v/>
      </c>
      <c r="IM62" s="9">
        <f>IJ62+IK62+IL62</f>
        <v/>
      </c>
      <c r="IN62" s="12">
        <f>SUM(IM51:IM62)</f>
        <v/>
      </c>
      <c r="IO62" s="12">
        <f>OR(IO61,IN62&gt;=VATThreshold)</f>
        <v/>
      </c>
      <c r="IP62" s="9">
        <f>IF(IO62,IM62/(1+VATRate),IM62)</f>
        <v/>
      </c>
      <c r="IQ62" s="12">
        <f>IM62-IP62</f>
        <v/>
      </c>
      <c r="IR62" s="12">
        <f>IF(IO62=0,0,IF(HN62=1,SUMPRODUCT(--(($HO$5:$HO62=$HO62-1)*($HN$5:$HN62&gt;=10)*($HN$5:$HN62&lt;=12)),$IQ$5:$IQ62),IF(HN62=4,SUMPRODUCT(--(($HO$5:$HO62=$HO62)*($HN$5:$HN62&gt;=1)*($HN$5:$HN62&lt;=3)),$IQ$5:$IQ62),IF(HN62=7,SUMPRODUCT(--(($HO$5:$HO62=$HO62)*($HN$5:$HN62&gt;=4)*($HN$5:$HN62&lt;=6)),$IQ$5:$IQ62),IF(HN62=10,SUMPRODUCT(--(($HO$5:$HO62=$HO62)*($HN$5:$HN62&gt;=7)*($HN$5:$HN62&lt;=9)),$IQ$5:$IQ62),0)))))</f>
        <v/>
      </c>
      <c r="IS62" s="12">
        <f>IS61+IQ62-IR62</f>
        <v/>
      </c>
      <c r="IT62" s="12">
        <f>IF(ProviderDelay&gt;=1,IP61*ProviderShare,IP62*ProviderShare)</f>
        <v/>
      </c>
      <c r="IU62" s="12">
        <f>IM62*PaymentFee</f>
        <v/>
      </c>
      <c r="IV62" s="12">
        <f>IG62*OpsAI</f>
        <v/>
      </c>
      <c r="IW62" s="12">
        <f>MonthlyFixed</f>
        <v/>
      </c>
      <c r="IX62" s="12">
        <f>HU62*ReferralReward</f>
        <v/>
      </c>
      <c r="IY62" s="12">
        <f>HS62</f>
        <v/>
      </c>
      <c r="IZ62" s="9">
        <f>IP62-IT62-IU62-IV62-IW62-IX62-IY62</f>
        <v/>
      </c>
      <c r="JA62" s="9">
        <f>JA61+IM62-(IT62+IU62+IV62+IW62+IX62+IY62+IR62)</f>
        <v/>
      </c>
      <c r="JB62" s="12">
        <f>IF(IG62&gt;0,IH62/IG62,0)</f>
        <v/>
      </c>
      <c r="JC62" s="11">
        <f>IF(IG61&gt;0,MAX(0,(IG61+HV62-IG62)/IG61),0)</f>
        <v/>
      </c>
      <c r="JE62" s="12" t="n">
        <v>58</v>
      </c>
      <c r="JF62" s="12">
        <f>MOD(JE62-1+LaunchMonth-1,12)+1</f>
        <v/>
      </c>
      <c r="JG62" s="12">
        <f>INT((JE62-1+LaunchMonth-1)/12)+1</f>
        <v/>
      </c>
      <c r="JH62" s="12">
        <f>VLOOKUP(JF62,SeasonTable,2,FALSE)</f>
        <v/>
      </c>
      <c r="JI62" s="12">
        <f>(1+InflationRate)^INT((JE62-1)/12)</f>
        <v/>
      </c>
      <c r="JJ62" s="11">
        <f>'Sens - Churn'!$A$16*VLOOKUP(JF62,ChurnSeasonTable,4,FALSE)</f>
        <v/>
      </c>
      <c r="JK62" s="12">
        <f>MIN(MAX(MktMin19plus,KE61*MktPct19plus),MAX(0,KS61-CashBuffer))</f>
        <v/>
      </c>
      <c r="JL62" s="12">
        <f>IF(JK62&gt;0,MAX(1,ROUND(JK62/CAC*JH62,0)),0)</f>
        <v/>
      </c>
      <c r="JM62" s="12">
        <f>IF(JL62&gt;0,ROUND(JL62*ReferralMix/(1-ReferralMix),0),0)</f>
        <v/>
      </c>
      <c r="JN62" s="12">
        <f>JL62+JM62</f>
        <v/>
      </c>
      <c r="JO62" s="12">
        <f>ROUND(JN62*(1-AnnualMix),0)</f>
        <v/>
      </c>
      <c r="JP62" s="12">
        <f>JN62-JO62</f>
        <v/>
      </c>
      <c r="JQ62" s="12">
        <f>ROUND(JO62*EssentialMix,0)</f>
        <v/>
      </c>
      <c r="JR62" s="12">
        <f>JO62-JQ62</f>
        <v/>
      </c>
      <c r="JS62" s="12">
        <f>ROUND(JP62*EssentialMix,0)</f>
        <v/>
      </c>
      <c r="JT62" s="12">
        <f>JP62-JS62</f>
        <v/>
      </c>
      <c r="JU62" s="12">
        <f>JQ62+JQ61+JQ60+MAX(0,JU61-JQ61-JQ60)*(1-JJ62)</f>
        <v/>
      </c>
      <c r="JV62" s="12">
        <f>JR62+JR61+JR60+MAX(0,JV61-JR61-JR60)*(1-JJ62)</f>
        <v/>
      </c>
      <c r="JW62" s="12">
        <f>JW61+JS62-JS50*(AnnualChurn*VLOOKUP(JF62,ChurnSeasonTable,4,FALSE))*POWER(1-(AnnualChurn*VLOOKUP(JF62,ChurnSeasonTable,4,FALSE)),0)+JS38*(AnnualChurn*VLOOKUP(JF62,ChurnSeasonTable,4,FALSE))*POWER(1-(AnnualChurn*VLOOKUP(JF62,ChurnSeasonTable,4,FALSE)),1)+JS26*(AnnualChurn*VLOOKUP(JF62,ChurnSeasonTable,4,FALSE))*POWER(1-(AnnualChurn*VLOOKUP(JF62,ChurnSeasonTable,4,FALSE)),2)+JS14*(AnnualChurn*VLOOKUP(JF62,ChurnSeasonTable,4,FALSE))*POWER(1-(AnnualChurn*VLOOKUP(JF62,ChurnSeasonTable,4,FALSE)),3)</f>
        <v/>
      </c>
      <c r="JX62" s="12">
        <f>JX61+JT62-JT50*(AnnualChurn*VLOOKUP(JF62,ChurnSeasonTable,4,FALSE))*POWER(1-(AnnualChurn*VLOOKUP(JF62,ChurnSeasonTable,4,FALSE)),0)+JT38*(AnnualChurn*VLOOKUP(JF62,ChurnSeasonTable,4,FALSE))*POWER(1-(AnnualChurn*VLOOKUP(JF62,ChurnSeasonTable,4,FALSE)),1)+JT26*(AnnualChurn*VLOOKUP(JF62,ChurnSeasonTable,4,FALSE))*POWER(1-(AnnualChurn*VLOOKUP(JF62,ChurnSeasonTable,4,FALSE)),2)+JT14*(AnnualChurn*VLOOKUP(JF62,ChurnSeasonTable,4,FALSE))*POWER(1-(AnnualChurn*VLOOKUP(JF62,ChurnSeasonTable,4,FALSE)),3)</f>
        <v/>
      </c>
      <c r="JY62" s="12">
        <f>JU62+JV62+JW62+JX62</f>
        <v/>
      </c>
      <c r="JZ62" s="9">
        <f>JU62*PriceEssMonthly*JI62+JV62*PricePremMonthly*JI62+JW62*PriceEssAnnual*JI62/12+JX62*PricePremAnnual*JI62/12</f>
        <v/>
      </c>
      <c r="KA62" s="9">
        <f>JZ62*12</f>
        <v/>
      </c>
      <c r="KB62" s="12">
        <f>JU62*PriceEssMonthly*JI62+JV62*PricePremMonthly*JI62</f>
        <v/>
      </c>
      <c r="KC62" s="12">
        <f>JS62*PriceEssAnnual*JI62+JT62*PricePremAnnual*JI62</f>
        <v/>
      </c>
      <c r="KD62" s="12">
        <f>JS50*POWER(1-(AnnualChurn*VLOOKUP(JF62,ChurnSeasonTable,4,FALSE)),1)*PriceEssAnnual*JI62+JS38*POWER(1-(AnnualChurn*VLOOKUP(JF62,ChurnSeasonTable,4,FALSE)),2)*PriceEssAnnual*JI62+JS26*POWER(1-(AnnualChurn*VLOOKUP(JF62,ChurnSeasonTable,4,FALSE)),3)*PriceEssAnnual*JI62+JS14*POWER(1-(AnnualChurn*VLOOKUP(JF62,ChurnSeasonTable,4,FALSE)),4)*PriceEssAnnual*JI62+JT50*POWER(1-(AnnualChurn*VLOOKUP(JF62,ChurnSeasonTable,4,FALSE)),1)*PricePremAnnual*JI62+JT38*POWER(1-(AnnualChurn*VLOOKUP(JF62,ChurnSeasonTable,4,FALSE)),2)*PricePremAnnual*JI62+JT26*POWER(1-(AnnualChurn*VLOOKUP(JF62,ChurnSeasonTable,4,FALSE)),3)*PricePremAnnual*JI62+JT14*POWER(1-(AnnualChurn*VLOOKUP(JF62,ChurnSeasonTable,4,FALSE)),4)*PricePremAnnual*JI62</f>
        <v/>
      </c>
      <c r="KE62" s="9">
        <f>KB62+KC62+KD62</f>
        <v/>
      </c>
      <c r="KF62" s="12">
        <f>SUM(KE51:KE62)</f>
        <v/>
      </c>
      <c r="KG62" s="12">
        <f>OR(KG61,KF62&gt;=VATThreshold)</f>
        <v/>
      </c>
      <c r="KH62" s="9">
        <f>IF(KG62,KE62/(1+VATRate),KE62)</f>
        <v/>
      </c>
      <c r="KI62" s="12">
        <f>KE62-KH62</f>
        <v/>
      </c>
      <c r="KJ62" s="12">
        <f>IF(KG62=0,0,IF(JF62=1,SUMPRODUCT(--(($JG$5:$JG62=$JG62-1)*($JF$5:$JF62&gt;=10)*($JF$5:$JF62&lt;=12)),$KI$5:$KI62),IF(JF62=4,SUMPRODUCT(--(($JG$5:$JG62=$JG62)*($JF$5:$JF62&gt;=1)*($JF$5:$JF62&lt;=3)),$KI$5:$KI62),IF(JF62=7,SUMPRODUCT(--(($JG$5:$JG62=$JG62)*($JF$5:$JF62&gt;=4)*($JF$5:$JF62&lt;=6)),$KI$5:$KI62),IF(JF62=10,SUMPRODUCT(--(($JG$5:$JG62=$JG62)*($JF$5:$JF62&gt;=7)*($JF$5:$JF62&lt;=9)),$KI$5:$KI62),0)))))</f>
        <v/>
      </c>
      <c r="KK62" s="12">
        <f>KK61+KI62-KJ62</f>
        <v/>
      </c>
      <c r="KL62" s="12">
        <f>IF(ProviderDelay&gt;=1,KH61*ProviderShare,KH62*ProviderShare)</f>
        <v/>
      </c>
      <c r="KM62" s="12">
        <f>KE62*PaymentFee</f>
        <v/>
      </c>
      <c r="KN62" s="12">
        <f>JY62*OpsAI</f>
        <v/>
      </c>
      <c r="KO62" s="12">
        <f>MonthlyFixed</f>
        <v/>
      </c>
      <c r="KP62" s="12">
        <f>JM62*ReferralReward</f>
        <v/>
      </c>
      <c r="KQ62" s="12">
        <f>JK62</f>
        <v/>
      </c>
      <c r="KR62" s="9">
        <f>KH62-KL62-KM62-KN62-KO62-KP62-KQ62</f>
        <v/>
      </c>
      <c r="KS62" s="9">
        <f>KS61+KE62-(KL62+KM62+KN62+KO62+KP62+KQ62+KJ62)</f>
        <v/>
      </c>
      <c r="KT62" s="12">
        <f>IF(JY62&gt;0,JZ62/JY62,0)</f>
        <v/>
      </c>
      <c r="KU62" s="11">
        <f>IF(JY61&gt;0,MAX(0,(JY61+JN62-JY62)/JY61),0)</f>
        <v/>
      </c>
      <c r="KW62" s="12" t="n">
        <v>58</v>
      </c>
      <c r="KX62" s="12">
        <f>MOD(KW62-1+LaunchMonth-1,12)+1</f>
        <v/>
      </c>
      <c r="KY62" s="12">
        <f>INT((KW62-1+LaunchMonth-1)/12)+1</f>
        <v/>
      </c>
      <c r="KZ62" s="12">
        <f>VLOOKUP(KX62,SeasonTable,2,FALSE)</f>
        <v/>
      </c>
      <c r="LA62" s="12">
        <f>(1+InflationRate)^INT((KW62-1)/12)</f>
        <v/>
      </c>
      <c r="LB62" s="11">
        <f>'Sens - Churn'!$A$17*VLOOKUP(KX62,ChurnSeasonTable,4,FALSE)</f>
        <v/>
      </c>
      <c r="LC62" s="12">
        <f>MIN(MAX(MktMin19plus,LW61*MktPct19plus),MAX(0,MK61-CashBuffer))</f>
        <v/>
      </c>
      <c r="LD62" s="12">
        <f>IF(LC62&gt;0,MAX(1,ROUND(LC62/CAC*KZ62,0)),0)</f>
        <v/>
      </c>
      <c r="LE62" s="12">
        <f>IF(LD62&gt;0,ROUND(LD62*ReferralMix/(1-ReferralMix),0),0)</f>
        <v/>
      </c>
      <c r="LF62" s="12">
        <f>LD62+LE62</f>
        <v/>
      </c>
      <c r="LG62" s="12">
        <f>ROUND(LF62*(1-AnnualMix),0)</f>
        <v/>
      </c>
      <c r="LH62" s="12">
        <f>LF62-LG62</f>
        <v/>
      </c>
      <c r="LI62" s="12">
        <f>ROUND(LG62*EssentialMix,0)</f>
        <v/>
      </c>
      <c r="LJ62" s="12">
        <f>LG62-LI62</f>
        <v/>
      </c>
      <c r="LK62" s="12">
        <f>ROUND(LH62*EssentialMix,0)</f>
        <v/>
      </c>
      <c r="LL62" s="12">
        <f>LH62-LK62</f>
        <v/>
      </c>
      <c r="LM62" s="12">
        <f>LI62+LI61+LI60+MAX(0,LM61-LI61-LI60)*(1-LB62)</f>
        <v/>
      </c>
      <c r="LN62" s="12">
        <f>LJ62+LJ61+LJ60+MAX(0,LN61-LJ61-LJ60)*(1-LB62)</f>
        <v/>
      </c>
      <c r="LO62" s="12">
        <f>LO61+LK62-LK50*(AnnualChurn*VLOOKUP(KX62,ChurnSeasonTable,4,FALSE))*POWER(1-(AnnualChurn*VLOOKUP(KX62,ChurnSeasonTable,4,FALSE)),0)+LK38*(AnnualChurn*VLOOKUP(KX62,ChurnSeasonTable,4,FALSE))*POWER(1-(AnnualChurn*VLOOKUP(KX62,ChurnSeasonTable,4,FALSE)),1)+LK26*(AnnualChurn*VLOOKUP(KX62,ChurnSeasonTable,4,FALSE))*POWER(1-(AnnualChurn*VLOOKUP(KX62,ChurnSeasonTable,4,FALSE)),2)+LK14*(AnnualChurn*VLOOKUP(KX62,ChurnSeasonTable,4,FALSE))*POWER(1-(AnnualChurn*VLOOKUP(KX62,ChurnSeasonTable,4,FALSE)),3)</f>
        <v/>
      </c>
      <c r="LP62" s="12">
        <f>LP61+LL62-LL50*(AnnualChurn*VLOOKUP(KX62,ChurnSeasonTable,4,FALSE))*POWER(1-(AnnualChurn*VLOOKUP(KX62,ChurnSeasonTable,4,FALSE)),0)+LL38*(AnnualChurn*VLOOKUP(KX62,ChurnSeasonTable,4,FALSE))*POWER(1-(AnnualChurn*VLOOKUP(KX62,ChurnSeasonTable,4,FALSE)),1)+LL26*(AnnualChurn*VLOOKUP(KX62,ChurnSeasonTable,4,FALSE))*POWER(1-(AnnualChurn*VLOOKUP(KX62,ChurnSeasonTable,4,FALSE)),2)+LL14*(AnnualChurn*VLOOKUP(KX62,ChurnSeasonTable,4,FALSE))*POWER(1-(AnnualChurn*VLOOKUP(KX62,ChurnSeasonTable,4,FALSE)),3)</f>
        <v/>
      </c>
      <c r="LQ62" s="12">
        <f>LM62+LN62+LO62+LP62</f>
        <v/>
      </c>
      <c r="LR62" s="9">
        <f>LM62*PriceEssMonthly*LA62+LN62*PricePremMonthly*LA62+LO62*PriceEssAnnual*LA62/12+LP62*PricePremAnnual*LA62/12</f>
        <v/>
      </c>
      <c r="LS62" s="9">
        <f>LR62*12</f>
        <v/>
      </c>
      <c r="LT62" s="12">
        <f>LM62*PriceEssMonthly*LA62+LN62*PricePremMonthly*LA62</f>
        <v/>
      </c>
      <c r="LU62" s="12">
        <f>LK62*PriceEssAnnual*LA62+LL62*PricePremAnnual*LA62</f>
        <v/>
      </c>
      <c r="LV62" s="12">
        <f>LK50*POWER(1-(AnnualChurn*VLOOKUP(KX62,ChurnSeasonTable,4,FALSE)),1)*PriceEssAnnual*LA62+LK38*POWER(1-(AnnualChurn*VLOOKUP(KX62,ChurnSeasonTable,4,FALSE)),2)*PriceEssAnnual*LA62+LK26*POWER(1-(AnnualChurn*VLOOKUP(KX62,ChurnSeasonTable,4,FALSE)),3)*PriceEssAnnual*LA62+LK14*POWER(1-(AnnualChurn*VLOOKUP(KX62,ChurnSeasonTable,4,FALSE)),4)*PriceEssAnnual*LA62+LL50*POWER(1-(AnnualChurn*VLOOKUP(KX62,ChurnSeasonTable,4,FALSE)),1)*PricePremAnnual*LA62+LL38*POWER(1-(AnnualChurn*VLOOKUP(KX62,ChurnSeasonTable,4,FALSE)),2)*PricePremAnnual*LA62+LL26*POWER(1-(AnnualChurn*VLOOKUP(KX62,ChurnSeasonTable,4,FALSE)),3)*PricePremAnnual*LA62+LL14*POWER(1-(AnnualChurn*VLOOKUP(KX62,ChurnSeasonTable,4,FALSE)),4)*PricePremAnnual*LA62</f>
        <v/>
      </c>
      <c r="LW62" s="9">
        <f>LT62+LU62+LV62</f>
        <v/>
      </c>
      <c r="LX62" s="12">
        <f>SUM(LW51:LW62)</f>
        <v/>
      </c>
      <c r="LY62" s="12">
        <f>OR(LY61,LX62&gt;=VATThreshold)</f>
        <v/>
      </c>
      <c r="LZ62" s="9">
        <f>IF(LY62,LW62/(1+VATRate),LW62)</f>
        <v/>
      </c>
      <c r="MA62" s="12">
        <f>LW62-LZ62</f>
        <v/>
      </c>
      <c r="MB62" s="12">
        <f>IF(LY62=0,0,IF(KX62=1,SUMPRODUCT(--(($KY$5:$KY62=$KY62-1)*($KX$5:$KX62&gt;=10)*($KX$5:$KX62&lt;=12)),$MA$5:$MA62),IF(KX62=4,SUMPRODUCT(--(($KY$5:$KY62=$KY62)*($KX$5:$KX62&gt;=1)*($KX$5:$KX62&lt;=3)),$MA$5:$MA62),IF(KX62=7,SUMPRODUCT(--(($KY$5:$KY62=$KY62)*($KX$5:$KX62&gt;=4)*($KX$5:$KX62&lt;=6)),$MA$5:$MA62),IF(KX62=10,SUMPRODUCT(--(($KY$5:$KY62=$KY62)*($KX$5:$KX62&gt;=7)*($KX$5:$KX62&lt;=9)),$MA$5:$MA62),0)))))</f>
        <v/>
      </c>
      <c r="MC62" s="12">
        <f>MC61+MA62-MB62</f>
        <v/>
      </c>
      <c r="MD62" s="12">
        <f>IF(ProviderDelay&gt;=1,LZ61*ProviderShare,LZ62*ProviderShare)</f>
        <v/>
      </c>
      <c r="ME62" s="12">
        <f>LW62*PaymentFee</f>
        <v/>
      </c>
      <c r="MF62" s="12">
        <f>LQ62*OpsAI</f>
        <v/>
      </c>
      <c r="MG62" s="12">
        <f>MonthlyFixed</f>
        <v/>
      </c>
      <c r="MH62" s="12">
        <f>LE62*ReferralReward</f>
        <v/>
      </c>
      <c r="MI62" s="12">
        <f>LC62</f>
        <v/>
      </c>
      <c r="MJ62" s="9">
        <f>LZ62-MD62-ME62-MF62-MG62-MH62-MI62</f>
        <v/>
      </c>
      <c r="MK62" s="9">
        <f>MK61+LW62-(MD62+ME62+MF62+MG62+MH62+MI62+MB62)</f>
        <v/>
      </c>
      <c r="ML62" s="12">
        <f>IF(LQ62&gt;0,LR62/LQ62,0)</f>
        <v/>
      </c>
      <c r="MM62" s="11">
        <f>IF(LQ61&gt;0,MAX(0,(LQ61+LF62-LQ62)/LQ61),0)</f>
        <v/>
      </c>
      <c r="MO62" s="12" t="n">
        <v>58</v>
      </c>
      <c r="MP62" s="12">
        <f>MOD(MO62-1+LaunchMonth-1,12)+1</f>
        <v/>
      </c>
      <c r="MQ62" s="12">
        <f>INT((MO62-1+LaunchMonth-1)/12)+1</f>
        <v/>
      </c>
      <c r="MR62" s="12">
        <f>VLOOKUP(MP62,SeasonTable,2,FALSE)</f>
        <v/>
      </c>
      <c r="MS62" s="12">
        <f>(1+InflationRate)^INT((MO62-1)/12)</f>
        <v/>
      </c>
      <c r="MT62" s="11">
        <f>'Sens - Churn'!$A$18*VLOOKUP(MP62,ChurnSeasonTable,4,FALSE)</f>
        <v/>
      </c>
      <c r="MU62" s="12">
        <f>MIN(MAX(MktMin19plus,NO61*MktPct19plus),MAX(0,OC61-CashBuffer))</f>
        <v/>
      </c>
      <c r="MV62" s="12">
        <f>IF(MU62&gt;0,MAX(1,ROUND(MU62/CAC*MR62,0)),0)</f>
        <v/>
      </c>
      <c r="MW62" s="12">
        <f>IF(MV62&gt;0,ROUND(MV62*ReferralMix/(1-ReferralMix),0),0)</f>
        <v/>
      </c>
      <c r="MX62" s="12">
        <f>MV62+MW62</f>
        <v/>
      </c>
      <c r="MY62" s="12">
        <f>ROUND(MX62*(1-AnnualMix),0)</f>
        <v/>
      </c>
      <c r="MZ62" s="12">
        <f>MX62-MY62</f>
        <v/>
      </c>
      <c r="NA62" s="12">
        <f>ROUND(MY62*EssentialMix,0)</f>
        <v/>
      </c>
      <c r="NB62" s="12">
        <f>MY62-NA62</f>
        <v/>
      </c>
      <c r="NC62" s="12">
        <f>ROUND(MZ62*EssentialMix,0)</f>
        <v/>
      </c>
      <c r="ND62" s="12">
        <f>MZ62-NC62</f>
        <v/>
      </c>
      <c r="NE62" s="12">
        <f>NA62+NA61+NA60+MAX(0,NE61-NA61-NA60)*(1-MT62)</f>
        <v/>
      </c>
      <c r="NF62" s="12">
        <f>NB62+NB61+NB60+MAX(0,NF61-NB61-NB60)*(1-MT62)</f>
        <v/>
      </c>
      <c r="NG62" s="12">
        <f>NG61+NC62-NC50*(AnnualChurn*VLOOKUP(MP62,ChurnSeasonTable,4,FALSE))*POWER(1-(AnnualChurn*VLOOKUP(MP62,ChurnSeasonTable,4,FALSE)),0)+NC38*(AnnualChurn*VLOOKUP(MP62,ChurnSeasonTable,4,FALSE))*POWER(1-(AnnualChurn*VLOOKUP(MP62,ChurnSeasonTable,4,FALSE)),1)+NC26*(AnnualChurn*VLOOKUP(MP62,ChurnSeasonTable,4,FALSE))*POWER(1-(AnnualChurn*VLOOKUP(MP62,ChurnSeasonTable,4,FALSE)),2)+NC14*(AnnualChurn*VLOOKUP(MP62,ChurnSeasonTable,4,FALSE))*POWER(1-(AnnualChurn*VLOOKUP(MP62,ChurnSeasonTable,4,FALSE)),3)</f>
        <v/>
      </c>
      <c r="NH62" s="12">
        <f>NH61+ND62-ND50*(AnnualChurn*VLOOKUP(MP62,ChurnSeasonTable,4,FALSE))*POWER(1-(AnnualChurn*VLOOKUP(MP62,ChurnSeasonTable,4,FALSE)),0)+ND38*(AnnualChurn*VLOOKUP(MP62,ChurnSeasonTable,4,FALSE))*POWER(1-(AnnualChurn*VLOOKUP(MP62,ChurnSeasonTable,4,FALSE)),1)+ND26*(AnnualChurn*VLOOKUP(MP62,ChurnSeasonTable,4,FALSE))*POWER(1-(AnnualChurn*VLOOKUP(MP62,ChurnSeasonTable,4,FALSE)),2)+ND14*(AnnualChurn*VLOOKUP(MP62,ChurnSeasonTable,4,FALSE))*POWER(1-(AnnualChurn*VLOOKUP(MP62,ChurnSeasonTable,4,FALSE)),3)</f>
        <v/>
      </c>
      <c r="NI62" s="12">
        <f>NE62+NF62+NG62+NH62</f>
        <v/>
      </c>
      <c r="NJ62" s="9">
        <f>NE62*PriceEssMonthly*MS62+NF62*PricePremMonthly*MS62+NG62*PriceEssAnnual*MS62/12+NH62*PricePremAnnual*MS62/12</f>
        <v/>
      </c>
      <c r="NK62" s="9">
        <f>NJ62*12</f>
        <v/>
      </c>
      <c r="NL62" s="12">
        <f>NE62*PriceEssMonthly*MS62+NF62*PricePremMonthly*MS62</f>
        <v/>
      </c>
      <c r="NM62" s="12">
        <f>NC62*PriceEssAnnual*MS62+ND62*PricePremAnnual*MS62</f>
        <v/>
      </c>
      <c r="NN62" s="12">
        <f>NC50*POWER(1-(AnnualChurn*VLOOKUP(MP62,ChurnSeasonTable,4,FALSE)),1)*PriceEssAnnual*MS62+NC38*POWER(1-(AnnualChurn*VLOOKUP(MP62,ChurnSeasonTable,4,FALSE)),2)*PriceEssAnnual*MS62+NC26*POWER(1-(AnnualChurn*VLOOKUP(MP62,ChurnSeasonTable,4,FALSE)),3)*PriceEssAnnual*MS62+NC14*POWER(1-(AnnualChurn*VLOOKUP(MP62,ChurnSeasonTable,4,FALSE)),4)*PriceEssAnnual*MS62+ND50*POWER(1-(AnnualChurn*VLOOKUP(MP62,ChurnSeasonTable,4,FALSE)),1)*PricePremAnnual*MS62+ND38*POWER(1-(AnnualChurn*VLOOKUP(MP62,ChurnSeasonTable,4,FALSE)),2)*PricePremAnnual*MS62+ND26*POWER(1-(AnnualChurn*VLOOKUP(MP62,ChurnSeasonTable,4,FALSE)),3)*PricePremAnnual*MS62+ND14*POWER(1-(AnnualChurn*VLOOKUP(MP62,ChurnSeasonTable,4,FALSE)),4)*PricePremAnnual*MS62</f>
        <v/>
      </c>
      <c r="NO62" s="9">
        <f>NL62+NM62+NN62</f>
        <v/>
      </c>
      <c r="NP62" s="12">
        <f>SUM(NO51:NO62)</f>
        <v/>
      </c>
      <c r="NQ62" s="12">
        <f>OR(NQ61,NP62&gt;=VATThreshold)</f>
        <v/>
      </c>
      <c r="NR62" s="9">
        <f>IF(NQ62,NO62/(1+VATRate),NO62)</f>
        <v/>
      </c>
      <c r="NS62" s="12">
        <f>NO62-NR62</f>
        <v/>
      </c>
      <c r="NT62" s="12">
        <f>IF(NQ62=0,0,IF(MP62=1,SUMPRODUCT(--(($MQ$5:$MQ62=$MQ62-1)*($MP$5:$MP62&gt;=10)*($MP$5:$MP62&lt;=12)),$NS$5:$NS62),IF(MP62=4,SUMPRODUCT(--(($MQ$5:$MQ62=$MQ62)*($MP$5:$MP62&gt;=1)*($MP$5:$MP62&lt;=3)),$NS$5:$NS62),IF(MP62=7,SUMPRODUCT(--(($MQ$5:$MQ62=$MQ62)*($MP$5:$MP62&gt;=4)*($MP$5:$MP62&lt;=6)),$NS$5:$NS62),IF(MP62=10,SUMPRODUCT(--(($MQ$5:$MQ62=$MQ62)*($MP$5:$MP62&gt;=7)*($MP$5:$MP62&lt;=9)),$NS$5:$NS62),0)))))</f>
        <v/>
      </c>
      <c r="NU62" s="12">
        <f>NU61+NS62-NT62</f>
        <v/>
      </c>
      <c r="NV62" s="12">
        <f>IF(ProviderDelay&gt;=1,NR61*ProviderShare,NR62*ProviderShare)</f>
        <v/>
      </c>
      <c r="NW62" s="12">
        <f>NO62*PaymentFee</f>
        <v/>
      </c>
      <c r="NX62" s="12">
        <f>NI62*OpsAI</f>
        <v/>
      </c>
      <c r="NY62" s="12">
        <f>MonthlyFixed</f>
        <v/>
      </c>
      <c r="NZ62" s="12">
        <f>MW62*ReferralReward</f>
        <v/>
      </c>
      <c r="OA62" s="12">
        <f>MU62</f>
        <v/>
      </c>
      <c r="OB62" s="9">
        <f>NR62-NV62-NW62-NX62-NY62-NZ62-OA62</f>
        <v/>
      </c>
      <c r="OC62" s="9">
        <f>OC61+NO62-(NV62+NW62+NX62+NY62+NZ62+OA62+NT62)</f>
        <v/>
      </c>
      <c r="OD62" s="12">
        <f>IF(NI62&gt;0,NJ62/NI62,0)</f>
        <v/>
      </c>
      <c r="OE62" s="11">
        <f>IF(NI61&gt;0,MAX(0,(NI61+MX62-NI62)/NI61),0)</f>
        <v/>
      </c>
      <c r="OG62" s="12" t="n">
        <v>58</v>
      </c>
      <c r="OH62" s="12">
        <f>MOD(OG62-1+LaunchMonth-1,12)+1</f>
        <v/>
      </c>
      <c r="OI62" s="12">
        <f>INT((OG62-1+LaunchMonth-1)/12)+1</f>
        <v/>
      </c>
      <c r="OJ62" s="12">
        <f>VLOOKUP(OH62,SeasonTable,2,FALSE)</f>
        <v/>
      </c>
      <c r="OK62" s="12">
        <f>(1+InflationRate)^INT((OG62-1)/12)</f>
        <v/>
      </c>
      <c r="OL62" s="11">
        <f>'Sens - Churn'!$A$19*VLOOKUP(OH62,ChurnSeasonTable,4,FALSE)</f>
        <v/>
      </c>
      <c r="OM62" s="12">
        <f>MIN(MAX(MktMin19plus,PG61*MktPct19plus),MAX(0,PU61-CashBuffer))</f>
        <v/>
      </c>
      <c r="ON62" s="12">
        <f>IF(OM62&gt;0,MAX(1,ROUND(OM62/CAC*OJ62,0)),0)</f>
        <v/>
      </c>
      <c r="OO62" s="12">
        <f>IF(ON62&gt;0,ROUND(ON62*ReferralMix/(1-ReferralMix),0),0)</f>
        <v/>
      </c>
      <c r="OP62" s="12">
        <f>ON62+OO62</f>
        <v/>
      </c>
      <c r="OQ62" s="12">
        <f>ROUND(OP62*(1-AnnualMix),0)</f>
        <v/>
      </c>
      <c r="OR62" s="12">
        <f>OP62-OQ62</f>
        <v/>
      </c>
      <c r="OS62" s="12">
        <f>ROUND(OQ62*EssentialMix,0)</f>
        <v/>
      </c>
      <c r="OT62" s="12">
        <f>OQ62-OS62</f>
        <v/>
      </c>
      <c r="OU62" s="12">
        <f>ROUND(OR62*EssentialMix,0)</f>
        <v/>
      </c>
      <c r="OV62" s="12">
        <f>OR62-OU62</f>
        <v/>
      </c>
      <c r="OW62" s="12">
        <f>OS62+OS61+OS60+MAX(0,OW61-OS61-OS60)*(1-OL62)</f>
        <v/>
      </c>
      <c r="OX62" s="12">
        <f>OT62+OT61+OT60+MAX(0,OX61-OT61-OT60)*(1-OL62)</f>
        <v/>
      </c>
      <c r="OY62" s="12">
        <f>OY61+OU62-OU50*(AnnualChurn*VLOOKUP(OH62,ChurnSeasonTable,4,FALSE))*POWER(1-(AnnualChurn*VLOOKUP(OH62,ChurnSeasonTable,4,FALSE)),0)+OU38*(AnnualChurn*VLOOKUP(OH62,ChurnSeasonTable,4,FALSE))*POWER(1-(AnnualChurn*VLOOKUP(OH62,ChurnSeasonTable,4,FALSE)),1)+OU26*(AnnualChurn*VLOOKUP(OH62,ChurnSeasonTable,4,FALSE))*POWER(1-(AnnualChurn*VLOOKUP(OH62,ChurnSeasonTable,4,FALSE)),2)+OU14*(AnnualChurn*VLOOKUP(OH62,ChurnSeasonTable,4,FALSE))*POWER(1-(AnnualChurn*VLOOKUP(OH62,ChurnSeasonTable,4,FALSE)),3)</f>
        <v/>
      </c>
      <c r="OZ62" s="12">
        <f>OZ61+OV62-OV50*(AnnualChurn*VLOOKUP(OH62,ChurnSeasonTable,4,FALSE))*POWER(1-(AnnualChurn*VLOOKUP(OH62,ChurnSeasonTable,4,FALSE)),0)+OV38*(AnnualChurn*VLOOKUP(OH62,ChurnSeasonTable,4,FALSE))*POWER(1-(AnnualChurn*VLOOKUP(OH62,ChurnSeasonTable,4,FALSE)),1)+OV26*(AnnualChurn*VLOOKUP(OH62,ChurnSeasonTable,4,FALSE))*POWER(1-(AnnualChurn*VLOOKUP(OH62,ChurnSeasonTable,4,FALSE)),2)+OV14*(AnnualChurn*VLOOKUP(OH62,ChurnSeasonTable,4,FALSE))*POWER(1-(AnnualChurn*VLOOKUP(OH62,ChurnSeasonTable,4,FALSE)),3)</f>
        <v/>
      </c>
      <c r="PA62" s="12">
        <f>OW62+OX62+OY62+OZ62</f>
        <v/>
      </c>
      <c r="PB62" s="9">
        <f>OW62*PriceEssMonthly*OK62+OX62*PricePremMonthly*OK62+OY62*PriceEssAnnual*OK62/12+OZ62*PricePremAnnual*OK62/12</f>
        <v/>
      </c>
      <c r="PC62" s="9">
        <f>PB62*12</f>
        <v/>
      </c>
      <c r="PD62" s="12">
        <f>OW62*PriceEssMonthly*OK62+OX62*PricePremMonthly*OK62</f>
        <v/>
      </c>
      <c r="PE62" s="12">
        <f>OU62*PriceEssAnnual*OK62+OV62*PricePremAnnual*OK62</f>
        <v/>
      </c>
      <c r="PF62" s="12">
        <f>OU50*POWER(1-(AnnualChurn*VLOOKUP(OH62,ChurnSeasonTable,4,FALSE)),1)*PriceEssAnnual*OK62+OU38*POWER(1-(AnnualChurn*VLOOKUP(OH62,ChurnSeasonTable,4,FALSE)),2)*PriceEssAnnual*OK62+OU26*POWER(1-(AnnualChurn*VLOOKUP(OH62,ChurnSeasonTable,4,FALSE)),3)*PriceEssAnnual*OK62+OU14*POWER(1-(AnnualChurn*VLOOKUP(OH62,ChurnSeasonTable,4,FALSE)),4)*PriceEssAnnual*OK62+OV50*POWER(1-(AnnualChurn*VLOOKUP(OH62,ChurnSeasonTable,4,FALSE)),1)*PricePremAnnual*OK62+OV38*POWER(1-(AnnualChurn*VLOOKUP(OH62,ChurnSeasonTable,4,FALSE)),2)*PricePremAnnual*OK62+OV26*POWER(1-(AnnualChurn*VLOOKUP(OH62,ChurnSeasonTable,4,FALSE)),3)*PricePremAnnual*OK62+OV14*POWER(1-(AnnualChurn*VLOOKUP(OH62,ChurnSeasonTable,4,FALSE)),4)*PricePremAnnual*OK62</f>
        <v/>
      </c>
      <c r="PG62" s="9">
        <f>PD62+PE62+PF62</f>
        <v/>
      </c>
      <c r="PH62" s="12">
        <f>SUM(PG51:PG62)</f>
        <v/>
      </c>
      <c r="PI62" s="12">
        <f>OR(PI61,PH62&gt;=VATThreshold)</f>
        <v/>
      </c>
      <c r="PJ62" s="9">
        <f>IF(PI62,PG62/(1+VATRate),PG62)</f>
        <v/>
      </c>
      <c r="PK62" s="12">
        <f>PG62-PJ62</f>
        <v/>
      </c>
      <c r="PL62" s="12">
        <f>IF(PI62=0,0,IF(OH62=1,SUMPRODUCT(--(($OI$5:$OI62=$OI62-1)*($OH$5:$OH62&gt;=10)*($OH$5:$OH62&lt;=12)),$PK$5:$PK62),IF(OH62=4,SUMPRODUCT(--(($OI$5:$OI62=$OI62)*($OH$5:$OH62&gt;=1)*($OH$5:$OH62&lt;=3)),$PK$5:$PK62),IF(OH62=7,SUMPRODUCT(--(($OI$5:$OI62=$OI62)*($OH$5:$OH62&gt;=4)*($OH$5:$OH62&lt;=6)),$PK$5:$PK62),IF(OH62=10,SUMPRODUCT(--(($OI$5:$OI62=$OI62)*($OH$5:$OH62&gt;=7)*($OH$5:$OH62&lt;=9)),$PK$5:$PK62),0)))))</f>
        <v/>
      </c>
      <c r="PM62" s="12">
        <f>PM61+PK62-PL62</f>
        <v/>
      </c>
      <c r="PN62" s="12">
        <f>IF(ProviderDelay&gt;=1,PJ61*ProviderShare,PJ62*ProviderShare)</f>
        <v/>
      </c>
      <c r="PO62" s="12">
        <f>PG62*PaymentFee</f>
        <v/>
      </c>
      <c r="PP62" s="12">
        <f>PA62*OpsAI</f>
        <v/>
      </c>
      <c r="PQ62" s="12">
        <f>MonthlyFixed</f>
        <v/>
      </c>
      <c r="PR62" s="12">
        <f>OO62*ReferralReward</f>
        <v/>
      </c>
      <c r="PS62" s="12">
        <f>OM62</f>
        <v/>
      </c>
      <c r="PT62" s="9">
        <f>PJ62-PN62-PO62-PP62-PQ62-PR62-PS62</f>
        <v/>
      </c>
      <c r="PU62" s="9">
        <f>PU61+PG62-(PN62+PO62+PP62+PQ62+PR62+PS62+PL62)</f>
        <v/>
      </c>
      <c r="PV62" s="12">
        <f>IF(PA62&gt;0,PB62/PA62,0)</f>
        <v/>
      </c>
      <c r="PW62" s="11">
        <f>IF(PA61&gt;0,MAX(0,(PA61+OP62-PA62)/PA61),0)</f>
        <v/>
      </c>
      <c r="PY62" s="12" t="n">
        <v>58</v>
      </c>
      <c r="PZ62" s="12">
        <f>MOD(PY62-1+LaunchMonth-1,12)+1</f>
        <v/>
      </c>
      <c r="QA62" s="12">
        <f>INT((PY62-1+LaunchMonth-1)/12)+1</f>
        <v/>
      </c>
      <c r="QB62" s="12">
        <f>VLOOKUP(PZ62,SeasonTable,2,FALSE)</f>
        <v/>
      </c>
      <c r="QC62" s="12">
        <f>(1+InflationRate)^INT((PY62-1)/12)</f>
        <v/>
      </c>
      <c r="QD62" s="11">
        <f>'Sens - Churn'!$A$20*VLOOKUP(PZ62,ChurnSeasonTable,4,FALSE)</f>
        <v/>
      </c>
      <c r="QE62" s="12">
        <f>MIN(MAX(MktMin19plus,QY61*MktPct19plus),MAX(0,RM61-CashBuffer))</f>
        <v/>
      </c>
      <c r="QF62" s="12">
        <f>IF(QE62&gt;0,MAX(1,ROUND(QE62/CAC*QB62,0)),0)</f>
        <v/>
      </c>
      <c r="QG62" s="12">
        <f>IF(QF62&gt;0,ROUND(QF62*ReferralMix/(1-ReferralMix),0),0)</f>
        <v/>
      </c>
      <c r="QH62" s="12">
        <f>QF62+QG62</f>
        <v/>
      </c>
      <c r="QI62" s="12">
        <f>ROUND(QH62*(1-AnnualMix),0)</f>
        <v/>
      </c>
      <c r="QJ62" s="12">
        <f>QH62-QI62</f>
        <v/>
      </c>
      <c r="QK62" s="12">
        <f>ROUND(QI62*EssentialMix,0)</f>
        <v/>
      </c>
      <c r="QL62" s="12">
        <f>QI62-QK62</f>
        <v/>
      </c>
      <c r="QM62" s="12">
        <f>ROUND(QJ62*EssentialMix,0)</f>
        <v/>
      </c>
      <c r="QN62" s="12">
        <f>QJ62-QM62</f>
        <v/>
      </c>
      <c r="QO62" s="12">
        <f>QK62+QK61+QK60+MAX(0,QO61-QK61-QK60)*(1-QD62)</f>
        <v/>
      </c>
      <c r="QP62" s="12">
        <f>QL62+QL61+QL60+MAX(0,QP61-QL61-QL60)*(1-QD62)</f>
        <v/>
      </c>
      <c r="QQ62" s="12">
        <f>QQ61+QM62-QM50*(AnnualChurn*VLOOKUP(PZ62,ChurnSeasonTable,4,FALSE))*POWER(1-(AnnualChurn*VLOOKUP(PZ62,ChurnSeasonTable,4,FALSE)),0)+QM38*(AnnualChurn*VLOOKUP(PZ62,ChurnSeasonTable,4,FALSE))*POWER(1-(AnnualChurn*VLOOKUP(PZ62,ChurnSeasonTable,4,FALSE)),1)+QM26*(AnnualChurn*VLOOKUP(PZ62,ChurnSeasonTable,4,FALSE))*POWER(1-(AnnualChurn*VLOOKUP(PZ62,ChurnSeasonTable,4,FALSE)),2)+QM14*(AnnualChurn*VLOOKUP(PZ62,ChurnSeasonTable,4,FALSE))*POWER(1-(AnnualChurn*VLOOKUP(PZ62,ChurnSeasonTable,4,FALSE)),3)</f>
        <v/>
      </c>
      <c r="QR62" s="12">
        <f>QR61+QN62-QN50*(AnnualChurn*VLOOKUP(PZ62,ChurnSeasonTable,4,FALSE))*POWER(1-(AnnualChurn*VLOOKUP(PZ62,ChurnSeasonTable,4,FALSE)),0)+QN38*(AnnualChurn*VLOOKUP(PZ62,ChurnSeasonTable,4,FALSE))*POWER(1-(AnnualChurn*VLOOKUP(PZ62,ChurnSeasonTable,4,FALSE)),1)+QN26*(AnnualChurn*VLOOKUP(PZ62,ChurnSeasonTable,4,FALSE))*POWER(1-(AnnualChurn*VLOOKUP(PZ62,ChurnSeasonTable,4,FALSE)),2)+QN14*(AnnualChurn*VLOOKUP(PZ62,ChurnSeasonTable,4,FALSE))*POWER(1-(AnnualChurn*VLOOKUP(PZ62,ChurnSeasonTable,4,FALSE)),3)</f>
        <v/>
      </c>
      <c r="QS62" s="12">
        <f>QO62+QP62+QQ62+QR62</f>
        <v/>
      </c>
      <c r="QT62" s="9">
        <f>QO62*PriceEssMonthly*QC62+QP62*PricePremMonthly*QC62+QQ62*PriceEssAnnual*QC62/12+QR62*PricePremAnnual*QC62/12</f>
        <v/>
      </c>
      <c r="QU62" s="9">
        <f>QT62*12</f>
        <v/>
      </c>
      <c r="QV62" s="12">
        <f>QO62*PriceEssMonthly*QC62+QP62*PricePremMonthly*QC62</f>
        <v/>
      </c>
      <c r="QW62" s="12">
        <f>QM62*PriceEssAnnual*QC62+QN62*PricePremAnnual*QC62</f>
        <v/>
      </c>
      <c r="QX62" s="12">
        <f>QM50*POWER(1-(AnnualChurn*VLOOKUP(PZ62,ChurnSeasonTable,4,FALSE)),1)*PriceEssAnnual*QC62+QM38*POWER(1-(AnnualChurn*VLOOKUP(PZ62,ChurnSeasonTable,4,FALSE)),2)*PriceEssAnnual*QC62+QM26*POWER(1-(AnnualChurn*VLOOKUP(PZ62,ChurnSeasonTable,4,FALSE)),3)*PriceEssAnnual*QC62+QM14*POWER(1-(AnnualChurn*VLOOKUP(PZ62,ChurnSeasonTable,4,FALSE)),4)*PriceEssAnnual*QC62+QN50*POWER(1-(AnnualChurn*VLOOKUP(PZ62,ChurnSeasonTable,4,FALSE)),1)*PricePremAnnual*QC62+QN38*POWER(1-(AnnualChurn*VLOOKUP(PZ62,ChurnSeasonTable,4,FALSE)),2)*PricePremAnnual*QC62+QN26*POWER(1-(AnnualChurn*VLOOKUP(PZ62,ChurnSeasonTable,4,FALSE)),3)*PricePremAnnual*QC62+QN14*POWER(1-(AnnualChurn*VLOOKUP(PZ62,ChurnSeasonTable,4,FALSE)),4)*PricePremAnnual*QC62</f>
        <v/>
      </c>
      <c r="QY62" s="9">
        <f>QV62+QW62+QX62</f>
        <v/>
      </c>
      <c r="QZ62" s="12">
        <f>SUM(QY51:QY62)</f>
        <v/>
      </c>
      <c r="RA62" s="12">
        <f>OR(RA61,QZ62&gt;=VATThreshold)</f>
        <v/>
      </c>
      <c r="RB62" s="9">
        <f>IF(RA62,QY62/(1+VATRate),QY62)</f>
        <v/>
      </c>
      <c r="RC62" s="12">
        <f>QY62-RB62</f>
        <v/>
      </c>
      <c r="RD62" s="12">
        <f>IF(RA62=0,0,IF(PZ62=1,SUMPRODUCT(--(($QA$5:$QA62=$QA62-1)*($PZ$5:$PZ62&gt;=10)*($PZ$5:$PZ62&lt;=12)),$RC$5:$RC62),IF(PZ62=4,SUMPRODUCT(--(($QA$5:$QA62=$QA62)*($PZ$5:$PZ62&gt;=1)*($PZ$5:$PZ62&lt;=3)),$RC$5:$RC62),IF(PZ62=7,SUMPRODUCT(--(($QA$5:$QA62=$QA62)*($PZ$5:$PZ62&gt;=4)*($PZ$5:$PZ62&lt;=6)),$RC$5:$RC62),IF(PZ62=10,SUMPRODUCT(--(($QA$5:$QA62=$QA62)*($PZ$5:$PZ62&gt;=7)*($PZ$5:$PZ62&lt;=9)),$RC$5:$RC62),0)))))</f>
        <v/>
      </c>
      <c r="RE62" s="12">
        <f>RE61+RC62-RD62</f>
        <v/>
      </c>
      <c r="RF62" s="12">
        <f>IF(ProviderDelay&gt;=1,RB61*ProviderShare,RB62*ProviderShare)</f>
        <v/>
      </c>
      <c r="RG62" s="12">
        <f>QY62*PaymentFee</f>
        <v/>
      </c>
      <c r="RH62" s="12">
        <f>QS62*OpsAI</f>
        <v/>
      </c>
      <c r="RI62" s="12">
        <f>MonthlyFixed</f>
        <v/>
      </c>
      <c r="RJ62" s="12">
        <f>QG62*ReferralReward</f>
        <v/>
      </c>
      <c r="RK62" s="12">
        <f>QE62</f>
        <v/>
      </c>
      <c r="RL62" s="9">
        <f>RB62-RF62-RG62-RH62-RI62-RJ62-RK62</f>
        <v/>
      </c>
      <c r="RM62" s="9">
        <f>RM61+QY62-(RF62+RG62+RH62+RI62+RJ62+RK62+RD62)</f>
        <v/>
      </c>
      <c r="RN62" s="12">
        <f>IF(QS62&gt;0,QT62/QS62,0)</f>
        <v/>
      </c>
      <c r="RO62" s="11">
        <f>IF(QS61&gt;0,MAX(0,(QS61+QH62-QS62)/QS61),0)</f>
        <v/>
      </c>
      <c r="RQ62" s="12" t="n">
        <v>58</v>
      </c>
      <c r="RR62" s="12">
        <f>MOD(RQ62-1+LaunchMonth-1,12)+1</f>
        <v/>
      </c>
      <c r="RS62" s="12">
        <f>INT((RQ62-1+LaunchMonth-1)/12)+1</f>
        <v/>
      </c>
      <c r="RT62" s="12">
        <f>VLOOKUP(RR62,SeasonTable,2,FALSE)</f>
        <v/>
      </c>
      <c r="RU62" s="12">
        <f>(1+InflationRate)^INT((RQ62-1)/12)</f>
        <v/>
      </c>
      <c r="RV62" s="11">
        <f>'Sens - Churn'!$A$21*VLOOKUP(RR62,ChurnSeasonTable,4,FALSE)</f>
        <v/>
      </c>
      <c r="RW62" s="12">
        <f>MIN(MAX(MktMin19plus,SQ61*MktPct19plus),MAX(0,TE61-CashBuffer))</f>
        <v/>
      </c>
      <c r="RX62" s="12">
        <f>IF(RW62&gt;0,MAX(1,ROUND(RW62/CAC*RT62,0)),0)</f>
        <v/>
      </c>
      <c r="RY62" s="12">
        <f>IF(RX62&gt;0,ROUND(RX62*ReferralMix/(1-ReferralMix),0),0)</f>
        <v/>
      </c>
      <c r="RZ62" s="12">
        <f>RX62+RY62</f>
        <v/>
      </c>
      <c r="SA62" s="12">
        <f>ROUND(RZ62*(1-AnnualMix),0)</f>
        <v/>
      </c>
      <c r="SB62" s="12">
        <f>RZ62-SA62</f>
        <v/>
      </c>
      <c r="SC62" s="12">
        <f>ROUND(SA62*EssentialMix,0)</f>
        <v/>
      </c>
      <c r="SD62" s="12">
        <f>SA62-SC62</f>
        <v/>
      </c>
      <c r="SE62" s="12">
        <f>ROUND(SB62*EssentialMix,0)</f>
        <v/>
      </c>
      <c r="SF62" s="12">
        <f>SB62-SE62</f>
        <v/>
      </c>
      <c r="SG62" s="12">
        <f>SC62+SC61+SC60+MAX(0,SG61-SC61-SC60)*(1-RV62)</f>
        <v/>
      </c>
      <c r="SH62" s="12">
        <f>SD62+SD61+SD60+MAX(0,SH61-SD61-SD60)*(1-RV62)</f>
        <v/>
      </c>
      <c r="SI62" s="12">
        <f>SI61+SE62-SE50*(AnnualChurn*VLOOKUP(RR62,ChurnSeasonTable,4,FALSE))*POWER(1-(AnnualChurn*VLOOKUP(RR62,ChurnSeasonTable,4,FALSE)),0)+SE38*(AnnualChurn*VLOOKUP(RR62,ChurnSeasonTable,4,FALSE))*POWER(1-(AnnualChurn*VLOOKUP(RR62,ChurnSeasonTable,4,FALSE)),1)+SE26*(AnnualChurn*VLOOKUP(RR62,ChurnSeasonTable,4,FALSE))*POWER(1-(AnnualChurn*VLOOKUP(RR62,ChurnSeasonTable,4,FALSE)),2)+SE14*(AnnualChurn*VLOOKUP(RR62,ChurnSeasonTable,4,FALSE))*POWER(1-(AnnualChurn*VLOOKUP(RR62,ChurnSeasonTable,4,FALSE)),3)</f>
        <v/>
      </c>
      <c r="SJ62" s="12">
        <f>SJ61+SF62-SF50*(AnnualChurn*VLOOKUP(RR62,ChurnSeasonTable,4,FALSE))*POWER(1-(AnnualChurn*VLOOKUP(RR62,ChurnSeasonTable,4,FALSE)),0)+SF38*(AnnualChurn*VLOOKUP(RR62,ChurnSeasonTable,4,FALSE))*POWER(1-(AnnualChurn*VLOOKUP(RR62,ChurnSeasonTable,4,FALSE)),1)+SF26*(AnnualChurn*VLOOKUP(RR62,ChurnSeasonTable,4,FALSE))*POWER(1-(AnnualChurn*VLOOKUP(RR62,ChurnSeasonTable,4,FALSE)),2)+SF14*(AnnualChurn*VLOOKUP(RR62,ChurnSeasonTable,4,FALSE))*POWER(1-(AnnualChurn*VLOOKUP(RR62,ChurnSeasonTable,4,FALSE)),3)</f>
        <v/>
      </c>
      <c r="SK62" s="12">
        <f>SG62+SH62+SI62+SJ62</f>
        <v/>
      </c>
      <c r="SL62" s="9">
        <f>SG62*PriceEssMonthly*RU62+SH62*PricePremMonthly*RU62+SI62*PriceEssAnnual*RU62/12+SJ62*PricePremAnnual*RU62/12</f>
        <v/>
      </c>
      <c r="SM62" s="9">
        <f>SL62*12</f>
        <v/>
      </c>
      <c r="SN62" s="12">
        <f>SG62*PriceEssMonthly*RU62+SH62*PricePremMonthly*RU62</f>
        <v/>
      </c>
      <c r="SO62" s="12">
        <f>SE62*PriceEssAnnual*RU62+SF62*PricePremAnnual*RU62</f>
        <v/>
      </c>
      <c r="SP62" s="12">
        <f>SE50*POWER(1-(AnnualChurn*VLOOKUP(RR62,ChurnSeasonTable,4,FALSE)),1)*PriceEssAnnual*RU62+SE38*POWER(1-(AnnualChurn*VLOOKUP(RR62,ChurnSeasonTable,4,FALSE)),2)*PriceEssAnnual*RU62+SE26*POWER(1-(AnnualChurn*VLOOKUP(RR62,ChurnSeasonTable,4,FALSE)),3)*PriceEssAnnual*RU62+SE14*POWER(1-(AnnualChurn*VLOOKUP(RR62,ChurnSeasonTable,4,FALSE)),4)*PriceEssAnnual*RU62+SF50*POWER(1-(AnnualChurn*VLOOKUP(RR62,ChurnSeasonTable,4,FALSE)),1)*PricePremAnnual*RU62+SF38*POWER(1-(AnnualChurn*VLOOKUP(RR62,ChurnSeasonTable,4,FALSE)),2)*PricePremAnnual*RU62+SF26*POWER(1-(AnnualChurn*VLOOKUP(RR62,ChurnSeasonTable,4,FALSE)),3)*PricePremAnnual*RU62+SF14*POWER(1-(AnnualChurn*VLOOKUP(RR62,ChurnSeasonTable,4,FALSE)),4)*PricePremAnnual*RU62</f>
        <v/>
      </c>
      <c r="SQ62" s="9">
        <f>SN62+SO62+SP62</f>
        <v/>
      </c>
      <c r="SR62" s="12">
        <f>SUM(SQ51:SQ62)</f>
        <v/>
      </c>
      <c r="SS62" s="12">
        <f>OR(SS61,SR62&gt;=VATThreshold)</f>
        <v/>
      </c>
      <c r="ST62" s="9">
        <f>IF(SS62,SQ62/(1+VATRate),SQ62)</f>
        <v/>
      </c>
      <c r="SU62" s="12">
        <f>SQ62-ST62</f>
        <v/>
      </c>
      <c r="SV62" s="12">
        <f>IF(SS62=0,0,IF(RR62=1,SUMPRODUCT(--(($RS$5:$RS62=$RS62-1)*($RR$5:$RR62&gt;=10)*($RR$5:$RR62&lt;=12)),$SU$5:$SU62),IF(RR62=4,SUMPRODUCT(--(($RS$5:$RS62=$RS62)*($RR$5:$RR62&gt;=1)*($RR$5:$RR62&lt;=3)),$SU$5:$SU62),IF(RR62=7,SUMPRODUCT(--(($RS$5:$RS62=$RS62)*($RR$5:$RR62&gt;=4)*($RR$5:$RR62&lt;=6)),$SU$5:$SU62),IF(RR62=10,SUMPRODUCT(--(($RS$5:$RS62=$RS62)*($RR$5:$RR62&gt;=7)*($RR$5:$RR62&lt;=9)),$SU$5:$SU62),0)))))</f>
        <v/>
      </c>
      <c r="SW62" s="12">
        <f>SW61+SU62-SV62</f>
        <v/>
      </c>
      <c r="SX62" s="12">
        <f>IF(ProviderDelay&gt;=1,ST61*ProviderShare,ST62*ProviderShare)</f>
        <v/>
      </c>
      <c r="SY62" s="12">
        <f>SQ62*PaymentFee</f>
        <v/>
      </c>
      <c r="SZ62" s="12">
        <f>SK62*OpsAI</f>
        <v/>
      </c>
      <c r="TA62" s="12">
        <f>MonthlyFixed</f>
        <v/>
      </c>
      <c r="TB62" s="12">
        <f>RY62*ReferralReward</f>
        <v/>
      </c>
      <c r="TC62" s="12">
        <f>RW62</f>
        <v/>
      </c>
      <c r="TD62" s="9">
        <f>ST62-SX62-SY62-SZ62-TA62-TB62-TC62</f>
        <v/>
      </c>
      <c r="TE62" s="9">
        <f>TE61+SQ62-(SX62+SY62+SZ62+TA62+TB62+TC62+SV62)</f>
        <v/>
      </c>
      <c r="TF62" s="12">
        <f>IF(SK62&gt;0,SL62/SK62,0)</f>
        <v/>
      </c>
      <c r="TG62" s="11">
        <f>IF(SK61&gt;0,MAX(0,(SK61+RZ62-SK62)/SK61),0)</f>
        <v/>
      </c>
      <c r="TI62" s="12" t="n">
        <v>58</v>
      </c>
      <c r="TJ62" s="12">
        <f>MOD(TI62-1+LaunchMonth-1,12)+1</f>
        <v/>
      </c>
      <c r="TK62" s="12">
        <f>INT((TI62-1+LaunchMonth-1)/12)+1</f>
        <v/>
      </c>
      <c r="TL62" s="12">
        <f>VLOOKUP(TJ62,SeasonTable,2,FALSE)</f>
        <v/>
      </c>
      <c r="TM62" s="12">
        <f>(1+InflationRate)^INT((TI62-1)/12)</f>
        <v/>
      </c>
      <c r="TN62" s="11">
        <f>MonthlyChurn*VLOOKUP(TJ62,ChurnSeasonTable,4,FALSE)</f>
        <v/>
      </c>
      <c r="TO62" s="12">
        <f>MIN(MAX(MktMin19plus,UI61*MktPct19plus),MAX(0,UW61-CashBuffer))</f>
        <v/>
      </c>
      <c r="TP62" s="12">
        <f>IF(TO62&gt;0,MAX(1,ROUND(TO62/CAC*TL62,0)),0)</f>
        <v/>
      </c>
      <c r="TQ62" s="12">
        <f>IF(TP62&gt;0,ROUND(TP62*ReferralMix/(1-ReferralMix),0),0)</f>
        <v/>
      </c>
      <c r="TR62" s="12">
        <f>TP62+TQ62</f>
        <v/>
      </c>
      <c r="TS62" s="12">
        <f>ROUND(TR62*(1-'Sens - Annual Mix'!$A$9),0)</f>
        <v/>
      </c>
      <c r="TT62" s="12">
        <f>TR62-TS62</f>
        <v/>
      </c>
      <c r="TU62" s="12">
        <f>ROUND(TS62*EssentialMix,0)</f>
        <v/>
      </c>
      <c r="TV62" s="12">
        <f>TS62-TU62</f>
        <v/>
      </c>
      <c r="TW62" s="12">
        <f>ROUND(TT62*EssentialMix,0)</f>
        <v/>
      </c>
      <c r="TX62" s="12">
        <f>TT62-TW62</f>
        <v/>
      </c>
      <c r="TY62" s="12">
        <f>TU62+TU61+TU60+MAX(0,TY61-TU61-TU60)*(1-TN62)</f>
        <v/>
      </c>
      <c r="TZ62" s="12">
        <f>TV62+TV61+TV60+MAX(0,TZ61-TV61-TV60)*(1-TN62)</f>
        <v/>
      </c>
      <c r="UA62" s="12">
        <f>UA61+TW62-TW50*(AnnualChurn*VLOOKUP(TJ62,ChurnSeasonTable,4,FALSE))*POWER(1-(AnnualChurn*VLOOKUP(TJ62,ChurnSeasonTable,4,FALSE)),0)+TW38*(AnnualChurn*VLOOKUP(TJ62,ChurnSeasonTable,4,FALSE))*POWER(1-(AnnualChurn*VLOOKUP(TJ62,ChurnSeasonTable,4,FALSE)),1)+TW26*(AnnualChurn*VLOOKUP(TJ62,ChurnSeasonTable,4,FALSE))*POWER(1-(AnnualChurn*VLOOKUP(TJ62,ChurnSeasonTable,4,FALSE)),2)+TW14*(AnnualChurn*VLOOKUP(TJ62,ChurnSeasonTable,4,FALSE))*POWER(1-(AnnualChurn*VLOOKUP(TJ62,ChurnSeasonTable,4,FALSE)),3)</f>
        <v/>
      </c>
      <c r="UB62" s="12">
        <f>UB61+TX62-TX50*(AnnualChurn*VLOOKUP(TJ62,ChurnSeasonTable,4,FALSE))*POWER(1-(AnnualChurn*VLOOKUP(TJ62,ChurnSeasonTable,4,FALSE)),0)+TX38*(AnnualChurn*VLOOKUP(TJ62,ChurnSeasonTable,4,FALSE))*POWER(1-(AnnualChurn*VLOOKUP(TJ62,ChurnSeasonTable,4,FALSE)),1)+TX26*(AnnualChurn*VLOOKUP(TJ62,ChurnSeasonTable,4,FALSE))*POWER(1-(AnnualChurn*VLOOKUP(TJ62,ChurnSeasonTable,4,FALSE)),2)+TX14*(AnnualChurn*VLOOKUP(TJ62,ChurnSeasonTable,4,FALSE))*POWER(1-(AnnualChurn*VLOOKUP(TJ62,ChurnSeasonTable,4,FALSE)),3)</f>
        <v/>
      </c>
      <c r="UC62" s="12">
        <f>TY62+TZ62+UA62+UB62</f>
        <v/>
      </c>
      <c r="UD62" s="9">
        <f>TY62*PriceEssMonthly*TM62+TZ62*PricePremMonthly*TM62+UA62*PriceEssAnnual*TM62/12+UB62*PricePremAnnual*TM62/12</f>
        <v/>
      </c>
      <c r="UE62" s="9">
        <f>UD62*12</f>
        <v/>
      </c>
      <c r="UF62" s="12">
        <f>TY62*PriceEssMonthly*TM62+TZ62*PricePremMonthly*TM62</f>
        <v/>
      </c>
      <c r="UG62" s="12">
        <f>TW62*PriceEssAnnual*TM62+TX62*PricePremAnnual*TM62</f>
        <v/>
      </c>
      <c r="UH62" s="12">
        <f>TW50*POWER(1-(AnnualChurn*VLOOKUP(TJ62,ChurnSeasonTable,4,FALSE)),1)*PriceEssAnnual*TM62+TW38*POWER(1-(AnnualChurn*VLOOKUP(TJ62,ChurnSeasonTable,4,FALSE)),2)*PriceEssAnnual*TM62+TW26*POWER(1-(AnnualChurn*VLOOKUP(TJ62,ChurnSeasonTable,4,FALSE)),3)*PriceEssAnnual*TM62+TW14*POWER(1-(AnnualChurn*VLOOKUP(TJ62,ChurnSeasonTable,4,FALSE)),4)*PriceEssAnnual*TM62+TX50*POWER(1-(AnnualChurn*VLOOKUP(TJ62,ChurnSeasonTable,4,FALSE)),1)*PricePremAnnual*TM62+TX38*POWER(1-(AnnualChurn*VLOOKUP(TJ62,ChurnSeasonTable,4,FALSE)),2)*PricePremAnnual*TM62+TX26*POWER(1-(AnnualChurn*VLOOKUP(TJ62,ChurnSeasonTable,4,FALSE)),3)*PricePremAnnual*TM62+TX14*POWER(1-(AnnualChurn*VLOOKUP(TJ62,ChurnSeasonTable,4,FALSE)),4)*PricePremAnnual*TM62</f>
        <v/>
      </c>
      <c r="UI62" s="9">
        <f>UF62+UG62+UH62</f>
        <v/>
      </c>
      <c r="UJ62" s="12">
        <f>SUM(UI51:UI62)</f>
        <v/>
      </c>
      <c r="UK62" s="12">
        <f>OR(UK61,UJ62&gt;=VATThreshold)</f>
        <v/>
      </c>
      <c r="UL62" s="9">
        <f>IF(UK62,UI62/(1+VATRate),UI62)</f>
        <v/>
      </c>
      <c r="UM62" s="12">
        <f>UI62-UL62</f>
        <v/>
      </c>
      <c r="UN62" s="12">
        <f>IF(UK62=0,0,IF(TJ62=1,SUMPRODUCT(--(($TK$5:$TK62=$TK62-1)*($TJ$5:$TJ62&gt;=10)*($TJ$5:$TJ62&lt;=12)),$UM$5:$UM62),IF(TJ62=4,SUMPRODUCT(--(($TK$5:$TK62=$TK62)*($TJ$5:$TJ62&gt;=1)*($TJ$5:$TJ62&lt;=3)),$UM$5:$UM62),IF(TJ62=7,SUMPRODUCT(--(($TK$5:$TK62=$TK62)*($TJ$5:$TJ62&gt;=4)*($TJ$5:$TJ62&lt;=6)),$UM$5:$UM62),IF(TJ62=10,SUMPRODUCT(--(($TK$5:$TK62=$TK62)*($TJ$5:$TJ62&gt;=7)*($TJ$5:$TJ62&lt;=9)),$UM$5:$UM62),0)))))</f>
        <v/>
      </c>
      <c r="UO62" s="12">
        <f>UO61+UM62-UN62</f>
        <v/>
      </c>
      <c r="UP62" s="12">
        <f>IF(ProviderDelay&gt;=1,UL61*ProviderShare,UL62*ProviderShare)</f>
        <v/>
      </c>
      <c r="UQ62" s="12">
        <f>UI62*PaymentFee</f>
        <v/>
      </c>
      <c r="UR62" s="12">
        <f>UC62*OpsAI</f>
        <v/>
      </c>
      <c r="US62" s="12">
        <f>MonthlyFixed</f>
        <v/>
      </c>
      <c r="UT62" s="12">
        <f>TQ62*ReferralReward</f>
        <v/>
      </c>
      <c r="UU62" s="12">
        <f>TO62</f>
        <v/>
      </c>
      <c r="UV62" s="9">
        <f>UL62-UP62-UQ62-UR62-US62-UT62-UU62</f>
        <v/>
      </c>
      <c r="UW62" s="9">
        <f>UW61+UI62-(UP62+UQ62+UR62+US62+UT62+UU62+UN62)</f>
        <v/>
      </c>
      <c r="UX62" s="12">
        <f>IF(UC62&gt;0,UD62/UC62,0)</f>
        <v/>
      </c>
      <c r="UY62" s="11">
        <f>IF(UC61&gt;0,MAX(0,(UC61+TR62-UC62)/UC61),0)</f>
        <v/>
      </c>
      <c r="VA62" s="12" t="n">
        <v>58</v>
      </c>
      <c r="VB62" s="12">
        <f>MOD(VA62-1+LaunchMonth-1,12)+1</f>
        <v/>
      </c>
      <c r="VC62" s="12">
        <f>INT((VA62-1+LaunchMonth-1)/12)+1</f>
        <v/>
      </c>
      <c r="VD62" s="12">
        <f>VLOOKUP(VB62,SeasonTable,2,FALSE)</f>
        <v/>
      </c>
      <c r="VE62" s="12">
        <f>(1+InflationRate)^INT((VA62-1)/12)</f>
        <v/>
      </c>
      <c r="VF62" s="11">
        <f>MonthlyChurn*VLOOKUP(VB62,ChurnSeasonTable,4,FALSE)</f>
        <v/>
      </c>
      <c r="VG62" s="12">
        <f>MIN(MAX(MktMin19plus,WA61*MktPct19plus),MAX(0,WO61-CashBuffer))</f>
        <v/>
      </c>
      <c r="VH62" s="12">
        <f>IF(VG62&gt;0,MAX(1,ROUND(VG62/CAC*VD62,0)),0)</f>
        <v/>
      </c>
      <c r="VI62" s="12">
        <f>IF(VH62&gt;0,ROUND(VH62*ReferralMix/(1-ReferralMix),0),0)</f>
        <v/>
      </c>
      <c r="VJ62" s="12">
        <f>VH62+VI62</f>
        <v/>
      </c>
      <c r="VK62" s="12">
        <f>ROUND(VJ62*(1-'Sens - Annual Mix'!$A$10),0)</f>
        <v/>
      </c>
      <c r="VL62" s="12">
        <f>VJ62-VK62</f>
        <v/>
      </c>
      <c r="VM62" s="12">
        <f>ROUND(VK62*EssentialMix,0)</f>
        <v/>
      </c>
      <c r="VN62" s="12">
        <f>VK62-VM62</f>
        <v/>
      </c>
      <c r="VO62" s="12">
        <f>ROUND(VL62*EssentialMix,0)</f>
        <v/>
      </c>
      <c r="VP62" s="12">
        <f>VL62-VO62</f>
        <v/>
      </c>
      <c r="VQ62" s="12">
        <f>VM62+VM61+VM60+MAX(0,VQ61-VM61-VM60)*(1-VF62)</f>
        <v/>
      </c>
      <c r="VR62" s="12">
        <f>VN62+VN61+VN60+MAX(0,VR61-VN61-VN60)*(1-VF62)</f>
        <v/>
      </c>
      <c r="VS62" s="12">
        <f>VS61+VO62-VO50*(AnnualChurn*VLOOKUP(VB62,ChurnSeasonTable,4,FALSE))*POWER(1-(AnnualChurn*VLOOKUP(VB62,ChurnSeasonTable,4,FALSE)),0)+VO38*(AnnualChurn*VLOOKUP(VB62,ChurnSeasonTable,4,FALSE))*POWER(1-(AnnualChurn*VLOOKUP(VB62,ChurnSeasonTable,4,FALSE)),1)+VO26*(AnnualChurn*VLOOKUP(VB62,ChurnSeasonTable,4,FALSE))*POWER(1-(AnnualChurn*VLOOKUP(VB62,ChurnSeasonTable,4,FALSE)),2)+VO14*(AnnualChurn*VLOOKUP(VB62,ChurnSeasonTable,4,FALSE))*POWER(1-(AnnualChurn*VLOOKUP(VB62,ChurnSeasonTable,4,FALSE)),3)</f>
        <v/>
      </c>
      <c r="VT62" s="12">
        <f>VT61+VP62-VP50*(AnnualChurn*VLOOKUP(VB62,ChurnSeasonTable,4,FALSE))*POWER(1-(AnnualChurn*VLOOKUP(VB62,ChurnSeasonTable,4,FALSE)),0)+VP38*(AnnualChurn*VLOOKUP(VB62,ChurnSeasonTable,4,FALSE))*POWER(1-(AnnualChurn*VLOOKUP(VB62,ChurnSeasonTable,4,FALSE)),1)+VP26*(AnnualChurn*VLOOKUP(VB62,ChurnSeasonTable,4,FALSE))*POWER(1-(AnnualChurn*VLOOKUP(VB62,ChurnSeasonTable,4,FALSE)),2)+VP14*(AnnualChurn*VLOOKUP(VB62,ChurnSeasonTable,4,FALSE))*POWER(1-(AnnualChurn*VLOOKUP(VB62,ChurnSeasonTable,4,FALSE)),3)</f>
        <v/>
      </c>
      <c r="VU62" s="12">
        <f>VQ62+VR62+VS62+VT62</f>
        <v/>
      </c>
      <c r="VV62" s="9">
        <f>VQ62*PriceEssMonthly*VE62+VR62*PricePremMonthly*VE62+VS62*PriceEssAnnual*VE62/12+VT62*PricePremAnnual*VE62/12</f>
        <v/>
      </c>
      <c r="VW62" s="9">
        <f>VV62*12</f>
        <v/>
      </c>
      <c r="VX62" s="12">
        <f>VQ62*PriceEssMonthly*VE62+VR62*PricePremMonthly*VE62</f>
        <v/>
      </c>
      <c r="VY62" s="12">
        <f>VO62*PriceEssAnnual*VE62+VP62*PricePremAnnual*VE62</f>
        <v/>
      </c>
      <c r="VZ62" s="12">
        <f>VO50*POWER(1-(AnnualChurn*VLOOKUP(VB62,ChurnSeasonTable,4,FALSE)),1)*PriceEssAnnual*VE62+VO38*POWER(1-(AnnualChurn*VLOOKUP(VB62,ChurnSeasonTable,4,FALSE)),2)*PriceEssAnnual*VE62+VO26*POWER(1-(AnnualChurn*VLOOKUP(VB62,ChurnSeasonTable,4,FALSE)),3)*PriceEssAnnual*VE62+VO14*POWER(1-(AnnualChurn*VLOOKUP(VB62,ChurnSeasonTable,4,FALSE)),4)*PriceEssAnnual*VE62+VP50*POWER(1-(AnnualChurn*VLOOKUP(VB62,ChurnSeasonTable,4,FALSE)),1)*PricePremAnnual*VE62+VP38*POWER(1-(AnnualChurn*VLOOKUP(VB62,ChurnSeasonTable,4,FALSE)),2)*PricePremAnnual*VE62+VP26*POWER(1-(AnnualChurn*VLOOKUP(VB62,ChurnSeasonTable,4,FALSE)),3)*PricePremAnnual*VE62+VP14*POWER(1-(AnnualChurn*VLOOKUP(VB62,ChurnSeasonTable,4,FALSE)),4)*PricePremAnnual*VE62</f>
        <v/>
      </c>
      <c r="WA62" s="9">
        <f>VX62+VY62+VZ62</f>
        <v/>
      </c>
      <c r="WB62" s="12">
        <f>SUM(WA51:WA62)</f>
        <v/>
      </c>
      <c r="WC62" s="12">
        <f>OR(WC61,WB62&gt;=VATThreshold)</f>
        <v/>
      </c>
      <c r="WD62" s="9">
        <f>IF(WC62,WA62/(1+VATRate),WA62)</f>
        <v/>
      </c>
      <c r="WE62" s="12">
        <f>WA62-WD62</f>
        <v/>
      </c>
      <c r="WF62" s="12">
        <f>IF(WC62=0,0,IF(VB62=1,SUMPRODUCT(--(($VC$5:$VC62=$VC62-1)*($VB$5:$VB62&gt;=10)*($VB$5:$VB62&lt;=12)),$WE$5:$WE62),IF(VB62=4,SUMPRODUCT(--(($VC$5:$VC62=$VC62)*($VB$5:$VB62&gt;=1)*($VB$5:$VB62&lt;=3)),$WE$5:$WE62),IF(VB62=7,SUMPRODUCT(--(($VC$5:$VC62=$VC62)*($VB$5:$VB62&gt;=4)*($VB$5:$VB62&lt;=6)),$WE$5:$WE62),IF(VB62=10,SUMPRODUCT(--(($VC$5:$VC62=$VC62)*($VB$5:$VB62&gt;=7)*($VB$5:$VB62&lt;=9)),$WE$5:$WE62),0)))))</f>
        <v/>
      </c>
      <c r="WG62" s="12">
        <f>WG61+WE62-WF62</f>
        <v/>
      </c>
      <c r="WH62" s="12">
        <f>IF(ProviderDelay&gt;=1,WD61*ProviderShare,WD62*ProviderShare)</f>
        <v/>
      </c>
      <c r="WI62" s="12">
        <f>WA62*PaymentFee</f>
        <v/>
      </c>
      <c r="WJ62" s="12">
        <f>VU62*OpsAI</f>
        <v/>
      </c>
      <c r="WK62" s="12">
        <f>MonthlyFixed</f>
        <v/>
      </c>
      <c r="WL62" s="12">
        <f>VI62*ReferralReward</f>
        <v/>
      </c>
      <c r="WM62" s="12">
        <f>VG62</f>
        <v/>
      </c>
      <c r="WN62" s="9">
        <f>WD62-WH62-WI62-WJ62-WK62-WL62-WM62</f>
        <v/>
      </c>
      <c r="WO62" s="9">
        <f>WO61+WA62-(WH62+WI62+WJ62+WK62+WL62+WM62+WF62)</f>
        <v/>
      </c>
      <c r="WP62" s="12">
        <f>IF(VU62&gt;0,VV62/VU62,0)</f>
        <v/>
      </c>
      <c r="WQ62" s="11">
        <f>IF(VU61&gt;0,MAX(0,(VU61+VJ62-VU62)/VU61),0)</f>
        <v/>
      </c>
      <c r="WS62" s="12" t="n">
        <v>58</v>
      </c>
      <c r="WT62" s="12">
        <f>MOD(WS62-1+LaunchMonth-1,12)+1</f>
        <v/>
      </c>
      <c r="WU62" s="12">
        <f>INT((WS62-1+LaunchMonth-1)/12)+1</f>
        <v/>
      </c>
      <c r="WV62" s="12">
        <f>VLOOKUP(WT62,SeasonTable,2,FALSE)</f>
        <v/>
      </c>
      <c r="WW62" s="12">
        <f>(1+InflationRate)^INT((WS62-1)/12)</f>
        <v/>
      </c>
      <c r="WX62" s="11">
        <f>MonthlyChurn*VLOOKUP(WT62,ChurnSeasonTable,4,FALSE)</f>
        <v/>
      </c>
      <c r="WY62" s="12">
        <f>MIN(MAX(MktMin19plus,XS61*MktPct19plus),MAX(0,YG61-CashBuffer))</f>
        <v/>
      </c>
      <c r="WZ62" s="12">
        <f>IF(WY62&gt;0,MAX(1,ROUND(WY62/CAC*WV62,0)),0)</f>
        <v/>
      </c>
      <c r="XA62" s="12">
        <f>IF(WZ62&gt;0,ROUND(WZ62*ReferralMix/(1-ReferralMix),0),0)</f>
        <v/>
      </c>
      <c r="XB62" s="12">
        <f>WZ62+XA62</f>
        <v/>
      </c>
      <c r="XC62" s="12">
        <f>ROUND(XB62*(1-'Sens - Annual Mix'!$A$11),0)</f>
        <v/>
      </c>
      <c r="XD62" s="12">
        <f>XB62-XC62</f>
        <v/>
      </c>
      <c r="XE62" s="12">
        <f>ROUND(XC62*EssentialMix,0)</f>
        <v/>
      </c>
      <c r="XF62" s="12">
        <f>XC62-XE62</f>
        <v/>
      </c>
      <c r="XG62" s="12">
        <f>ROUND(XD62*EssentialMix,0)</f>
        <v/>
      </c>
      <c r="XH62" s="12">
        <f>XD62-XG62</f>
        <v/>
      </c>
      <c r="XI62" s="12">
        <f>XE62+XE61+XE60+MAX(0,XI61-XE61-XE60)*(1-WX62)</f>
        <v/>
      </c>
      <c r="XJ62" s="12">
        <f>XF62+XF61+XF60+MAX(0,XJ61-XF61-XF60)*(1-WX62)</f>
        <v/>
      </c>
      <c r="XK62" s="12">
        <f>XK61+XG62-XG50*(AnnualChurn*VLOOKUP(WT62,ChurnSeasonTable,4,FALSE))*POWER(1-(AnnualChurn*VLOOKUP(WT62,ChurnSeasonTable,4,FALSE)),0)+XG38*(AnnualChurn*VLOOKUP(WT62,ChurnSeasonTable,4,FALSE))*POWER(1-(AnnualChurn*VLOOKUP(WT62,ChurnSeasonTable,4,FALSE)),1)+XG26*(AnnualChurn*VLOOKUP(WT62,ChurnSeasonTable,4,FALSE))*POWER(1-(AnnualChurn*VLOOKUP(WT62,ChurnSeasonTable,4,FALSE)),2)+XG14*(AnnualChurn*VLOOKUP(WT62,ChurnSeasonTable,4,FALSE))*POWER(1-(AnnualChurn*VLOOKUP(WT62,ChurnSeasonTable,4,FALSE)),3)</f>
        <v/>
      </c>
      <c r="XL62" s="12">
        <f>XL61+XH62-XH50*(AnnualChurn*VLOOKUP(WT62,ChurnSeasonTable,4,FALSE))*POWER(1-(AnnualChurn*VLOOKUP(WT62,ChurnSeasonTable,4,FALSE)),0)+XH38*(AnnualChurn*VLOOKUP(WT62,ChurnSeasonTable,4,FALSE))*POWER(1-(AnnualChurn*VLOOKUP(WT62,ChurnSeasonTable,4,FALSE)),1)+XH26*(AnnualChurn*VLOOKUP(WT62,ChurnSeasonTable,4,FALSE))*POWER(1-(AnnualChurn*VLOOKUP(WT62,ChurnSeasonTable,4,FALSE)),2)+XH14*(AnnualChurn*VLOOKUP(WT62,ChurnSeasonTable,4,FALSE))*POWER(1-(AnnualChurn*VLOOKUP(WT62,ChurnSeasonTable,4,FALSE)),3)</f>
        <v/>
      </c>
      <c r="XM62" s="12">
        <f>XI62+XJ62+XK62+XL62</f>
        <v/>
      </c>
      <c r="XN62" s="9">
        <f>XI62*PriceEssMonthly*WW62+XJ62*PricePremMonthly*WW62+XK62*PriceEssAnnual*WW62/12+XL62*PricePremAnnual*WW62/12</f>
        <v/>
      </c>
      <c r="XO62" s="9">
        <f>XN62*12</f>
        <v/>
      </c>
      <c r="XP62" s="12">
        <f>XI62*PriceEssMonthly*WW62+XJ62*PricePremMonthly*WW62</f>
        <v/>
      </c>
      <c r="XQ62" s="12">
        <f>XG62*PriceEssAnnual*WW62+XH62*PricePremAnnual*WW62</f>
        <v/>
      </c>
      <c r="XR62" s="12">
        <f>XG50*POWER(1-(AnnualChurn*VLOOKUP(WT62,ChurnSeasonTable,4,FALSE)),1)*PriceEssAnnual*WW62+XG38*POWER(1-(AnnualChurn*VLOOKUP(WT62,ChurnSeasonTable,4,FALSE)),2)*PriceEssAnnual*WW62+XG26*POWER(1-(AnnualChurn*VLOOKUP(WT62,ChurnSeasonTable,4,FALSE)),3)*PriceEssAnnual*WW62+XG14*POWER(1-(AnnualChurn*VLOOKUP(WT62,ChurnSeasonTable,4,FALSE)),4)*PriceEssAnnual*WW62+XH50*POWER(1-(AnnualChurn*VLOOKUP(WT62,ChurnSeasonTable,4,FALSE)),1)*PricePremAnnual*WW62+XH38*POWER(1-(AnnualChurn*VLOOKUP(WT62,ChurnSeasonTable,4,FALSE)),2)*PricePremAnnual*WW62+XH26*POWER(1-(AnnualChurn*VLOOKUP(WT62,ChurnSeasonTable,4,FALSE)),3)*PricePremAnnual*WW62+XH14*POWER(1-(AnnualChurn*VLOOKUP(WT62,ChurnSeasonTable,4,FALSE)),4)*PricePremAnnual*WW62</f>
        <v/>
      </c>
      <c r="XS62" s="9">
        <f>XP62+XQ62+XR62</f>
        <v/>
      </c>
      <c r="XT62" s="12">
        <f>SUM(XS51:XS62)</f>
        <v/>
      </c>
      <c r="XU62" s="12">
        <f>OR(XU61,XT62&gt;=VATThreshold)</f>
        <v/>
      </c>
      <c r="XV62" s="9">
        <f>IF(XU62,XS62/(1+VATRate),XS62)</f>
        <v/>
      </c>
      <c r="XW62" s="12">
        <f>XS62-XV62</f>
        <v/>
      </c>
      <c r="XX62" s="12">
        <f>IF(XU62=0,0,IF(WT62=1,SUMPRODUCT(--(($WU$5:$WU62=$WU62-1)*($WT$5:$WT62&gt;=10)*($WT$5:$WT62&lt;=12)),$XW$5:$XW62),IF(WT62=4,SUMPRODUCT(--(($WU$5:$WU62=$WU62)*($WT$5:$WT62&gt;=1)*($WT$5:$WT62&lt;=3)),$XW$5:$XW62),IF(WT62=7,SUMPRODUCT(--(($WU$5:$WU62=$WU62)*($WT$5:$WT62&gt;=4)*($WT$5:$WT62&lt;=6)),$XW$5:$XW62),IF(WT62=10,SUMPRODUCT(--(($WU$5:$WU62=$WU62)*($WT$5:$WT62&gt;=7)*($WT$5:$WT62&lt;=9)),$XW$5:$XW62),0)))))</f>
        <v/>
      </c>
      <c r="XY62" s="12">
        <f>XY61+XW62-XX62</f>
        <v/>
      </c>
      <c r="XZ62" s="12">
        <f>IF(ProviderDelay&gt;=1,XV61*ProviderShare,XV62*ProviderShare)</f>
        <v/>
      </c>
      <c r="YA62" s="12">
        <f>XS62*PaymentFee</f>
        <v/>
      </c>
      <c r="YB62" s="12">
        <f>XM62*OpsAI</f>
        <v/>
      </c>
      <c r="YC62" s="12">
        <f>MonthlyFixed</f>
        <v/>
      </c>
      <c r="YD62" s="12">
        <f>XA62*ReferralReward</f>
        <v/>
      </c>
      <c r="YE62" s="12">
        <f>WY62</f>
        <v/>
      </c>
      <c r="YF62" s="9">
        <f>XV62-XZ62-YA62-YB62-YC62-YD62-YE62</f>
        <v/>
      </c>
      <c r="YG62" s="9">
        <f>YG61+XS62-(XZ62+YA62+YB62+YC62+YD62+YE62+XX62)</f>
        <v/>
      </c>
      <c r="YH62" s="12">
        <f>IF(XM62&gt;0,XN62/XM62,0)</f>
        <v/>
      </c>
      <c r="YI62" s="11">
        <f>IF(XM61&gt;0,MAX(0,(XM61+XB62-XM62)/XM61),0)</f>
        <v/>
      </c>
      <c r="YK62" s="12" t="n">
        <v>58</v>
      </c>
      <c r="YL62" s="12">
        <f>MOD(YK62-1+LaunchMonth-1,12)+1</f>
        <v/>
      </c>
      <c r="YM62" s="12">
        <f>INT((YK62-1+LaunchMonth-1)/12)+1</f>
        <v/>
      </c>
      <c r="YN62" s="12">
        <f>VLOOKUP(YL62,SeasonTable,2,FALSE)</f>
        <v/>
      </c>
      <c r="YO62" s="12">
        <f>(1+InflationRate)^INT((YK62-1)/12)</f>
        <v/>
      </c>
      <c r="YP62" s="11">
        <f>MonthlyChurn*VLOOKUP(YL62,ChurnSeasonTable,4,FALSE)</f>
        <v/>
      </c>
      <c r="YQ62" s="12">
        <f>MIN(MAX(MktMin19plus,ZK61*MktPct19plus),MAX(0,ZY61-CashBuffer))</f>
        <v/>
      </c>
      <c r="YR62" s="12">
        <f>IF(YQ62&gt;0,MAX(1,ROUND(YQ62/CAC*YN62,0)),0)</f>
        <v/>
      </c>
      <c r="YS62" s="12">
        <f>IF(YR62&gt;0,ROUND(YR62*ReferralMix/(1-ReferralMix),0),0)</f>
        <v/>
      </c>
      <c r="YT62" s="12">
        <f>YR62+YS62</f>
        <v/>
      </c>
      <c r="YU62" s="12">
        <f>ROUND(YT62*(1-'Sens - Annual Mix'!$A$12),0)</f>
        <v/>
      </c>
      <c r="YV62" s="12">
        <f>YT62-YU62</f>
        <v/>
      </c>
      <c r="YW62" s="12">
        <f>ROUND(YU62*EssentialMix,0)</f>
        <v/>
      </c>
      <c r="YX62" s="12">
        <f>YU62-YW62</f>
        <v/>
      </c>
      <c r="YY62" s="12">
        <f>ROUND(YV62*EssentialMix,0)</f>
        <v/>
      </c>
      <c r="YZ62" s="12">
        <f>YV62-YY62</f>
        <v/>
      </c>
      <c r="ZA62" s="12">
        <f>YW62+YW61+YW60+MAX(0,ZA61-YW61-YW60)*(1-YP62)</f>
        <v/>
      </c>
      <c r="ZB62" s="12">
        <f>YX62+YX61+YX60+MAX(0,ZB61-YX61-YX60)*(1-YP62)</f>
        <v/>
      </c>
      <c r="ZC62" s="12">
        <f>ZC61+YY62-YY50*(AnnualChurn*VLOOKUP(YL62,ChurnSeasonTable,4,FALSE))*POWER(1-(AnnualChurn*VLOOKUP(YL62,ChurnSeasonTable,4,FALSE)),0)+YY38*(AnnualChurn*VLOOKUP(YL62,ChurnSeasonTable,4,FALSE))*POWER(1-(AnnualChurn*VLOOKUP(YL62,ChurnSeasonTable,4,FALSE)),1)+YY26*(AnnualChurn*VLOOKUP(YL62,ChurnSeasonTable,4,FALSE))*POWER(1-(AnnualChurn*VLOOKUP(YL62,ChurnSeasonTable,4,FALSE)),2)+YY14*(AnnualChurn*VLOOKUP(YL62,ChurnSeasonTable,4,FALSE))*POWER(1-(AnnualChurn*VLOOKUP(YL62,ChurnSeasonTable,4,FALSE)),3)</f>
        <v/>
      </c>
      <c r="ZD62" s="12">
        <f>ZD61+YZ62-YZ50*(AnnualChurn*VLOOKUP(YL62,ChurnSeasonTable,4,FALSE))*POWER(1-(AnnualChurn*VLOOKUP(YL62,ChurnSeasonTable,4,FALSE)),0)+YZ38*(AnnualChurn*VLOOKUP(YL62,ChurnSeasonTable,4,FALSE))*POWER(1-(AnnualChurn*VLOOKUP(YL62,ChurnSeasonTable,4,FALSE)),1)+YZ26*(AnnualChurn*VLOOKUP(YL62,ChurnSeasonTable,4,FALSE))*POWER(1-(AnnualChurn*VLOOKUP(YL62,ChurnSeasonTable,4,FALSE)),2)+YZ14*(AnnualChurn*VLOOKUP(YL62,ChurnSeasonTable,4,FALSE))*POWER(1-(AnnualChurn*VLOOKUP(YL62,ChurnSeasonTable,4,FALSE)),3)</f>
        <v/>
      </c>
      <c r="ZE62" s="12">
        <f>ZA62+ZB62+ZC62+ZD62</f>
        <v/>
      </c>
      <c r="ZF62" s="9">
        <f>ZA62*PriceEssMonthly*YO62+ZB62*PricePremMonthly*YO62+ZC62*PriceEssAnnual*YO62/12+ZD62*PricePremAnnual*YO62/12</f>
        <v/>
      </c>
      <c r="ZG62" s="9">
        <f>ZF62*12</f>
        <v/>
      </c>
      <c r="ZH62" s="12">
        <f>ZA62*PriceEssMonthly*YO62+ZB62*PricePremMonthly*YO62</f>
        <v/>
      </c>
      <c r="ZI62" s="12">
        <f>YY62*PriceEssAnnual*YO62+YZ62*PricePremAnnual*YO62</f>
        <v/>
      </c>
      <c r="ZJ62" s="12">
        <f>YY50*POWER(1-(AnnualChurn*VLOOKUP(YL62,ChurnSeasonTable,4,FALSE)),1)*PriceEssAnnual*YO62+YY38*POWER(1-(AnnualChurn*VLOOKUP(YL62,ChurnSeasonTable,4,FALSE)),2)*PriceEssAnnual*YO62+YY26*POWER(1-(AnnualChurn*VLOOKUP(YL62,ChurnSeasonTable,4,FALSE)),3)*PriceEssAnnual*YO62+YY14*POWER(1-(AnnualChurn*VLOOKUP(YL62,ChurnSeasonTable,4,FALSE)),4)*PriceEssAnnual*YO62+YZ50*POWER(1-(AnnualChurn*VLOOKUP(YL62,ChurnSeasonTable,4,FALSE)),1)*PricePremAnnual*YO62+YZ38*POWER(1-(AnnualChurn*VLOOKUP(YL62,ChurnSeasonTable,4,FALSE)),2)*PricePremAnnual*YO62+YZ26*POWER(1-(AnnualChurn*VLOOKUP(YL62,ChurnSeasonTable,4,FALSE)),3)*PricePremAnnual*YO62+YZ14*POWER(1-(AnnualChurn*VLOOKUP(YL62,ChurnSeasonTable,4,FALSE)),4)*PricePremAnnual*YO62</f>
        <v/>
      </c>
      <c r="ZK62" s="9">
        <f>ZH62+ZI62+ZJ62</f>
        <v/>
      </c>
      <c r="ZL62" s="12">
        <f>SUM(ZK51:ZK62)</f>
        <v/>
      </c>
      <c r="ZM62" s="12">
        <f>OR(ZM61,ZL62&gt;=VATThreshold)</f>
        <v/>
      </c>
      <c r="ZN62" s="9">
        <f>IF(ZM62,ZK62/(1+VATRate),ZK62)</f>
        <v/>
      </c>
      <c r="ZO62" s="12">
        <f>ZK62-ZN62</f>
        <v/>
      </c>
      <c r="ZP62" s="12">
        <f>IF(ZM62=0,0,IF(YL62=1,SUMPRODUCT(--(($YM$5:$YM62=$YM62-1)*($YL$5:$YL62&gt;=10)*($YL$5:$YL62&lt;=12)),$ZO$5:$ZO62),IF(YL62=4,SUMPRODUCT(--(($YM$5:$YM62=$YM62)*($YL$5:$YL62&gt;=1)*($YL$5:$YL62&lt;=3)),$ZO$5:$ZO62),IF(YL62=7,SUMPRODUCT(--(($YM$5:$YM62=$YM62)*($YL$5:$YL62&gt;=4)*($YL$5:$YL62&lt;=6)),$ZO$5:$ZO62),IF(YL62=10,SUMPRODUCT(--(($YM$5:$YM62=$YM62)*($YL$5:$YL62&gt;=7)*($YL$5:$YL62&lt;=9)),$ZO$5:$ZO62),0)))))</f>
        <v/>
      </c>
      <c r="ZQ62" s="12">
        <f>ZQ61+ZO62-ZP62</f>
        <v/>
      </c>
      <c r="ZR62" s="12">
        <f>IF(ProviderDelay&gt;=1,ZN61*ProviderShare,ZN62*ProviderShare)</f>
        <v/>
      </c>
      <c r="ZS62" s="12">
        <f>ZK62*PaymentFee</f>
        <v/>
      </c>
      <c r="ZT62" s="12">
        <f>ZE62*OpsAI</f>
        <v/>
      </c>
      <c r="ZU62" s="12">
        <f>MonthlyFixed</f>
        <v/>
      </c>
      <c r="ZV62" s="12">
        <f>YS62*ReferralReward</f>
        <v/>
      </c>
      <c r="ZW62" s="12">
        <f>YQ62</f>
        <v/>
      </c>
      <c r="ZX62" s="9">
        <f>ZN62-ZR62-ZS62-ZT62-ZU62-ZV62-ZW62</f>
        <v/>
      </c>
      <c r="ZY62" s="9">
        <f>ZY61+ZK62-(ZR62+ZS62+ZT62+ZU62+ZV62+ZW62+ZP62)</f>
        <v/>
      </c>
      <c r="ZZ62" s="12">
        <f>IF(ZE62&gt;0,ZF62/ZE62,0)</f>
        <v/>
      </c>
      <c r="AAA62" s="11">
        <f>IF(ZE61&gt;0,MAX(0,(ZE61+YT62-ZE62)/ZE61),0)</f>
        <v/>
      </c>
      <c r="AAC62" s="12" t="n">
        <v>58</v>
      </c>
      <c r="AAD62" s="12">
        <f>MOD(AAC62-1+LaunchMonth-1,12)+1</f>
        <v/>
      </c>
      <c r="AAE62" s="12">
        <f>INT((AAC62-1+LaunchMonth-1)/12)+1</f>
        <v/>
      </c>
      <c r="AAF62" s="12">
        <f>VLOOKUP(AAD62,SeasonTable,2,FALSE)</f>
        <v/>
      </c>
      <c r="AAG62" s="12">
        <f>(1+InflationRate)^INT((AAC62-1)/12)</f>
        <v/>
      </c>
      <c r="AAH62" s="11">
        <f>MonthlyChurn*VLOOKUP(AAD62,ChurnSeasonTable,4,FALSE)</f>
        <v/>
      </c>
      <c r="AAI62" s="12">
        <f>MIN(MAX(MktMin19plus,ABC61*MktPct19plus),MAX(0,ABQ61-CashBuffer))</f>
        <v/>
      </c>
      <c r="AAJ62" s="12">
        <f>IF(AAI62&gt;0,MAX(1,ROUND(AAI62/CAC*AAF62,0)),0)</f>
        <v/>
      </c>
      <c r="AAK62" s="12">
        <f>IF(AAJ62&gt;0,ROUND(AAJ62*ReferralMix/(1-ReferralMix),0),0)</f>
        <v/>
      </c>
      <c r="AAL62" s="12">
        <f>AAJ62+AAK62</f>
        <v/>
      </c>
      <c r="AAM62" s="12">
        <f>ROUND(AAL62*(1-'Sens - Annual Mix'!$A$13),0)</f>
        <v/>
      </c>
      <c r="AAN62" s="12">
        <f>AAL62-AAM62</f>
        <v/>
      </c>
      <c r="AAO62" s="12">
        <f>ROUND(AAM62*EssentialMix,0)</f>
        <v/>
      </c>
      <c r="AAP62" s="12">
        <f>AAM62-AAO62</f>
        <v/>
      </c>
      <c r="AAQ62" s="12">
        <f>ROUND(AAN62*EssentialMix,0)</f>
        <v/>
      </c>
      <c r="AAR62" s="12">
        <f>AAN62-AAQ62</f>
        <v/>
      </c>
      <c r="AAS62" s="12">
        <f>AAO62+AAO61+AAO60+MAX(0,AAS61-AAO61-AAO60)*(1-AAH62)</f>
        <v/>
      </c>
      <c r="AAT62" s="12">
        <f>AAP62+AAP61+AAP60+MAX(0,AAT61-AAP61-AAP60)*(1-AAH62)</f>
        <v/>
      </c>
      <c r="AAU62" s="12">
        <f>AAU61+AAQ62-AAQ50*(AnnualChurn*VLOOKUP(AAD62,ChurnSeasonTable,4,FALSE))*POWER(1-(AnnualChurn*VLOOKUP(AAD62,ChurnSeasonTable,4,FALSE)),0)+AAQ38*(AnnualChurn*VLOOKUP(AAD62,ChurnSeasonTable,4,FALSE))*POWER(1-(AnnualChurn*VLOOKUP(AAD62,ChurnSeasonTable,4,FALSE)),1)+AAQ26*(AnnualChurn*VLOOKUP(AAD62,ChurnSeasonTable,4,FALSE))*POWER(1-(AnnualChurn*VLOOKUP(AAD62,ChurnSeasonTable,4,FALSE)),2)+AAQ14*(AnnualChurn*VLOOKUP(AAD62,ChurnSeasonTable,4,FALSE))*POWER(1-(AnnualChurn*VLOOKUP(AAD62,ChurnSeasonTable,4,FALSE)),3)</f>
        <v/>
      </c>
      <c r="AAV62" s="12">
        <f>AAV61+AAR62-AAR50*(AnnualChurn*VLOOKUP(AAD62,ChurnSeasonTable,4,FALSE))*POWER(1-(AnnualChurn*VLOOKUP(AAD62,ChurnSeasonTable,4,FALSE)),0)+AAR38*(AnnualChurn*VLOOKUP(AAD62,ChurnSeasonTable,4,FALSE))*POWER(1-(AnnualChurn*VLOOKUP(AAD62,ChurnSeasonTable,4,FALSE)),1)+AAR26*(AnnualChurn*VLOOKUP(AAD62,ChurnSeasonTable,4,FALSE))*POWER(1-(AnnualChurn*VLOOKUP(AAD62,ChurnSeasonTable,4,FALSE)),2)+AAR14*(AnnualChurn*VLOOKUP(AAD62,ChurnSeasonTable,4,FALSE))*POWER(1-(AnnualChurn*VLOOKUP(AAD62,ChurnSeasonTable,4,FALSE)),3)</f>
        <v/>
      </c>
      <c r="AAW62" s="12">
        <f>AAS62+AAT62+AAU62+AAV62</f>
        <v/>
      </c>
      <c r="AAX62" s="9">
        <f>AAS62*PriceEssMonthly*AAG62+AAT62*PricePremMonthly*AAG62+AAU62*PriceEssAnnual*AAG62/12+AAV62*PricePremAnnual*AAG62/12</f>
        <v/>
      </c>
      <c r="AAY62" s="9">
        <f>AAX62*12</f>
        <v/>
      </c>
      <c r="AAZ62" s="12">
        <f>AAS62*PriceEssMonthly*AAG62+AAT62*PricePremMonthly*AAG62</f>
        <v/>
      </c>
      <c r="ABA62" s="12">
        <f>AAQ62*PriceEssAnnual*AAG62+AAR62*PricePremAnnual*AAG62</f>
        <v/>
      </c>
      <c r="ABB62" s="12">
        <f>AAQ50*POWER(1-(AnnualChurn*VLOOKUP(AAD62,ChurnSeasonTable,4,FALSE)),1)*PriceEssAnnual*AAG62+AAQ38*POWER(1-(AnnualChurn*VLOOKUP(AAD62,ChurnSeasonTable,4,FALSE)),2)*PriceEssAnnual*AAG62+AAQ26*POWER(1-(AnnualChurn*VLOOKUP(AAD62,ChurnSeasonTable,4,FALSE)),3)*PriceEssAnnual*AAG62+AAQ14*POWER(1-(AnnualChurn*VLOOKUP(AAD62,ChurnSeasonTable,4,FALSE)),4)*PriceEssAnnual*AAG62+AAR50*POWER(1-(AnnualChurn*VLOOKUP(AAD62,ChurnSeasonTable,4,FALSE)),1)*PricePremAnnual*AAG62+AAR38*POWER(1-(AnnualChurn*VLOOKUP(AAD62,ChurnSeasonTable,4,FALSE)),2)*PricePremAnnual*AAG62+AAR26*POWER(1-(AnnualChurn*VLOOKUP(AAD62,ChurnSeasonTable,4,FALSE)),3)*PricePremAnnual*AAG62+AAR14*POWER(1-(AnnualChurn*VLOOKUP(AAD62,ChurnSeasonTable,4,FALSE)),4)*PricePremAnnual*AAG62</f>
        <v/>
      </c>
      <c r="ABC62" s="9">
        <f>AAZ62+ABA62+ABB62</f>
        <v/>
      </c>
      <c r="ABD62" s="12">
        <f>SUM(ABC51:ABC62)</f>
        <v/>
      </c>
      <c r="ABE62" s="12">
        <f>OR(ABE61,ABD62&gt;=VATThreshold)</f>
        <v/>
      </c>
      <c r="ABF62" s="9">
        <f>IF(ABE62,ABC62/(1+VATRate),ABC62)</f>
        <v/>
      </c>
      <c r="ABG62" s="12">
        <f>ABC62-ABF62</f>
        <v/>
      </c>
      <c r="ABH62" s="12">
        <f>IF(ABE62=0,0,IF(AAD62=1,SUMPRODUCT(--(($AAE$5:$AAE62=$AAE62-1)*($AAD$5:$AAD62&gt;=10)*($AAD$5:$AAD62&lt;=12)),$ABG$5:$ABG62),IF(AAD62=4,SUMPRODUCT(--(($AAE$5:$AAE62=$AAE62)*($AAD$5:$AAD62&gt;=1)*($AAD$5:$AAD62&lt;=3)),$ABG$5:$ABG62),IF(AAD62=7,SUMPRODUCT(--(($AAE$5:$AAE62=$AAE62)*($AAD$5:$AAD62&gt;=4)*($AAD$5:$AAD62&lt;=6)),$ABG$5:$ABG62),IF(AAD62=10,SUMPRODUCT(--(($AAE$5:$AAE62=$AAE62)*($AAD$5:$AAD62&gt;=7)*($AAD$5:$AAD62&lt;=9)),$ABG$5:$ABG62),0)))))</f>
        <v/>
      </c>
      <c r="ABI62" s="12">
        <f>ABI61+ABG62-ABH62</f>
        <v/>
      </c>
      <c r="ABJ62" s="12">
        <f>IF(ProviderDelay&gt;=1,ABF61*ProviderShare,ABF62*ProviderShare)</f>
        <v/>
      </c>
      <c r="ABK62" s="12">
        <f>ABC62*PaymentFee</f>
        <v/>
      </c>
      <c r="ABL62" s="12">
        <f>AAW62*OpsAI</f>
        <v/>
      </c>
      <c r="ABM62" s="12">
        <f>MonthlyFixed</f>
        <v/>
      </c>
      <c r="ABN62" s="12">
        <f>AAK62*ReferralReward</f>
        <v/>
      </c>
      <c r="ABO62" s="12">
        <f>AAI62</f>
        <v/>
      </c>
      <c r="ABP62" s="9">
        <f>ABF62-ABJ62-ABK62-ABL62-ABM62-ABN62-ABO62</f>
        <v/>
      </c>
      <c r="ABQ62" s="9">
        <f>ABQ61+ABC62-(ABJ62+ABK62+ABL62+ABM62+ABN62+ABO62+ABH62)</f>
        <v/>
      </c>
      <c r="ABR62" s="12">
        <f>IF(AAW62&gt;0,AAX62/AAW62,0)</f>
        <v/>
      </c>
      <c r="ABS62" s="11">
        <f>IF(AAW61&gt;0,MAX(0,(AAW61+AAL62-AAW62)/AAW61),0)</f>
        <v/>
      </c>
      <c r="ABU62" s="12" t="n">
        <v>58</v>
      </c>
      <c r="ABV62" s="12">
        <f>MOD(ABU62-1+LaunchMonth-1,12)+1</f>
        <v/>
      </c>
      <c r="ABW62" s="12">
        <f>INT((ABU62-1+LaunchMonth-1)/12)+1</f>
        <v/>
      </c>
      <c r="ABX62" s="12">
        <f>VLOOKUP(ABV62,SeasonTable,2,FALSE)</f>
        <v/>
      </c>
      <c r="ABY62" s="12">
        <f>(1+InflationRate)^INT((ABU62-1)/12)</f>
        <v/>
      </c>
      <c r="ABZ62" s="11">
        <f>MonthlyChurn*VLOOKUP(ABV62,ChurnSeasonTable,4,FALSE)</f>
        <v/>
      </c>
      <c r="ACA62" s="12">
        <f>MIN(MAX(MktMin19plus,ACU61*MktPct19plus),MAX(0,ADI61-CashBuffer))</f>
        <v/>
      </c>
      <c r="ACB62" s="12">
        <f>IF(ACA62&gt;0,MAX(1,ROUND(ACA62/CAC*ABX62,0)),0)</f>
        <v/>
      </c>
      <c r="ACC62" s="12">
        <f>IF(ACB62&gt;0,ROUND(ACB62*ReferralMix/(1-ReferralMix),0),0)</f>
        <v/>
      </c>
      <c r="ACD62" s="12">
        <f>ACB62+ACC62</f>
        <v/>
      </c>
      <c r="ACE62" s="12">
        <f>ROUND(ACD62*(1-'Sens - Annual Mix'!$A$14),0)</f>
        <v/>
      </c>
      <c r="ACF62" s="12">
        <f>ACD62-ACE62</f>
        <v/>
      </c>
      <c r="ACG62" s="12">
        <f>ROUND(ACE62*EssentialMix,0)</f>
        <v/>
      </c>
      <c r="ACH62" s="12">
        <f>ACE62-ACG62</f>
        <v/>
      </c>
      <c r="ACI62" s="12">
        <f>ROUND(ACF62*EssentialMix,0)</f>
        <v/>
      </c>
      <c r="ACJ62" s="12">
        <f>ACF62-ACI62</f>
        <v/>
      </c>
      <c r="ACK62" s="12">
        <f>ACG62+ACG61+ACG60+MAX(0,ACK61-ACG61-ACG60)*(1-ABZ62)</f>
        <v/>
      </c>
      <c r="ACL62" s="12">
        <f>ACH62+ACH61+ACH60+MAX(0,ACL61-ACH61-ACH60)*(1-ABZ62)</f>
        <v/>
      </c>
      <c r="ACM62" s="12">
        <f>ACM61+ACI62-ACI50*(AnnualChurn*VLOOKUP(ABV62,ChurnSeasonTable,4,FALSE))*POWER(1-(AnnualChurn*VLOOKUP(ABV62,ChurnSeasonTable,4,FALSE)),0)+ACI38*(AnnualChurn*VLOOKUP(ABV62,ChurnSeasonTable,4,FALSE))*POWER(1-(AnnualChurn*VLOOKUP(ABV62,ChurnSeasonTable,4,FALSE)),1)+ACI26*(AnnualChurn*VLOOKUP(ABV62,ChurnSeasonTable,4,FALSE))*POWER(1-(AnnualChurn*VLOOKUP(ABV62,ChurnSeasonTable,4,FALSE)),2)+ACI14*(AnnualChurn*VLOOKUP(ABV62,ChurnSeasonTable,4,FALSE))*POWER(1-(AnnualChurn*VLOOKUP(ABV62,ChurnSeasonTable,4,FALSE)),3)</f>
        <v/>
      </c>
      <c r="ACN62" s="12">
        <f>ACN61+ACJ62-ACJ50*(AnnualChurn*VLOOKUP(ABV62,ChurnSeasonTable,4,FALSE))*POWER(1-(AnnualChurn*VLOOKUP(ABV62,ChurnSeasonTable,4,FALSE)),0)+ACJ38*(AnnualChurn*VLOOKUP(ABV62,ChurnSeasonTable,4,FALSE))*POWER(1-(AnnualChurn*VLOOKUP(ABV62,ChurnSeasonTable,4,FALSE)),1)+ACJ26*(AnnualChurn*VLOOKUP(ABV62,ChurnSeasonTable,4,FALSE))*POWER(1-(AnnualChurn*VLOOKUP(ABV62,ChurnSeasonTable,4,FALSE)),2)+ACJ14*(AnnualChurn*VLOOKUP(ABV62,ChurnSeasonTable,4,FALSE))*POWER(1-(AnnualChurn*VLOOKUP(ABV62,ChurnSeasonTable,4,FALSE)),3)</f>
        <v/>
      </c>
      <c r="ACO62" s="12">
        <f>ACK62+ACL62+ACM62+ACN62</f>
        <v/>
      </c>
      <c r="ACP62" s="9">
        <f>ACK62*PriceEssMonthly*ABY62+ACL62*PricePremMonthly*ABY62+ACM62*PriceEssAnnual*ABY62/12+ACN62*PricePremAnnual*ABY62/12</f>
        <v/>
      </c>
      <c r="ACQ62" s="9">
        <f>ACP62*12</f>
        <v/>
      </c>
      <c r="ACR62" s="12">
        <f>ACK62*PriceEssMonthly*ABY62+ACL62*PricePremMonthly*ABY62</f>
        <v/>
      </c>
      <c r="ACS62" s="12">
        <f>ACI62*PriceEssAnnual*ABY62+ACJ62*PricePremAnnual*ABY62</f>
        <v/>
      </c>
      <c r="ACT62" s="12">
        <f>ACI50*POWER(1-(AnnualChurn*VLOOKUP(ABV62,ChurnSeasonTable,4,FALSE)),1)*PriceEssAnnual*ABY62+ACI38*POWER(1-(AnnualChurn*VLOOKUP(ABV62,ChurnSeasonTable,4,FALSE)),2)*PriceEssAnnual*ABY62+ACI26*POWER(1-(AnnualChurn*VLOOKUP(ABV62,ChurnSeasonTable,4,FALSE)),3)*PriceEssAnnual*ABY62+ACI14*POWER(1-(AnnualChurn*VLOOKUP(ABV62,ChurnSeasonTable,4,FALSE)),4)*PriceEssAnnual*ABY62+ACJ50*POWER(1-(AnnualChurn*VLOOKUP(ABV62,ChurnSeasonTable,4,FALSE)),1)*PricePremAnnual*ABY62+ACJ38*POWER(1-(AnnualChurn*VLOOKUP(ABV62,ChurnSeasonTable,4,FALSE)),2)*PricePremAnnual*ABY62+ACJ26*POWER(1-(AnnualChurn*VLOOKUP(ABV62,ChurnSeasonTable,4,FALSE)),3)*PricePremAnnual*ABY62+ACJ14*POWER(1-(AnnualChurn*VLOOKUP(ABV62,ChurnSeasonTable,4,FALSE)),4)*PricePremAnnual*ABY62</f>
        <v/>
      </c>
      <c r="ACU62" s="9">
        <f>ACR62+ACS62+ACT62</f>
        <v/>
      </c>
      <c r="ACV62" s="12">
        <f>SUM(ACU51:ACU62)</f>
        <v/>
      </c>
      <c r="ACW62" s="12">
        <f>OR(ACW61,ACV62&gt;=VATThreshold)</f>
        <v/>
      </c>
      <c r="ACX62" s="9">
        <f>IF(ACW62,ACU62/(1+VATRate),ACU62)</f>
        <v/>
      </c>
      <c r="ACY62" s="12">
        <f>ACU62-ACX62</f>
        <v/>
      </c>
      <c r="ACZ62" s="12">
        <f>IF(ACW62=0,0,IF(ABV62=1,SUMPRODUCT(--(($ABW$5:$ABW62=$ABW62-1)*($ABV$5:$ABV62&gt;=10)*($ABV$5:$ABV62&lt;=12)),$ACY$5:$ACY62),IF(ABV62=4,SUMPRODUCT(--(($ABW$5:$ABW62=$ABW62)*($ABV$5:$ABV62&gt;=1)*($ABV$5:$ABV62&lt;=3)),$ACY$5:$ACY62),IF(ABV62=7,SUMPRODUCT(--(($ABW$5:$ABW62=$ABW62)*($ABV$5:$ABV62&gt;=4)*($ABV$5:$ABV62&lt;=6)),$ACY$5:$ACY62),IF(ABV62=10,SUMPRODUCT(--(($ABW$5:$ABW62=$ABW62)*($ABV$5:$ABV62&gt;=7)*($ABV$5:$ABV62&lt;=9)),$ACY$5:$ACY62),0)))))</f>
        <v/>
      </c>
      <c r="ADA62" s="12">
        <f>ADA61+ACY62-ACZ62</f>
        <v/>
      </c>
      <c r="ADB62" s="12">
        <f>IF(ProviderDelay&gt;=1,ACX61*ProviderShare,ACX62*ProviderShare)</f>
        <v/>
      </c>
      <c r="ADC62" s="12">
        <f>ACU62*PaymentFee</f>
        <v/>
      </c>
      <c r="ADD62" s="12">
        <f>ACO62*OpsAI</f>
        <v/>
      </c>
      <c r="ADE62" s="12">
        <f>MonthlyFixed</f>
        <v/>
      </c>
      <c r="ADF62" s="12">
        <f>ACC62*ReferralReward</f>
        <v/>
      </c>
      <c r="ADG62" s="12">
        <f>ACA62</f>
        <v/>
      </c>
      <c r="ADH62" s="9">
        <f>ACX62-ADB62-ADC62-ADD62-ADE62-ADF62-ADG62</f>
        <v/>
      </c>
      <c r="ADI62" s="9">
        <f>ADI61+ACU62-(ADB62+ADC62+ADD62+ADE62+ADF62+ADG62+ACZ62)</f>
        <v/>
      </c>
      <c r="ADJ62" s="12">
        <f>IF(ACO62&gt;0,ACP62/ACO62,0)</f>
        <v/>
      </c>
      <c r="ADK62" s="11">
        <f>IF(ACO61&gt;0,MAX(0,(ACO61+ACD62-ACO62)/ACO61),0)</f>
        <v/>
      </c>
      <c r="ADM62" s="12" t="n">
        <v>58</v>
      </c>
      <c r="ADN62" s="12">
        <f>MOD(ADM62-1+LaunchMonth-1,12)+1</f>
        <v/>
      </c>
      <c r="ADO62" s="12">
        <f>INT((ADM62-1+LaunchMonth-1)/12)+1</f>
        <v/>
      </c>
      <c r="ADP62" s="12">
        <f>VLOOKUP(ADN62,SeasonTable,2,FALSE)</f>
        <v/>
      </c>
      <c r="ADQ62" s="12">
        <f>(1+InflationRate)^INT((ADM62-1)/12)</f>
        <v/>
      </c>
      <c r="ADR62" s="11">
        <f>MonthlyChurn*VLOOKUP(ADN62,ChurnSeasonTable,4,FALSE)</f>
        <v/>
      </c>
      <c r="ADS62" s="12">
        <f>MIN(MAX(MktMin19plus,AEM61*MktPct19plus),MAX(0,AFA61-CashBuffer))</f>
        <v/>
      </c>
      <c r="ADT62" s="12">
        <f>IF(ADS62&gt;0,MAX(1,ROUND(ADS62/CAC*ADP62,0)),0)</f>
        <v/>
      </c>
      <c r="ADU62" s="12">
        <f>IF(ADT62&gt;0,ROUND(ADT62*ReferralMix/(1-ReferralMix),0),0)</f>
        <v/>
      </c>
      <c r="ADV62" s="12">
        <f>ADT62+ADU62</f>
        <v/>
      </c>
      <c r="ADW62" s="12">
        <f>ROUND(ADV62*(1-'Sens - Annual Mix'!$A$15),0)</f>
        <v/>
      </c>
      <c r="ADX62" s="12">
        <f>ADV62-ADW62</f>
        <v/>
      </c>
      <c r="ADY62" s="12">
        <f>ROUND(ADW62*EssentialMix,0)</f>
        <v/>
      </c>
      <c r="ADZ62" s="12">
        <f>ADW62-ADY62</f>
        <v/>
      </c>
      <c r="AEA62" s="12">
        <f>ROUND(ADX62*EssentialMix,0)</f>
        <v/>
      </c>
      <c r="AEB62" s="12">
        <f>ADX62-AEA62</f>
        <v/>
      </c>
      <c r="AEC62" s="12">
        <f>ADY62+ADY61+ADY60+MAX(0,AEC61-ADY61-ADY60)*(1-ADR62)</f>
        <v/>
      </c>
      <c r="AED62" s="12">
        <f>ADZ62+ADZ61+ADZ60+MAX(0,AED61-ADZ61-ADZ60)*(1-ADR62)</f>
        <v/>
      </c>
      <c r="AEE62" s="12">
        <f>AEE61+AEA62-AEA50*(AnnualChurn*VLOOKUP(ADN62,ChurnSeasonTable,4,FALSE))*POWER(1-(AnnualChurn*VLOOKUP(ADN62,ChurnSeasonTable,4,FALSE)),0)+AEA38*(AnnualChurn*VLOOKUP(ADN62,ChurnSeasonTable,4,FALSE))*POWER(1-(AnnualChurn*VLOOKUP(ADN62,ChurnSeasonTable,4,FALSE)),1)+AEA26*(AnnualChurn*VLOOKUP(ADN62,ChurnSeasonTable,4,FALSE))*POWER(1-(AnnualChurn*VLOOKUP(ADN62,ChurnSeasonTable,4,FALSE)),2)+AEA14*(AnnualChurn*VLOOKUP(ADN62,ChurnSeasonTable,4,FALSE))*POWER(1-(AnnualChurn*VLOOKUP(ADN62,ChurnSeasonTable,4,FALSE)),3)</f>
        <v/>
      </c>
      <c r="AEF62" s="12">
        <f>AEF61+AEB62-AEB50*(AnnualChurn*VLOOKUP(ADN62,ChurnSeasonTable,4,FALSE))*POWER(1-(AnnualChurn*VLOOKUP(ADN62,ChurnSeasonTable,4,FALSE)),0)+AEB38*(AnnualChurn*VLOOKUP(ADN62,ChurnSeasonTable,4,FALSE))*POWER(1-(AnnualChurn*VLOOKUP(ADN62,ChurnSeasonTable,4,FALSE)),1)+AEB26*(AnnualChurn*VLOOKUP(ADN62,ChurnSeasonTable,4,FALSE))*POWER(1-(AnnualChurn*VLOOKUP(ADN62,ChurnSeasonTable,4,FALSE)),2)+AEB14*(AnnualChurn*VLOOKUP(ADN62,ChurnSeasonTable,4,FALSE))*POWER(1-(AnnualChurn*VLOOKUP(ADN62,ChurnSeasonTable,4,FALSE)),3)</f>
        <v/>
      </c>
      <c r="AEG62" s="12">
        <f>AEC62+AED62+AEE62+AEF62</f>
        <v/>
      </c>
      <c r="AEH62" s="9">
        <f>AEC62*PriceEssMonthly*ADQ62+AED62*PricePremMonthly*ADQ62+AEE62*PriceEssAnnual*ADQ62/12+AEF62*PricePremAnnual*ADQ62/12</f>
        <v/>
      </c>
      <c r="AEI62" s="9">
        <f>AEH62*12</f>
        <v/>
      </c>
      <c r="AEJ62" s="12">
        <f>AEC62*PriceEssMonthly*ADQ62+AED62*PricePremMonthly*ADQ62</f>
        <v/>
      </c>
      <c r="AEK62" s="12">
        <f>AEA62*PriceEssAnnual*ADQ62+AEB62*PricePremAnnual*ADQ62</f>
        <v/>
      </c>
      <c r="AEL62" s="12">
        <f>AEA50*POWER(1-(AnnualChurn*VLOOKUP(ADN62,ChurnSeasonTable,4,FALSE)),1)*PriceEssAnnual*ADQ62+AEA38*POWER(1-(AnnualChurn*VLOOKUP(ADN62,ChurnSeasonTable,4,FALSE)),2)*PriceEssAnnual*ADQ62+AEA26*POWER(1-(AnnualChurn*VLOOKUP(ADN62,ChurnSeasonTable,4,FALSE)),3)*PriceEssAnnual*ADQ62+AEA14*POWER(1-(AnnualChurn*VLOOKUP(ADN62,ChurnSeasonTable,4,FALSE)),4)*PriceEssAnnual*ADQ62+AEB50*POWER(1-(AnnualChurn*VLOOKUP(ADN62,ChurnSeasonTable,4,FALSE)),1)*PricePremAnnual*ADQ62+AEB38*POWER(1-(AnnualChurn*VLOOKUP(ADN62,ChurnSeasonTable,4,FALSE)),2)*PricePremAnnual*ADQ62+AEB26*POWER(1-(AnnualChurn*VLOOKUP(ADN62,ChurnSeasonTable,4,FALSE)),3)*PricePremAnnual*ADQ62+AEB14*POWER(1-(AnnualChurn*VLOOKUP(ADN62,ChurnSeasonTable,4,FALSE)),4)*PricePremAnnual*ADQ62</f>
        <v/>
      </c>
      <c r="AEM62" s="9">
        <f>AEJ62+AEK62+AEL62</f>
        <v/>
      </c>
      <c r="AEN62" s="12">
        <f>SUM(AEM51:AEM62)</f>
        <v/>
      </c>
      <c r="AEO62" s="12">
        <f>OR(AEO61,AEN62&gt;=VATThreshold)</f>
        <v/>
      </c>
      <c r="AEP62" s="9">
        <f>IF(AEO62,AEM62/(1+VATRate),AEM62)</f>
        <v/>
      </c>
      <c r="AEQ62" s="12">
        <f>AEM62-AEP62</f>
        <v/>
      </c>
      <c r="AER62" s="12">
        <f>IF(AEO62=0,0,IF(ADN62=1,SUMPRODUCT(--(($ADO$5:$ADO62=$ADO62-1)*($ADN$5:$ADN62&gt;=10)*($ADN$5:$ADN62&lt;=12)),$AEQ$5:$AEQ62),IF(ADN62=4,SUMPRODUCT(--(($ADO$5:$ADO62=$ADO62)*($ADN$5:$ADN62&gt;=1)*($ADN$5:$ADN62&lt;=3)),$AEQ$5:$AEQ62),IF(ADN62=7,SUMPRODUCT(--(($ADO$5:$ADO62=$ADO62)*($ADN$5:$ADN62&gt;=4)*($ADN$5:$ADN62&lt;=6)),$AEQ$5:$AEQ62),IF(ADN62=10,SUMPRODUCT(--(($ADO$5:$ADO62=$ADO62)*($ADN$5:$ADN62&gt;=7)*($ADN$5:$ADN62&lt;=9)),$AEQ$5:$AEQ62),0)))))</f>
        <v/>
      </c>
      <c r="AES62" s="12">
        <f>AES61+AEQ62-AER62</f>
        <v/>
      </c>
      <c r="AET62" s="12">
        <f>IF(ProviderDelay&gt;=1,AEP61*ProviderShare,AEP62*ProviderShare)</f>
        <v/>
      </c>
      <c r="AEU62" s="12">
        <f>AEM62*PaymentFee</f>
        <v/>
      </c>
      <c r="AEV62" s="12">
        <f>AEG62*OpsAI</f>
        <v/>
      </c>
      <c r="AEW62" s="12">
        <f>MonthlyFixed</f>
        <v/>
      </c>
      <c r="AEX62" s="12">
        <f>ADU62*ReferralReward</f>
        <v/>
      </c>
      <c r="AEY62" s="12">
        <f>ADS62</f>
        <v/>
      </c>
      <c r="AEZ62" s="9">
        <f>AEP62-AET62-AEU62-AEV62-AEW62-AEX62-AEY62</f>
        <v/>
      </c>
      <c r="AFA62" s="9">
        <f>AFA61+AEM62-(AET62+AEU62+AEV62+AEW62+AEX62+AEY62+AER62)</f>
        <v/>
      </c>
      <c r="AFB62" s="12">
        <f>IF(AEG62&gt;0,AEH62/AEG62,0)</f>
        <v/>
      </c>
      <c r="AFC62" s="11">
        <f>IF(AEG61&gt;0,MAX(0,(AEG61+ADV62-AEG62)/AEG61),0)</f>
        <v/>
      </c>
      <c r="AFE62" s="12" t="n">
        <v>58</v>
      </c>
      <c r="AFF62" s="12">
        <f>MOD(AFE62-1+LaunchMonth-1,12)+1</f>
        <v/>
      </c>
      <c r="AFG62" s="12">
        <f>INT((AFE62-1+LaunchMonth-1)/12)+1</f>
        <v/>
      </c>
      <c r="AFH62" s="12">
        <f>VLOOKUP(AFF62,SeasonTable,2,FALSE)</f>
        <v/>
      </c>
      <c r="AFI62" s="12">
        <f>(1+InflationRate)^INT((AFE62-1)/12)</f>
        <v/>
      </c>
      <c r="AFJ62" s="11">
        <f>MonthlyChurn*VLOOKUP(AFF62,ChurnSeasonTable,4,FALSE)</f>
        <v/>
      </c>
      <c r="AFK62" s="12">
        <f>MIN(MAX(MktMin19plus,AGE61*MktPct19plus),MAX(0,AGS61-CashBuffer))</f>
        <v/>
      </c>
      <c r="AFL62" s="12">
        <f>IF(AFK62&gt;0,MAX(1,ROUND(AFK62/'Sens - CAC &amp; Marketing'!$A$9*AFH62,0)),0)</f>
        <v/>
      </c>
      <c r="AFM62" s="12">
        <f>IF(AFL62&gt;0,ROUND(AFL62*ReferralMix/(1-ReferralMix),0),0)</f>
        <v/>
      </c>
      <c r="AFN62" s="12">
        <f>AFL62+AFM62</f>
        <v/>
      </c>
      <c r="AFO62" s="12">
        <f>ROUND(AFN62*(1-AnnualMix),0)</f>
        <v/>
      </c>
      <c r="AFP62" s="12">
        <f>AFN62-AFO62</f>
        <v/>
      </c>
      <c r="AFQ62" s="12">
        <f>ROUND(AFO62*EssentialMix,0)</f>
        <v/>
      </c>
      <c r="AFR62" s="12">
        <f>AFO62-AFQ62</f>
        <v/>
      </c>
      <c r="AFS62" s="12">
        <f>ROUND(AFP62*EssentialMix,0)</f>
        <v/>
      </c>
      <c r="AFT62" s="12">
        <f>AFP62-AFS62</f>
        <v/>
      </c>
      <c r="AFU62" s="12">
        <f>AFQ62+AFQ61+AFQ60+MAX(0,AFU61-AFQ61-AFQ60)*(1-AFJ62)</f>
        <v/>
      </c>
      <c r="AFV62" s="12">
        <f>AFR62+AFR61+AFR60+MAX(0,AFV61-AFR61-AFR60)*(1-AFJ62)</f>
        <v/>
      </c>
      <c r="AFW62" s="12">
        <f>AFW61+AFS62-AFS50*(AnnualChurn*VLOOKUP(AFF62,ChurnSeasonTable,4,FALSE))*POWER(1-(AnnualChurn*VLOOKUP(AFF62,ChurnSeasonTable,4,FALSE)),0)+AFS38*(AnnualChurn*VLOOKUP(AFF62,ChurnSeasonTable,4,FALSE))*POWER(1-(AnnualChurn*VLOOKUP(AFF62,ChurnSeasonTable,4,FALSE)),1)+AFS26*(AnnualChurn*VLOOKUP(AFF62,ChurnSeasonTable,4,FALSE))*POWER(1-(AnnualChurn*VLOOKUP(AFF62,ChurnSeasonTable,4,FALSE)),2)+AFS14*(AnnualChurn*VLOOKUP(AFF62,ChurnSeasonTable,4,FALSE))*POWER(1-(AnnualChurn*VLOOKUP(AFF62,ChurnSeasonTable,4,FALSE)),3)</f>
        <v/>
      </c>
      <c r="AFX62" s="12">
        <f>AFX61+AFT62-AFT50*(AnnualChurn*VLOOKUP(AFF62,ChurnSeasonTable,4,FALSE))*POWER(1-(AnnualChurn*VLOOKUP(AFF62,ChurnSeasonTable,4,FALSE)),0)+AFT38*(AnnualChurn*VLOOKUP(AFF62,ChurnSeasonTable,4,FALSE))*POWER(1-(AnnualChurn*VLOOKUP(AFF62,ChurnSeasonTable,4,FALSE)),1)+AFT26*(AnnualChurn*VLOOKUP(AFF62,ChurnSeasonTable,4,FALSE))*POWER(1-(AnnualChurn*VLOOKUP(AFF62,ChurnSeasonTable,4,FALSE)),2)+AFT14*(AnnualChurn*VLOOKUP(AFF62,ChurnSeasonTable,4,FALSE))*POWER(1-(AnnualChurn*VLOOKUP(AFF62,ChurnSeasonTable,4,FALSE)),3)</f>
        <v/>
      </c>
      <c r="AFY62" s="12">
        <f>AFU62+AFV62+AFW62+AFX62</f>
        <v/>
      </c>
      <c r="AFZ62" s="9">
        <f>AFU62*PriceEssMonthly*AFI62+AFV62*PricePremMonthly*AFI62+AFW62*PriceEssAnnual*AFI62/12+AFX62*PricePremAnnual*AFI62/12</f>
        <v/>
      </c>
      <c r="AGA62" s="9">
        <f>AFZ62*12</f>
        <v/>
      </c>
      <c r="AGB62" s="12">
        <f>AFU62*PriceEssMonthly*AFI62+AFV62*PricePremMonthly*AFI62</f>
        <v/>
      </c>
      <c r="AGC62" s="12">
        <f>AFS62*PriceEssAnnual*AFI62+AFT62*PricePremAnnual*AFI62</f>
        <v/>
      </c>
      <c r="AGD62" s="12">
        <f>AFS50*POWER(1-(AnnualChurn*VLOOKUP(AFF62,ChurnSeasonTable,4,FALSE)),1)*PriceEssAnnual*AFI62+AFS38*POWER(1-(AnnualChurn*VLOOKUP(AFF62,ChurnSeasonTable,4,FALSE)),2)*PriceEssAnnual*AFI62+AFS26*POWER(1-(AnnualChurn*VLOOKUP(AFF62,ChurnSeasonTable,4,FALSE)),3)*PriceEssAnnual*AFI62+AFS14*POWER(1-(AnnualChurn*VLOOKUP(AFF62,ChurnSeasonTable,4,FALSE)),4)*PriceEssAnnual*AFI62+AFT50*POWER(1-(AnnualChurn*VLOOKUP(AFF62,ChurnSeasonTable,4,FALSE)),1)*PricePremAnnual*AFI62+AFT38*POWER(1-(AnnualChurn*VLOOKUP(AFF62,ChurnSeasonTable,4,FALSE)),2)*PricePremAnnual*AFI62+AFT26*POWER(1-(AnnualChurn*VLOOKUP(AFF62,ChurnSeasonTable,4,FALSE)),3)*PricePremAnnual*AFI62+AFT14*POWER(1-(AnnualChurn*VLOOKUP(AFF62,ChurnSeasonTable,4,FALSE)),4)*PricePremAnnual*AFI62</f>
        <v/>
      </c>
      <c r="AGE62" s="9">
        <f>AGB62+AGC62+AGD62</f>
        <v/>
      </c>
      <c r="AGF62" s="12">
        <f>SUM(AGE51:AGE62)</f>
        <v/>
      </c>
      <c r="AGG62" s="12">
        <f>OR(AGG61,AGF62&gt;=VATThreshold)</f>
        <v/>
      </c>
      <c r="AGH62" s="9">
        <f>IF(AGG62,AGE62/(1+VATRate),AGE62)</f>
        <v/>
      </c>
      <c r="AGI62" s="12">
        <f>AGE62-AGH62</f>
        <v/>
      </c>
      <c r="AGJ62" s="12">
        <f>IF(AGG62=0,0,IF(AFF62=1,SUMPRODUCT(--(($AFG$5:$AFG62=$AFG62-1)*($AFF$5:$AFF62&gt;=10)*($AFF$5:$AFF62&lt;=12)),$AGI$5:$AGI62),IF(AFF62=4,SUMPRODUCT(--(($AFG$5:$AFG62=$AFG62)*($AFF$5:$AFF62&gt;=1)*($AFF$5:$AFF62&lt;=3)),$AGI$5:$AGI62),IF(AFF62=7,SUMPRODUCT(--(($AFG$5:$AFG62=$AFG62)*($AFF$5:$AFF62&gt;=4)*($AFF$5:$AFF62&lt;=6)),$AGI$5:$AGI62),IF(AFF62=10,SUMPRODUCT(--(($AFG$5:$AFG62=$AFG62)*($AFF$5:$AFF62&gt;=7)*($AFF$5:$AFF62&lt;=9)),$AGI$5:$AGI62),0)))))</f>
        <v/>
      </c>
      <c r="AGK62" s="12">
        <f>AGK61+AGI62-AGJ62</f>
        <v/>
      </c>
      <c r="AGL62" s="12">
        <f>IF(ProviderDelay&gt;=1,AGH61*ProviderShare,AGH62*ProviderShare)</f>
        <v/>
      </c>
      <c r="AGM62" s="12">
        <f>AGE62*PaymentFee</f>
        <v/>
      </c>
      <c r="AGN62" s="12">
        <f>AFY62*OpsAI</f>
        <v/>
      </c>
      <c r="AGO62" s="12">
        <f>MonthlyFixed</f>
        <v/>
      </c>
      <c r="AGP62" s="12">
        <f>AFM62*ReferralReward</f>
        <v/>
      </c>
      <c r="AGQ62" s="12">
        <f>AFK62</f>
        <v/>
      </c>
      <c r="AGR62" s="9">
        <f>AGH62-AGL62-AGM62-AGN62-AGO62-AGP62-AGQ62</f>
        <v/>
      </c>
      <c r="AGS62" s="9">
        <f>AGS61+AGE62-(AGL62+AGM62+AGN62+AGO62+AGP62+AGQ62+AGJ62)</f>
        <v/>
      </c>
      <c r="AGT62" s="12">
        <f>IF(AFY62&gt;0,AFZ62/AFY62,0)</f>
        <v/>
      </c>
      <c r="AGU62" s="11">
        <f>IF(AFY61&gt;0,MAX(0,(AFY61+AFN62-AFY62)/AFY61),0)</f>
        <v/>
      </c>
      <c r="AGW62" s="12" t="n">
        <v>58</v>
      </c>
      <c r="AGX62" s="12">
        <f>MOD(AGW62-1+LaunchMonth-1,12)+1</f>
        <v/>
      </c>
      <c r="AGY62" s="12">
        <f>INT((AGW62-1+LaunchMonth-1)/12)+1</f>
        <v/>
      </c>
      <c r="AGZ62" s="12">
        <f>VLOOKUP(AGX62,SeasonTable,2,FALSE)</f>
        <v/>
      </c>
      <c r="AHA62" s="12">
        <f>(1+InflationRate)^INT((AGW62-1)/12)</f>
        <v/>
      </c>
      <c r="AHB62" s="11">
        <f>MonthlyChurn*VLOOKUP(AGX62,ChurnSeasonTable,4,FALSE)</f>
        <v/>
      </c>
      <c r="AHC62" s="12">
        <f>MIN(MAX(MktMin19plus,AHW61*MktPct19plus),MAX(0,AIK61-CashBuffer))</f>
        <v/>
      </c>
      <c r="AHD62" s="12">
        <f>IF(AHC62&gt;0,MAX(1,ROUND(AHC62/'Sens - CAC &amp; Marketing'!$A$10*AGZ62,0)),0)</f>
        <v/>
      </c>
      <c r="AHE62" s="12">
        <f>IF(AHD62&gt;0,ROUND(AHD62*ReferralMix/(1-ReferralMix),0),0)</f>
        <v/>
      </c>
      <c r="AHF62" s="12">
        <f>AHD62+AHE62</f>
        <v/>
      </c>
      <c r="AHG62" s="12">
        <f>ROUND(AHF62*(1-AnnualMix),0)</f>
        <v/>
      </c>
      <c r="AHH62" s="12">
        <f>AHF62-AHG62</f>
        <v/>
      </c>
      <c r="AHI62" s="12">
        <f>ROUND(AHG62*EssentialMix,0)</f>
        <v/>
      </c>
      <c r="AHJ62" s="12">
        <f>AHG62-AHI62</f>
        <v/>
      </c>
      <c r="AHK62" s="12">
        <f>ROUND(AHH62*EssentialMix,0)</f>
        <v/>
      </c>
      <c r="AHL62" s="12">
        <f>AHH62-AHK62</f>
        <v/>
      </c>
      <c r="AHM62" s="12">
        <f>AHI62+AHI61+AHI60+MAX(0,AHM61-AHI61-AHI60)*(1-AHB62)</f>
        <v/>
      </c>
      <c r="AHN62" s="12">
        <f>AHJ62+AHJ61+AHJ60+MAX(0,AHN61-AHJ61-AHJ60)*(1-AHB62)</f>
        <v/>
      </c>
      <c r="AHO62" s="12">
        <f>AHO61+AHK62-AHK50*(AnnualChurn*VLOOKUP(AGX62,ChurnSeasonTable,4,FALSE))*POWER(1-(AnnualChurn*VLOOKUP(AGX62,ChurnSeasonTable,4,FALSE)),0)+AHK38*(AnnualChurn*VLOOKUP(AGX62,ChurnSeasonTable,4,FALSE))*POWER(1-(AnnualChurn*VLOOKUP(AGX62,ChurnSeasonTable,4,FALSE)),1)+AHK26*(AnnualChurn*VLOOKUP(AGX62,ChurnSeasonTable,4,FALSE))*POWER(1-(AnnualChurn*VLOOKUP(AGX62,ChurnSeasonTable,4,FALSE)),2)+AHK14*(AnnualChurn*VLOOKUP(AGX62,ChurnSeasonTable,4,FALSE))*POWER(1-(AnnualChurn*VLOOKUP(AGX62,ChurnSeasonTable,4,FALSE)),3)</f>
        <v/>
      </c>
      <c r="AHP62" s="12">
        <f>AHP61+AHL62-AHL50*(AnnualChurn*VLOOKUP(AGX62,ChurnSeasonTable,4,FALSE))*POWER(1-(AnnualChurn*VLOOKUP(AGX62,ChurnSeasonTable,4,FALSE)),0)+AHL38*(AnnualChurn*VLOOKUP(AGX62,ChurnSeasonTable,4,FALSE))*POWER(1-(AnnualChurn*VLOOKUP(AGX62,ChurnSeasonTable,4,FALSE)),1)+AHL26*(AnnualChurn*VLOOKUP(AGX62,ChurnSeasonTable,4,FALSE))*POWER(1-(AnnualChurn*VLOOKUP(AGX62,ChurnSeasonTable,4,FALSE)),2)+AHL14*(AnnualChurn*VLOOKUP(AGX62,ChurnSeasonTable,4,FALSE))*POWER(1-(AnnualChurn*VLOOKUP(AGX62,ChurnSeasonTable,4,FALSE)),3)</f>
        <v/>
      </c>
      <c r="AHQ62" s="12">
        <f>AHM62+AHN62+AHO62+AHP62</f>
        <v/>
      </c>
      <c r="AHR62" s="9">
        <f>AHM62*PriceEssMonthly*AHA62+AHN62*PricePremMonthly*AHA62+AHO62*PriceEssAnnual*AHA62/12+AHP62*PricePremAnnual*AHA62/12</f>
        <v/>
      </c>
      <c r="AHS62" s="9">
        <f>AHR62*12</f>
        <v/>
      </c>
      <c r="AHT62" s="12">
        <f>AHM62*PriceEssMonthly*AHA62+AHN62*PricePremMonthly*AHA62</f>
        <v/>
      </c>
      <c r="AHU62" s="12">
        <f>AHK62*PriceEssAnnual*AHA62+AHL62*PricePremAnnual*AHA62</f>
        <v/>
      </c>
      <c r="AHV62" s="12">
        <f>AHK50*POWER(1-(AnnualChurn*VLOOKUP(AGX62,ChurnSeasonTable,4,FALSE)),1)*PriceEssAnnual*AHA62+AHK38*POWER(1-(AnnualChurn*VLOOKUP(AGX62,ChurnSeasonTable,4,FALSE)),2)*PriceEssAnnual*AHA62+AHK26*POWER(1-(AnnualChurn*VLOOKUP(AGX62,ChurnSeasonTable,4,FALSE)),3)*PriceEssAnnual*AHA62+AHK14*POWER(1-(AnnualChurn*VLOOKUP(AGX62,ChurnSeasonTable,4,FALSE)),4)*PriceEssAnnual*AHA62+AHL50*POWER(1-(AnnualChurn*VLOOKUP(AGX62,ChurnSeasonTable,4,FALSE)),1)*PricePremAnnual*AHA62+AHL38*POWER(1-(AnnualChurn*VLOOKUP(AGX62,ChurnSeasonTable,4,FALSE)),2)*PricePremAnnual*AHA62+AHL26*POWER(1-(AnnualChurn*VLOOKUP(AGX62,ChurnSeasonTable,4,FALSE)),3)*PricePremAnnual*AHA62+AHL14*POWER(1-(AnnualChurn*VLOOKUP(AGX62,ChurnSeasonTable,4,FALSE)),4)*PricePremAnnual*AHA62</f>
        <v/>
      </c>
      <c r="AHW62" s="9">
        <f>AHT62+AHU62+AHV62</f>
        <v/>
      </c>
      <c r="AHX62" s="12">
        <f>SUM(AHW51:AHW62)</f>
        <v/>
      </c>
      <c r="AHY62" s="12">
        <f>OR(AHY61,AHX62&gt;=VATThreshold)</f>
        <v/>
      </c>
      <c r="AHZ62" s="9">
        <f>IF(AHY62,AHW62/(1+VATRate),AHW62)</f>
        <v/>
      </c>
      <c r="AIA62" s="12">
        <f>AHW62-AHZ62</f>
        <v/>
      </c>
      <c r="AIB62" s="12">
        <f>IF(AHY62=0,0,IF(AGX62=1,SUMPRODUCT(--(($AGY$5:$AGY62=$AGY62-1)*($AGX$5:$AGX62&gt;=10)*($AGX$5:$AGX62&lt;=12)),$AIA$5:$AIA62),IF(AGX62=4,SUMPRODUCT(--(($AGY$5:$AGY62=$AGY62)*($AGX$5:$AGX62&gt;=1)*($AGX$5:$AGX62&lt;=3)),$AIA$5:$AIA62),IF(AGX62=7,SUMPRODUCT(--(($AGY$5:$AGY62=$AGY62)*($AGX$5:$AGX62&gt;=4)*($AGX$5:$AGX62&lt;=6)),$AIA$5:$AIA62),IF(AGX62=10,SUMPRODUCT(--(($AGY$5:$AGY62=$AGY62)*($AGX$5:$AGX62&gt;=7)*($AGX$5:$AGX62&lt;=9)),$AIA$5:$AIA62),0)))))</f>
        <v/>
      </c>
      <c r="AIC62" s="12">
        <f>AIC61+AIA62-AIB62</f>
        <v/>
      </c>
      <c r="AID62" s="12">
        <f>IF(ProviderDelay&gt;=1,AHZ61*ProviderShare,AHZ62*ProviderShare)</f>
        <v/>
      </c>
      <c r="AIE62" s="12">
        <f>AHW62*PaymentFee</f>
        <v/>
      </c>
      <c r="AIF62" s="12">
        <f>AHQ62*OpsAI</f>
        <v/>
      </c>
      <c r="AIG62" s="12">
        <f>MonthlyFixed</f>
        <v/>
      </c>
      <c r="AIH62" s="12">
        <f>AHE62*ReferralReward</f>
        <v/>
      </c>
      <c r="AII62" s="12">
        <f>AHC62</f>
        <v/>
      </c>
      <c r="AIJ62" s="9">
        <f>AHZ62-AID62-AIE62-AIF62-AIG62-AIH62-AII62</f>
        <v/>
      </c>
      <c r="AIK62" s="9">
        <f>AIK61+AHW62-(AID62+AIE62+AIF62+AIG62+AIH62+AII62+AIB62)</f>
        <v/>
      </c>
      <c r="AIL62" s="12">
        <f>IF(AHQ62&gt;0,AHR62/AHQ62,0)</f>
        <v/>
      </c>
      <c r="AIM62" s="11">
        <f>IF(AHQ61&gt;0,MAX(0,(AHQ61+AHF62-AHQ62)/AHQ61),0)</f>
        <v/>
      </c>
      <c r="AIO62" s="12" t="n">
        <v>58</v>
      </c>
      <c r="AIP62" s="12">
        <f>MOD(AIO62-1+LaunchMonth-1,12)+1</f>
        <v/>
      </c>
      <c r="AIQ62" s="12">
        <f>INT((AIO62-1+LaunchMonth-1)/12)+1</f>
        <v/>
      </c>
      <c r="AIR62" s="12">
        <f>VLOOKUP(AIP62,SeasonTable,2,FALSE)</f>
        <v/>
      </c>
      <c r="AIS62" s="12">
        <f>(1+InflationRate)^INT((AIO62-1)/12)</f>
        <v/>
      </c>
      <c r="AIT62" s="11">
        <f>MonthlyChurn*VLOOKUP(AIP62,ChurnSeasonTable,4,FALSE)</f>
        <v/>
      </c>
      <c r="AIU62" s="12">
        <f>MIN(MAX(MktMin19plus,AJO61*MktPct19plus),MAX(0,AKC61-CashBuffer))</f>
        <v/>
      </c>
      <c r="AIV62" s="12">
        <f>IF(AIU62&gt;0,MAX(1,ROUND(AIU62/'Sens - CAC &amp; Marketing'!$A$11*AIR62,0)),0)</f>
        <v/>
      </c>
      <c r="AIW62" s="12">
        <f>IF(AIV62&gt;0,ROUND(AIV62*ReferralMix/(1-ReferralMix),0),0)</f>
        <v/>
      </c>
      <c r="AIX62" s="12">
        <f>AIV62+AIW62</f>
        <v/>
      </c>
      <c r="AIY62" s="12">
        <f>ROUND(AIX62*(1-AnnualMix),0)</f>
        <v/>
      </c>
      <c r="AIZ62" s="12">
        <f>AIX62-AIY62</f>
        <v/>
      </c>
      <c r="AJA62" s="12">
        <f>ROUND(AIY62*EssentialMix,0)</f>
        <v/>
      </c>
      <c r="AJB62" s="12">
        <f>AIY62-AJA62</f>
        <v/>
      </c>
      <c r="AJC62" s="12">
        <f>ROUND(AIZ62*EssentialMix,0)</f>
        <v/>
      </c>
      <c r="AJD62" s="12">
        <f>AIZ62-AJC62</f>
        <v/>
      </c>
      <c r="AJE62" s="12">
        <f>AJA62+AJA61+AJA60+MAX(0,AJE61-AJA61-AJA60)*(1-AIT62)</f>
        <v/>
      </c>
      <c r="AJF62" s="12">
        <f>AJB62+AJB61+AJB60+MAX(0,AJF61-AJB61-AJB60)*(1-AIT62)</f>
        <v/>
      </c>
      <c r="AJG62" s="12">
        <f>AJG61+AJC62-AJC50*(AnnualChurn*VLOOKUP(AIP62,ChurnSeasonTable,4,FALSE))*POWER(1-(AnnualChurn*VLOOKUP(AIP62,ChurnSeasonTable,4,FALSE)),0)+AJC38*(AnnualChurn*VLOOKUP(AIP62,ChurnSeasonTable,4,FALSE))*POWER(1-(AnnualChurn*VLOOKUP(AIP62,ChurnSeasonTable,4,FALSE)),1)+AJC26*(AnnualChurn*VLOOKUP(AIP62,ChurnSeasonTable,4,FALSE))*POWER(1-(AnnualChurn*VLOOKUP(AIP62,ChurnSeasonTable,4,FALSE)),2)+AJC14*(AnnualChurn*VLOOKUP(AIP62,ChurnSeasonTable,4,FALSE))*POWER(1-(AnnualChurn*VLOOKUP(AIP62,ChurnSeasonTable,4,FALSE)),3)</f>
        <v/>
      </c>
      <c r="AJH62" s="12">
        <f>AJH61+AJD62-AJD50*(AnnualChurn*VLOOKUP(AIP62,ChurnSeasonTable,4,FALSE))*POWER(1-(AnnualChurn*VLOOKUP(AIP62,ChurnSeasonTable,4,FALSE)),0)+AJD38*(AnnualChurn*VLOOKUP(AIP62,ChurnSeasonTable,4,FALSE))*POWER(1-(AnnualChurn*VLOOKUP(AIP62,ChurnSeasonTable,4,FALSE)),1)+AJD26*(AnnualChurn*VLOOKUP(AIP62,ChurnSeasonTable,4,FALSE))*POWER(1-(AnnualChurn*VLOOKUP(AIP62,ChurnSeasonTable,4,FALSE)),2)+AJD14*(AnnualChurn*VLOOKUP(AIP62,ChurnSeasonTable,4,FALSE))*POWER(1-(AnnualChurn*VLOOKUP(AIP62,ChurnSeasonTable,4,FALSE)),3)</f>
        <v/>
      </c>
      <c r="AJI62" s="12">
        <f>AJE62+AJF62+AJG62+AJH62</f>
        <v/>
      </c>
      <c r="AJJ62" s="9">
        <f>AJE62*PriceEssMonthly*AIS62+AJF62*PricePremMonthly*AIS62+AJG62*PriceEssAnnual*AIS62/12+AJH62*PricePremAnnual*AIS62/12</f>
        <v/>
      </c>
      <c r="AJK62" s="9">
        <f>AJJ62*12</f>
        <v/>
      </c>
      <c r="AJL62" s="12">
        <f>AJE62*PriceEssMonthly*AIS62+AJF62*PricePremMonthly*AIS62</f>
        <v/>
      </c>
      <c r="AJM62" s="12">
        <f>AJC62*PriceEssAnnual*AIS62+AJD62*PricePremAnnual*AIS62</f>
        <v/>
      </c>
      <c r="AJN62" s="12">
        <f>AJC50*POWER(1-(AnnualChurn*VLOOKUP(AIP62,ChurnSeasonTable,4,FALSE)),1)*PriceEssAnnual*AIS62+AJC38*POWER(1-(AnnualChurn*VLOOKUP(AIP62,ChurnSeasonTable,4,FALSE)),2)*PriceEssAnnual*AIS62+AJC26*POWER(1-(AnnualChurn*VLOOKUP(AIP62,ChurnSeasonTable,4,FALSE)),3)*PriceEssAnnual*AIS62+AJC14*POWER(1-(AnnualChurn*VLOOKUP(AIP62,ChurnSeasonTable,4,FALSE)),4)*PriceEssAnnual*AIS62+AJD50*POWER(1-(AnnualChurn*VLOOKUP(AIP62,ChurnSeasonTable,4,FALSE)),1)*PricePremAnnual*AIS62+AJD38*POWER(1-(AnnualChurn*VLOOKUP(AIP62,ChurnSeasonTable,4,FALSE)),2)*PricePremAnnual*AIS62+AJD26*POWER(1-(AnnualChurn*VLOOKUP(AIP62,ChurnSeasonTable,4,FALSE)),3)*PricePremAnnual*AIS62+AJD14*POWER(1-(AnnualChurn*VLOOKUP(AIP62,ChurnSeasonTable,4,FALSE)),4)*PricePremAnnual*AIS62</f>
        <v/>
      </c>
      <c r="AJO62" s="9">
        <f>AJL62+AJM62+AJN62</f>
        <v/>
      </c>
      <c r="AJP62" s="12">
        <f>SUM(AJO51:AJO62)</f>
        <v/>
      </c>
      <c r="AJQ62" s="12">
        <f>OR(AJQ61,AJP62&gt;=VATThreshold)</f>
        <v/>
      </c>
      <c r="AJR62" s="9">
        <f>IF(AJQ62,AJO62/(1+VATRate),AJO62)</f>
        <v/>
      </c>
      <c r="AJS62" s="12">
        <f>AJO62-AJR62</f>
        <v/>
      </c>
      <c r="AJT62" s="12">
        <f>IF(AJQ62=0,0,IF(AIP62=1,SUMPRODUCT(--(($AIQ$5:$AIQ62=$AIQ62-1)*($AIP$5:$AIP62&gt;=10)*($AIP$5:$AIP62&lt;=12)),$AJS$5:$AJS62),IF(AIP62=4,SUMPRODUCT(--(($AIQ$5:$AIQ62=$AIQ62)*($AIP$5:$AIP62&gt;=1)*($AIP$5:$AIP62&lt;=3)),$AJS$5:$AJS62),IF(AIP62=7,SUMPRODUCT(--(($AIQ$5:$AIQ62=$AIQ62)*($AIP$5:$AIP62&gt;=4)*($AIP$5:$AIP62&lt;=6)),$AJS$5:$AJS62),IF(AIP62=10,SUMPRODUCT(--(($AIQ$5:$AIQ62=$AIQ62)*($AIP$5:$AIP62&gt;=7)*($AIP$5:$AIP62&lt;=9)),$AJS$5:$AJS62),0)))))</f>
        <v/>
      </c>
      <c r="AJU62" s="12">
        <f>AJU61+AJS62-AJT62</f>
        <v/>
      </c>
      <c r="AJV62" s="12">
        <f>IF(ProviderDelay&gt;=1,AJR61*ProviderShare,AJR62*ProviderShare)</f>
        <v/>
      </c>
      <c r="AJW62" s="12">
        <f>AJO62*PaymentFee</f>
        <v/>
      </c>
      <c r="AJX62" s="12">
        <f>AJI62*OpsAI</f>
        <v/>
      </c>
      <c r="AJY62" s="12">
        <f>MonthlyFixed</f>
        <v/>
      </c>
      <c r="AJZ62" s="12">
        <f>AIW62*ReferralReward</f>
        <v/>
      </c>
      <c r="AKA62" s="12">
        <f>AIU62</f>
        <v/>
      </c>
      <c r="AKB62" s="9">
        <f>AJR62-AJV62-AJW62-AJX62-AJY62-AJZ62-AKA62</f>
        <v/>
      </c>
      <c r="AKC62" s="9">
        <f>AKC61+AJO62-(AJV62+AJW62+AJX62+AJY62+AJZ62+AKA62+AJT62)</f>
        <v/>
      </c>
      <c r="AKD62" s="12">
        <f>IF(AJI62&gt;0,AJJ62/AJI62,0)</f>
        <v/>
      </c>
      <c r="AKE62" s="11">
        <f>IF(AJI61&gt;0,MAX(0,(AJI61+AIX62-AJI62)/AJI61),0)</f>
        <v/>
      </c>
      <c r="AKG62" s="12" t="n">
        <v>58</v>
      </c>
      <c r="AKH62" s="12">
        <f>MOD(AKG62-1+LaunchMonth-1,12)+1</f>
        <v/>
      </c>
      <c r="AKI62" s="12">
        <f>INT((AKG62-1+LaunchMonth-1)/12)+1</f>
        <v/>
      </c>
      <c r="AKJ62" s="12">
        <f>VLOOKUP(AKH62,SeasonTable,2,FALSE)</f>
        <v/>
      </c>
      <c r="AKK62" s="12">
        <f>(1+InflationRate)^INT((AKG62-1)/12)</f>
        <v/>
      </c>
      <c r="AKL62" s="11">
        <f>MonthlyChurn*VLOOKUP(AKH62,ChurnSeasonTable,4,FALSE)</f>
        <v/>
      </c>
      <c r="AKM62" s="12">
        <f>MIN(MAX(MktMin19plus,ALG61*MktPct19plus),MAX(0,ALU61-CashBuffer))</f>
        <v/>
      </c>
      <c r="AKN62" s="12">
        <f>IF(AKM62&gt;0,MAX(1,ROUND(AKM62/'Sens - CAC &amp; Marketing'!$A$12*AKJ62,0)),0)</f>
        <v/>
      </c>
      <c r="AKO62" s="12">
        <f>IF(AKN62&gt;0,ROUND(AKN62*ReferralMix/(1-ReferralMix),0),0)</f>
        <v/>
      </c>
      <c r="AKP62" s="12">
        <f>AKN62+AKO62</f>
        <v/>
      </c>
      <c r="AKQ62" s="12">
        <f>ROUND(AKP62*(1-AnnualMix),0)</f>
        <v/>
      </c>
      <c r="AKR62" s="12">
        <f>AKP62-AKQ62</f>
        <v/>
      </c>
      <c r="AKS62" s="12">
        <f>ROUND(AKQ62*EssentialMix,0)</f>
        <v/>
      </c>
      <c r="AKT62" s="12">
        <f>AKQ62-AKS62</f>
        <v/>
      </c>
      <c r="AKU62" s="12">
        <f>ROUND(AKR62*EssentialMix,0)</f>
        <v/>
      </c>
      <c r="AKV62" s="12">
        <f>AKR62-AKU62</f>
        <v/>
      </c>
      <c r="AKW62" s="12">
        <f>AKS62+AKS61+AKS60+MAX(0,AKW61-AKS61-AKS60)*(1-AKL62)</f>
        <v/>
      </c>
      <c r="AKX62" s="12">
        <f>AKT62+AKT61+AKT60+MAX(0,AKX61-AKT61-AKT60)*(1-AKL62)</f>
        <v/>
      </c>
      <c r="AKY62" s="12">
        <f>AKY61+AKU62-AKU50*(AnnualChurn*VLOOKUP(AKH62,ChurnSeasonTable,4,FALSE))*POWER(1-(AnnualChurn*VLOOKUP(AKH62,ChurnSeasonTable,4,FALSE)),0)+AKU38*(AnnualChurn*VLOOKUP(AKH62,ChurnSeasonTable,4,FALSE))*POWER(1-(AnnualChurn*VLOOKUP(AKH62,ChurnSeasonTable,4,FALSE)),1)+AKU26*(AnnualChurn*VLOOKUP(AKH62,ChurnSeasonTable,4,FALSE))*POWER(1-(AnnualChurn*VLOOKUP(AKH62,ChurnSeasonTable,4,FALSE)),2)+AKU14*(AnnualChurn*VLOOKUP(AKH62,ChurnSeasonTable,4,FALSE))*POWER(1-(AnnualChurn*VLOOKUP(AKH62,ChurnSeasonTable,4,FALSE)),3)</f>
        <v/>
      </c>
      <c r="AKZ62" s="12">
        <f>AKZ61+AKV62-AKV50*(AnnualChurn*VLOOKUP(AKH62,ChurnSeasonTable,4,FALSE))*POWER(1-(AnnualChurn*VLOOKUP(AKH62,ChurnSeasonTable,4,FALSE)),0)+AKV38*(AnnualChurn*VLOOKUP(AKH62,ChurnSeasonTable,4,FALSE))*POWER(1-(AnnualChurn*VLOOKUP(AKH62,ChurnSeasonTable,4,FALSE)),1)+AKV26*(AnnualChurn*VLOOKUP(AKH62,ChurnSeasonTable,4,FALSE))*POWER(1-(AnnualChurn*VLOOKUP(AKH62,ChurnSeasonTable,4,FALSE)),2)+AKV14*(AnnualChurn*VLOOKUP(AKH62,ChurnSeasonTable,4,FALSE))*POWER(1-(AnnualChurn*VLOOKUP(AKH62,ChurnSeasonTable,4,FALSE)),3)</f>
        <v/>
      </c>
      <c r="ALA62" s="12">
        <f>AKW62+AKX62+AKY62+AKZ62</f>
        <v/>
      </c>
      <c r="ALB62" s="9">
        <f>AKW62*PriceEssMonthly*AKK62+AKX62*PricePremMonthly*AKK62+AKY62*PriceEssAnnual*AKK62/12+AKZ62*PricePremAnnual*AKK62/12</f>
        <v/>
      </c>
      <c r="ALC62" s="9">
        <f>ALB62*12</f>
        <v/>
      </c>
      <c r="ALD62" s="12">
        <f>AKW62*PriceEssMonthly*AKK62+AKX62*PricePremMonthly*AKK62</f>
        <v/>
      </c>
      <c r="ALE62" s="12">
        <f>AKU62*PriceEssAnnual*AKK62+AKV62*PricePremAnnual*AKK62</f>
        <v/>
      </c>
      <c r="ALF62" s="12">
        <f>AKU50*POWER(1-(AnnualChurn*VLOOKUP(AKH62,ChurnSeasonTable,4,FALSE)),1)*PriceEssAnnual*AKK62+AKU38*POWER(1-(AnnualChurn*VLOOKUP(AKH62,ChurnSeasonTable,4,FALSE)),2)*PriceEssAnnual*AKK62+AKU26*POWER(1-(AnnualChurn*VLOOKUP(AKH62,ChurnSeasonTable,4,FALSE)),3)*PriceEssAnnual*AKK62+AKU14*POWER(1-(AnnualChurn*VLOOKUP(AKH62,ChurnSeasonTable,4,FALSE)),4)*PriceEssAnnual*AKK62+AKV50*POWER(1-(AnnualChurn*VLOOKUP(AKH62,ChurnSeasonTable,4,FALSE)),1)*PricePremAnnual*AKK62+AKV38*POWER(1-(AnnualChurn*VLOOKUP(AKH62,ChurnSeasonTable,4,FALSE)),2)*PricePremAnnual*AKK62+AKV26*POWER(1-(AnnualChurn*VLOOKUP(AKH62,ChurnSeasonTable,4,FALSE)),3)*PricePremAnnual*AKK62+AKV14*POWER(1-(AnnualChurn*VLOOKUP(AKH62,ChurnSeasonTable,4,FALSE)),4)*PricePremAnnual*AKK62</f>
        <v/>
      </c>
      <c r="ALG62" s="9">
        <f>ALD62+ALE62+ALF62</f>
        <v/>
      </c>
      <c r="ALH62" s="12">
        <f>SUM(ALG51:ALG62)</f>
        <v/>
      </c>
      <c r="ALI62" s="12">
        <f>OR(ALI61,ALH62&gt;=VATThreshold)</f>
        <v/>
      </c>
      <c r="ALJ62" s="9">
        <f>IF(ALI62,ALG62/(1+VATRate),ALG62)</f>
        <v/>
      </c>
      <c r="ALK62" s="12">
        <f>ALG62-ALJ62</f>
        <v/>
      </c>
      <c r="ALL62" s="12">
        <f>IF(ALI62=0,0,IF(AKH62=1,SUMPRODUCT(--(($AKI$5:$AKI62=$AKI62-1)*($AKH$5:$AKH62&gt;=10)*($AKH$5:$AKH62&lt;=12)),$ALK$5:$ALK62),IF(AKH62=4,SUMPRODUCT(--(($AKI$5:$AKI62=$AKI62)*($AKH$5:$AKH62&gt;=1)*($AKH$5:$AKH62&lt;=3)),$ALK$5:$ALK62),IF(AKH62=7,SUMPRODUCT(--(($AKI$5:$AKI62=$AKI62)*($AKH$5:$AKH62&gt;=4)*($AKH$5:$AKH62&lt;=6)),$ALK$5:$ALK62),IF(AKH62=10,SUMPRODUCT(--(($AKI$5:$AKI62=$AKI62)*($AKH$5:$AKH62&gt;=7)*($AKH$5:$AKH62&lt;=9)),$ALK$5:$ALK62),0)))))</f>
        <v/>
      </c>
      <c r="ALM62" s="12">
        <f>ALM61+ALK62-ALL62</f>
        <v/>
      </c>
      <c r="ALN62" s="12">
        <f>IF(ProviderDelay&gt;=1,ALJ61*ProviderShare,ALJ62*ProviderShare)</f>
        <v/>
      </c>
      <c r="ALO62" s="12">
        <f>ALG62*PaymentFee</f>
        <v/>
      </c>
      <c r="ALP62" s="12">
        <f>ALA62*OpsAI</f>
        <v/>
      </c>
      <c r="ALQ62" s="12">
        <f>MonthlyFixed</f>
        <v/>
      </c>
      <c r="ALR62" s="12">
        <f>AKO62*ReferralReward</f>
        <v/>
      </c>
      <c r="ALS62" s="12">
        <f>AKM62</f>
        <v/>
      </c>
      <c r="ALT62" s="9">
        <f>ALJ62-ALN62-ALO62-ALP62-ALQ62-ALR62-ALS62</f>
        <v/>
      </c>
      <c r="ALU62" s="9">
        <f>ALU61+ALG62-(ALN62+ALO62+ALP62+ALQ62+ALR62+ALS62+ALL62)</f>
        <v/>
      </c>
      <c r="ALV62" s="12">
        <f>IF(ALA62&gt;0,ALB62/ALA62,0)</f>
        <v/>
      </c>
      <c r="ALW62" s="11">
        <f>IF(ALA61&gt;0,MAX(0,(ALA61+AKP62-ALA62)/ALA61),0)</f>
        <v/>
      </c>
      <c r="ALY62" s="12" t="n">
        <v>58</v>
      </c>
      <c r="ALZ62" s="12">
        <f>MOD(ALY62-1+LaunchMonth-1,12)+1</f>
        <v/>
      </c>
      <c r="AMA62" s="12">
        <f>INT((ALY62-1+LaunchMonth-1)/12)+1</f>
        <v/>
      </c>
      <c r="AMB62" s="12">
        <f>VLOOKUP(ALZ62,SeasonTable,2,FALSE)</f>
        <v/>
      </c>
      <c r="AMC62" s="12">
        <f>(1+InflationRate)^INT((ALY62-1)/12)</f>
        <v/>
      </c>
      <c r="AMD62" s="11">
        <f>MonthlyChurn*VLOOKUP(ALZ62,ChurnSeasonTable,4,FALSE)</f>
        <v/>
      </c>
      <c r="AME62" s="12">
        <f>MIN(MAX(MktMin19plus,AMY61*MktPct19plus),MAX(0,ANM61-CashBuffer))</f>
        <v/>
      </c>
      <c r="AMF62" s="12">
        <f>IF(AME62&gt;0,MAX(1,ROUND(AME62/'Sens - CAC &amp; Marketing'!$A$13*AMB62,0)),0)</f>
        <v/>
      </c>
      <c r="AMG62" s="12">
        <f>IF(AMF62&gt;0,ROUND(AMF62*ReferralMix/(1-ReferralMix),0),0)</f>
        <v/>
      </c>
      <c r="AMH62" s="12">
        <f>AMF62+AMG62</f>
        <v/>
      </c>
      <c r="AMI62" s="12">
        <f>ROUND(AMH62*(1-AnnualMix),0)</f>
        <v/>
      </c>
      <c r="AMJ62" s="12">
        <f>AMH62-AMI62</f>
        <v/>
      </c>
      <c r="AMK62" s="12">
        <f>ROUND(AMI62*EssentialMix,0)</f>
        <v/>
      </c>
      <c r="AML62" s="12">
        <f>AMI62-AMK62</f>
        <v/>
      </c>
      <c r="AMM62" s="12">
        <f>ROUND(AMJ62*EssentialMix,0)</f>
        <v/>
      </c>
      <c r="AMN62" s="12">
        <f>AMJ62-AMM62</f>
        <v/>
      </c>
      <c r="AMO62" s="12">
        <f>AMK62+AMK61+AMK60+MAX(0,AMO61-AMK61-AMK60)*(1-AMD62)</f>
        <v/>
      </c>
      <c r="AMP62" s="12">
        <f>AML62+AML61+AML60+MAX(0,AMP61-AML61-AML60)*(1-AMD62)</f>
        <v/>
      </c>
      <c r="AMQ62" s="12">
        <f>AMQ61+AMM62-AMM50*(AnnualChurn*VLOOKUP(ALZ62,ChurnSeasonTable,4,FALSE))*POWER(1-(AnnualChurn*VLOOKUP(ALZ62,ChurnSeasonTable,4,FALSE)),0)+AMM38*(AnnualChurn*VLOOKUP(ALZ62,ChurnSeasonTable,4,FALSE))*POWER(1-(AnnualChurn*VLOOKUP(ALZ62,ChurnSeasonTable,4,FALSE)),1)+AMM26*(AnnualChurn*VLOOKUP(ALZ62,ChurnSeasonTable,4,FALSE))*POWER(1-(AnnualChurn*VLOOKUP(ALZ62,ChurnSeasonTable,4,FALSE)),2)+AMM14*(AnnualChurn*VLOOKUP(ALZ62,ChurnSeasonTable,4,FALSE))*POWER(1-(AnnualChurn*VLOOKUP(ALZ62,ChurnSeasonTable,4,FALSE)),3)</f>
        <v/>
      </c>
      <c r="AMR62" s="12">
        <f>AMR61+AMN62-AMN50*(AnnualChurn*VLOOKUP(ALZ62,ChurnSeasonTable,4,FALSE))*POWER(1-(AnnualChurn*VLOOKUP(ALZ62,ChurnSeasonTable,4,FALSE)),0)+AMN38*(AnnualChurn*VLOOKUP(ALZ62,ChurnSeasonTable,4,FALSE))*POWER(1-(AnnualChurn*VLOOKUP(ALZ62,ChurnSeasonTable,4,FALSE)),1)+AMN26*(AnnualChurn*VLOOKUP(ALZ62,ChurnSeasonTable,4,FALSE))*POWER(1-(AnnualChurn*VLOOKUP(ALZ62,ChurnSeasonTable,4,FALSE)),2)+AMN14*(AnnualChurn*VLOOKUP(ALZ62,ChurnSeasonTable,4,FALSE))*POWER(1-(AnnualChurn*VLOOKUP(ALZ62,ChurnSeasonTable,4,FALSE)),3)</f>
        <v/>
      </c>
      <c r="AMS62" s="12">
        <f>AMO62+AMP62+AMQ62+AMR62</f>
        <v/>
      </c>
      <c r="AMT62" s="9">
        <f>AMO62*PriceEssMonthly*AMC62+AMP62*PricePremMonthly*AMC62+AMQ62*PriceEssAnnual*AMC62/12+AMR62*PricePremAnnual*AMC62/12</f>
        <v/>
      </c>
      <c r="AMU62" s="9">
        <f>AMT62*12</f>
        <v/>
      </c>
      <c r="AMV62" s="12">
        <f>AMO62*PriceEssMonthly*AMC62+AMP62*PricePremMonthly*AMC62</f>
        <v/>
      </c>
      <c r="AMW62" s="12">
        <f>AMM62*PriceEssAnnual*AMC62+AMN62*PricePremAnnual*AMC62</f>
        <v/>
      </c>
      <c r="AMX62" s="12">
        <f>AMM50*POWER(1-(AnnualChurn*VLOOKUP(ALZ62,ChurnSeasonTable,4,FALSE)),1)*PriceEssAnnual*AMC62+AMM38*POWER(1-(AnnualChurn*VLOOKUP(ALZ62,ChurnSeasonTable,4,FALSE)),2)*PriceEssAnnual*AMC62+AMM26*POWER(1-(AnnualChurn*VLOOKUP(ALZ62,ChurnSeasonTable,4,FALSE)),3)*PriceEssAnnual*AMC62+AMM14*POWER(1-(AnnualChurn*VLOOKUP(ALZ62,ChurnSeasonTable,4,FALSE)),4)*PriceEssAnnual*AMC62+AMN50*POWER(1-(AnnualChurn*VLOOKUP(ALZ62,ChurnSeasonTable,4,FALSE)),1)*PricePremAnnual*AMC62+AMN38*POWER(1-(AnnualChurn*VLOOKUP(ALZ62,ChurnSeasonTable,4,FALSE)),2)*PricePremAnnual*AMC62+AMN26*POWER(1-(AnnualChurn*VLOOKUP(ALZ62,ChurnSeasonTable,4,FALSE)),3)*PricePremAnnual*AMC62+AMN14*POWER(1-(AnnualChurn*VLOOKUP(ALZ62,ChurnSeasonTable,4,FALSE)),4)*PricePremAnnual*AMC62</f>
        <v/>
      </c>
      <c r="AMY62" s="9">
        <f>AMV62+AMW62+AMX62</f>
        <v/>
      </c>
      <c r="AMZ62" s="12">
        <f>SUM(AMY51:AMY62)</f>
        <v/>
      </c>
      <c r="ANA62" s="12">
        <f>OR(ANA61,AMZ62&gt;=VATThreshold)</f>
        <v/>
      </c>
      <c r="ANB62" s="9">
        <f>IF(ANA62,AMY62/(1+VATRate),AMY62)</f>
        <v/>
      </c>
      <c r="ANC62" s="12">
        <f>AMY62-ANB62</f>
        <v/>
      </c>
      <c r="AND62" s="12">
        <f>IF(ANA62=0,0,IF(ALZ62=1,SUMPRODUCT(--(($AMA$5:$AMA62=$AMA62-1)*($ALZ$5:$ALZ62&gt;=10)*($ALZ$5:$ALZ62&lt;=12)),$ANC$5:$ANC62),IF(ALZ62=4,SUMPRODUCT(--(($AMA$5:$AMA62=$AMA62)*($ALZ$5:$ALZ62&gt;=1)*($ALZ$5:$ALZ62&lt;=3)),$ANC$5:$ANC62),IF(ALZ62=7,SUMPRODUCT(--(($AMA$5:$AMA62=$AMA62)*($ALZ$5:$ALZ62&gt;=4)*($ALZ$5:$ALZ62&lt;=6)),$ANC$5:$ANC62),IF(ALZ62=10,SUMPRODUCT(--(($AMA$5:$AMA62=$AMA62)*($ALZ$5:$ALZ62&gt;=7)*($ALZ$5:$ALZ62&lt;=9)),$ANC$5:$ANC62),0)))))</f>
        <v/>
      </c>
      <c r="ANE62" s="12">
        <f>ANE61+ANC62-AND62</f>
        <v/>
      </c>
      <c r="ANF62" s="12">
        <f>IF(ProviderDelay&gt;=1,ANB61*ProviderShare,ANB62*ProviderShare)</f>
        <v/>
      </c>
      <c r="ANG62" s="12">
        <f>AMY62*PaymentFee</f>
        <v/>
      </c>
      <c r="ANH62" s="12">
        <f>AMS62*OpsAI</f>
        <v/>
      </c>
      <c r="ANI62" s="12">
        <f>MonthlyFixed</f>
        <v/>
      </c>
      <c r="ANJ62" s="12">
        <f>AMG62*ReferralReward</f>
        <v/>
      </c>
      <c r="ANK62" s="12">
        <f>AME62</f>
        <v/>
      </c>
      <c r="ANL62" s="9">
        <f>ANB62-ANF62-ANG62-ANH62-ANI62-ANJ62-ANK62</f>
        <v/>
      </c>
      <c r="ANM62" s="9">
        <f>ANM61+AMY62-(ANF62+ANG62+ANH62+ANI62+ANJ62+ANK62+AND62)</f>
        <v/>
      </c>
      <c r="ANN62" s="12">
        <f>IF(AMS62&gt;0,AMT62/AMS62,0)</f>
        <v/>
      </c>
      <c r="ANO62" s="11">
        <f>IF(AMS61&gt;0,MAX(0,(AMS61+AMH62-AMS62)/AMS61),0)</f>
        <v/>
      </c>
      <c r="ANQ62" s="12" t="n">
        <v>58</v>
      </c>
      <c r="ANR62" s="12">
        <f>MOD(ANQ62-1+LaunchMonth-1,12)+1</f>
        <v/>
      </c>
      <c r="ANS62" s="12">
        <f>INT((ANQ62-1+LaunchMonth-1)/12)+1</f>
        <v/>
      </c>
      <c r="ANT62" s="12">
        <f>VLOOKUP(ANR62,SeasonTable,2,FALSE)</f>
        <v/>
      </c>
      <c r="ANU62" s="12">
        <f>(1+InflationRate)^INT((ANQ62-1)/12)</f>
        <v/>
      </c>
      <c r="ANV62" s="11">
        <f>MonthlyChurn*VLOOKUP(ANR62,ChurnSeasonTable,4,FALSE)</f>
        <v/>
      </c>
      <c r="ANW62" s="12">
        <f>MIN(MAX(MktMin19plus,AOQ61*MktPct19plus),MAX(0,APE61-CashBuffer))</f>
        <v/>
      </c>
      <c r="ANX62" s="12">
        <f>IF(ANW62&gt;0,MAX(1,ROUND(ANW62/'Sens - CAC &amp; Marketing'!$A$14*ANT62,0)),0)</f>
        <v/>
      </c>
      <c r="ANY62" s="12">
        <f>IF(ANX62&gt;0,ROUND(ANX62*ReferralMix/(1-ReferralMix),0),0)</f>
        <v/>
      </c>
      <c r="ANZ62" s="12">
        <f>ANX62+ANY62</f>
        <v/>
      </c>
      <c r="AOA62" s="12">
        <f>ROUND(ANZ62*(1-AnnualMix),0)</f>
        <v/>
      </c>
      <c r="AOB62" s="12">
        <f>ANZ62-AOA62</f>
        <v/>
      </c>
      <c r="AOC62" s="12">
        <f>ROUND(AOA62*EssentialMix,0)</f>
        <v/>
      </c>
      <c r="AOD62" s="12">
        <f>AOA62-AOC62</f>
        <v/>
      </c>
      <c r="AOE62" s="12">
        <f>ROUND(AOB62*EssentialMix,0)</f>
        <v/>
      </c>
      <c r="AOF62" s="12">
        <f>AOB62-AOE62</f>
        <v/>
      </c>
      <c r="AOG62" s="12">
        <f>AOC62+AOC61+AOC60+MAX(0,AOG61-AOC61-AOC60)*(1-ANV62)</f>
        <v/>
      </c>
      <c r="AOH62" s="12">
        <f>AOD62+AOD61+AOD60+MAX(0,AOH61-AOD61-AOD60)*(1-ANV62)</f>
        <v/>
      </c>
      <c r="AOI62" s="12">
        <f>AOI61+AOE62-AOE50*(AnnualChurn*VLOOKUP(ANR62,ChurnSeasonTable,4,FALSE))*POWER(1-(AnnualChurn*VLOOKUP(ANR62,ChurnSeasonTable,4,FALSE)),0)+AOE38*(AnnualChurn*VLOOKUP(ANR62,ChurnSeasonTable,4,FALSE))*POWER(1-(AnnualChurn*VLOOKUP(ANR62,ChurnSeasonTable,4,FALSE)),1)+AOE26*(AnnualChurn*VLOOKUP(ANR62,ChurnSeasonTable,4,FALSE))*POWER(1-(AnnualChurn*VLOOKUP(ANR62,ChurnSeasonTable,4,FALSE)),2)+AOE14*(AnnualChurn*VLOOKUP(ANR62,ChurnSeasonTable,4,FALSE))*POWER(1-(AnnualChurn*VLOOKUP(ANR62,ChurnSeasonTable,4,FALSE)),3)</f>
        <v/>
      </c>
      <c r="AOJ62" s="12">
        <f>AOJ61+AOF62-AOF50*(AnnualChurn*VLOOKUP(ANR62,ChurnSeasonTable,4,FALSE))*POWER(1-(AnnualChurn*VLOOKUP(ANR62,ChurnSeasonTable,4,FALSE)),0)+AOF38*(AnnualChurn*VLOOKUP(ANR62,ChurnSeasonTable,4,FALSE))*POWER(1-(AnnualChurn*VLOOKUP(ANR62,ChurnSeasonTable,4,FALSE)),1)+AOF26*(AnnualChurn*VLOOKUP(ANR62,ChurnSeasonTable,4,FALSE))*POWER(1-(AnnualChurn*VLOOKUP(ANR62,ChurnSeasonTable,4,FALSE)),2)+AOF14*(AnnualChurn*VLOOKUP(ANR62,ChurnSeasonTable,4,FALSE))*POWER(1-(AnnualChurn*VLOOKUP(ANR62,ChurnSeasonTable,4,FALSE)),3)</f>
        <v/>
      </c>
      <c r="AOK62" s="12">
        <f>AOG62+AOH62+AOI62+AOJ62</f>
        <v/>
      </c>
      <c r="AOL62" s="9">
        <f>AOG62*PriceEssMonthly*ANU62+AOH62*PricePremMonthly*ANU62+AOI62*PriceEssAnnual*ANU62/12+AOJ62*PricePremAnnual*ANU62/12</f>
        <v/>
      </c>
      <c r="AOM62" s="9">
        <f>AOL62*12</f>
        <v/>
      </c>
      <c r="AON62" s="12">
        <f>AOG62*PriceEssMonthly*ANU62+AOH62*PricePremMonthly*ANU62</f>
        <v/>
      </c>
      <c r="AOO62" s="12">
        <f>AOE62*PriceEssAnnual*ANU62+AOF62*PricePremAnnual*ANU62</f>
        <v/>
      </c>
      <c r="AOP62" s="12">
        <f>AOE50*POWER(1-(AnnualChurn*VLOOKUP(ANR62,ChurnSeasonTable,4,FALSE)),1)*PriceEssAnnual*ANU62+AOE38*POWER(1-(AnnualChurn*VLOOKUP(ANR62,ChurnSeasonTable,4,FALSE)),2)*PriceEssAnnual*ANU62+AOE26*POWER(1-(AnnualChurn*VLOOKUP(ANR62,ChurnSeasonTable,4,FALSE)),3)*PriceEssAnnual*ANU62+AOE14*POWER(1-(AnnualChurn*VLOOKUP(ANR62,ChurnSeasonTable,4,FALSE)),4)*PriceEssAnnual*ANU62+AOF50*POWER(1-(AnnualChurn*VLOOKUP(ANR62,ChurnSeasonTable,4,FALSE)),1)*PricePremAnnual*ANU62+AOF38*POWER(1-(AnnualChurn*VLOOKUP(ANR62,ChurnSeasonTable,4,FALSE)),2)*PricePremAnnual*ANU62+AOF26*POWER(1-(AnnualChurn*VLOOKUP(ANR62,ChurnSeasonTable,4,FALSE)),3)*PricePremAnnual*ANU62+AOF14*POWER(1-(AnnualChurn*VLOOKUP(ANR62,ChurnSeasonTable,4,FALSE)),4)*PricePremAnnual*ANU62</f>
        <v/>
      </c>
      <c r="AOQ62" s="9">
        <f>AON62+AOO62+AOP62</f>
        <v/>
      </c>
      <c r="AOR62" s="12">
        <f>SUM(AOQ51:AOQ62)</f>
        <v/>
      </c>
      <c r="AOS62" s="12">
        <f>OR(AOS61,AOR62&gt;=VATThreshold)</f>
        <v/>
      </c>
      <c r="AOT62" s="9">
        <f>IF(AOS62,AOQ62/(1+VATRate),AOQ62)</f>
        <v/>
      </c>
      <c r="AOU62" s="12">
        <f>AOQ62-AOT62</f>
        <v/>
      </c>
      <c r="AOV62" s="12">
        <f>IF(AOS62=0,0,IF(ANR62=1,SUMPRODUCT(--(($ANS$5:$ANS62=$ANS62-1)*($ANR$5:$ANR62&gt;=10)*($ANR$5:$ANR62&lt;=12)),$AOU$5:$AOU62),IF(ANR62=4,SUMPRODUCT(--(($ANS$5:$ANS62=$ANS62)*($ANR$5:$ANR62&gt;=1)*($ANR$5:$ANR62&lt;=3)),$AOU$5:$AOU62),IF(ANR62=7,SUMPRODUCT(--(($ANS$5:$ANS62=$ANS62)*($ANR$5:$ANR62&gt;=4)*($ANR$5:$ANR62&lt;=6)),$AOU$5:$AOU62),IF(ANR62=10,SUMPRODUCT(--(($ANS$5:$ANS62=$ANS62)*($ANR$5:$ANR62&gt;=7)*($ANR$5:$ANR62&lt;=9)),$AOU$5:$AOU62),0)))))</f>
        <v/>
      </c>
      <c r="AOW62" s="12">
        <f>AOW61+AOU62-AOV62</f>
        <v/>
      </c>
      <c r="AOX62" s="12">
        <f>IF(ProviderDelay&gt;=1,AOT61*ProviderShare,AOT62*ProviderShare)</f>
        <v/>
      </c>
      <c r="AOY62" s="12">
        <f>AOQ62*PaymentFee</f>
        <v/>
      </c>
      <c r="AOZ62" s="12">
        <f>AOK62*OpsAI</f>
        <v/>
      </c>
      <c r="APA62" s="12">
        <f>MonthlyFixed</f>
        <v/>
      </c>
      <c r="APB62" s="12">
        <f>ANY62*ReferralReward</f>
        <v/>
      </c>
      <c r="APC62" s="12">
        <f>ANW62</f>
        <v/>
      </c>
      <c r="APD62" s="9">
        <f>AOT62-AOX62-AOY62-AOZ62-APA62-APB62-APC62</f>
        <v/>
      </c>
      <c r="APE62" s="9">
        <f>APE61+AOQ62-(AOX62+AOY62+AOZ62+APA62+APB62+APC62+AOV62)</f>
        <v/>
      </c>
      <c r="APF62" s="12">
        <f>IF(AOK62&gt;0,AOL62/AOK62,0)</f>
        <v/>
      </c>
      <c r="APG62" s="11">
        <f>IF(AOK61&gt;0,MAX(0,(AOK61+ANZ62-AOK62)/AOK61),0)</f>
        <v/>
      </c>
      <c r="API62" s="12" t="n">
        <v>58</v>
      </c>
      <c r="APJ62" s="12">
        <f>MOD(API62-1+LaunchMonth-1,12)+1</f>
        <v/>
      </c>
      <c r="APK62" s="12">
        <f>INT((API62-1+LaunchMonth-1)/12)+1</f>
        <v/>
      </c>
      <c r="APL62" s="12">
        <f>VLOOKUP(APJ62,SeasonTable,2,FALSE)</f>
        <v/>
      </c>
      <c r="APM62" s="12">
        <f>(1+InflationRate)^INT((API62-1)/12)</f>
        <v/>
      </c>
      <c r="APN62" s="11">
        <f>MonthlyChurn*VLOOKUP(APJ62,ChurnSeasonTable,4,FALSE)</f>
        <v/>
      </c>
      <c r="APO62" s="12">
        <f>MIN(MAX(MktMin19plus,AQI61*MktPct19plus),MAX(0,AQW61-CashBuffer))</f>
        <v/>
      </c>
      <c r="APP62" s="12">
        <f>IF(APO62&gt;0,MAX(1,ROUND(APO62/'Sens - CAC &amp; Marketing'!$A$15*APL62,0)),0)</f>
        <v/>
      </c>
      <c r="APQ62" s="12">
        <f>IF(APP62&gt;0,ROUND(APP62*ReferralMix/(1-ReferralMix),0),0)</f>
        <v/>
      </c>
      <c r="APR62" s="12">
        <f>APP62+APQ62</f>
        <v/>
      </c>
      <c r="APS62" s="12">
        <f>ROUND(APR62*(1-AnnualMix),0)</f>
        <v/>
      </c>
      <c r="APT62" s="12">
        <f>APR62-APS62</f>
        <v/>
      </c>
      <c r="APU62" s="12">
        <f>ROUND(APS62*EssentialMix,0)</f>
        <v/>
      </c>
      <c r="APV62" s="12">
        <f>APS62-APU62</f>
        <v/>
      </c>
      <c r="APW62" s="12">
        <f>ROUND(APT62*EssentialMix,0)</f>
        <v/>
      </c>
      <c r="APX62" s="12">
        <f>APT62-APW62</f>
        <v/>
      </c>
      <c r="APY62" s="12">
        <f>APU62+APU61+APU60+MAX(0,APY61-APU61-APU60)*(1-APN62)</f>
        <v/>
      </c>
      <c r="APZ62" s="12">
        <f>APV62+APV61+APV60+MAX(0,APZ61-APV61-APV60)*(1-APN62)</f>
        <v/>
      </c>
      <c r="AQA62" s="12">
        <f>AQA61+APW62-APW50*(AnnualChurn*VLOOKUP(APJ62,ChurnSeasonTable,4,FALSE))*POWER(1-(AnnualChurn*VLOOKUP(APJ62,ChurnSeasonTable,4,FALSE)),0)+APW38*(AnnualChurn*VLOOKUP(APJ62,ChurnSeasonTable,4,FALSE))*POWER(1-(AnnualChurn*VLOOKUP(APJ62,ChurnSeasonTable,4,FALSE)),1)+APW26*(AnnualChurn*VLOOKUP(APJ62,ChurnSeasonTable,4,FALSE))*POWER(1-(AnnualChurn*VLOOKUP(APJ62,ChurnSeasonTable,4,FALSE)),2)+APW14*(AnnualChurn*VLOOKUP(APJ62,ChurnSeasonTable,4,FALSE))*POWER(1-(AnnualChurn*VLOOKUP(APJ62,ChurnSeasonTable,4,FALSE)),3)</f>
        <v/>
      </c>
      <c r="AQB62" s="12">
        <f>AQB61+APX62-APX50*(AnnualChurn*VLOOKUP(APJ62,ChurnSeasonTable,4,FALSE))*POWER(1-(AnnualChurn*VLOOKUP(APJ62,ChurnSeasonTable,4,FALSE)),0)+APX38*(AnnualChurn*VLOOKUP(APJ62,ChurnSeasonTable,4,FALSE))*POWER(1-(AnnualChurn*VLOOKUP(APJ62,ChurnSeasonTable,4,FALSE)),1)+APX26*(AnnualChurn*VLOOKUP(APJ62,ChurnSeasonTable,4,FALSE))*POWER(1-(AnnualChurn*VLOOKUP(APJ62,ChurnSeasonTable,4,FALSE)),2)+APX14*(AnnualChurn*VLOOKUP(APJ62,ChurnSeasonTable,4,FALSE))*POWER(1-(AnnualChurn*VLOOKUP(APJ62,ChurnSeasonTable,4,FALSE)),3)</f>
        <v/>
      </c>
      <c r="AQC62" s="12">
        <f>APY62+APZ62+AQA62+AQB62</f>
        <v/>
      </c>
      <c r="AQD62" s="9">
        <f>APY62*PriceEssMonthly*APM62+APZ62*PricePremMonthly*APM62+AQA62*PriceEssAnnual*APM62/12+AQB62*PricePremAnnual*APM62/12</f>
        <v/>
      </c>
      <c r="AQE62" s="9">
        <f>AQD62*12</f>
        <v/>
      </c>
      <c r="AQF62" s="12">
        <f>APY62*PriceEssMonthly*APM62+APZ62*PricePremMonthly*APM62</f>
        <v/>
      </c>
      <c r="AQG62" s="12">
        <f>APW62*PriceEssAnnual*APM62+APX62*PricePremAnnual*APM62</f>
        <v/>
      </c>
      <c r="AQH62" s="12">
        <f>APW50*POWER(1-(AnnualChurn*VLOOKUP(APJ62,ChurnSeasonTable,4,FALSE)),1)*PriceEssAnnual*APM62+APW38*POWER(1-(AnnualChurn*VLOOKUP(APJ62,ChurnSeasonTable,4,FALSE)),2)*PriceEssAnnual*APM62+APW26*POWER(1-(AnnualChurn*VLOOKUP(APJ62,ChurnSeasonTable,4,FALSE)),3)*PriceEssAnnual*APM62+APW14*POWER(1-(AnnualChurn*VLOOKUP(APJ62,ChurnSeasonTable,4,FALSE)),4)*PriceEssAnnual*APM62+APX50*POWER(1-(AnnualChurn*VLOOKUP(APJ62,ChurnSeasonTable,4,FALSE)),1)*PricePremAnnual*APM62+APX38*POWER(1-(AnnualChurn*VLOOKUP(APJ62,ChurnSeasonTable,4,FALSE)),2)*PricePremAnnual*APM62+APX26*POWER(1-(AnnualChurn*VLOOKUP(APJ62,ChurnSeasonTable,4,FALSE)),3)*PricePremAnnual*APM62+APX14*POWER(1-(AnnualChurn*VLOOKUP(APJ62,ChurnSeasonTable,4,FALSE)),4)*PricePremAnnual*APM62</f>
        <v/>
      </c>
      <c r="AQI62" s="9">
        <f>AQF62+AQG62+AQH62</f>
        <v/>
      </c>
      <c r="AQJ62" s="12">
        <f>SUM(AQI51:AQI62)</f>
        <v/>
      </c>
      <c r="AQK62" s="12">
        <f>OR(AQK61,AQJ62&gt;=VATThreshold)</f>
        <v/>
      </c>
      <c r="AQL62" s="9">
        <f>IF(AQK62,AQI62/(1+VATRate),AQI62)</f>
        <v/>
      </c>
      <c r="AQM62" s="12">
        <f>AQI62-AQL62</f>
        <v/>
      </c>
      <c r="AQN62" s="12">
        <f>IF(AQK62=0,0,IF(APJ62=1,SUMPRODUCT(--(($APK$5:$APK62=$APK62-1)*($APJ$5:$APJ62&gt;=10)*($APJ$5:$APJ62&lt;=12)),$AQM$5:$AQM62),IF(APJ62=4,SUMPRODUCT(--(($APK$5:$APK62=$APK62)*($APJ$5:$APJ62&gt;=1)*($APJ$5:$APJ62&lt;=3)),$AQM$5:$AQM62),IF(APJ62=7,SUMPRODUCT(--(($APK$5:$APK62=$APK62)*($APJ$5:$APJ62&gt;=4)*($APJ$5:$APJ62&lt;=6)),$AQM$5:$AQM62),IF(APJ62=10,SUMPRODUCT(--(($APK$5:$APK62=$APK62)*($APJ$5:$APJ62&gt;=7)*($APJ$5:$APJ62&lt;=9)),$AQM$5:$AQM62),0)))))</f>
        <v/>
      </c>
      <c r="AQO62" s="12">
        <f>AQO61+AQM62-AQN62</f>
        <v/>
      </c>
      <c r="AQP62" s="12">
        <f>IF(ProviderDelay&gt;=1,AQL61*ProviderShare,AQL62*ProviderShare)</f>
        <v/>
      </c>
      <c r="AQQ62" s="12">
        <f>AQI62*PaymentFee</f>
        <v/>
      </c>
      <c r="AQR62" s="12">
        <f>AQC62*OpsAI</f>
        <v/>
      </c>
      <c r="AQS62" s="12">
        <f>MonthlyFixed</f>
        <v/>
      </c>
      <c r="AQT62" s="12">
        <f>APQ62*ReferralReward</f>
        <v/>
      </c>
      <c r="AQU62" s="12">
        <f>APO62</f>
        <v/>
      </c>
      <c r="AQV62" s="9">
        <f>AQL62-AQP62-AQQ62-AQR62-AQS62-AQT62-AQU62</f>
        <v/>
      </c>
      <c r="AQW62" s="9">
        <f>AQW61+AQI62-(AQP62+AQQ62+AQR62+AQS62+AQT62+AQU62+AQN62)</f>
        <v/>
      </c>
      <c r="AQX62" s="12">
        <f>IF(AQC62&gt;0,AQD62/AQC62,0)</f>
        <v/>
      </c>
      <c r="AQY62" s="11">
        <f>IF(AQC61&gt;0,MAX(0,(AQC61+APR62-AQC62)/AQC61),0)</f>
        <v/>
      </c>
      <c r="ARA62" s="12" t="n">
        <v>58</v>
      </c>
      <c r="ARB62" s="12">
        <f>MOD(ARA62-1+LaunchMonth-1,12)+1</f>
        <v/>
      </c>
      <c r="ARC62" s="12">
        <f>INT((ARA62-1+LaunchMonth-1)/12)+1</f>
        <v/>
      </c>
      <c r="ARD62" s="12">
        <f>VLOOKUP(ARB62,WinterPivotSeasonTable,5,FALSE)</f>
        <v/>
      </c>
      <c r="ARE62" s="12">
        <f>(1+InflationRate)^INT((ARA62-1)/12)</f>
        <v/>
      </c>
      <c r="ARF62" s="11">
        <f>MonthlyChurn*VLOOKUP(ARB62,WinterPivotChurnTable,6,FALSE)</f>
        <v/>
      </c>
      <c r="ARG62" s="12">
        <f>MIN(MAX(MktMin19plus,ASA61*MktPct19plus),MAX(0,ASO61-CashBuffer))</f>
        <v/>
      </c>
      <c r="ARH62" s="12">
        <f>IF(ARG62&gt;0,MAX(1,ROUND(ARG62/CAC*ARD62,0)),0)</f>
        <v/>
      </c>
      <c r="ARI62" s="12">
        <f>IF(ARH62&gt;0,ROUND(ARH62*ReferralMix/(1-ReferralMix),0),0)</f>
        <v/>
      </c>
      <c r="ARJ62" s="12">
        <f>ARH62+ARI62</f>
        <v/>
      </c>
      <c r="ARK62" s="12">
        <f>ROUND(ARJ62*(1-AnnualMix),0)</f>
        <v/>
      </c>
      <c r="ARL62" s="12">
        <f>ARJ62-ARK62</f>
        <v/>
      </c>
      <c r="ARM62" s="12">
        <f>ROUND(ARK62*'Sens - Winter Pivot'!$B$6,0)</f>
        <v/>
      </c>
      <c r="ARN62" s="12">
        <f>ARK62-ARM62</f>
        <v/>
      </c>
      <c r="ARO62" s="12">
        <f>ROUND(ARL62*'Sens - Winter Pivot'!$B$6,0)</f>
        <v/>
      </c>
      <c r="ARP62" s="12">
        <f>ARL62-ARO62</f>
        <v/>
      </c>
      <c r="ARQ62" s="12">
        <f>ARM62+ARM61+ARM60+MAX(0,ARQ61-ARM61-ARM60)*(1-ARF62)</f>
        <v/>
      </c>
      <c r="ARR62" s="12">
        <f>ARN62+ARN61+ARN60+MAX(0,ARR61-ARN61-ARN60)*(1-ARF62)</f>
        <v/>
      </c>
      <c r="ARS62" s="12">
        <f>ARS61+ARO62-ARO50*(AnnualChurn*VLOOKUP(ARB62,WinterPivotChurnTable,6,FALSE))*POWER(1-(AnnualChurn*VLOOKUP(ARB62,WinterPivotChurnTable,6,FALSE)),0)+ARO38*(AnnualChurn*VLOOKUP(ARB62,WinterPivotChurnTable,6,FALSE))*POWER(1-(AnnualChurn*VLOOKUP(ARB62,WinterPivotChurnTable,6,FALSE)),1)+ARO26*(AnnualChurn*VLOOKUP(ARB62,WinterPivotChurnTable,6,FALSE))*POWER(1-(AnnualChurn*VLOOKUP(ARB62,WinterPivotChurnTable,6,FALSE)),2)+ARO14*(AnnualChurn*VLOOKUP(ARB62,WinterPivotChurnTable,6,FALSE))*POWER(1-(AnnualChurn*VLOOKUP(ARB62,WinterPivotChurnTable,6,FALSE)),3)</f>
        <v/>
      </c>
      <c r="ART62" s="12">
        <f>ART61+ARP62-ARP50*(AnnualChurn*VLOOKUP(ARB62,WinterPivotChurnTable,6,FALSE))*POWER(1-(AnnualChurn*VLOOKUP(ARB62,WinterPivotChurnTable,6,FALSE)),0)+ARP38*(AnnualChurn*VLOOKUP(ARB62,WinterPivotChurnTable,6,FALSE))*POWER(1-(AnnualChurn*VLOOKUP(ARB62,WinterPivotChurnTable,6,FALSE)),1)+ARP26*(AnnualChurn*VLOOKUP(ARB62,WinterPivotChurnTable,6,FALSE))*POWER(1-(AnnualChurn*VLOOKUP(ARB62,WinterPivotChurnTable,6,FALSE)),2)+ARP14*(AnnualChurn*VLOOKUP(ARB62,WinterPivotChurnTable,6,FALSE))*POWER(1-(AnnualChurn*VLOOKUP(ARB62,WinterPivotChurnTable,6,FALSE)),3)</f>
        <v/>
      </c>
      <c r="ARU62" s="12">
        <f>ARQ62+ARR62+ARS62+ART62</f>
        <v/>
      </c>
      <c r="ARV62" s="9">
        <f>ARQ62*PriceEssMonthly*ARE62+ARR62*(PricePremMonthly+'Sens - Winter Pivot'!$B$7)*ARE62+ARS62*PriceEssAnnual*ARE62/12+ART62*(PricePremAnnual+'Sens - Winter Pivot'!$B$7*12)*ARE62/12</f>
        <v/>
      </c>
      <c r="ARW62" s="9">
        <f>ARV62*12</f>
        <v/>
      </c>
      <c r="ARX62" s="12">
        <f>ARQ62*PriceEssMonthly*ARE62+ARR62*(PricePremMonthly+'Sens - Winter Pivot'!$B$7)*ARE62</f>
        <v/>
      </c>
      <c r="ARY62" s="12">
        <f>ARO62*PriceEssAnnual*ARE62+ARP62*(PricePremAnnual+'Sens - Winter Pivot'!$B$7*12)*ARE62</f>
        <v/>
      </c>
      <c r="ARZ62" s="12">
        <f>ARO50*POWER(1-(AnnualChurn*VLOOKUP(ARB62,WinterPivotChurnTable,6,FALSE)),1)*PriceEssAnnual*ARE62+ARO38*POWER(1-(AnnualChurn*VLOOKUP(ARB62,WinterPivotChurnTable,6,FALSE)),2)*PriceEssAnnual*ARE62+ARO26*POWER(1-(AnnualChurn*VLOOKUP(ARB62,WinterPivotChurnTable,6,FALSE)),3)*PriceEssAnnual*ARE62+ARO14*POWER(1-(AnnualChurn*VLOOKUP(ARB62,WinterPivotChurnTable,6,FALSE)),4)*PriceEssAnnual*ARE62+ARP50*POWER(1-(AnnualChurn*VLOOKUP(ARB62,WinterPivotChurnTable,6,FALSE)),1)*PricePremAnnual*ARE62+ARP38*POWER(1-(AnnualChurn*VLOOKUP(ARB62,WinterPivotChurnTable,6,FALSE)),2)*PricePremAnnual*ARE62+ARP26*POWER(1-(AnnualChurn*VLOOKUP(ARB62,WinterPivotChurnTable,6,FALSE)),3)*PricePremAnnual*ARE62+ARP14*POWER(1-(AnnualChurn*VLOOKUP(ARB62,WinterPivotChurnTable,6,FALSE)),4)*PricePremAnnual*ARE62</f>
        <v/>
      </c>
      <c r="ASA62" s="9">
        <f>ARX62+ARY62+ARZ62</f>
        <v/>
      </c>
      <c r="ASB62" s="12">
        <f>SUM(ASA51:ASA62)</f>
        <v/>
      </c>
      <c r="ASC62" s="12">
        <f>OR(ASC61,ASB62&gt;=VATThreshold)</f>
        <v/>
      </c>
      <c r="ASD62" s="9">
        <f>IF(ASC62,ASA62/(1+VATRate),ASA62)</f>
        <v/>
      </c>
      <c r="ASE62" s="12">
        <f>ASA62-ASD62</f>
        <v/>
      </c>
      <c r="ASF62" s="12">
        <f>IF(ASC62=0,0,IF(ARB62=1,SUMPRODUCT(--(($ARC$5:$ARC62=$ARC62-1)*($ARB$5:$ARB62&gt;=10)*($ARB$5:$ARB62&lt;=12)),$ASE$5:$ASE62),IF(ARB62=4,SUMPRODUCT(--(($ARC$5:$ARC62=$ARC62)*($ARB$5:$ARB62&gt;=1)*($ARB$5:$ARB62&lt;=3)),$ASE$5:$ASE62),IF(ARB62=7,SUMPRODUCT(--(($ARC$5:$ARC62=$ARC62)*($ARB$5:$ARB62&gt;=4)*($ARB$5:$ARB62&lt;=6)),$ASE$5:$ASE62),IF(ARB62=10,SUMPRODUCT(--(($ARC$5:$ARC62=$ARC62)*($ARB$5:$ARB62&gt;=7)*($ARB$5:$ARB62&lt;=9)),$ASE$5:$ASE62),0)))))</f>
        <v/>
      </c>
      <c r="ASG62" s="12">
        <f>ASG61+ASE62-ASF62</f>
        <v/>
      </c>
      <c r="ASH62" s="12">
        <f>IF(ProviderDelay&gt;=1,ASD61*ProviderShare,ASD62*ProviderShare)</f>
        <v/>
      </c>
      <c r="ASI62" s="12">
        <f>ASA62*PaymentFee</f>
        <v/>
      </c>
      <c r="ASJ62" s="12">
        <f>ARU62*OpsAI</f>
        <v/>
      </c>
      <c r="ASK62" s="12">
        <f>MonthlyFixed</f>
        <v/>
      </c>
      <c r="ASL62" s="12">
        <f>ARI62*ReferralReward</f>
        <v/>
      </c>
      <c r="ASM62" s="12">
        <f>ARG62</f>
        <v/>
      </c>
      <c r="ASN62" s="9">
        <f>ASD62-ASH62-ASI62-ASJ62-ASK62-ASL62-ASM62</f>
        <v/>
      </c>
      <c r="ASO62" s="9">
        <f>ASO61+ASA62-(ASH62+ASI62+ASJ62+ASK62+ASL62+ASM62+ASF62)</f>
        <v/>
      </c>
      <c r="ASP62" s="12">
        <f>IF(ARU62&gt;0,ARV62/ARU62,0)</f>
        <v/>
      </c>
      <c r="ASQ62" s="11">
        <f>IF(ARU61&gt;0,MAX(0,(ARU61+ARJ62-ARU62)/ARU61),0)</f>
        <v/>
      </c>
    </row>
    <row r="63">
      <c r="A63" s="12" t="n">
        <v>59</v>
      </c>
      <c r="B63" s="12">
        <f>MOD(A63-1+LaunchMonth-1,12)+1</f>
        <v/>
      </c>
      <c r="C63" s="12">
        <f>INT((A63-1+LaunchMonth-1)/12)+1</f>
        <v/>
      </c>
      <c r="D63" s="12">
        <f>VLOOKUP(B63,SeasonTable,2,FALSE)</f>
        <v/>
      </c>
      <c r="E63" s="12">
        <f>(1+InflationRate)^INT((A63-1)/12)</f>
        <v/>
      </c>
      <c r="F63" s="11">
        <f>'Sens - Scenarios'!$B$5*VLOOKUP(B63,ChurnSeasonTable,4,FALSE)</f>
        <v/>
      </c>
      <c r="G63" s="12">
        <f>MIN(MAX(MktMin19plus,AA62*MktPct19plus),MAX(0,AO62-CashBuffer))</f>
        <v/>
      </c>
      <c r="H63" s="12">
        <f>IF(G63&gt;0,MAX(1,ROUND(G63/'Sens - Scenarios'!$B$8*D63,0)),0)</f>
        <v/>
      </c>
      <c r="I63" s="12">
        <f>IF(H63&gt;0,ROUND(H63*ReferralMix/(1-ReferralMix),0),0)</f>
        <v/>
      </c>
      <c r="J63" s="12">
        <f>H63+I63</f>
        <v/>
      </c>
      <c r="K63" s="12">
        <f>ROUND(J63*(1-'Sens - Scenarios'!$B$7),0)</f>
        <v/>
      </c>
      <c r="L63" s="12">
        <f>J63-K63</f>
        <v/>
      </c>
      <c r="M63" s="12">
        <f>ROUND(K63*EssentialMix,0)</f>
        <v/>
      </c>
      <c r="N63" s="12">
        <f>K63-M63</f>
        <v/>
      </c>
      <c r="O63" s="12">
        <f>ROUND(L63*EssentialMix,0)</f>
        <v/>
      </c>
      <c r="P63" s="12">
        <f>L63-O63</f>
        <v/>
      </c>
      <c r="Q63" s="12">
        <f>M63+M62+M61+MAX(0,Q62-M62-M61)*(1-F63)</f>
        <v/>
      </c>
      <c r="R63" s="12">
        <f>N63+N62+N61+MAX(0,R62-N62-N61)*(1-F63)</f>
        <v/>
      </c>
      <c r="S63" s="12">
        <f>S62+O63-O51*('Sens - Scenarios'!$B$6*VLOOKUP(B63,ChurnSeasonTable,4,FALSE))*POWER(1-('Sens - Scenarios'!$B$6*VLOOKUP(B63,ChurnSeasonTable,4,FALSE)),0)+O39*('Sens - Scenarios'!$B$6*VLOOKUP(B63,ChurnSeasonTable,4,FALSE))*POWER(1-('Sens - Scenarios'!$B$6*VLOOKUP(B63,ChurnSeasonTable,4,FALSE)),1)+O27*('Sens - Scenarios'!$B$6*VLOOKUP(B63,ChurnSeasonTable,4,FALSE))*POWER(1-('Sens - Scenarios'!$B$6*VLOOKUP(B63,ChurnSeasonTable,4,FALSE)),2)+O15*('Sens - Scenarios'!$B$6*VLOOKUP(B63,ChurnSeasonTable,4,FALSE))*POWER(1-('Sens - Scenarios'!$B$6*VLOOKUP(B63,ChurnSeasonTable,4,FALSE)),3)</f>
        <v/>
      </c>
      <c r="T63" s="12">
        <f>T62+P63-P51*('Sens - Scenarios'!$B$6*VLOOKUP(B63,ChurnSeasonTable,4,FALSE))*POWER(1-('Sens - Scenarios'!$B$6*VLOOKUP(B63,ChurnSeasonTable,4,FALSE)),0)+P39*('Sens - Scenarios'!$B$6*VLOOKUP(B63,ChurnSeasonTable,4,FALSE))*POWER(1-('Sens - Scenarios'!$B$6*VLOOKUP(B63,ChurnSeasonTable,4,FALSE)),1)+P27*('Sens - Scenarios'!$B$6*VLOOKUP(B63,ChurnSeasonTable,4,FALSE))*POWER(1-('Sens - Scenarios'!$B$6*VLOOKUP(B63,ChurnSeasonTable,4,FALSE)),2)+P15*('Sens - Scenarios'!$B$6*VLOOKUP(B63,ChurnSeasonTable,4,FALSE))*POWER(1-('Sens - Scenarios'!$B$6*VLOOKUP(B63,ChurnSeasonTable,4,FALSE)),3)</f>
        <v/>
      </c>
      <c r="U63" s="12">
        <f>Q63+R63+S63+T63</f>
        <v/>
      </c>
      <c r="V63" s="9">
        <f>Q63*PriceEssMonthly*E63+R63*PricePremMonthly*E63+S63*PriceEssAnnual*E63/12+T63*PricePremAnnual*E63/12</f>
        <v/>
      </c>
      <c r="W63" s="9">
        <f>V63*12</f>
        <v/>
      </c>
      <c r="X63" s="12">
        <f>Q63*PriceEssMonthly*E63+R63*PricePremMonthly*E63</f>
        <v/>
      </c>
      <c r="Y63" s="12">
        <f>O63*PriceEssAnnual*E63+P63*PricePremAnnual*E63</f>
        <v/>
      </c>
      <c r="Z63" s="12">
        <f>O51*POWER(1-('Sens - Scenarios'!$B$6*VLOOKUP(B63,ChurnSeasonTable,4,FALSE)),1)*PriceEssAnnual*E63+O39*POWER(1-('Sens - Scenarios'!$B$6*VLOOKUP(B63,ChurnSeasonTable,4,FALSE)),2)*PriceEssAnnual*E63+O27*POWER(1-('Sens - Scenarios'!$B$6*VLOOKUP(B63,ChurnSeasonTable,4,FALSE)),3)*PriceEssAnnual*E63+O15*POWER(1-('Sens - Scenarios'!$B$6*VLOOKUP(B63,ChurnSeasonTable,4,FALSE)),4)*PriceEssAnnual*E63+P51*POWER(1-('Sens - Scenarios'!$B$6*VLOOKUP(B63,ChurnSeasonTable,4,FALSE)),1)*PricePremAnnual*E63+P39*POWER(1-('Sens - Scenarios'!$B$6*VLOOKUP(B63,ChurnSeasonTable,4,FALSE)),2)*PricePremAnnual*E63+P27*POWER(1-('Sens - Scenarios'!$B$6*VLOOKUP(B63,ChurnSeasonTable,4,FALSE)),3)*PricePremAnnual*E63+P15*POWER(1-('Sens - Scenarios'!$B$6*VLOOKUP(B63,ChurnSeasonTable,4,FALSE)),4)*PricePremAnnual*E63</f>
        <v/>
      </c>
      <c r="AA63" s="9">
        <f>X63+Y63+Z63</f>
        <v/>
      </c>
      <c r="AB63" s="12">
        <f>SUM(AA52:AA63)</f>
        <v/>
      </c>
      <c r="AC63" s="12">
        <f>OR(AC62,AB63&gt;=VATThreshold)</f>
        <v/>
      </c>
      <c r="AD63" s="9">
        <f>IF(AC63,AA63/(1+VATRate),AA63)</f>
        <v/>
      </c>
      <c r="AE63" s="12">
        <f>AA63-AD63</f>
        <v/>
      </c>
      <c r="AF63" s="12">
        <f>IF(AC63=0,0,IF(B63=1,SUMPRODUCT(--(($C$5:$C63=$C63-1)*($B$5:$B63&gt;=10)*($B$5:$B63&lt;=12)),$AE$5:$AE63),IF(B63=4,SUMPRODUCT(--(($C$5:$C63=$C63)*($B$5:$B63&gt;=1)*($B$5:$B63&lt;=3)),$AE$5:$AE63),IF(B63=7,SUMPRODUCT(--(($C$5:$C63=$C63)*($B$5:$B63&gt;=4)*($B$5:$B63&lt;=6)),$AE$5:$AE63),IF(B63=10,SUMPRODUCT(--(($C$5:$C63=$C63)*($B$5:$B63&gt;=7)*($B$5:$B63&lt;=9)),$AE$5:$AE63),0)))))</f>
        <v/>
      </c>
      <c r="AG63" s="12">
        <f>AG62+AE63-AF63</f>
        <v/>
      </c>
      <c r="AH63" s="12">
        <f>IF(ProviderDelay&gt;=1,AD62*ProviderShare,AD63*ProviderShare)</f>
        <v/>
      </c>
      <c r="AI63" s="12">
        <f>AA63*PaymentFee</f>
        <v/>
      </c>
      <c r="AJ63" s="12">
        <f>U63*OpsAI</f>
        <v/>
      </c>
      <c r="AK63" s="12">
        <f>MonthlyFixed</f>
        <v/>
      </c>
      <c r="AL63" s="12">
        <f>I63*ReferralReward</f>
        <v/>
      </c>
      <c r="AM63" s="12">
        <f>G63</f>
        <v/>
      </c>
      <c r="AN63" s="9">
        <f>AD63-AH63-AI63-AJ63-AK63-AL63-AM63</f>
        <v/>
      </c>
      <c r="AO63" s="9">
        <f>AO62+AA63-(AH63+AI63+AJ63+AK63+AL63+AM63+AF63)</f>
        <v/>
      </c>
      <c r="AP63" s="12">
        <f>IF(U63&gt;0,V63/U63,0)</f>
        <v/>
      </c>
      <c r="AQ63" s="11">
        <f>IF(U62&gt;0,MAX(0,(U62+J63-U63)/U62),0)</f>
        <v/>
      </c>
      <c r="AS63" s="12" t="n">
        <v>59</v>
      </c>
      <c r="AT63" s="12">
        <f>MOD(AS63-1+LaunchMonth-1,12)+1</f>
        <v/>
      </c>
      <c r="AU63" s="12">
        <f>INT((AS63-1+LaunchMonth-1)/12)+1</f>
        <v/>
      </c>
      <c r="AV63" s="12">
        <f>VLOOKUP(AT63,SeasonTable,2,FALSE)</f>
        <v/>
      </c>
      <c r="AW63" s="12">
        <f>(1+InflationRate)^INT((AS63-1)/12)</f>
        <v/>
      </c>
      <c r="AX63" s="11">
        <f>MonthlyChurn*VLOOKUP(AT63,ChurnSeasonTable,4,FALSE)</f>
        <v/>
      </c>
      <c r="AY63" s="12">
        <f>MIN(MAX(MktMin19plus,BS62*MktPct19plus),MAX(0,CG62-CashBuffer))</f>
        <v/>
      </c>
      <c r="AZ63" s="12">
        <f>IF(AY63&gt;0,MAX(1,ROUND(AY63/CAC*AV63,0)),0)</f>
        <v/>
      </c>
      <c r="BA63" s="12">
        <f>IF(AZ63&gt;0,ROUND(AZ63*ReferralMix/(1-ReferralMix),0),0)</f>
        <v/>
      </c>
      <c r="BB63" s="12">
        <f>AZ63+BA63</f>
        <v/>
      </c>
      <c r="BC63" s="12">
        <f>ROUND(BB63*(1-AnnualMix),0)</f>
        <v/>
      </c>
      <c r="BD63" s="12">
        <f>BB63-BC63</f>
        <v/>
      </c>
      <c r="BE63" s="12">
        <f>ROUND(BC63*EssentialMix,0)</f>
        <v/>
      </c>
      <c r="BF63" s="12">
        <f>BC63-BE63</f>
        <v/>
      </c>
      <c r="BG63" s="12">
        <f>ROUND(BD63*EssentialMix,0)</f>
        <v/>
      </c>
      <c r="BH63" s="12">
        <f>BD63-BG63</f>
        <v/>
      </c>
      <c r="BI63" s="12">
        <f>BE63+BE62+BE61+MAX(0,BI62-BE62-BE61)*(1-AX63)</f>
        <v/>
      </c>
      <c r="BJ63" s="12">
        <f>BF63+BF62+BF61+MAX(0,BJ62-BF62-BF61)*(1-AX63)</f>
        <v/>
      </c>
      <c r="BK63" s="12">
        <f>BK62+BG63-BG51*(AnnualChurn*VLOOKUP(AT63,ChurnSeasonTable,4,FALSE))*POWER(1-(AnnualChurn*VLOOKUP(AT63,ChurnSeasonTable,4,FALSE)),0)+BG39*(AnnualChurn*VLOOKUP(AT63,ChurnSeasonTable,4,FALSE))*POWER(1-(AnnualChurn*VLOOKUP(AT63,ChurnSeasonTable,4,FALSE)),1)+BG27*(AnnualChurn*VLOOKUP(AT63,ChurnSeasonTable,4,FALSE))*POWER(1-(AnnualChurn*VLOOKUP(AT63,ChurnSeasonTable,4,FALSE)),2)+BG15*(AnnualChurn*VLOOKUP(AT63,ChurnSeasonTable,4,FALSE))*POWER(1-(AnnualChurn*VLOOKUP(AT63,ChurnSeasonTable,4,FALSE)),3)</f>
        <v/>
      </c>
      <c r="BL63" s="12">
        <f>BL62+BH63-BH51*(AnnualChurn*VLOOKUP(AT63,ChurnSeasonTable,4,FALSE))*POWER(1-(AnnualChurn*VLOOKUP(AT63,ChurnSeasonTable,4,FALSE)),0)+BH39*(AnnualChurn*VLOOKUP(AT63,ChurnSeasonTable,4,FALSE))*POWER(1-(AnnualChurn*VLOOKUP(AT63,ChurnSeasonTable,4,FALSE)),1)+BH27*(AnnualChurn*VLOOKUP(AT63,ChurnSeasonTable,4,FALSE))*POWER(1-(AnnualChurn*VLOOKUP(AT63,ChurnSeasonTable,4,FALSE)),2)+BH15*(AnnualChurn*VLOOKUP(AT63,ChurnSeasonTable,4,FALSE))*POWER(1-(AnnualChurn*VLOOKUP(AT63,ChurnSeasonTable,4,FALSE)),3)</f>
        <v/>
      </c>
      <c r="BM63" s="12">
        <f>BI63+BJ63+BK63+BL63</f>
        <v/>
      </c>
      <c r="BN63" s="9">
        <f>BI63*PriceEssMonthly*AW63+BJ63*PricePremMonthly*AW63+BK63*PriceEssAnnual*AW63/12+BL63*PricePremAnnual*AW63/12</f>
        <v/>
      </c>
      <c r="BO63" s="9">
        <f>BN63*12</f>
        <v/>
      </c>
      <c r="BP63" s="12">
        <f>BI63*PriceEssMonthly*AW63+BJ63*PricePremMonthly*AW63</f>
        <v/>
      </c>
      <c r="BQ63" s="12">
        <f>BG63*PriceEssAnnual*AW63+BH63*PricePremAnnual*AW63</f>
        <v/>
      </c>
      <c r="BR63" s="12">
        <f>BG51*POWER(1-(AnnualChurn*VLOOKUP(AT63,ChurnSeasonTable,4,FALSE)),1)*PriceEssAnnual*AW63+BG39*POWER(1-(AnnualChurn*VLOOKUP(AT63,ChurnSeasonTable,4,FALSE)),2)*PriceEssAnnual*AW63+BG27*POWER(1-(AnnualChurn*VLOOKUP(AT63,ChurnSeasonTable,4,FALSE)),3)*PriceEssAnnual*AW63+BG15*POWER(1-(AnnualChurn*VLOOKUP(AT63,ChurnSeasonTable,4,FALSE)),4)*PriceEssAnnual*AW63+BH51*POWER(1-(AnnualChurn*VLOOKUP(AT63,ChurnSeasonTable,4,FALSE)),1)*PricePremAnnual*AW63+BH39*POWER(1-(AnnualChurn*VLOOKUP(AT63,ChurnSeasonTable,4,FALSE)),2)*PricePremAnnual*AW63+BH27*POWER(1-(AnnualChurn*VLOOKUP(AT63,ChurnSeasonTable,4,FALSE)),3)*PricePremAnnual*AW63+BH15*POWER(1-(AnnualChurn*VLOOKUP(AT63,ChurnSeasonTable,4,FALSE)),4)*PricePremAnnual*AW63</f>
        <v/>
      </c>
      <c r="BS63" s="9">
        <f>BP63+BQ63+BR63</f>
        <v/>
      </c>
      <c r="BT63" s="12">
        <f>SUM(BS52:BS63)</f>
        <v/>
      </c>
      <c r="BU63" s="12">
        <f>OR(BU62,BT63&gt;=VATThreshold)</f>
        <v/>
      </c>
      <c r="BV63" s="9">
        <f>IF(BU63,BS63/(1+VATRate),BS63)</f>
        <v/>
      </c>
      <c r="BW63" s="12">
        <f>BS63-BV63</f>
        <v/>
      </c>
      <c r="BX63" s="12">
        <f>IF(BU63=0,0,IF(AT63=1,SUMPRODUCT(--(($AU$5:$AU63=$AU63-1)*($AT$5:$AT63&gt;=10)*($AT$5:$AT63&lt;=12)),$BW$5:$BW63),IF(AT63=4,SUMPRODUCT(--(($AU$5:$AU63=$AU63)*($AT$5:$AT63&gt;=1)*($AT$5:$AT63&lt;=3)),$BW$5:$BW63),IF(AT63=7,SUMPRODUCT(--(($AU$5:$AU63=$AU63)*($AT$5:$AT63&gt;=4)*($AT$5:$AT63&lt;=6)),$BW$5:$BW63),IF(AT63=10,SUMPRODUCT(--(($AU$5:$AU63=$AU63)*($AT$5:$AT63&gt;=7)*($AT$5:$AT63&lt;=9)),$BW$5:$BW63),0)))))</f>
        <v/>
      </c>
      <c r="BY63" s="12">
        <f>BY62+BW63-BX63</f>
        <v/>
      </c>
      <c r="BZ63" s="12">
        <f>IF(ProviderDelay&gt;=1,BV62*ProviderShare,BV63*ProviderShare)</f>
        <v/>
      </c>
      <c r="CA63" s="12">
        <f>BS63*PaymentFee</f>
        <v/>
      </c>
      <c r="CB63" s="12">
        <f>BM63*OpsAI</f>
        <v/>
      </c>
      <c r="CC63" s="12">
        <f>MonthlyFixed</f>
        <v/>
      </c>
      <c r="CD63" s="12">
        <f>BA63*ReferralReward</f>
        <v/>
      </c>
      <c r="CE63" s="12">
        <f>AY63</f>
        <v/>
      </c>
      <c r="CF63" s="9">
        <f>BV63-BZ63-CA63-CB63-CC63-CD63-CE63</f>
        <v/>
      </c>
      <c r="CG63" s="9">
        <f>CG62+BS63-(BZ63+CA63+CB63+CC63+CD63+CE63+BX63)</f>
        <v/>
      </c>
      <c r="CH63" s="12">
        <f>IF(BM63&gt;0,BN63/BM63,0)</f>
        <v/>
      </c>
      <c r="CI63" s="11">
        <f>IF(BM62&gt;0,MAX(0,(BM62+BB63-BM63)/BM62),0)</f>
        <v/>
      </c>
      <c r="CK63" s="12" t="n">
        <v>59</v>
      </c>
      <c r="CL63" s="12">
        <f>MOD(CK63-1+LaunchMonth-1,12)+1</f>
        <v/>
      </c>
      <c r="CM63" s="12">
        <f>INT((CK63-1+LaunchMonth-1)/12)+1</f>
        <v/>
      </c>
      <c r="CN63" s="12">
        <f>VLOOKUP(CL63,SeasonTable,2,FALSE)</f>
        <v/>
      </c>
      <c r="CO63" s="12">
        <f>(1+InflationRate)^INT((CK63-1)/12)</f>
        <v/>
      </c>
      <c r="CP63" s="11">
        <f>'Sens - Scenarios'!$D$5*VLOOKUP(CL63,ChurnSeasonTable,4,FALSE)</f>
        <v/>
      </c>
      <c r="CQ63" s="12">
        <f>MIN(MAX(MktMin19plus,DK62*MktPct19plus),MAX(0,DY62-CashBuffer))</f>
        <v/>
      </c>
      <c r="CR63" s="12">
        <f>IF(CQ63&gt;0,MAX(1,ROUND(CQ63/'Sens - Scenarios'!$D$8*CN63,0)),0)</f>
        <v/>
      </c>
      <c r="CS63" s="12">
        <f>IF(CR63&gt;0,ROUND(CR63*ReferralMix/(1-ReferralMix),0),0)</f>
        <v/>
      </c>
      <c r="CT63" s="12">
        <f>CR63+CS63</f>
        <v/>
      </c>
      <c r="CU63" s="12">
        <f>ROUND(CT63*(1-'Sens - Scenarios'!$D$7),0)</f>
        <v/>
      </c>
      <c r="CV63" s="12">
        <f>CT63-CU63</f>
        <v/>
      </c>
      <c r="CW63" s="12">
        <f>ROUND(CU63*EssentialMix,0)</f>
        <v/>
      </c>
      <c r="CX63" s="12">
        <f>CU63-CW63</f>
        <v/>
      </c>
      <c r="CY63" s="12">
        <f>ROUND(CV63*EssentialMix,0)</f>
        <v/>
      </c>
      <c r="CZ63" s="12">
        <f>CV63-CY63</f>
        <v/>
      </c>
      <c r="DA63" s="12">
        <f>CW63+CW62+CW61+MAX(0,DA62-CW62-CW61)*(1-CP63)</f>
        <v/>
      </c>
      <c r="DB63" s="12">
        <f>CX63+CX62+CX61+MAX(0,DB62-CX62-CX61)*(1-CP63)</f>
        <v/>
      </c>
      <c r="DC63" s="12">
        <f>DC62+CY63-CY51*('Sens - Scenarios'!$D$6*VLOOKUP(CL63,ChurnSeasonTable,4,FALSE))*POWER(1-('Sens - Scenarios'!$D$6*VLOOKUP(CL63,ChurnSeasonTable,4,FALSE)),0)+CY39*('Sens - Scenarios'!$D$6*VLOOKUP(CL63,ChurnSeasonTable,4,FALSE))*POWER(1-('Sens - Scenarios'!$D$6*VLOOKUP(CL63,ChurnSeasonTable,4,FALSE)),1)+CY27*('Sens - Scenarios'!$D$6*VLOOKUP(CL63,ChurnSeasonTable,4,FALSE))*POWER(1-('Sens - Scenarios'!$D$6*VLOOKUP(CL63,ChurnSeasonTable,4,FALSE)),2)+CY15*('Sens - Scenarios'!$D$6*VLOOKUP(CL63,ChurnSeasonTable,4,FALSE))*POWER(1-('Sens - Scenarios'!$D$6*VLOOKUP(CL63,ChurnSeasonTable,4,FALSE)),3)</f>
        <v/>
      </c>
      <c r="DD63" s="12">
        <f>DD62+CZ63-CZ51*('Sens - Scenarios'!$D$6*VLOOKUP(CL63,ChurnSeasonTable,4,FALSE))*POWER(1-('Sens - Scenarios'!$D$6*VLOOKUP(CL63,ChurnSeasonTable,4,FALSE)),0)+CZ39*('Sens - Scenarios'!$D$6*VLOOKUP(CL63,ChurnSeasonTable,4,FALSE))*POWER(1-('Sens - Scenarios'!$D$6*VLOOKUP(CL63,ChurnSeasonTable,4,FALSE)),1)+CZ27*('Sens - Scenarios'!$D$6*VLOOKUP(CL63,ChurnSeasonTable,4,FALSE))*POWER(1-('Sens - Scenarios'!$D$6*VLOOKUP(CL63,ChurnSeasonTable,4,FALSE)),2)+CZ15*('Sens - Scenarios'!$D$6*VLOOKUP(CL63,ChurnSeasonTable,4,FALSE))*POWER(1-('Sens - Scenarios'!$D$6*VLOOKUP(CL63,ChurnSeasonTable,4,FALSE)),3)</f>
        <v/>
      </c>
      <c r="DE63" s="12">
        <f>DA63+DB63+DC63+DD63</f>
        <v/>
      </c>
      <c r="DF63" s="9">
        <f>DA63*PriceEssMonthly*CO63+DB63*PricePremMonthly*CO63+DC63*PriceEssAnnual*CO63/12+DD63*PricePremAnnual*CO63/12</f>
        <v/>
      </c>
      <c r="DG63" s="9">
        <f>DF63*12</f>
        <v/>
      </c>
      <c r="DH63" s="12">
        <f>DA63*PriceEssMonthly*CO63+DB63*PricePremMonthly*CO63</f>
        <v/>
      </c>
      <c r="DI63" s="12">
        <f>CY63*PriceEssAnnual*CO63+CZ63*PricePremAnnual*CO63</f>
        <v/>
      </c>
      <c r="DJ63" s="12">
        <f>CY51*POWER(1-('Sens - Scenarios'!$D$6*VLOOKUP(CL63,ChurnSeasonTable,4,FALSE)),1)*PriceEssAnnual*CO63+CY39*POWER(1-('Sens - Scenarios'!$D$6*VLOOKUP(CL63,ChurnSeasonTable,4,FALSE)),2)*PriceEssAnnual*CO63+CY27*POWER(1-('Sens - Scenarios'!$D$6*VLOOKUP(CL63,ChurnSeasonTable,4,FALSE)),3)*PriceEssAnnual*CO63+CY15*POWER(1-('Sens - Scenarios'!$D$6*VLOOKUP(CL63,ChurnSeasonTable,4,FALSE)),4)*PriceEssAnnual*CO63+CZ51*POWER(1-('Sens - Scenarios'!$D$6*VLOOKUP(CL63,ChurnSeasonTable,4,FALSE)),1)*PricePremAnnual*CO63+CZ39*POWER(1-('Sens - Scenarios'!$D$6*VLOOKUP(CL63,ChurnSeasonTable,4,FALSE)),2)*PricePremAnnual*CO63+CZ27*POWER(1-('Sens - Scenarios'!$D$6*VLOOKUP(CL63,ChurnSeasonTable,4,FALSE)),3)*PricePremAnnual*CO63+CZ15*POWER(1-('Sens - Scenarios'!$D$6*VLOOKUP(CL63,ChurnSeasonTable,4,FALSE)),4)*PricePremAnnual*CO63</f>
        <v/>
      </c>
      <c r="DK63" s="9">
        <f>DH63+DI63+DJ63</f>
        <v/>
      </c>
      <c r="DL63" s="12">
        <f>SUM(DK52:DK63)</f>
        <v/>
      </c>
      <c r="DM63" s="12">
        <f>OR(DM62,DL63&gt;=VATThreshold)</f>
        <v/>
      </c>
      <c r="DN63" s="9">
        <f>IF(DM63,DK63/(1+VATRate),DK63)</f>
        <v/>
      </c>
      <c r="DO63" s="12">
        <f>DK63-DN63</f>
        <v/>
      </c>
      <c r="DP63" s="12">
        <f>IF(DM63=0,0,IF(CL63=1,SUMPRODUCT(--(($CM$5:$CM63=$CM63-1)*($CL$5:$CL63&gt;=10)*($CL$5:$CL63&lt;=12)),$DO$5:$DO63),IF(CL63=4,SUMPRODUCT(--(($CM$5:$CM63=$CM63)*($CL$5:$CL63&gt;=1)*($CL$5:$CL63&lt;=3)),$DO$5:$DO63),IF(CL63=7,SUMPRODUCT(--(($CM$5:$CM63=$CM63)*($CL$5:$CL63&gt;=4)*($CL$5:$CL63&lt;=6)),$DO$5:$DO63),IF(CL63=10,SUMPRODUCT(--(($CM$5:$CM63=$CM63)*($CL$5:$CL63&gt;=7)*($CL$5:$CL63&lt;=9)),$DO$5:$DO63),0)))))</f>
        <v/>
      </c>
      <c r="DQ63" s="12">
        <f>DQ62+DO63-DP63</f>
        <v/>
      </c>
      <c r="DR63" s="12">
        <f>IF(ProviderDelay&gt;=1,DN62*ProviderShare,DN63*ProviderShare)</f>
        <v/>
      </c>
      <c r="DS63" s="12">
        <f>DK63*PaymentFee</f>
        <v/>
      </c>
      <c r="DT63" s="12">
        <f>DE63*OpsAI</f>
        <v/>
      </c>
      <c r="DU63" s="12">
        <f>MonthlyFixed</f>
        <v/>
      </c>
      <c r="DV63" s="12">
        <f>CS63*ReferralReward</f>
        <v/>
      </c>
      <c r="DW63" s="12">
        <f>CQ63</f>
        <v/>
      </c>
      <c r="DX63" s="9">
        <f>DN63-DR63-DS63-DT63-DU63-DV63-DW63</f>
        <v/>
      </c>
      <c r="DY63" s="9">
        <f>DY62+DK63-(DR63+DS63+DT63+DU63+DV63+DW63+DP63)</f>
        <v/>
      </c>
      <c r="DZ63" s="12">
        <f>IF(DE63&gt;0,DF63/DE63,0)</f>
        <v/>
      </c>
      <c r="EA63" s="11">
        <f>IF(DE62&gt;0,MAX(0,(DE62+CT63-DE63)/DE62),0)</f>
        <v/>
      </c>
      <c r="EC63" s="12" t="n">
        <v>59</v>
      </c>
      <c r="ED63" s="12">
        <f>MOD(EC63-1+LaunchMonth-1,12)+1</f>
        <v/>
      </c>
      <c r="EE63" s="12">
        <f>INT((EC63-1+LaunchMonth-1)/12)+1</f>
        <v/>
      </c>
      <c r="EF63" s="12">
        <f>VLOOKUP(ED63,SeasonTable,2,FALSE)</f>
        <v/>
      </c>
      <c r="EG63" s="12">
        <f>(1+InflationRate)^INT((EC63-1)/12)</f>
        <v/>
      </c>
      <c r="EH63" s="11">
        <f>'Sens - Churn'!$A$13*VLOOKUP(ED63,ChurnSeasonTable,4,FALSE)</f>
        <v/>
      </c>
      <c r="EI63" s="12">
        <f>MIN(MAX(MktMin19plus,FC62*MktPct19plus),MAX(0,FQ62-CashBuffer))</f>
        <v/>
      </c>
      <c r="EJ63" s="12">
        <f>IF(EI63&gt;0,MAX(1,ROUND(EI63/CAC*EF63,0)),0)</f>
        <v/>
      </c>
      <c r="EK63" s="12">
        <f>IF(EJ63&gt;0,ROUND(EJ63*ReferralMix/(1-ReferralMix),0),0)</f>
        <v/>
      </c>
      <c r="EL63" s="12">
        <f>EJ63+EK63</f>
        <v/>
      </c>
      <c r="EM63" s="12">
        <f>ROUND(EL63*(1-AnnualMix),0)</f>
        <v/>
      </c>
      <c r="EN63" s="12">
        <f>EL63-EM63</f>
        <v/>
      </c>
      <c r="EO63" s="12">
        <f>ROUND(EM63*EssentialMix,0)</f>
        <v/>
      </c>
      <c r="EP63" s="12">
        <f>EM63-EO63</f>
        <v/>
      </c>
      <c r="EQ63" s="12">
        <f>ROUND(EN63*EssentialMix,0)</f>
        <v/>
      </c>
      <c r="ER63" s="12">
        <f>EN63-EQ63</f>
        <v/>
      </c>
      <c r="ES63" s="12">
        <f>EO63+EO62+EO61+MAX(0,ES62-EO62-EO61)*(1-EH63)</f>
        <v/>
      </c>
      <c r="ET63" s="12">
        <f>EP63+EP62+EP61+MAX(0,ET62-EP62-EP61)*(1-EH63)</f>
        <v/>
      </c>
      <c r="EU63" s="12">
        <f>EU62+EQ63-EQ51*(AnnualChurn*VLOOKUP(ED63,ChurnSeasonTable,4,FALSE))*POWER(1-(AnnualChurn*VLOOKUP(ED63,ChurnSeasonTable,4,FALSE)),0)+EQ39*(AnnualChurn*VLOOKUP(ED63,ChurnSeasonTable,4,FALSE))*POWER(1-(AnnualChurn*VLOOKUP(ED63,ChurnSeasonTable,4,FALSE)),1)+EQ27*(AnnualChurn*VLOOKUP(ED63,ChurnSeasonTable,4,FALSE))*POWER(1-(AnnualChurn*VLOOKUP(ED63,ChurnSeasonTable,4,FALSE)),2)+EQ15*(AnnualChurn*VLOOKUP(ED63,ChurnSeasonTable,4,FALSE))*POWER(1-(AnnualChurn*VLOOKUP(ED63,ChurnSeasonTable,4,FALSE)),3)</f>
        <v/>
      </c>
      <c r="EV63" s="12">
        <f>EV62+ER63-ER51*(AnnualChurn*VLOOKUP(ED63,ChurnSeasonTable,4,FALSE))*POWER(1-(AnnualChurn*VLOOKUP(ED63,ChurnSeasonTable,4,FALSE)),0)+ER39*(AnnualChurn*VLOOKUP(ED63,ChurnSeasonTable,4,FALSE))*POWER(1-(AnnualChurn*VLOOKUP(ED63,ChurnSeasonTable,4,FALSE)),1)+ER27*(AnnualChurn*VLOOKUP(ED63,ChurnSeasonTable,4,FALSE))*POWER(1-(AnnualChurn*VLOOKUP(ED63,ChurnSeasonTable,4,FALSE)),2)+ER15*(AnnualChurn*VLOOKUP(ED63,ChurnSeasonTable,4,FALSE))*POWER(1-(AnnualChurn*VLOOKUP(ED63,ChurnSeasonTable,4,FALSE)),3)</f>
        <v/>
      </c>
      <c r="EW63" s="12">
        <f>ES63+ET63+EU63+EV63</f>
        <v/>
      </c>
      <c r="EX63" s="9">
        <f>ES63*PriceEssMonthly*EG63+ET63*PricePremMonthly*EG63+EU63*PriceEssAnnual*EG63/12+EV63*PricePremAnnual*EG63/12</f>
        <v/>
      </c>
      <c r="EY63" s="9">
        <f>EX63*12</f>
        <v/>
      </c>
      <c r="EZ63" s="12">
        <f>ES63*PriceEssMonthly*EG63+ET63*PricePremMonthly*EG63</f>
        <v/>
      </c>
      <c r="FA63" s="12">
        <f>EQ63*PriceEssAnnual*EG63+ER63*PricePremAnnual*EG63</f>
        <v/>
      </c>
      <c r="FB63" s="12">
        <f>EQ51*POWER(1-(AnnualChurn*VLOOKUP(ED63,ChurnSeasonTable,4,FALSE)),1)*PriceEssAnnual*EG63+EQ39*POWER(1-(AnnualChurn*VLOOKUP(ED63,ChurnSeasonTable,4,FALSE)),2)*PriceEssAnnual*EG63+EQ27*POWER(1-(AnnualChurn*VLOOKUP(ED63,ChurnSeasonTable,4,FALSE)),3)*PriceEssAnnual*EG63+EQ15*POWER(1-(AnnualChurn*VLOOKUP(ED63,ChurnSeasonTable,4,FALSE)),4)*PriceEssAnnual*EG63+ER51*POWER(1-(AnnualChurn*VLOOKUP(ED63,ChurnSeasonTable,4,FALSE)),1)*PricePremAnnual*EG63+ER39*POWER(1-(AnnualChurn*VLOOKUP(ED63,ChurnSeasonTable,4,FALSE)),2)*PricePremAnnual*EG63+ER27*POWER(1-(AnnualChurn*VLOOKUP(ED63,ChurnSeasonTable,4,FALSE)),3)*PricePremAnnual*EG63+ER15*POWER(1-(AnnualChurn*VLOOKUP(ED63,ChurnSeasonTable,4,FALSE)),4)*PricePremAnnual*EG63</f>
        <v/>
      </c>
      <c r="FC63" s="9">
        <f>EZ63+FA63+FB63</f>
        <v/>
      </c>
      <c r="FD63" s="12">
        <f>SUM(FC52:FC63)</f>
        <v/>
      </c>
      <c r="FE63" s="12">
        <f>OR(FE62,FD63&gt;=VATThreshold)</f>
        <v/>
      </c>
      <c r="FF63" s="9">
        <f>IF(FE63,FC63/(1+VATRate),FC63)</f>
        <v/>
      </c>
      <c r="FG63" s="12">
        <f>FC63-FF63</f>
        <v/>
      </c>
      <c r="FH63" s="12">
        <f>IF(FE63=0,0,IF(ED63=1,SUMPRODUCT(--(($EE$5:$EE63=$EE63-1)*($ED$5:$ED63&gt;=10)*($ED$5:$ED63&lt;=12)),$FG$5:$FG63),IF(ED63=4,SUMPRODUCT(--(($EE$5:$EE63=$EE63)*($ED$5:$ED63&gt;=1)*($ED$5:$ED63&lt;=3)),$FG$5:$FG63),IF(ED63=7,SUMPRODUCT(--(($EE$5:$EE63=$EE63)*($ED$5:$ED63&gt;=4)*($ED$5:$ED63&lt;=6)),$FG$5:$FG63),IF(ED63=10,SUMPRODUCT(--(($EE$5:$EE63=$EE63)*($ED$5:$ED63&gt;=7)*($ED$5:$ED63&lt;=9)),$FG$5:$FG63),0)))))</f>
        <v/>
      </c>
      <c r="FI63" s="12">
        <f>FI62+FG63-FH63</f>
        <v/>
      </c>
      <c r="FJ63" s="12">
        <f>IF(ProviderDelay&gt;=1,FF62*ProviderShare,FF63*ProviderShare)</f>
        <v/>
      </c>
      <c r="FK63" s="12">
        <f>FC63*PaymentFee</f>
        <v/>
      </c>
      <c r="FL63" s="12">
        <f>EW63*OpsAI</f>
        <v/>
      </c>
      <c r="FM63" s="12">
        <f>MonthlyFixed</f>
        <v/>
      </c>
      <c r="FN63" s="12">
        <f>EK63*ReferralReward</f>
        <v/>
      </c>
      <c r="FO63" s="12">
        <f>EI63</f>
        <v/>
      </c>
      <c r="FP63" s="9">
        <f>FF63-FJ63-FK63-FL63-FM63-FN63-FO63</f>
        <v/>
      </c>
      <c r="FQ63" s="9">
        <f>FQ62+FC63-(FJ63+FK63+FL63+FM63+FN63+FO63+FH63)</f>
        <v/>
      </c>
      <c r="FR63" s="12">
        <f>IF(EW63&gt;0,EX63/EW63,0)</f>
        <v/>
      </c>
      <c r="FS63" s="11">
        <f>IF(EW62&gt;0,MAX(0,(EW62+EL63-EW63)/EW62),0)</f>
        <v/>
      </c>
      <c r="FU63" s="12" t="n">
        <v>59</v>
      </c>
      <c r="FV63" s="12">
        <f>MOD(FU63-1+LaunchMonth-1,12)+1</f>
        <v/>
      </c>
      <c r="FW63" s="12">
        <f>INT((FU63-1+LaunchMonth-1)/12)+1</f>
        <v/>
      </c>
      <c r="FX63" s="12">
        <f>VLOOKUP(FV63,SeasonTable,2,FALSE)</f>
        <v/>
      </c>
      <c r="FY63" s="12">
        <f>(1+InflationRate)^INT((FU63-1)/12)</f>
        <v/>
      </c>
      <c r="FZ63" s="11">
        <f>'Sens - Churn'!$A$14*VLOOKUP(FV63,ChurnSeasonTable,4,FALSE)</f>
        <v/>
      </c>
      <c r="GA63" s="12">
        <f>MIN(MAX(MktMin19plus,GU62*MktPct19plus),MAX(0,HI62-CashBuffer))</f>
        <v/>
      </c>
      <c r="GB63" s="12">
        <f>IF(GA63&gt;0,MAX(1,ROUND(GA63/CAC*FX63,0)),0)</f>
        <v/>
      </c>
      <c r="GC63" s="12">
        <f>IF(GB63&gt;0,ROUND(GB63*ReferralMix/(1-ReferralMix),0),0)</f>
        <v/>
      </c>
      <c r="GD63" s="12">
        <f>GB63+GC63</f>
        <v/>
      </c>
      <c r="GE63" s="12">
        <f>ROUND(GD63*(1-AnnualMix),0)</f>
        <v/>
      </c>
      <c r="GF63" s="12">
        <f>GD63-GE63</f>
        <v/>
      </c>
      <c r="GG63" s="12">
        <f>ROUND(GE63*EssentialMix,0)</f>
        <v/>
      </c>
      <c r="GH63" s="12">
        <f>GE63-GG63</f>
        <v/>
      </c>
      <c r="GI63" s="12">
        <f>ROUND(GF63*EssentialMix,0)</f>
        <v/>
      </c>
      <c r="GJ63" s="12">
        <f>GF63-GI63</f>
        <v/>
      </c>
      <c r="GK63" s="12">
        <f>GG63+GG62+GG61+MAX(0,GK62-GG62-GG61)*(1-FZ63)</f>
        <v/>
      </c>
      <c r="GL63" s="12">
        <f>GH63+GH62+GH61+MAX(0,GL62-GH62-GH61)*(1-FZ63)</f>
        <v/>
      </c>
      <c r="GM63" s="12">
        <f>GM62+GI63-GI51*(AnnualChurn*VLOOKUP(FV63,ChurnSeasonTable,4,FALSE))*POWER(1-(AnnualChurn*VLOOKUP(FV63,ChurnSeasonTable,4,FALSE)),0)+GI39*(AnnualChurn*VLOOKUP(FV63,ChurnSeasonTable,4,FALSE))*POWER(1-(AnnualChurn*VLOOKUP(FV63,ChurnSeasonTable,4,FALSE)),1)+GI27*(AnnualChurn*VLOOKUP(FV63,ChurnSeasonTable,4,FALSE))*POWER(1-(AnnualChurn*VLOOKUP(FV63,ChurnSeasonTable,4,FALSE)),2)+GI15*(AnnualChurn*VLOOKUP(FV63,ChurnSeasonTable,4,FALSE))*POWER(1-(AnnualChurn*VLOOKUP(FV63,ChurnSeasonTable,4,FALSE)),3)</f>
        <v/>
      </c>
      <c r="GN63" s="12">
        <f>GN62+GJ63-GJ51*(AnnualChurn*VLOOKUP(FV63,ChurnSeasonTable,4,FALSE))*POWER(1-(AnnualChurn*VLOOKUP(FV63,ChurnSeasonTable,4,FALSE)),0)+GJ39*(AnnualChurn*VLOOKUP(FV63,ChurnSeasonTable,4,FALSE))*POWER(1-(AnnualChurn*VLOOKUP(FV63,ChurnSeasonTable,4,FALSE)),1)+GJ27*(AnnualChurn*VLOOKUP(FV63,ChurnSeasonTable,4,FALSE))*POWER(1-(AnnualChurn*VLOOKUP(FV63,ChurnSeasonTable,4,FALSE)),2)+GJ15*(AnnualChurn*VLOOKUP(FV63,ChurnSeasonTable,4,FALSE))*POWER(1-(AnnualChurn*VLOOKUP(FV63,ChurnSeasonTable,4,FALSE)),3)</f>
        <v/>
      </c>
      <c r="GO63" s="12">
        <f>GK63+GL63+GM63+GN63</f>
        <v/>
      </c>
      <c r="GP63" s="9">
        <f>GK63*PriceEssMonthly*FY63+GL63*PricePremMonthly*FY63+GM63*PriceEssAnnual*FY63/12+GN63*PricePremAnnual*FY63/12</f>
        <v/>
      </c>
      <c r="GQ63" s="9">
        <f>GP63*12</f>
        <v/>
      </c>
      <c r="GR63" s="12">
        <f>GK63*PriceEssMonthly*FY63+GL63*PricePremMonthly*FY63</f>
        <v/>
      </c>
      <c r="GS63" s="12">
        <f>GI63*PriceEssAnnual*FY63+GJ63*PricePremAnnual*FY63</f>
        <v/>
      </c>
      <c r="GT63" s="12">
        <f>GI51*POWER(1-(AnnualChurn*VLOOKUP(FV63,ChurnSeasonTable,4,FALSE)),1)*PriceEssAnnual*FY63+GI39*POWER(1-(AnnualChurn*VLOOKUP(FV63,ChurnSeasonTable,4,FALSE)),2)*PriceEssAnnual*FY63+GI27*POWER(1-(AnnualChurn*VLOOKUP(FV63,ChurnSeasonTable,4,FALSE)),3)*PriceEssAnnual*FY63+GI15*POWER(1-(AnnualChurn*VLOOKUP(FV63,ChurnSeasonTable,4,FALSE)),4)*PriceEssAnnual*FY63+GJ51*POWER(1-(AnnualChurn*VLOOKUP(FV63,ChurnSeasonTable,4,FALSE)),1)*PricePremAnnual*FY63+GJ39*POWER(1-(AnnualChurn*VLOOKUP(FV63,ChurnSeasonTable,4,FALSE)),2)*PricePremAnnual*FY63+GJ27*POWER(1-(AnnualChurn*VLOOKUP(FV63,ChurnSeasonTable,4,FALSE)),3)*PricePremAnnual*FY63+GJ15*POWER(1-(AnnualChurn*VLOOKUP(FV63,ChurnSeasonTable,4,FALSE)),4)*PricePremAnnual*FY63</f>
        <v/>
      </c>
      <c r="GU63" s="9">
        <f>GR63+GS63+GT63</f>
        <v/>
      </c>
      <c r="GV63" s="12">
        <f>SUM(GU52:GU63)</f>
        <v/>
      </c>
      <c r="GW63" s="12">
        <f>OR(GW62,GV63&gt;=VATThreshold)</f>
        <v/>
      </c>
      <c r="GX63" s="9">
        <f>IF(GW63,GU63/(1+VATRate),GU63)</f>
        <v/>
      </c>
      <c r="GY63" s="12">
        <f>GU63-GX63</f>
        <v/>
      </c>
      <c r="GZ63" s="12">
        <f>IF(GW63=0,0,IF(FV63=1,SUMPRODUCT(--(($FW$5:$FW63=$FW63-1)*($FV$5:$FV63&gt;=10)*($FV$5:$FV63&lt;=12)),$GY$5:$GY63),IF(FV63=4,SUMPRODUCT(--(($FW$5:$FW63=$FW63)*($FV$5:$FV63&gt;=1)*($FV$5:$FV63&lt;=3)),$GY$5:$GY63),IF(FV63=7,SUMPRODUCT(--(($FW$5:$FW63=$FW63)*($FV$5:$FV63&gt;=4)*($FV$5:$FV63&lt;=6)),$GY$5:$GY63),IF(FV63=10,SUMPRODUCT(--(($FW$5:$FW63=$FW63)*($FV$5:$FV63&gt;=7)*($FV$5:$FV63&lt;=9)),$GY$5:$GY63),0)))))</f>
        <v/>
      </c>
      <c r="HA63" s="12">
        <f>HA62+GY63-GZ63</f>
        <v/>
      </c>
      <c r="HB63" s="12">
        <f>IF(ProviderDelay&gt;=1,GX62*ProviderShare,GX63*ProviderShare)</f>
        <v/>
      </c>
      <c r="HC63" s="12">
        <f>GU63*PaymentFee</f>
        <v/>
      </c>
      <c r="HD63" s="12">
        <f>GO63*OpsAI</f>
        <v/>
      </c>
      <c r="HE63" s="12">
        <f>MonthlyFixed</f>
        <v/>
      </c>
      <c r="HF63" s="12">
        <f>GC63*ReferralReward</f>
        <v/>
      </c>
      <c r="HG63" s="12">
        <f>GA63</f>
        <v/>
      </c>
      <c r="HH63" s="9">
        <f>GX63-HB63-HC63-HD63-HE63-HF63-HG63</f>
        <v/>
      </c>
      <c r="HI63" s="9">
        <f>HI62+GU63-(HB63+HC63+HD63+HE63+HF63+HG63+GZ63)</f>
        <v/>
      </c>
      <c r="HJ63" s="12">
        <f>IF(GO63&gt;0,GP63/GO63,0)</f>
        <v/>
      </c>
      <c r="HK63" s="11">
        <f>IF(GO62&gt;0,MAX(0,(GO62+GD63-GO63)/GO62),0)</f>
        <v/>
      </c>
      <c r="HM63" s="12" t="n">
        <v>59</v>
      </c>
      <c r="HN63" s="12">
        <f>MOD(HM63-1+LaunchMonth-1,12)+1</f>
        <v/>
      </c>
      <c r="HO63" s="12">
        <f>INT((HM63-1+LaunchMonth-1)/12)+1</f>
        <v/>
      </c>
      <c r="HP63" s="12">
        <f>VLOOKUP(HN63,SeasonTable,2,FALSE)</f>
        <v/>
      </c>
      <c r="HQ63" s="12">
        <f>(1+InflationRate)^INT((HM63-1)/12)</f>
        <v/>
      </c>
      <c r="HR63" s="11">
        <f>'Sens - Churn'!$A$15*VLOOKUP(HN63,ChurnSeasonTable,4,FALSE)</f>
        <v/>
      </c>
      <c r="HS63" s="12">
        <f>MIN(MAX(MktMin19plus,IM62*MktPct19plus),MAX(0,JA62-CashBuffer))</f>
        <v/>
      </c>
      <c r="HT63" s="12">
        <f>IF(HS63&gt;0,MAX(1,ROUND(HS63/CAC*HP63,0)),0)</f>
        <v/>
      </c>
      <c r="HU63" s="12">
        <f>IF(HT63&gt;0,ROUND(HT63*ReferralMix/(1-ReferralMix),0),0)</f>
        <v/>
      </c>
      <c r="HV63" s="12">
        <f>HT63+HU63</f>
        <v/>
      </c>
      <c r="HW63" s="12">
        <f>ROUND(HV63*(1-AnnualMix),0)</f>
        <v/>
      </c>
      <c r="HX63" s="12">
        <f>HV63-HW63</f>
        <v/>
      </c>
      <c r="HY63" s="12">
        <f>ROUND(HW63*EssentialMix,0)</f>
        <v/>
      </c>
      <c r="HZ63" s="12">
        <f>HW63-HY63</f>
        <v/>
      </c>
      <c r="IA63" s="12">
        <f>ROUND(HX63*EssentialMix,0)</f>
        <v/>
      </c>
      <c r="IB63" s="12">
        <f>HX63-IA63</f>
        <v/>
      </c>
      <c r="IC63" s="12">
        <f>HY63+HY62+HY61+MAX(0,IC62-HY62-HY61)*(1-HR63)</f>
        <v/>
      </c>
      <c r="ID63" s="12">
        <f>HZ63+HZ62+HZ61+MAX(0,ID62-HZ62-HZ61)*(1-HR63)</f>
        <v/>
      </c>
      <c r="IE63" s="12">
        <f>IE62+IA63-IA51*(AnnualChurn*VLOOKUP(HN63,ChurnSeasonTable,4,FALSE))*POWER(1-(AnnualChurn*VLOOKUP(HN63,ChurnSeasonTable,4,FALSE)),0)+IA39*(AnnualChurn*VLOOKUP(HN63,ChurnSeasonTable,4,FALSE))*POWER(1-(AnnualChurn*VLOOKUP(HN63,ChurnSeasonTable,4,FALSE)),1)+IA27*(AnnualChurn*VLOOKUP(HN63,ChurnSeasonTable,4,FALSE))*POWER(1-(AnnualChurn*VLOOKUP(HN63,ChurnSeasonTable,4,FALSE)),2)+IA15*(AnnualChurn*VLOOKUP(HN63,ChurnSeasonTable,4,FALSE))*POWER(1-(AnnualChurn*VLOOKUP(HN63,ChurnSeasonTable,4,FALSE)),3)</f>
        <v/>
      </c>
      <c r="IF63" s="12">
        <f>IF62+IB63-IB51*(AnnualChurn*VLOOKUP(HN63,ChurnSeasonTable,4,FALSE))*POWER(1-(AnnualChurn*VLOOKUP(HN63,ChurnSeasonTable,4,FALSE)),0)+IB39*(AnnualChurn*VLOOKUP(HN63,ChurnSeasonTable,4,FALSE))*POWER(1-(AnnualChurn*VLOOKUP(HN63,ChurnSeasonTable,4,FALSE)),1)+IB27*(AnnualChurn*VLOOKUP(HN63,ChurnSeasonTable,4,FALSE))*POWER(1-(AnnualChurn*VLOOKUP(HN63,ChurnSeasonTable,4,FALSE)),2)+IB15*(AnnualChurn*VLOOKUP(HN63,ChurnSeasonTable,4,FALSE))*POWER(1-(AnnualChurn*VLOOKUP(HN63,ChurnSeasonTable,4,FALSE)),3)</f>
        <v/>
      </c>
      <c r="IG63" s="12">
        <f>IC63+ID63+IE63+IF63</f>
        <v/>
      </c>
      <c r="IH63" s="9">
        <f>IC63*PriceEssMonthly*HQ63+ID63*PricePremMonthly*HQ63+IE63*PriceEssAnnual*HQ63/12+IF63*PricePremAnnual*HQ63/12</f>
        <v/>
      </c>
      <c r="II63" s="9">
        <f>IH63*12</f>
        <v/>
      </c>
      <c r="IJ63" s="12">
        <f>IC63*PriceEssMonthly*HQ63+ID63*PricePremMonthly*HQ63</f>
        <v/>
      </c>
      <c r="IK63" s="12">
        <f>IA63*PriceEssAnnual*HQ63+IB63*PricePremAnnual*HQ63</f>
        <v/>
      </c>
      <c r="IL63" s="12">
        <f>IA51*POWER(1-(AnnualChurn*VLOOKUP(HN63,ChurnSeasonTable,4,FALSE)),1)*PriceEssAnnual*HQ63+IA39*POWER(1-(AnnualChurn*VLOOKUP(HN63,ChurnSeasonTable,4,FALSE)),2)*PriceEssAnnual*HQ63+IA27*POWER(1-(AnnualChurn*VLOOKUP(HN63,ChurnSeasonTable,4,FALSE)),3)*PriceEssAnnual*HQ63+IA15*POWER(1-(AnnualChurn*VLOOKUP(HN63,ChurnSeasonTable,4,FALSE)),4)*PriceEssAnnual*HQ63+IB51*POWER(1-(AnnualChurn*VLOOKUP(HN63,ChurnSeasonTable,4,FALSE)),1)*PricePremAnnual*HQ63+IB39*POWER(1-(AnnualChurn*VLOOKUP(HN63,ChurnSeasonTable,4,FALSE)),2)*PricePremAnnual*HQ63+IB27*POWER(1-(AnnualChurn*VLOOKUP(HN63,ChurnSeasonTable,4,FALSE)),3)*PricePremAnnual*HQ63+IB15*POWER(1-(AnnualChurn*VLOOKUP(HN63,ChurnSeasonTable,4,FALSE)),4)*PricePremAnnual*HQ63</f>
        <v/>
      </c>
      <c r="IM63" s="9">
        <f>IJ63+IK63+IL63</f>
        <v/>
      </c>
      <c r="IN63" s="12">
        <f>SUM(IM52:IM63)</f>
        <v/>
      </c>
      <c r="IO63" s="12">
        <f>OR(IO62,IN63&gt;=VATThreshold)</f>
        <v/>
      </c>
      <c r="IP63" s="9">
        <f>IF(IO63,IM63/(1+VATRate),IM63)</f>
        <v/>
      </c>
      <c r="IQ63" s="12">
        <f>IM63-IP63</f>
        <v/>
      </c>
      <c r="IR63" s="12">
        <f>IF(IO63=0,0,IF(HN63=1,SUMPRODUCT(--(($HO$5:$HO63=$HO63-1)*($HN$5:$HN63&gt;=10)*($HN$5:$HN63&lt;=12)),$IQ$5:$IQ63),IF(HN63=4,SUMPRODUCT(--(($HO$5:$HO63=$HO63)*($HN$5:$HN63&gt;=1)*($HN$5:$HN63&lt;=3)),$IQ$5:$IQ63),IF(HN63=7,SUMPRODUCT(--(($HO$5:$HO63=$HO63)*($HN$5:$HN63&gt;=4)*($HN$5:$HN63&lt;=6)),$IQ$5:$IQ63),IF(HN63=10,SUMPRODUCT(--(($HO$5:$HO63=$HO63)*($HN$5:$HN63&gt;=7)*($HN$5:$HN63&lt;=9)),$IQ$5:$IQ63),0)))))</f>
        <v/>
      </c>
      <c r="IS63" s="12">
        <f>IS62+IQ63-IR63</f>
        <v/>
      </c>
      <c r="IT63" s="12">
        <f>IF(ProviderDelay&gt;=1,IP62*ProviderShare,IP63*ProviderShare)</f>
        <v/>
      </c>
      <c r="IU63" s="12">
        <f>IM63*PaymentFee</f>
        <v/>
      </c>
      <c r="IV63" s="12">
        <f>IG63*OpsAI</f>
        <v/>
      </c>
      <c r="IW63" s="12">
        <f>MonthlyFixed</f>
        <v/>
      </c>
      <c r="IX63" s="12">
        <f>HU63*ReferralReward</f>
        <v/>
      </c>
      <c r="IY63" s="12">
        <f>HS63</f>
        <v/>
      </c>
      <c r="IZ63" s="9">
        <f>IP63-IT63-IU63-IV63-IW63-IX63-IY63</f>
        <v/>
      </c>
      <c r="JA63" s="9">
        <f>JA62+IM63-(IT63+IU63+IV63+IW63+IX63+IY63+IR63)</f>
        <v/>
      </c>
      <c r="JB63" s="12">
        <f>IF(IG63&gt;0,IH63/IG63,0)</f>
        <v/>
      </c>
      <c r="JC63" s="11">
        <f>IF(IG62&gt;0,MAX(0,(IG62+HV63-IG63)/IG62),0)</f>
        <v/>
      </c>
      <c r="JE63" s="12" t="n">
        <v>59</v>
      </c>
      <c r="JF63" s="12">
        <f>MOD(JE63-1+LaunchMonth-1,12)+1</f>
        <v/>
      </c>
      <c r="JG63" s="12">
        <f>INT((JE63-1+LaunchMonth-1)/12)+1</f>
        <v/>
      </c>
      <c r="JH63" s="12">
        <f>VLOOKUP(JF63,SeasonTable,2,FALSE)</f>
        <v/>
      </c>
      <c r="JI63" s="12">
        <f>(1+InflationRate)^INT((JE63-1)/12)</f>
        <v/>
      </c>
      <c r="JJ63" s="11">
        <f>'Sens - Churn'!$A$16*VLOOKUP(JF63,ChurnSeasonTable,4,FALSE)</f>
        <v/>
      </c>
      <c r="JK63" s="12">
        <f>MIN(MAX(MktMin19plus,KE62*MktPct19plus),MAX(0,KS62-CashBuffer))</f>
        <v/>
      </c>
      <c r="JL63" s="12">
        <f>IF(JK63&gt;0,MAX(1,ROUND(JK63/CAC*JH63,0)),0)</f>
        <v/>
      </c>
      <c r="JM63" s="12">
        <f>IF(JL63&gt;0,ROUND(JL63*ReferralMix/(1-ReferralMix),0),0)</f>
        <v/>
      </c>
      <c r="JN63" s="12">
        <f>JL63+JM63</f>
        <v/>
      </c>
      <c r="JO63" s="12">
        <f>ROUND(JN63*(1-AnnualMix),0)</f>
        <v/>
      </c>
      <c r="JP63" s="12">
        <f>JN63-JO63</f>
        <v/>
      </c>
      <c r="JQ63" s="12">
        <f>ROUND(JO63*EssentialMix,0)</f>
        <v/>
      </c>
      <c r="JR63" s="12">
        <f>JO63-JQ63</f>
        <v/>
      </c>
      <c r="JS63" s="12">
        <f>ROUND(JP63*EssentialMix,0)</f>
        <v/>
      </c>
      <c r="JT63" s="12">
        <f>JP63-JS63</f>
        <v/>
      </c>
      <c r="JU63" s="12">
        <f>JQ63+JQ62+JQ61+MAX(0,JU62-JQ62-JQ61)*(1-JJ63)</f>
        <v/>
      </c>
      <c r="JV63" s="12">
        <f>JR63+JR62+JR61+MAX(0,JV62-JR62-JR61)*(1-JJ63)</f>
        <v/>
      </c>
      <c r="JW63" s="12">
        <f>JW62+JS63-JS51*(AnnualChurn*VLOOKUP(JF63,ChurnSeasonTable,4,FALSE))*POWER(1-(AnnualChurn*VLOOKUP(JF63,ChurnSeasonTable,4,FALSE)),0)+JS39*(AnnualChurn*VLOOKUP(JF63,ChurnSeasonTable,4,FALSE))*POWER(1-(AnnualChurn*VLOOKUP(JF63,ChurnSeasonTable,4,FALSE)),1)+JS27*(AnnualChurn*VLOOKUP(JF63,ChurnSeasonTable,4,FALSE))*POWER(1-(AnnualChurn*VLOOKUP(JF63,ChurnSeasonTable,4,FALSE)),2)+JS15*(AnnualChurn*VLOOKUP(JF63,ChurnSeasonTable,4,FALSE))*POWER(1-(AnnualChurn*VLOOKUP(JF63,ChurnSeasonTable,4,FALSE)),3)</f>
        <v/>
      </c>
      <c r="JX63" s="12">
        <f>JX62+JT63-JT51*(AnnualChurn*VLOOKUP(JF63,ChurnSeasonTable,4,FALSE))*POWER(1-(AnnualChurn*VLOOKUP(JF63,ChurnSeasonTable,4,FALSE)),0)+JT39*(AnnualChurn*VLOOKUP(JF63,ChurnSeasonTable,4,FALSE))*POWER(1-(AnnualChurn*VLOOKUP(JF63,ChurnSeasonTable,4,FALSE)),1)+JT27*(AnnualChurn*VLOOKUP(JF63,ChurnSeasonTable,4,FALSE))*POWER(1-(AnnualChurn*VLOOKUP(JF63,ChurnSeasonTable,4,FALSE)),2)+JT15*(AnnualChurn*VLOOKUP(JF63,ChurnSeasonTable,4,FALSE))*POWER(1-(AnnualChurn*VLOOKUP(JF63,ChurnSeasonTable,4,FALSE)),3)</f>
        <v/>
      </c>
      <c r="JY63" s="12">
        <f>JU63+JV63+JW63+JX63</f>
        <v/>
      </c>
      <c r="JZ63" s="9">
        <f>JU63*PriceEssMonthly*JI63+JV63*PricePremMonthly*JI63+JW63*PriceEssAnnual*JI63/12+JX63*PricePremAnnual*JI63/12</f>
        <v/>
      </c>
      <c r="KA63" s="9">
        <f>JZ63*12</f>
        <v/>
      </c>
      <c r="KB63" s="12">
        <f>JU63*PriceEssMonthly*JI63+JV63*PricePremMonthly*JI63</f>
        <v/>
      </c>
      <c r="KC63" s="12">
        <f>JS63*PriceEssAnnual*JI63+JT63*PricePremAnnual*JI63</f>
        <v/>
      </c>
      <c r="KD63" s="12">
        <f>JS51*POWER(1-(AnnualChurn*VLOOKUP(JF63,ChurnSeasonTable,4,FALSE)),1)*PriceEssAnnual*JI63+JS39*POWER(1-(AnnualChurn*VLOOKUP(JF63,ChurnSeasonTable,4,FALSE)),2)*PriceEssAnnual*JI63+JS27*POWER(1-(AnnualChurn*VLOOKUP(JF63,ChurnSeasonTable,4,FALSE)),3)*PriceEssAnnual*JI63+JS15*POWER(1-(AnnualChurn*VLOOKUP(JF63,ChurnSeasonTable,4,FALSE)),4)*PriceEssAnnual*JI63+JT51*POWER(1-(AnnualChurn*VLOOKUP(JF63,ChurnSeasonTable,4,FALSE)),1)*PricePremAnnual*JI63+JT39*POWER(1-(AnnualChurn*VLOOKUP(JF63,ChurnSeasonTable,4,FALSE)),2)*PricePremAnnual*JI63+JT27*POWER(1-(AnnualChurn*VLOOKUP(JF63,ChurnSeasonTable,4,FALSE)),3)*PricePremAnnual*JI63+JT15*POWER(1-(AnnualChurn*VLOOKUP(JF63,ChurnSeasonTable,4,FALSE)),4)*PricePremAnnual*JI63</f>
        <v/>
      </c>
      <c r="KE63" s="9">
        <f>KB63+KC63+KD63</f>
        <v/>
      </c>
      <c r="KF63" s="12">
        <f>SUM(KE52:KE63)</f>
        <v/>
      </c>
      <c r="KG63" s="12">
        <f>OR(KG62,KF63&gt;=VATThreshold)</f>
        <v/>
      </c>
      <c r="KH63" s="9">
        <f>IF(KG63,KE63/(1+VATRate),KE63)</f>
        <v/>
      </c>
      <c r="KI63" s="12">
        <f>KE63-KH63</f>
        <v/>
      </c>
      <c r="KJ63" s="12">
        <f>IF(KG63=0,0,IF(JF63=1,SUMPRODUCT(--(($JG$5:$JG63=$JG63-1)*($JF$5:$JF63&gt;=10)*($JF$5:$JF63&lt;=12)),$KI$5:$KI63),IF(JF63=4,SUMPRODUCT(--(($JG$5:$JG63=$JG63)*($JF$5:$JF63&gt;=1)*($JF$5:$JF63&lt;=3)),$KI$5:$KI63),IF(JF63=7,SUMPRODUCT(--(($JG$5:$JG63=$JG63)*($JF$5:$JF63&gt;=4)*($JF$5:$JF63&lt;=6)),$KI$5:$KI63),IF(JF63=10,SUMPRODUCT(--(($JG$5:$JG63=$JG63)*($JF$5:$JF63&gt;=7)*($JF$5:$JF63&lt;=9)),$KI$5:$KI63),0)))))</f>
        <v/>
      </c>
      <c r="KK63" s="12">
        <f>KK62+KI63-KJ63</f>
        <v/>
      </c>
      <c r="KL63" s="12">
        <f>IF(ProviderDelay&gt;=1,KH62*ProviderShare,KH63*ProviderShare)</f>
        <v/>
      </c>
      <c r="KM63" s="12">
        <f>KE63*PaymentFee</f>
        <v/>
      </c>
      <c r="KN63" s="12">
        <f>JY63*OpsAI</f>
        <v/>
      </c>
      <c r="KO63" s="12">
        <f>MonthlyFixed</f>
        <v/>
      </c>
      <c r="KP63" s="12">
        <f>JM63*ReferralReward</f>
        <v/>
      </c>
      <c r="KQ63" s="12">
        <f>JK63</f>
        <v/>
      </c>
      <c r="KR63" s="9">
        <f>KH63-KL63-KM63-KN63-KO63-KP63-KQ63</f>
        <v/>
      </c>
      <c r="KS63" s="9">
        <f>KS62+KE63-(KL63+KM63+KN63+KO63+KP63+KQ63+KJ63)</f>
        <v/>
      </c>
      <c r="KT63" s="12">
        <f>IF(JY63&gt;0,JZ63/JY63,0)</f>
        <v/>
      </c>
      <c r="KU63" s="11">
        <f>IF(JY62&gt;0,MAX(0,(JY62+JN63-JY63)/JY62),0)</f>
        <v/>
      </c>
      <c r="KW63" s="12" t="n">
        <v>59</v>
      </c>
      <c r="KX63" s="12">
        <f>MOD(KW63-1+LaunchMonth-1,12)+1</f>
        <v/>
      </c>
      <c r="KY63" s="12">
        <f>INT((KW63-1+LaunchMonth-1)/12)+1</f>
        <v/>
      </c>
      <c r="KZ63" s="12">
        <f>VLOOKUP(KX63,SeasonTable,2,FALSE)</f>
        <v/>
      </c>
      <c r="LA63" s="12">
        <f>(1+InflationRate)^INT((KW63-1)/12)</f>
        <v/>
      </c>
      <c r="LB63" s="11">
        <f>'Sens - Churn'!$A$17*VLOOKUP(KX63,ChurnSeasonTable,4,FALSE)</f>
        <v/>
      </c>
      <c r="LC63" s="12">
        <f>MIN(MAX(MktMin19plus,LW62*MktPct19plus),MAX(0,MK62-CashBuffer))</f>
        <v/>
      </c>
      <c r="LD63" s="12">
        <f>IF(LC63&gt;0,MAX(1,ROUND(LC63/CAC*KZ63,0)),0)</f>
        <v/>
      </c>
      <c r="LE63" s="12">
        <f>IF(LD63&gt;0,ROUND(LD63*ReferralMix/(1-ReferralMix),0),0)</f>
        <v/>
      </c>
      <c r="LF63" s="12">
        <f>LD63+LE63</f>
        <v/>
      </c>
      <c r="LG63" s="12">
        <f>ROUND(LF63*(1-AnnualMix),0)</f>
        <v/>
      </c>
      <c r="LH63" s="12">
        <f>LF63-LG63</f>
        <v/>
      </c>
      <c r="LI63" s="12">
        <f>ROUND(LG63*EssentialMix,0)</f>
        <v/>
      </c>
      <c r="LJ63" s="12">
        <f>LG63-LI63</f>
        <v/>
      </c>
      <c r="LK63" s="12">
        <f>ROUND(LH63*EssentialMix,0)</f>
        <v/>
      </c>
      <c r="LL63" s="12">
        <f>LH63-LK63</f>
        <v/>
      </c>
      <c r="LM63" s="12">
        <f>LI63+LI62+LI61+MAX(0,LM62-LI62-LI61)*(1-LB63)</f>
        <v/>
      </c>
      <c r="LN63" s="12">
        <f>LJ63+LJ62+LJ61+MAX(0,LN62-LJ62-LJ61)*(1-LB63)</f>
        <v/>
      </c>
      <c r="LO63" s="12">
        <f>LO62+LK63-LK51*(AnnualChurn*VLOOKUP(KX63,ChurnSeasonTable,4,FALSE))*POWER(1-(AnnualChurn*VLOOKUP(KX63,ChurnSeasonTable,4,FALSE)),0)+LK39*(AnnualChurn*VLOOKUP(KX63,ChurnSeasonTable,4,FALSE))*POWER(1-(AnnualChurn*VLOOKUP(KX63,ChurnSeasonTable,4,FALSE)),1)+LK27*(AnnualChurn*VLOOKUP(KX63,ChurnSeasonTable,4,FALSE))*POWER(1-(AnnualChurn*VLOOKUP(KX63,ChurnSeasonTable,4,FALSE)),2)+LK15*(AnnualChurn*VLOOKUP(KX63,ChurnSeasonTable,4,FALSE))*POWER(1-(AnnualChurn*VLOOKUP(KX63,ChurnSeasonTable,4,FALSE)),3)</f>
        <v/>
      </c>
      <c r="LP63" s="12">
        <f>LP62+LL63-LL51*(AnnualChurn*VLOOKUP(KX63,ChurnSeasonTable,4,FALSE))*POWER(1-(AnnualChurn*VLOOKUP(KX63,ChurnSeasonTable,4,FALSE)),0)+LL39*(AnnualChurn*VLOOKUP(KX63,ChurnSeasonTable,4,FALSE))*POWER(1-(AnnualChurn*VLOOKUP(KX63,ChurnSeasonTable,4,FALSE)),1)+LL27*(AnnualChurn*VLOOKUP(KX63,ChurnSeasonTable,4,FALSE))*POWER(1-(AnnualChurn*VLOOKUP(KX63,ChurnSeasonTable,4,FALSE)),2)+LL15*(AnnualChurn*VLOOKUP(KX63,ChurnSeasonTable,4,FALSE))*POWER(1-(AnnualChurn*VLOOKUP(KX63,ChurnSeasonTable,4,FALSE)),3)</f>
        <v/>
      </c>
      <c r="LQ63" s="12">
        <f>LM63+LN63+LO63+LP63</f>
        <v/>
      </c>
      <c r="LR63" s="9">
        <f>LM63*PriceEssMonthly*LA63+LN63*PricePremMonthly*LA63+LO63*PriceEssAnnual*LA63/12+LP63*PricePremAnnual*LA63/12</f>
        <v/>
      </c>
      <c r="LS63" s="9">
        <f>LR63*12</f>
        <v/>
      </c>
      <c r="LT63" s="12">
        <f>LM63*PriceEssMonthly*LA63+LN63*PricePremMonthly*LA63</f>
        <v/>
      </c>
      <c r="LU63" s="12">
        <f>LK63*PriceEssAnnual*LA63+LL63*PricePremAnnual*LA63</f>
        <v/>
      </c>
      <c r="LV63" s="12">
        <f>LK51*POWER(1-(AnnualChurn*VLOOKUP(KX63,ChurnSeasonTable,4,FALSE)),1)*PriceEssAnnual*LA63+LK39*POWER(1-(AnnualChurn*VLOOKUP(KX63,ChurnSeasonTable,4,FALSE)),2)*PriceEssAnnual*LA63+LK27*POWER(1-(AnnualChurn*VLOOKUP(KX63,ChurnSeasonTable,4,FALSE)),3)*PriceEssAnnual*LA63+LK15*POWER(1-(AnnualChurn*VLOOKUP(KX63,ChurnSeasonTable,4,FALSE)),4)*PriceEssAnnual*LA63+LL51*POWER(1-(AnnualChurn*VLOOKUP(KX63,ChurnSeasonTable,4,FALSE)),1)*PricePremAnnual*LA63+LL39*POWER(1-(AnnualChurn*VLOOKUP(KX63,ChurnSeasonTable,4,FALSE)),2)*PricePremAnnual*LA63+LL27*POWER(1-(AnnualChurn*VLOOKUP(KX63,ChurnSeasonTable,4,FALSE)),3)*PricePremAnnual*LA63+LL15*POWER(1-(AnnualChurn*VLOOKUP(KX63,ChurnSeasonTable,4,FALSE)),4)*PricePremAnnual*LA63</f>
        <v/>
      </c>
      <c r="LW63" s="9">
        <f>LT63+LU63+LV63</f>
        <v/>
      </c>
      <c r="LX63" s="12">
        <f>SUM(LW52:LW63)</f>
        <v/>
      </c>
      <c r="LY63" s="12">
        <f>OR(LY62,LX63&gt;=VATThreshold)</f>
        <v/>
      </c>
      <c r="LZ63" s="9">
        <f>IF(LY63,LW63/(1+VATRate),LW63)</f>
        <v/>
      </c>
      <c r="MA63" s="12">
        <f>LW63-LZ63</f>
        <v/>
      </c>
      <c r="MB63" s="12">
        <f>IF(LY63=0,0,IF(KX63=1,SUMPRODUCT(--(($KY$5:$KY63=$KY63-1)*($KX$5:$KX63&gt;=10)*($KX$5:$KX63&lt;=12)),$MA$5:$MA63),IF(KX63=4,SUMPRODUCT(--(($KY$5:$KY63=$KY63)*($KX$5:$KX63&gt;=1)*($KX$5:$KX63&lt;=3)),$MA$5:$MA63),IF(KX63=7,SUMPRODUCT(--(($KY$5:$KY63=$KY63)*($KX$5:$KX63&gt;=4)*($KX$5:$KX63&lt;=6)),$MA$5:$MA63),IF(KX63=10,SUMPRODUCT(--(($KY$5:$KY63=$KY63)*($KX$5:$KX63&gt;=7)*($KX$5:$KX63&lt;=9)),$MA$5:$MA63),0)))))</f>
        <v/>
      </c>
      <c r="MC63" s="12">
        <f>MC62+MA63-MB63</f>
        <v/>
      </c>
      <c r="MD63" s="12">
        <f>IF(ProviderDelay&gt;=1,LZ62*ProviderShare,LZ63*ProviderShare)</f>
        <v/>
      </c>
      <c r="ME63" s="12">
        <f>LW63*PaymentFee</f>
        <v/>
      </c>
      <c r="MF63" s="12">
        <f>LQ63*OpsAI</f>
        <v/>
      </c>
      <c r="MG63" s="12">
        <f>MonthlyFixed</f>
        <v/>
      </c>
      <c r="MH63" s="12">
        <f>LE63*ReferralReward</f>
        <v/>
      </c>
      <c r="MI63" s="12">
        <f>LC63</f>
        <v/>
      </c>
      <c r="MJ63" s="9">
        <f>LZ63-MD63-ME63-MF63-MG63-MH63-MI63</f>
        <v/>
      </c>
      <c r="MK63" s="9">
        <f>MK62+LW63-(MD63+ME63+MF63+MG63+MH63+MI63+MB63)</f>
        <v/>
      </c>
      <c r="ML63" s="12">
        <f>IF(LQ63&gt;0,LR63/LQ63,0)</f>
        <v/>
      </c>
      <c r="MM63" s="11">
        <f>IF(LQ62&gt;0,MAX(0,(LQ62+LF63-LQ63)/LQ62),0)</f>
        <v/>
      </c>
      <c r="MO63" s="12" t="n">
        <v>59</v>
      </c>
      <c r="MP63" s="12">
        <f>MOD(MO63-1+LaunchMonth-1,12)+1</f>
        <v/>
      </c>
      <c r="MQ63" s="12">
        <f>INT((MO63-1+LaunchMonth-1)/12)+1</f>
        <v/>
      </c>
      <c r="MR63" s="12">
        <f>VLOOKUP(MP63,SeasonTable,2,FALSE)</f>
        <v/>
      </c>
      <c r="MS63" s="12">
        <f>(1+InflationRate)^INT((MO63-1)/12)</f>
        <v/>
      </c>
      <c r="MT63" s="11">
        <f>'Sens - Churn'!$A$18*VLOOKUP(MP63,ChurnSeasonTable,4,FALSE)</f>
        <v/>
      </c>
      <c r="MU63" s="12">
        <f>MIN(MAX(MktMin19plus,NO62*MktPct19plus),MAX(0,OC62-CashBuffer))</f>
        <v/>
      </c>
      <c r="MV63" s="12">
        <f>IF(MU63&gt;0,MAX(1,ROUND(MU63/CAC*MR63,0)),0)</f>
        <v/>
      </c>
      <c r="MW63" s="12">
        <f>IF(MV63&gt;0,ROUND(MV63*ReferralMix/(1-ReferralMix),0),0)</f>
        <v/>
      </c>
      <c r="MX63" s="12">
        <f>MV63+MW63</f>
        <v/>
      </c>
      <c r="MY63" s="12">
        <f>ROUND(MX63*(1-AnnualMix),0)</f>
        <v/>
      </c>
      <c r="MZ63" s="12">
        <f>MX63-MY63</f>
        <v/>
      </c>
      <c r="NA63" s="12">
        <f>ROUND(MY63*EssentialMix,0)</f>
        <v/>
      </c>
      <c r="NB63" s="12">
        <f>MY63-NA63</f>
        <v/>
      </c>
      <c r="NC63" s="12">
        <f>ROUND(MZ63*EssentialMix,0)</f>
        <v/>
      </c>
      <c r="ND63" s="12">
        <f>MZ63-NC63</f>
        <v/>
      </c>
      <c r="NE63" s="12">
        <f>NA63+NA62+NA61+MAX(0,NE62-NA62-NA61)*(1-MT63)</f>
        <v/>
      </c>
      <c r="NF63" s="12">
        <f>NB63+NB62+NB61+MAX(0,NF62-NB62-NB61)*(1-MT63)</f>
        <v/>
      </c>
      <c r="NG63" s="12">
        <f>NG62+NC63-NC51*(AnnualChurn*VLOOKUP(MP63,ChurnSeasonTable,4,FALSE))*POWER(1-(AnnualChurn*VLOOKUP(MP63,ChurnSeasonTable,4,FALSE)),0)+NC39*(AnnualChurn*VLOOKUP(MP63,ChurnSeasonTable,4,FALSE))*POWER(1-(AnnualChurn*VLOOKUP(MP63,ChurnSeasonTable,4,FALSE)),1)+NC27*(AnnualChurn*VLOOKUP(MP63,ChurnSeasonTable,4,FALSE))*POWER(1-(AnnualChurn*VLOOKUP(MP63,ChurnSeasonTable,4,FALSE)),2)+NC15*(AnnualChurn*VLOOKUP(MP63,ChurnSeasonTable,4,FALSE))*POWER(1-(AnnualChurn*VLOOKUP(MP63,ChurnSeasonTable,4,FALSE)),3)</f>
        <v/>
      </c>
      <c r="NH63" s="12">
        <f>NH62+ND63-ND51*(AnnualChurn*VLOOKUP(MP63,ChurnSeasonTable,4,FALSE))*POWER(1-(AnnualChurn*VLOOKUP(MP63,ChurnSeasonTable,4,FALSE)),0)+ND39*(AnnualChurn*VLOOKUP(MP63,ChurnSeasonTable,4,FALSE))*POWER(1-(AnnualChurn*VLOOKUP(MP63,ChurnSeasonTable,4,FALSE)),1)+ND27*(AnnualChurn*VLOOKUP(MP63,ChurnSeasonTable,4,FALSE))*POWER(1-(AnnualChurn*VLOOKUP(MP63,ChurnSeasonTable,4,FALSE)),2)+ND15*(AnnualChurn*VLOOKUP(MP63,ChurnSeasonTable,4,FALSE))*POWER(1-(AnnualChurn*VLOOKUP(MP63,ChurnSeasonTable,4,FALSE)),3)</f>
        <v/>
      </c>
      <c r="NI63" s="12">
        <f>NE63+NF63+NG63+NH63</f>
        <v/>
      </c>
      <c r="NJ63" s="9">
        <f>NE63*PriceEssMonthly*MS63+NF63*PricePremMonthly*MS63+NG63*PriceEssAnnual*MS63/12+NH63*PricePremAnnual*MS63/12</f>
        <v/>
      </c>
      <c r="NK63" s="9">
        <f>NJ63*12</f>
        <v/>
      </c>
      <c r="NL63" s="12">
        <f>NE63*PriceEssMonthly*MS63+NF63*PricePremMonthly*MS63</f>
        <v/>
      </c>
      <c r="NM63" s="12">
        <f>NC63*PriceEssAnnual*MS63+ND63*PricePremAnnual*MS63</f>
        <v/>
      </c>
      <c r="NN63" s="12">
        <f>NC51*POWER(1-(AnnualChurn*VLOOKUP(MP63,ChurnSeasonTable,4,FALSE)),1)*PriceEssAnnual*MS63+NC39*POWER(1-(AnnualChurn*VLOOKUP(MP63,ChurnSeasonTable,4,FALSE)),2)*PriceEssAnnual*MS63+NC27*POWER(1-(AnnualChurn*VLOOKUP(MP63,ChurnSeasonTable,4,FALSE)),3)*PriceEssAnnual*MS63+NC15*POWER(1-(AnnualChurn*VLOOKUP(MP63,ChurnSeasonTable,4,FALSE)),4)*PriceEssAnnual*MS63+ND51*POWER(1-(AnnualChurn*VLOOKUP(MP63,ChurnSeasonTable,4,FALSE)),1)*PricePremAnnual*MS63+ND39*POWER(1-(AnnualChurn*VLOOKUP(MP63,ChurnSeasonTable,4,FALSE)),2)*PricePremAnnual*MS63+ND27*POWER(1-(AnnualChurn*VLOOKUP(MP63,ChurnSeasonTable,4,FALSE)),3)*PricePremAnnual*MS63+ND15*POWER(1-(AnnualChurn*VLOOKUP(MP63,ChurnSeasonTable,4,FALSE)),4)*PricePremAnnual*MS63</f>
        <v/>
      </c>
      <c r="NO63" s="9">
        <f>NL63+NM63+NN63</f>
        <v/>
      </c>
      <c r="NP63" s="12">
        <f>SUM(NO52:NO63)</f>
        <v/>
      </c>
      <c r="NQ63" s="12">
        <f>OR(NQ62,NP63&gt;=VATThreshold)</f>
        <v/>
      </c>
      <c r="NR63" s="9">
        <f>IF(NQ63,NO63/(1+VATRate),NO63)</f>
        <v/>
      </c>
      <c r="NS63" s="12">
        <f>NO63-NR63</f>
        <v/>
      </c>
      <c r="NT63" s="12">
        <f>IF(NQ63=0,0,IF(MP63=1,SUMPRODUCT(--(($MQ$5:$MQ63=$MQ63-1)*($MP$5:$MP63&gt;=10)*($MP$5:$MP63&lt;=12)),$NS$5:$NS63),IF(MP63=4,SUMPRODUCT(--(($MQ$5:$MQ63=$MQ63)*($MP$5:$MP63&gt;=1)*($MP$5:$MP63&lt;=3)),$NS$5:$NS63),IF(MP63=7,SUMPRODUCT(--(($MQ$5:$MQ63=$MQ63)*($MP$5:$MP63&gt;=4)*($MP$5:$MP63&lt;=6)),$NS$5:$NS63),IF(MP63=10,SUMPRODUCT(--(($MQ$5:$MQ63=$MQ63)*($MP$5:$MP63&gt;=7)*($MP$5:$MP63&lt;=9)),$NS$5:$NS63),0)))))</f>
        <v/>
      </c>
      <c r="NU63" s="12">
        <f>NU62+NS63-NT63</f>
        <v/>
      </c>
      <c r="NV63" s="12">
        <f>IF(ProviderDelay&gt;=1,NR62*ProviderShare,NR63*ProviderShare)</f>
        <v/>
      </c>
      <c r="NW63" s="12">
        <f>NO63*PaymentFee</f>
        <v/>
      </c>
      <c r="NX63" s="12">
        <f>NI63*OpsAI</f>
        <v/>
      </c>
      <c r="NY63" s="12">
        <f>MonthlyFixed</f>
        <v/>
      </c>
      <c r="NZ63" s="12">
        <f>MW63*ReferralReward</f>
        <v/>
      </c>
      <c r="OA63" s="12">
        <f>MU63</f>
        <v/>
      </c>
      <c r="OB63" s="9">
        <f>NR63-NV63-NW63-NX63-NY63-NZ63-OA63</f>
        <v/>
      </c>
      <c r="OC63" s="9">
        <f>OC62+NO63-(NV63+NW63+NX63+NY63+NZ63+OA63+NT63)</f>
        <v/>
      </c>
      <c r="OD63" s="12">
        <f>IF(NI63&gt;0,NJ63/NI63,0)</f>
        <v/>
      </c>
      <c r="OE63" s="11">
        <f>IF(NI62&gt;0,MAX(0,(NI62+MX63-NI63)/NI62),0)</f>
        <v/>
      </c>
      <c r="OG63" s="12" t="n">
        <v>59</v>
      </c>
      <c r="OH63" s="12">
        <f>MOD(OG63-1+LaunchMonth-1,12)+1</f>
        <v/>
      </c>
      <c r="OI63" s="12">
        <f>INT((OG63-1+LaunchMonth-1)/12)+1</f>
        <v/>
      </c>
      <c r="OJ63" s="12">
        <f>VLOOKUP(OH63,SeasonTable,2,FALSE)</f>
        <v/>
      </c>
      <c r="OK63" s="12">
        <f>(1+InflationRate)^INT((OG63-1)/12)</f>
        <v/>
      </c>
      <c r="OL63" s="11">
        <f>'Sens - Churn'!$A$19*VLOOKUP(OH63,ChurnSeasonTable,4,FALSE)</f>
        <v/>
      </c>
      <c r="OM63" s="12">
        <f>MIN(MAX(MktMin19plus,PG62*MktPct19plus),MAX(0,PU62-CashBuffer))</f>
        <v/>
      </c>
      <c r="ON63" s="12">
        <f>IF(OM63&gt;0,MAX(1,ROUND(OM63/CAC*OJ63,0)),0)</f>
        <v/>
      </c>
      <c r="OO63" s="12">
        <f>IF(ON63&gt;0,ROUND(ON63*ReferralMix/(1-ReferralMix),0),0)</f>
        <v/>
      </c>
      <c r="OP63" s="12">
        <f>ON63+OO63</f>
        <v/>
      </c>
      <c r="OQ63" s="12">
        <f>ROUND(OP63*(1-AnnualMix),0)</f>
        <v/>
      </c>
      <c r="OR63" s="12">
        <f>OP63-OQ63</f>
        <v/>
      </c>
      <c r="OS63" s="12">
        <f>ROUND(OQ63*EssentialMix,0)</f>
        <v/>
      </c>
      <c r="OT63" s="12">
        <f>OQ63-OS63</f>
        <v/>
      </c>
      <c r="OU63" s="12">
        <f>ROUND(OR63*EssentialMix,0)</f>
        <v/>
      </c>
      <c r="OV63" s="12">
        <f>OR63-OU63</f>
        <v/>
      </c>
      <c r="OW63" s="12">
        <f>OS63+OS62+OS61+MAX(0,OW62-OS62-OS61)*(1-OL63)</f>
        <v/>
      </c>
      <c r="OX63" s="12">
        <f>OT63+OT62+OT61+MAX(0,OX62-OT62-OT61)*(1-OL63)</f>
        <v/>
      </c>
      <c r="OY63" s="12">
        <f>OY62+OU63-OU51*(AnnualChurn*VLOOKUP(OH63,ChurnSeasonTable,4,FALSE))*POWER(1-(AnnualChurn*VLOOKUP(OH63,ChurnSeasonTable,4,FALSE)),0)+OU39*(AnnualChurn*VLOOKUP(OH63,ChurnSeasonTable,4,FALSE))*POWER(1-(AnnualChurn*VLOOKUP(OH63,ChurnSeasonTable,4,FALSE)),1)+OU27*(AnnualChurn*VLOOKUP(OH63,ChurnSeasonTable,4,FALSE))*POWER(1-(AnnualChurn*VLOOKUP(OH63,ChurnSeasonTable,4,FALSE)),2)+OU15*(AnnualChurn*VLOOKUP(OH63,ChurnSeasonTable,4,FALSE))*POWER(1-(AnnualChurn*VLOOKUP(OH63,ChurnSeasonTable,4,FALSE)),3)</f>
        <v/>
      </c>
      <c r="OZ63" s="12">
        <f>OZ62+OV63-OV51*(AnnualChurn*VLOOKUP(OH63,ChurnSeasonTable,4,FALSE))*POWER(1-(AnnualChurn*VLOOKUP(OH63,ChurnSeasonTable,4,FALSE)),0)+OV39*(AnnualChurn*VLOOKUP(OH63,ChurnSeasonTable,4,FALSE))*POWER(1-(AnnualChurn*VLOOKUP(OH63,ChurnSeasonTable,4,FALSE)),1)+OV27*(AnnualChurn*VLOOKUP(OH63,ChurnSeasonTable,4,FALSE))*POWER(1-(AnnualChurn*VLOOKUP(OH63,ChurnSeasonTable,4,FALSE)),2)+OV15*(AnnualChurn*VLOOKUP(OH63,ChurnSeasonTable,4,FALSE))*POWER(1-(AnnualChurn*VLOOKUP(OH63,ChurnSeasonTable,4,FALSE)),3)</f>
        <v/>
      </c>
      <c r="PA63" s="12">
        <f>OW63+OX63+OY63+OZ63</f>
        <v/>
      </c>
      <c r="PB63" s="9">
        <f>OW63*PriceEssMonthly*OK63+OX63*PricePremMonthly*OK63+OY63*PriceEssAnnual*OK63/12+OZ63*PricePremAnnual*OK63/12</f>
        <v/>
      </c>
      <c r="PC63" s="9">
        <f>PB63*12</f>
        <v/>
      </c>
      <c r="PD63" s="12">
        <f>OW63*PriceEssMonthly*OK63+OX63*PricePremMonthly*OK63</f>
        <v/>
      </c>
      <c r="PE63" s="12">
        <f>OU63*PriceEssAnnual*OK63+OV63*PricePremAnnual*OK63</f>
        <v/>
      </c>
      <c r="PF63" s="12">
        <f>OU51*POWER(1-(AnnualChurn*VLOOKUP(OH63,ChurnSeasonTable,4,FALSE)),1)*PriceEssAnnual*OK63+OU39*POWER(1-(AnnualChurn*VLOOKUP(OH63,ChurnSeasonTable,4,FALSE)),2)*PriceEssAnnual*OK63+OU27*POWER(1-(AnnualChurn*VLOOKUP(OH63,ChurnSeasonTable,4,FALSE)),3)*PriceEssAnnual*OK63+OU15*POWER(1-(AnnualChurn*VLOOKUP(OH63,ChurnSeasonTable,4,FALSE)),4)*PriceEssAnnual*OK63+OV51*POWER(1-(AnnualChurn*VLOOKUP(OH63,ChurnSeasonTable,4,FALSE)),1)*PricePremAnnual*OK63+OV39*POWER(1-(AnnualChurn*VLOOKUP(OH63,ChurnSeasonTable,4,FALSE)),2)*PricePremAnnual*OK63+OV27*POWER(1-(AnnualChurn*VLOOKUP(OH63,ChurnSeasonTable,4,FALSE)),3)*PricePremAnnual*OK63+OV15*POWER(1-(AnnualChurn*VLOOKUP(OH63,ChurnSeasonTable,4,FALSE)),4)*PricePremAnnual*OK63</f>
        <v/>
      </c>
      <c r="PG63" s="9">
        <f>PD63+PE63+PF63</f>
        <v/>
      </c>
      <c r="PH63" s="12">
        <f>SUM(PG52:PG63)</f>
        <v/>
      </c>
      <c r="PI63" s="12">
        <f>OR(PI62,PH63&gt;=VATThreshold)</f>
        <v/>
      </c>
      <c r="PJ63" s="9">
        <f>IF(PI63,PG63/(1+VATRate),PG63)</f>
        <v/>
      </c>
      <c r="PK63" s="12">
        <f>PG63-PJ63</f>
        <v/>
      </c>
      <c r="PL63" s="12">
        <f>IF(PI63=0,0,IF(OH63=1,SUMPRODUCT(--(($OI$5:$OI63=$OI63-1)*($OH$5:$OH63&gt;=10)*($OH$5:$OH63&lt;=12)),$PK$5:$PK63),IF(OH63=4,SUMPRODUCT(--(($OI$5:$OI63=$OI63)*($OH$5:$OH63&gt;=1)*($OH$5:$OH63&lt;=3)),$PK$5:$PK63),IF(OH63=7,SUMPRODUCT(--(($OI$5:$OI63=$OI63)*($OH$5:$OH63&gt;=4)*($OH$5:$OH63&lt;=6)),$PK$5:$PK63),IF(OH63=10,SUMPRODUCT(--(($OI$5:$OI63=$OI63)*($OH$5:$OH63&gt;=7)*($OH$5:$OH63&lt;=9)),$PK$5:$PK63),0)))))</f>
        <v/>
      </c>
      <c r="PM63" s="12">
        <f>PM62+PK63-PL63</f>
        <v/>
      </c>
      <c r="PN63" s="12">
        <f>IF(ProviderDelay&gt;=1,PJ62*ProviderShare,PJ63*ProviderShare)</f>
        <v/>
      </c>
      <c r="PO63" s="12">
        <f>PG63*PaymentFee</f>
        <v/>
      </c>
      <c r="PP63" s="12">
        <f>PA63*OpsAI</f>
        <v/>
      </c>
      <c r="PQ63" s="12">
        <f>MonthlyFixed</f>
        <v/>
      </c>
      <c r="PR63" s="12">
        <f>OO63*ReferralReward</f>
        <v/>
      </c>
      <c r="PS63" s="12">
        <f>OM63</f>
        <v/>
      </c>
      <c r="PT63" s="9">
        <f>PJ63-PN63-PO63-PP63-PQ63-PR63-PS63</f>
        <v/>
      </c>
      <c r="PU63" s="9">
        <f>PU62+PG63-(PN63+PO63+PP63+PQ63+PR63+PS63+PL63)</f>
        <v/>
      </c>
      <c r="PV63" s="12">
        <f>IF(PA63&gt;0,PB63/PA63,0)</f>
        <v/>
      </c>
      <c r="PW63" s="11">
        <f>IF(PA62&gt;0,MAX(0,(PA62+OP63-PA63)/PA62),0)</f>
        <v/>
      </c>
      <c r="PY63" s="12" t="n">
        <v>59</v>
      </c>
      <c r="PZ63" s="12">
        <f>MOD(PY63-1+LaunchMonth-1,12)+1</f>
        <v/>
      </c>
      <c r="QA63" s="12">
        <f>INT((PY63-1+LaunchMonth-1)/12)+1</f>
        <v/>
      </c>
      <c r="QB63" s="12">
        <f>VLOOKUP(PZ63,SeasonTable,2,FALSE)</f>
        <v/>
      </c>
      <c r="QC63" s="12">
        <f>(1+InflationRate)^INT((PY63-1)/12)</f>
        <v/>
      </c>
      <c r="QD63" s="11">
        <f>'Sens - Churn'!$A$20*VLOOKUP(PZ63,ChurnSeasonTable,4,FALSE)</f>
        <v/>
      </c>
      <c r="QE63" s="12">
        <f>MIN(MAX(MktMin19plus,QY62*MktPct19plus),MAX(0,RM62-CashBuffer))</f>
        <v/>
      </c>
      <c r="QF63" s="12">
        <f>IF(QE63&gt;0,MAX(1,ROUND(QE63/CAC*QB63,0)),0)</f>
        <v/>
      </c>
      <c r="QG63" s="12">
        <f>IF(QF63&gt;0,ROUND(QF63*ReferralMix/(1-ReferralMix),0),0)</f>
        <v/>
      </c>
      <c r="QH63" s="12">
        <f>QF63+QG63</f>
        <v/>
      </c>
      <c r="QI63" s="12">
        <f>ROUND(QH63*(1-AnnualMix),0)</f>
        <v/>
      </c>
      <c r="QJ63" s="12">
        <f>QH63-QI63</f>
        <v/>
      </c>
      <c r="QK63" s="12">
        <f>ROUND(QI63*EssentialMix,0)</f>
        <v/>
      </c>
      <c r="QL63" s="12">
        <f>QI63-QK63</f>
        <v/>
      </c>
      <c r="QM63" s="12">
        <f>ROUND(QJ63*EssentialMix,0)</f>
        <v/>
      </c>
      <c r="QN63" s="12">
        <f>QJ63-QM63</f>
        <v/>
      </c>
      <c r="QO63" s="12">
        <f>QK63+QK62+QK61+MAX(0,QO62-QK62-QK61)*(1-QD63)</f>
        <v/>
      </c>
      <c r="QP63" s="12">
        <f>QL63+QL62+QL61+MAX(0,QP62-QL62-QL61)*(1-QD63)</f>
        <v/>
      </c>
      <c r="QQ63" s="12">
        <f>QQ62+QM63-QM51*(AnnualChurn*VLOOKUP(PZ63,ChurnSeasonTable,4,FALSE))*POWER(1-(AnnualChurn*VLOOKUP(PZ63,ChurnSeasonTable,4,FALSE)),0)+QM39*(AnnualChurn*VLOOKUP(PZ63,ChurnSeasonTable,4,FALSE))*POWER(1-(AnnualChurn*VLOOKUP(PZ63,ChurnSeasonTable,4,FALSE)),1)+QM27*(AnnualChurn*VLOOKUP(PZ63,ChurnSeasonTable,4,FALSE))*POWER(1-(AnnualChurn*VLOOKUP(PZ63,ChurnSeasonTable,4,FALSE)),2)+QM15*(AnnualChurn*VLOOKUP(PZ63,ChurnSeasonTable,4,FALSE))*POWER(1-(AnnualChurn*VLOOKUP(PZ63,ChurnSeasonTable,4,FALSE)),3)</f>
        <v/>
      </c>
      <c r="QR63" s="12">
        <f>QR62+QN63-QN51*(AnnualChurn*VLOOKUP(PZ63,ChurnSeasonTable,4,FALSE))*POWER(1-(AnnualChurn*VLOOKUP(PZ63,ChurnSeasonTable,4,FALSE)),0)+QN39*(AnnualChurn*VLOOKUP(PZ63,ChurnSeasonTable,4,FALSE))*POWER(1-(AnnualChurn*VLOOKUP(PZ63,ChurnSeasonTable,4,FALSE)),1)+QN27*(AnnualChurn*VLOOKUP(PZ63,ChurnSeasonTable,4,FALSE))*POWER(1-(AnnualChurn*VLOOKUP(PZ63,ChurnSeasonTable,4,FALSE)),2)+QN15*(AnnualChurn*VLOOKUP(PZ63,ChurnSeasonTable,4,FALSE))*POWER(1-(AnnualChurn*VLOOKUP(PZ63,ChurnSeasonTable,4,FALSE)),3)</f>
        <v/>
      </c>
      <c r="QS63" s="12">
        <f>QO63+QP63+QQ63+QR63</f>
        <v/>
      </c>
      <c r="QT63" s="9">
        <f>QO63*PriceEssMonthly*QC63+QP63*PricePremMonthly*QC63+QQ63*PriceEssAnnual*QC63/12+QR63*PricePremAnnual*QC63/12</f>
        <v/>
      </c>
      <c r="QU63" s="9">
        <f>QT63*12</f>
        <v/>
      </c>
      <c r="QV63" s="12">
        <f>QO63*PriceEssMonthly*QC63+QP63*PricePremMonthly*QC63</f>
        <v/>
      </c>
      <c r="QW63" s="12">
        <f>QM63*PriceEssAnnual*QC63+QN63*PricePremAnnual*QC63</f>
        <v/>
      </c>
      <c r="QX63" s="12">
        <f>QM51*POWER(1-(AnnualChurn*VLOOKUP(PZ63,ChurnSeasonTable,4,FALSE)),1)*PriceEssAnnual*QC63+QM39*POWER(1-(AnnualChurn*VLOOKUP(PZ63,ChurnSeasonTable,4,FALSE)),2)*PriceEssAnnual*QC63+QM27*POWER(1-(AnnualChurn*VLOOKUP(PZ63,ChurnSeasonTable,4,FALSE)),3)*PriceEssAnnual*QC63+QM15*POWER(1-(AnnualChurn*VLOOKUP(PZ63,ChurnSeasonTable,4,FALSE)),4)*PriceEssAnnual*QC63+QN51*POWER(1-(AnnualChurn*VLOOKUP(PZ63,ChurnSeasonTable,4,FALSE)),1)*PricePremAnnual*QC63+QN39*POWER(1-(AnnualChurn*VLOOKUP(PZ63,ChurnSeasonTable,4,FALSE)),2)*PricePremAnnual*QC63+QN27*POWER(1-(AnnualChurn*VLOOKUP(PZ63,ChurnSeasonTable,4,FALSE)),3)*PricePremAnnual*QC63+QN15*POWER(1-(AnnualChurn*VLOOKUP(PZ63,ChurnSeasonTable,4,FALSE)),4)*PricePremAnnual*QC63</f>
        <v/>
      </c>
      <c r="QY63" s="9">
        <f>QV63+QW63+QX63</f>
        <v/>
      </c>
      <c r="QZ63" s="12">
        <f>SUM(QY52:QY63)</f>
        <v/>
      </c>
      <c r="RA63" s="12">
        <f>OR(RA62,QZ63&gt;=VATThreshold)</f>
        <v/>
      </c>
      <c r="RB63" s="9">
        <f>IF(RA63,QY63/(1+VATRate),QY63)</f>
        <v/>
      </c>
      <c r="RC63" s="12">
        <f>QY63-RB63</f>
        <v/>
      </c>
      <c r="RD63" s="12">
        <f>IF(RA63=0,0,IF(PZ63=1,SUMPRODUCT(--(($QA$5:$QA63=$QA63-1)*($PZ$5:$PZ63&gt;=10)*($PZ$5:$PZ63&lt;=12)),$RC$5:$RC63),IF(PZ63=4,SUMPRODUCT(--(($QA$5:$QA63=$QA63)*($PZ$5:$PZ63&gt;=1)*($PZ$5:$PZ63&lt;=3)),$RC$5:$RC63),IF(PZ63=7,SUMPRODUCT(--(($QA$5:$QA63=$QA63)*($PZ$5:$PZ63&gt;=4)*($PZ$5:$PZ63&lt;=6)),$RC$5:$RC63),IF(PZ63=10,SUMPRODUCT(--(($QA$5:$QA63=$QA63)*($PZ$5:$PZ63&gt;=7)*($PZ$5:$PZ63&lt;=9)),$RC$5:$RC63),0)))))</f>
        <v/>
      </c>
      <c r="RE63" s="12">
        <f>RE62+RC63-RD63</f>
        <v/>
      </c>
      <c r="RF63" s="12">
        <f>IF(ProviderDelay&gt;=1,RB62*ProviderShare,RB63*ProviderShare)</f>
        <v/>
      </c>
      <c r="RG63" s="12">
        <f>QY63*PaymentFee</f>
        <v/>
      </c>
      <c r="RH63" s="12">
        <f>QS63*OpsAI</f>
        <v/>
      </c>
      <c r="RI63" s="12">
        <f>MonthlyFixed</f>
        <v/>
      </c>
      <c r="RJ63" s="12">
        <f>QG63*ReferralReward</f>
        <v/>
      </c>
      <c r="RK63" s="12">
        <f>QE63</f>
        <v/>
      </c>
      <c r="RL63" s="9">
        <f>RB63-RF63-RG63-RH63-RI63-RJ63-RK63</f>
        <v/>
      </c>
      <c r="RM63" s="9">
        <f>RM62+QY63-(RF63+RG63+RH63+RI63+RJ63+RK63+RD63)</f>
        <v/>
      </c>
      <c r="RN63" s="12">
        <f>IF(QS63&gt;0,QT63/QS63,0)</f>
        <v/>
      </c>
      <c r="RO63" s="11">
        <f>IF(QS62&gt;0,MAX(0,(QS62+QH63-QS63)/QS62),0)</f>
        <v/>
      </c>
      <c r="RQ63" s="12" t="n">
        <v>59</v>
      </c>
      <c r="RR63" s="12">
        <f>MOD(RQ63-1+LaunchMonth-1,12)+1</f>
        <v/>
      </c>
      <c r="RS63" s="12">
        <f>INT((RQ63-1+LaunchMonth-1)/12)+1</f>
        <v/>
      </c>
      <c r="RT63" s="12">
        <f>VLOOKUP(RR63,SeasonTable,2,FALSE)</f>
        <v/>
      </c>
      <c r="RU63" s="12">
        <f>(1+InflationRate)^INT((RQ63-1)/12)</f>
        <v/>
      </c>
      <c r="RV63" s="11">
        <f>'Sens - Churn'!$A$21*VLOOKUP(RR63,ChurnSeasonTable,4,FALSE)</f>
        <v/>
      </c>
      <c r="RW63" s="12">
        <f>MIN(MAX(MktMin19plus,SQ62*MktPct19plus),MAX(0,TE62-CashBuffer))</f>
        <v/>
      </c>
      <c r="RX63" s="12">
        <f>IF(RW63&gt;0,MAX(1,ROUND(RW63/CAC*RT63,0)),0)</f>
        <v/>
      </c>
      <c r="RY63" s="12">
        <f>IF(RX63&gt;0,ROUND(RX63*ReferralMix/(1-ReferralMix),0),0)</f>
        <v/>
      </c>
      <c r="RZ63" s="12">
        <f>RX63+RY63</f>
        <v/>
      </c>
      <c r="SA63" s="12">
        <f>ROUND(RZ63*(1-AnnualMix),0)</f>
        <v/>
      </c>
      <c r="SB63" s="12">
        <f>RZ63-SA63</f>
        <v/>
      </c>
      <c r="SC63" s="12">
        <f>ROUND(SA63*EssentialMix,0)</f>
        <v/>
      </c>
      <c r="SD63" s="12">
        <f>SA63-SC63</f>
        <v/>
      </c>
      <c r="SE63" s="12">
        <f>ROUND(SB63*EssentialMix,0)</f>
        <v/>
      </c>
      <c r="SF63" s="12">
        <f>SB63-SE63</f>
        <v/>
      </c>
      <c r="SG63" s="12">
        <f>SC63+SC62+SC61+MAX(0,SG62-SC62-SC61)*(1-RV63)</f>
        <v/>
      </c>
      <c r="SH63" s="12">
        <f>SD63+SD62+SD61+MAX(0,SH62-SD62-SD61)*(1-RV63)</f>
        <v/>
      </c>
      <c r="SI63" s="12">
        <f>SI62+SE63-SE51*(AnnualChurn*VLOOKUP(RR63,ChurnSeasonTable,4,FALSE))*POWER(1-(AnnualChurn*VLOOKUP(RR63,ChurnSeasonTable,4,FALSE)),0)+SE39*(AnnualChurn*VLOOKUP(RR63,ChurnSeasonTable,4,FALSE))*POWER(1-(AnnualChurn*VLOOKUP(RR63,ChurnSeasonTable,4,FALSE)),1)+SE27*(AnnualChurn*VLOOKUP(RR63,ChurnSeasonTable,4,FALSE))*POWER(1-(AnnualChurn*VLOOKUP(RR63,ChurnSeasonTable,4,FALSE)),2)+SE15*(AnnualChurn*VLOOKUP(RR63,ChurnSeasonTable,4,FALSE))*POWER(1-(AnnualChurn*VLOOKUP(RR63,ChurnSeasonTable,4,FALSE)),3)</f>
        <v/>
      </c>
      <c r="SJ63" s="12">
        <f>SJ62+SF63-SF51*(AnnualChurn*VLOOKUP(RR63,ChurnSeasonTable,4,FALSE))*POWER(1-(AnnualChurn*VLOOKUP(RR63,ChurnSeasonTable,4,FALSE)),0)+SF39*(AnnualChurn*VLOOKUP(RR63,ChurnSeasonTable,4,FALSE))*POWER(1-(AnnualChurn*VLOOKUP(RR63,ChurnSeasonTable,4,FALSE)),1)+SF27*(AnnualChurn*VLOOKUP(RR63,ChurnSeasonTable,4,FALSE))*POWER(1-(AnnualChurn*VLOOKUP(RR63,ChurnSeasonTable,4,FALSE)),2)+SF15*(AnnualChurn*VLOOKUP(RR63,ChurnSeasonTable,4,FALSE))*POWER(1-(AnnualChurn*VLOOKUP(RR63,ChurnSeasonTable,4,FALSE)),3)</f>
        <v/>
      </c>
      <c r="SK63" s="12">
        <f>SG63+SH63+SI63+SJ63</f>
        <v/>
      </c>
      <c r="SL63" s="9">
        <f>SG63*PriceEssMonthly*RU63+SH63*PricePremMonthly*RU63+SI63*PriceEssAnnual*RU63/12+SJ63*PricePremAnnual*RU63/12</f>
        <v/>
      </c>
      <c r="SM63" s="9">
        <f>SL63*12</f>
        <v/>
      </c>
      <c r="SN63" s="12">
        <f>SG63*PriceEssMonthly*RU63+SH63*PricePremMonthly*RU63</f>
        <v/>
      </c>
      <c r="SO63" s="12">
        <f>SE63*PriceEssAnnual*RU63+SF63*PricePremAnnual*RU63</f>
        <v/>
      </c>
      <c r="SP63" s="12">
        <f>SE51*POWER(1-(AnnualChurn*VLOOKUP(RR63,ChurnSeasonTable,4,FALSE)),1)*PriceEssAnnual*RU63+SE39*POWER(1-(AnnualChurn*VLOOKUP(RR63,ChurnSeasonTable,4,FALSE)),2)*PriceEssAnnual*RU63+SE27*POWER(1-(AnnualChurn*VLOOKUP(RR63,ChurnSeasonTable,4,FALSE)),3)*PriceEssAnnual*RU63+SE15*POWER(1-(AnnualChurn*VLOOKUP(RR63,ChurnSeasonTable,4,FALSE)),4)*PriceEssAnnual*RU63+SF51*POWER(1-(AnnualChurn*VLOOKUP(RR63,ChurnSeasonTable,4,FALSE)),1)*PricePremAnnual*RU63+SF39*POWER(1-(AnnualChurn*VLOOKUP(RR63,ChurnSeasonTable,4,FALSE)),2)*PricePremAnnual*RU63+SF27*POWER(1-(AnnualChurn*VLOOKUP(RR63,ChurnSeasonTable,4,FALSE)),3)*PricePremAnnual*RU63+SF15*POWER(1-(AnnualChurn*VLOOKUP(RR63,ChurnSeasonTable,4,FALSE)),4)*PricePremAnnual*RU63</f>
        <v/>
      </c>
      <c r="SQ63" s="9">
        <f>SN63+SO63+SP63</f>
        <v/>
      </c>
      <c r="SR63" s="12">
        <f>SUM(SQ52:SQ63)</f>
        <v/>
      </c>
      <c r="SS63" s="12">
        <f>OR(SS62,SR63&gt;=VATThreshold)</f>
        <v/>
      </c>
      <c r="ST63" s="9">
        <f>IF(SS63,SQ63/(1+VATRate),SQ63)</f>
        <v/>
      </c>
      <c r="SU63" s="12">
        <f>SQ63-ST63</f>
        <v/>
      </c>
      <c r="SV63" s="12">
        <f>IF(SS63=0,0,IF(RR63=1,SUMPRODUCT(--(($RS$5:$RS63=$RS63-1)*($RR$5:$RR63&gt;=10)*($RR$5:$RR63&lt;=12)),$SU$5:$SU63),IF(RR63=4,SUMPRODUCT(--(($RS$5:$RS63=$RS63)*($RR$5:$RR63&gt;=1)*($RR$5:$RR63&lt;=3)),$SU$5:$SU63),IF(RR63=7,SUMPRODUCT(--(($RS$5:$RS63=$RS63)*($RR$5:$RR63&gt;=4)*($RR$5:$RR63&lt;=6)),$SU$5:$SU63),IF(RR63=10,SUMPRODUCT(--(($RS$5:$RS63=$RS63)*($RR$5:$RR63&gt;=7)*($RR$5:$RR63&lt;=9)),$SU$5:$SU63),0)))))</f>
        <v/>
      </c>
      <c r="SW63" s="12">
        <f>SW62+SU63-SV63</f>
        <v/>
      </c>
      <c r="SX63" s="12">
        <f>IF(ProviderDelay&gt;=1,ST62*ProviderShare,ST63*ProviderShare)</f>
        <v/>
      </c>
      <c r="SY63" s="12">
        <f>SQ63*PaymentFee</f>
        <v/>
      </c>
      <c r="SZ63" s="12">
        <f>SK63*OpsAI</f>
        <v/>
      </c>
      <c r="TA63" s="12">
        <f>MonthlyFixed</f>
        <v/>
      </c>
      <c r="TB63" s="12">
        <f>RY63*ReferralReward</f>
        <v/>
      </c>
      <c r="TC63" s="12">
        <f>RW63</f>
        <v/>
      </c>
      <c r="TD63" s="9">
        <f>ST63-SX63-SY63-SZ63-TA63-TB63-TC63</f>
        <v/>
      </c>
      <c r="TE63" s="9">
        <f>TE62+SQ63-(SX63+SY63+SZ63+TA63+TB63+TC63+SV63)</f>
        <v/>
      </c>
      <c r="TF63" s="12">
        <f>IF(SK63&gt;0,SL63/SK63,0)</f>
        <v/>
      </c>
      <c r="TG63" s="11">
        <f>IF(SK62&gt;0,MAX(0,(SK62+RZ63-SK63)/SK62),0)</f>
        <v/>
      </c>
      <c r="TI63" s="12" t="n">
        <v>59</v>
      </c>
      <c r="TJ63" s="12">
        <f>MOD(TI63-1+LaunchMonth-1,12)+1</f>
        <v/>
      </c>
      <c r="TK63" s="12">
        <f>INT((TI63-1+LaunchMonth-1)/12)+1</f>
        <v/>
      </c>
      <c r="TL63" s="12">
        <f>VLOOKUP(TJ63,SeasonTable,2,FALSE)</f>
        <v/>
      </c>
      <c r="TM63" s="12">
        <f>(1+InflationRate)^INT((TI63-1)/12)</f>
        <v/>
      </c>
      <c r="TN63" s="11">
        <f>MonthlyChurn*VLOOKUP(TJ63,ChurnSeasonTable,4,FALSE)</f>
        <v/>
      </c>
      <c r="TO63" s="12">
        <f>MIN(MAX(MktMin19plus,UI62*MktPct19plus),MAX(0,UW62-CashBuffer))</f>
        <v/>
      </c>
      <c r="TP63" s="12">
        <f>IF(TO63&gt;0,MAX(1,ROUND(TO63/CAC*TL63,0)),0)</f>
        <v/>
      </c>
      <c r="TQ63" s="12">
        <f>IF(TP63&gt;0,ROUND(TP63*ReferralMix/(1-ReferralMix),0),0)</f>
        <v/>
      </c>
      <c r="TR63" s="12">
        <f>TP63+TQ63</f>
        <v/>
      </c>
      <c r="TS63" s="12">
        <f>ROUND(TR63*(1-'Sens - Annual Mix'!$A$9),0)</f>
        <v/>
      </c>
      <c r="TT63" s="12">
        <f>TR63-TS63</f>
        <v/>
      </c>
      <c r="TU63" s="12">
        <f>ROUND(TS63*EssentialMix,0)</f>
        <v/>
      </c>
      <c r="TV63" s="12">
        <f>TS63-TU63</f>
        <v/>
      </c>
      <c r="TW63" s="12">
        <f>ROUND(TT63*EssentialMix,0)</f>
        <v/>
      </c>
      <c r="TX63" s="12">
        <f>TT63-TW63</f>
        <v/>
      </c>
      <c r="TY63" s="12">
        <f>TU63+TU62+TU61+MAX(0,TY62-TU62-TU61)*(1-TN63)</f>
        <v/>
      </c>
      <c r="TZ63" s="12">
        <f>TV63+TV62+TV61+MAX(0,TZ62-TV62-TV61)*(1-TN63)</f>
        <v/>
      </c>
      <c r="UA63" s="12">
        <f>UA62+TW63-TW51*(AnnualChurn*VLOOKUP(TJ63,ChurnSeasonTable,4,FALSE))*POWER(1-(AnnualChurn*VLOOKUP(TJ63,ChurnSeasonTable,4,FALSE)),0)+TW39*(AnnualChurn*VLOOKUP(TJ63,ChurnSeasonTable,4,FALSE))*POWER(1-(AnnualChurn*VLOOKUP(TJ63,ChurnSeasonTable,4,FALSE)),1)+TW27*(AnnualChurn*VLOOKUP(TJ63,ChurnSeasonTable,4,FALSE))*POWER(1-(AnnualChurn*VLOOKUP(TJ63,ChurnSeasonTable,4,FALSE)),2)+TW15*(AnnualChurn*VLOOKUP(TJ63,ChurnSeasonTable,4,FALSE))*POWER(1-(AnnualChurn*VLOOKUP(TJ63,ChurnSeasonTable,4,FALSE)),3)</f>
        <v/>
      </c>
      <c r="UB63" s="12">
        <f>UB62+TX63-TX51*(AnnualChurn*VLOOKUP(TJ63,ChurnSeasonTable,4,FALSE))*POWER(1-(AnnualChurn*VLOOKUP(TJ63,ChurnSeasonTable,4,FALSE)),0)+TX39*(AnnualChurn*VLOOKUP(TJ63,ChurnSeasonTable,4,FALSE))*POWER(1-(AnnualChurn*VLOOKUP(TJ63,ChurnSeasonTable,4,FALSE)),1)+TX27*(AnnualChurn*VLOOKUP(TJ63,ChurnSeasonTable,4,FALSE))*POWER(1-(AnnualChurn*VLOOKUP(TJ63,ChurnSeasonTable,4,FALSE)),2)+TX15*(AnnualChurn*VLOOKUP(TJ63,ChurnSeasonTable,4,FALSE))*POWER(1-(AnnualChurn*VLOOKUP(TJ63,ChurnSeasonTable,4,FALSE)),3)</f>
        <v/>
      </c>
      <c r="UC63" s="12">
        <f>TY63+TZ63+UA63+UB63</f>
        <v/>
      </c>
      <c r="UD63" s="9">
        <f>TY63*PriceEssMonthly*TM63+TZ63*PricePremMonthly*TM63+UA63*PriceEssAnnual*TM63/12+UB63*PricePremAnnual*TM63/12</f>
        <v/>
      </c>
      <c r="UE63" s="9">
        <f>UD63*12</f>
        <v/>
      </c>
      <c r="UF63" s="12">
        <f>TY63*PriceEssMonthly*TM63+TZ63*PricePremMonthly*TM63</f>
        <v/>
      </c>
      <c r="UG63" s="12">
        <f>TW63*PriceEssAnnual*TM63+TX63*PricePremAnnual*TM63</f>
        <v/>
      </c>
      <c r="UH63" s="12">
        <f>TW51*POWER(1-(AnnualChurn*VLOOKUP(TJ63,ChurnSeasonTable,4,FALSE)),1)*PriceEssAnnual*TM63+TW39*POWER(1-(AnnualChurn*VLOOKUP(TJ63,ChurnSeasonTable,4,FALSE)),2)*PriceEssAnnual*TM63+TW27*POWER(1-(AnnualChurn*VLOOKUP(TJ63,ChurnSeasonTable,4,FALSE)),3)*PriceEssAnnual*TM63+TW15*POWER(1-(AnnualChurn*VLOOKUP(TJ63,ChurnSeasonTable,4,FALSE)),4)*PriceEssAnnual*TM63+TX51*POWER(1-(AnnualChurn*VLOOKUP(TJ63,ChurnSeasonTable,4,FALSE)),1)*PricePremAnnual*TM63+TX39*POWER(1-(AnnualChurn*VLOOKUP(TJ63,ChurnSeasonTable,4,FALSE)),2)*PricePremAnnual*TM63+TX27*POWER(1-(AnnualChurn*VLOOKUP(TJ63,ChurnSeasonTable,4,FALSE)),3)*PricePremAnnual*TM63+TX15*POWER(1-(AnnualChurn*VLOOKUP(TJ63,ChurnSeasonTable,4,FALSE)),4)*PricePremAnnual*TM63</f>
        <v/>
      </c>
      <c r="UI63" s="9">
        <f>UF63+UG63+UH63</f>
        <v/>
      </c>
      <c r="UJ63" s="12">
        <f>SUM(UI52:UI63)</f>
        <v/>
      </c>
      <c r="UK63" s="12">
        <f>OR(UK62,UJ63&gt;=VATThreshold)</f>
        <v/>
      </c>
      <c r="UL63" s="9">
        <f>IF(UK63,UI63/(1+VATRate),UI63)</f>
        <v/>
      </c>
      <c r="UM63" s="12">
        <f>UI63-UL63</f>
        <v/>
      </c>
      <c r="UN63" s="12">
        <f>IF(UK63=0,0,IF(TJ63=1,SUMPRODUCT(--(($TK$5:$TK63=$TK63-1)*($TJ$5:$TJ63&gt;=10)*($TJ$5:$TJ63&lt;=12)),$UM$5:$UM63),IF(TJ63=4,SUMPRODUCT(--(($TK$5:$TK63=$TK63)*($TJ$5:$TJ63&gt;=1)*($TJ$5:$TJ63&lt;=3)),$UM$5:$UM63),IF(TJ63=7,SUMPRODUCT(--(($TK$5:$TK63=$TK63)*($TJ$5:$TJ63&gt;=4)*($TJ$5:$TJ63&lt;=6)),$UM$5:$UM63),IF(TJ63=10,SUMPRODUCT(--(($TK$5:$TK63=$TK63)*($TJ$5:$TJ63&gt;=7)*($TJ$5:$TJ63&lt;=9)),$UM$5:$UM63),0)))))</f>
        <v/>
      </c>
      <c r="UO63" s="12">
        <f>UO62+UM63-UN63</f>
        <v/>
      </c>
      <c r="UP63" s="12">
        <f>IF(ProviderDelay&gt;=1,UL62*ProviderShare,UL63*ProviderShare)</f>
        <v/>
      </c>
      <c r="UQ63" s="12">
        <f>UI63*PaymentFee</f>
        <v/>
      </c>
      <c r="UR63" s="12">
        <f>UC63*OpsAI</f>
        <v/>
      </c>
      <c r="US63" s="12">
        <f>MonthlyFixed</f>
        <v/>
      </c>
      <c r="UT63" s="12">
        <f>TQ63*ReferralReward</f>
        <v/>
      </c>
      <c r="UU63" s="12">
        <f>TO63</f>
        <v/>
      </c>
      <c r="UV63" s="9">
        <f>UL63-UP63-UQ63-UR63-US63-UT63-UU63</f>
        <v/>
      </c>
      <c r="UW63" s="9">
        <f>UW62+UI63-(UP63+UQ63+UR63+US63+UT63+UU63+UN63)</f>
        <v/>
      </c>
      <c r="UX63" s="12">
        <f>IF(UC63&gt;0,UD63/UC63,0)</f>
        <v/>
      </c>
      <c r="UY63" s="11">
        <f>IF(UC62&gt;0,MAX(0,(UC62+TR63-UC63)/UC62),0)</f>
        <v/>
      </c>
      <c r="VA63" s="12" t="n">
        <v>59</v>
      </c>
      <c r="VB63" s="12">
        <f>MOD(VA63-1+LaunchMonth-1,12)+1</f>
        <v/>
      </c>
      <c r="VC63" s="12">
        <f>INT((VA63-1+LaunchMonth-1)/12)+1</f>
        <v/>
      </c>
      <c r="VD63" s="12">
        <f>VLOOKUP(VB63,SeasonTable,2,FALSE)</f>
        <v/>
      </c>
      <c r="VE63" s="12">
        <f>(1+InflationRate)^INT((VA63-1)/12)</f>
        <v/>
      </c>
      <c r="VF63" s="11">
        <f>MonthlyChurn*VLOOKUP(VB63,ChurnSeasonTable,4,FALSE)</f>
        <v/>
      </c>
      <c r="VG63" s="12">
        <f>MIN(MAX(MktMin19plus,WA62*MktPct19plus),MAX(0,WO62-CashBuffer))</f>
        <v/>
      </c>
      <c r="VH63" s="12">
        <f>IF(VG63&gt;0,MAX(1,ROUND(VG63/CAC*VD63,0)),0)</f>
        <v/>
      </c>
      <c r="VI63" s="12">
        <f>IF(VH63&gt;0,ROUND(VH63*ReferralMix/(1-ReferralMix),0),0)</f>
        <v/>
      </c>
      <c r="VJ63" s="12">
        <f>VH63+VI63</f>
        <v/>
      </c>
      <c r="VK63" s="12">
        <f>ROUND(VJ63*(1-'Sens - Annual Mix'!$A$10),0)</f>
        <v/>
      </c>
      <c r="VL63" s="12">
        <f>VJ63-VK63</f>
        <v/>
      </c>
      <c r="VM63" s="12">
        <f>ROUND(VK63*EssentialMix,0)</f>
        <v/>
      </c>
      <c r="VN63" s="12">
        <f>VK63-VM63</f>
        <v/>
      </c>
      <c r="VO63" s="12">
        <f>ROUND(VL63*EssentialMix,0)</f>
        <v/>
      </c>
      <c r="VP63" s="12">
        <f>VL63-VO63</f>
        <v/>
      </c>
      <c r="VQ63" s="12">
        <f>VM63+VM62+VM61+MAX(0,VQ62-VM62-VM61)*(1-VF63)</f>
        <v/>
      </c>
      <c r="VR63" s="12">
        <f>VN63+VN62+VN61+MAX(0,VR62-VN62-VN61)*(1-VF63)</f>
        <v/>
      </c>
      <c r="VS63" s="12">
        <f>VS62+VO63-VO51*(AnnualChurn*VLOOKUP(VB63,ChurnSeasonTable,4,FALSE))*POWER(1-(AnnualChurn*VLOOKUP(VB63,ChurnSeasonTable,4,FALSE)),0)+VO39*(AnnualChurn*VLOOKUP(VB63,ChurnSeasonTable,4,FALSE))*POWER(1-(AnnualChurn*VLOOKUP(VB63,ChurnSeasonTable,4,FALSE)),1)+VO27*(AnnualChurn*VLOOKUP(VB63,ChurnSeasonTable,4,FALSE))*POWER(1-(AnnualChurn*VLOOKUP(VB63,ChurnSeasonTable,4,FALSE)),2)+VO15*(AnnualChurn*VLOOKUP(VB63,ChurnSeasonTable,4,FALSE))*POWER(1-(AnnualChurn*VLOOKUP(VB63,ChurnSeasonTable,4,FALSE)),3)</f>
        <v/>
      </c>
      <c r="VT63" s="12">
        <f>VT62+VP63-VP51*(AnnualChurn*VLOOKUP(VB63,ChurnSeasonTable,4,FALSE))*POWER(1-(AnnualChurn*VLOOKUP(VB63,ChurnSeasonTable,4,FALSE)),0)+VP39*(AnnualChurn*VLOOKUP(VB63,ChurnSeasonTable,4,FALSE))*POWER(1-(AnnualChurn*VLOOKUP(VB63,ChurnSeasonTable,4,FALSE)),1)+VP27*(AnnualChurn*VLOOKUP(VB63,ChurnSeasonTable,4,FALSE))*POWER(1-(AnnualChurn*VLOOKUP(VB63,ChurnSeasonTable,4,FALSE)),2)+VP15*(AnnualChurn*VLOOKUP(VB63,ChurnSeasonTable,4,FALSE))*POWER(1-(AnnualChurn*VLOOKUP(VB63,ChurnSeasonTable,4,FALSE)),3)</f>
        <v/>
      </c>
      <c r="VU63" s="12">
        <f>VQ63+VR63+VS63+VT63</f>
        <v/>
      </c>
      <c r="VV63" s="9">
        <f>VQ63*PriceEssMonthly*VE63+VR63*PricePremMonthly*VE63+VS63*PriceEssAnnual*VE63/12+VT63*PricePremAnnual*VE63/12</f>
        <v/>
      </c>
      <c r="VW63" s="9">
        <f>VV63*12</f>
        <v/>
      </c>
      <c r="VX63" s="12">
        <f>VQ63*PriceEssMonthly*VE63+VR63*PricePremMonthly*VE63</f>
        <v/>
      </c>
      <c r="VY63" s="12">
        <f>VO63*PriceEssAnnual*VE63+VP63*PricePremAnnual*VE63</f>
        <v/>
      </c>
      <c r="VZ63" s="12">
        <f>VO51*POWER(1-(AnnualChurn*VLOOKUP(VB63,ChurnSeasonTable,4,FALSE)),1)*PriceEssAnnual*VE63+VO39*POWER(1-(AnnualChurn*VLOOKUP(VB63,ChurnSeasonTable,4,FALSE)),2)*PriceEssAnnual*VE63+VO27*POWER(1-(AnnualChurn*VLOOKUP(VB63,ChurnSeasonTable,4,FALSE)),3)*PriceEssAnnual*VE63+VO15*POWER(1-(AnnualChurn*VLOOKUP(VB63,ChurnSeasonTable,4,FALSE)),4)*PriceEssAnnual*VE63+VP51*POWER(1-(AnnualChurn*VLOOKUP(VB63,ChurnSeasonTable,4,FALSE)),1)*PricePremAnnual*VE63+VP39*POWER(1-(AnnualChurn*VLOOKUP(VB63,ChurnSeasonTable,4,FALSE)),2)*PricePremAnnual*VE63+VP27*POWER(1-(AnnualChurn*VLOOKUP(VB63,ChurnSeasonTable,4,FALSE)),3)*PricePremAnnual*VE63+VP15*POWER(1-(AnnualChurn*VLOOKUP(VB63,ChurnSeasonTable,4,FALSE)),4)*PricePremAnnual*VE63</f>
        <v/>
      </c>
      <c r="WA63" s="9">
        <f>VX63+VY63+VZ63</f>
        <v/>
      </c>
      <c r="WB63" s="12">
        <f>SUM(WA52:WA63)</f>
        <v/>
      </c>
      <c r="WC63" s="12">
        <f>OR(WC62,WB63&gt;=VATThreshold)</f>
        <v/>
      </c>
      <c r="WD63" s="9">
        <f>IF(WC63,WA63/(1+VATRate),WA63)</f>
        <v/>
      </c>
      <c r="WE63" s="12">
        <f>WA63-WD63</f>
        <v/>
      </c>
      <c r="WF63" s="12">
        <f>IF(WC63=0,0,IF(VB63=1,SUMPRODUCT(--(($VC$5:$VC63=$VC63-1)*($VB$5:$VB63&gt;=10)*($VB$5:$VB63&lt;=12)),$WE$5:$WE63),IF(VB63=4,SUMPRODUCT(--(($VC$5:$VC63=$VC63)*($VB$5:$VB63&gt;=1)*($VB$5:$VB63&lt;=3)),$WE$5:$WE63),IF(VB63=7,SUMPRODUCT(--(($VC$5:$VC63=$VC63)*($VB$5:$VB63&gt;=4)*($VB$5:$VB63&lt;=6)),$WE$5:$WE63),IF(VB63=10,SUMPRODUCT(--(($VC$5:$VC63=$VC63)*($VB$5:$VB63&gt;=7)*($VB$5:$VB63&lt;=9)),$WE$5:$WE63),0)))))</f>
        <v/>
      </c>
      <c r="WG63" s="12">
        <f>WG62+WE63-WF63</f>
        <v/>
      </c>
      <c r="WH63" s="12">
        <f>IF(ProviderDelay&gt;=1,WD62*ProviderShare,WD63*ProviderShare)</f>
        <v/>
      </c>
      <c r="WI63" s="12">
        <f>WA63*PaymentFee</f>
        <v/>
      </c>
      <c r="WJ63" s="12">
        <f>VU63*OpsAI</f>
        <v/>
      </c>
      <c r="WK63" s="12">
        <f>MonthlyFixed</f>
        <v/>
      </c>
      <c r="WL63" s="12">
        <f>VI63*ReferralReward</f>
        <v/>
      </c>
      <c r="WM63" s="12">
        <f>VG63</f>
        <v/>
      </c>
      <c r="WN63" s="9">
        <f>WD63-WH63-WI63-WJ63-WK63-WL63-WM63</f>
        <v/>
      </c>
      <c r="WO63" s="9">
        <f>WO62+WA63-(WH63+WI63+WJ63+WK63+WL63+WM63+WF63)</f>
        <v/>
      </c>
      <c r="WP63" s="12">
        <f>IF(VU63&gt;0,VV63/VU63,0)</f>
        <v/>
      </c>
      <c r="WQ63" s="11">
        <f>IF(VU62&gt;0,MAX(0,(VU62+VJ63-VU63)/VU62),0)</f>
        <v/>
      </c>
      <c r="WS63" s="12" t="n">
        <v>59</v>
      </c>
      <c r="WT63" s="12">
        <f>MOD(WS63-1+LaunchMonth-1,12)+1</f>
        <v/>
      </c>
      <c r="WU63" s="12">
        <f>INT((WS63-1+LaunchMonth-1)/12)+1</f>
        <v/>
      </c>
      <c r="WV63" s="12">
        <f>VLOOKUP(WT63,SeasonTable,2,FALSE)</f>
        <v/>
      </c>
      <c r="WW63" s="12">
        <f>(1+InflationRate)^INT((WS63-1)/12)</f>
        <v/>
      </c>
      <c r="WX63" s="11">
        <f>MonthlyChurn*VLOOKUP(WT63,ChurnSeasonTable,4,FALSE)</f>
        <v/>
      </c>
      <c r="WY63" s="12">
        <f>MIN(MAX(MktMin19plus,XS62*MktPct19plus),MAX(0,YG62-CashBuffer))</f>
        <v/>
      </c>
      <c r="WZ63" s="12">
        <f>IF(WY63&gt;0,MAX(1,ROUND(WY63/CAC*WV63,0)),0)</f>
        <v/>
      </c>
      <c r="XA63" s="12">
        <f>IF(WZ63&gt;0,ROUND(WZ63*ReferralMix/(1-ReferralMix),0),0)</f>
        <v/>
      </c>
      <c r="XB63" s="12">
        <f>WZ63+XA63</f>
        <v/>
      </c>
      <c r="XC63" s="12">
        <f>ROUND(XB63*(1-'Sens - Annual Mix'!$A$11),0)</f>
        <v/>
      </c>
      <c r="XD63" s="12">
        <f>XB63-XC63</f>
        <v/>
      </c>
      <c r="XE63" s="12">
        <f>ROUND(XC63*EssentialMix,0)</f>
        <v/>
      </c>
      <c r="XF63" s="12">
        <f>XC63-XE63</f>
        <v/>
      </c>
      <c r="XG63" s="12">
        <f>ROUND(XD63*EssentialMix,0)</f>
        <v/>
      </c>
      <c r="XH63" s="12">
        <f>XD63-XG63</f>
        <v/>
      </c>
      <c r="XI63" s="12">
        <f>XE63+XE62+XE61+MAX(0,XI62-XE62-XE61)*(1-WX63)</f>
        <v/>
      </c>
      <c r="XJ63" s="12">
        <f>XF63+XF62+XF61+MAX(0,XJ62-XF62-XF61)*(1-WX63)</f>
        <v/>
      </c>
      <c r="XK63" s="12">
        <f>XK62+XG63-XG51*(AnnualChurn*VLOOKUP(WT63,ChurnSeasonTable,4,FALSE))*POWER(1-(AnnualChurn*VLOOKUP(WT63,ChurnSeasonTable,4,FALSE)),0)+XG39*(AnnualChurn*VLOOKUP(WT63,ChurnSeasonTable,4,FALSE))*POWER(1-(AnnualChurn*VLOOKUP(WT63,ChurnSeasonTable,4,FALSE)),1)+XG27*(AnnualChurn*VLOOKUP(WT63,ChurnSeasonTable,4,FALSE))*POWER(1-(AnnualChurn*VLOOKUP(WT63,ChurnSeasonTable,4,FALSE)),2)+XG15*(AnnualChurn*VLOOKUP(WT63,ChurnSeasonTable,4,FALSE))*POWER(1-(AnnualChurn*VLOOKUP(WT63,ChurnSeasonTable,4,FALSE)),3)</f>
        <v/>
      </c>
      <c r="XL63" s="12">
        <f>XL62+XH63-XH51*(AnnualChurn*VLOOKUP(WT63,ChurnSeasonTable,4,FALSE))*POWER(1-(AnnualChurn*VLOOKUP(WT63,ChurnSeasonTable,4,FALSE)),0)+XH39*(AnnualChurn*VLOOKUP(WT63,ChurnSeasonTable,4,FALSE))*POWER(1-(AnnualChurn*VLOOKUP(WT63,ChurnSeasonTable,4,FALSE)),1)+XH27*(AnnualChurn*VLOOKUP(WT63,ChurnSeasonTable,4,FALSE))*POWER(1-(AnnualChurn*VLOOKUP(WT63,ChurnSeasonTable,4,FALSE)),2)+XH15*(AnnualChurn*VLOOKUP(WT63,ChurnSeasonTable,4,FALSE))*POWER(1-(AnnualChurn*VLOOKUP(WT63,ChurnSeasonTable,4,FALSE)),3)</f>
        <v/>
      </c>
      <c r="XM63" s="12">
        <f>XI63+XJ63+XK63+XL63</f>
        <v/>
      </c>
      <c r="XN63" s="9">
        <f>XI63*PriceEssMonthly*WW63+XJ63*PricePremMonthly*WW63+XK63*PriceEssAnnual*WW63/12+XL63*PricePremAnnual*WW63/12</f>
        <v/>
      </c>
      <c r="XO63" s="9">
        <f>XN63*12</f>
        <v/>
      </c>
      <c r="XP63" s="12">
        <f>XI63*PriceEssMonthly*WW63+XJ63*PricePremMonthly*WW63</f>
        <v/>
      </c>
      <c r="XQ63" s="12">
        <f>XG63*PriceEssAnnual*WW63+XH63*PricePremAnnual*WW63</f>
        <v/>
      </c>
      <c r="XR63" s="12">
        <f>XG51*POWER(1-(AnnualChurn*VLOOKUP(WT63,ChurnSeasonTable,4,FALSE)),1)*PriceEssAnnual*WW63+XG39*POWER(1-(AnnualChurn*VLOOKUP(WT63,ChurnSeasonTable,4,FALSE)),2)*PriceEssAnnual*WW63+XG27*POWER(1-(AnnualChurn*VLOOKUP(WT63,ChurnSeasonTable,4,FALSE)),3)*PriceEssAnnual*WW63+XG15*POWER(1-(AnnualChurn*VLOOKUP(WT63,ChurnSeasonTable,4,FALSE)),4)*PriceEssAnnual*WW63+XH51*POWER(1-(AnnualChurn*VLOOKUP(WT63,ChurnSeasonTable,4,FALSE)),1)*PricePremAnnual*WW63+XH39*POWER(1-(AnnualChurn*VLOOKUP(WT63,ChurnSeasonTable,4,FALSE)),2)*PricePremAnnual*WW63+XH27*POWER(1-(AnnualChurn*VLOOKUP(WT63,ChurnSeasonTable,4,FALSE)),3)*PricePremAnnual*WW63+XH15*POWER(1-(AnnualChurn*VLOOKUP(WT63,ChurnSeasonTable,4,FALSE)),4)*PricePremAnnual*WW63</f>
        <v/>
      </c>
      <c r="XS63" s="9">
        <f>XP63+XQ63+XR63</f>
        <v/>
      </c>
      <c r="XT63" s="12">
        <f>SUM(XS52:XS63)</f>
        <v/>
      </c>
      <c r="XU63" s="12">
        <f>OR(XU62,XT63&gt;=VATThreshold)</f>
        <v/>
      </c>
      <c r="XV63" s="9">
        <f>IF(XU63,XS63/(1+VATRate),XS63)</f>
        <v/>
      </c>
      <c r="XW63" s="12">
        <f>XS63-XV63</f>
        <v/>
      </c>
      <c r="XX63" s="12">
        <f>IF(XU63=0,0,IF(WT63=1,SUMPRODUCT(--(($WU$5:$WU63=$WU63-1)*($WT$5:$WT63&gt;=10)*($WT$5:$WT63&lt;=12)),$XW$5:$XW63),IF(WT63=4,SUMPRODUCT(--(($WU$5:$WU63=$WU63)*($WT$5:$WT63&gt;=1)*($WT$5:$WT63&lt;=3)),$XW$5:$XW63),IF(WT63=7,SUMPRODUCT(--(($WU$5:$WU63=$WU63)*($WT$5:$WT63&gt;=4)*($WT$5:$WT63&lt;=6)),$XW$5:$XW63),IF(WT63=10,SUMPRODUCT(--(($WU$5:$WU63=$WU63)*($WT$5:$WT63&gt;=7)*($WT$5:$WT63&lt;=9)),$XW$5:$XW63),0)))))</f>
        <v/>
      </c>
      <c r="XY63" s="12">
        <f>XY62+XW63-XX63</f>
        <v/>
      </c>
      <c r="XZ63" s="12">
        <f>IF(ProviderDelay&gt;=1,XV62*ProviderShare,XV63*ProviderShare)</f>
        <v/>
      </c>
      <c r="YA63" s="12">
        <f>XS63*PaymentFee</f>
        <v/>
      </c>
      <c r="YB63" s="12">
        <f>XM63*OpsAI</f>
        <v/>
      </c>
      <c r="YC63" s="12">
        <f>MonthlyFixed</f>
        <v/>
      </c>
      <c r="YD63" s="12">
        <f>XA63*ReferralReward</f>
        <v/>
      </c>
      <c r="YE63" s="12">
        <f>WY63</f>
        <v/>
      </c>
      <c r="YF63" s="9">
        <f>XV63-XZ63-YA63-YB63-YC63-YD63-YE63</f>
        <v/>
      </c>
      <c r="YG63" s="9">
        <f>YG62+XS63-(XZ63+YA63+YB63+YC63+YD63+YE63+XX63)</f>
        <v/>
      </c>
      <c r="YH63" s="12">
        <f>IF(XM63&gt;0,XN63/XM63,0)</f>
        <v/>
      </c>
      <c r="YI63" s="11">
        <f>IF(XM62&gt;0,MAX(0,(XM62+XB63-XM63)/XM62),0)</f>
        <v/>
      </c>
      <c r="YK63" s="12" t="n">
        <v>59</v>
      </c>
      <c r="YL63" s="12">
        <f>MOD(YK63-1+LaunchMonth-1,12)+1</f>
        <v/>
      </c>
      <c r="YM63" s="12">
        <f>INT((YK63-1+LaunchMonth-1)/12)+1</f>
        <v/>
      </c>
      <c r="YN63" s="12">
        <f>VLOOKUP(YL63,SeasonTable,2,FALSE)</f>
        <v/>
      </c>
      <c r="YO63" s="12">
        <f>(1+InflationRate)^INT((YK63-1)/12)</f>
        <v/>
      </c>
      <c r="YP63" s="11">
        <f>MonthlyChurn*VLOOKUP(YL63,ChurnSeasonTable,4,FALSE)</f>
        <v/>
      </c>
      <c r="YQ63" s="12">
        <f>MIN(MAX(MktMin19plus,ZK62*MktPct19plus),MAX(0,ZY62-CashBuffer))</f>
        <v/>
      </c>
      <c r="YR63" s="12">
        <f>IF(YQ63&gt;0,MAX(1,ROUND(YQ63/CAC*YN63,0)),0)</f>
        <v/>
      </c>
      <c r="YS63" s="12">
        <f>IF(YR63&gt;0,ROUND(YR63*ReferralMix/(1-ReferralMix),0),0)</f>
        <v/>
      </c>
      <c r="YT63" s="12">
        <f>YR63+YS63</f>
        <v/>
      </c>
      <c r="YU63" s="12">
        <f>ROUND(YT63*(1-'Sens - Annual Mix'!$A$12),0)</f>
        <v/>
      </c>
      <c r="YV63" s="12">
        <f>YT63-YU63</f>
        <v/>
      </c>
      <c r="YW63" s="12">
        <f>ROUND(YU63*EssentialMix,0)</f>
        <v/>
      </c>
      <c r="YX63" s="12">
        <f>YU63-YW63</f>
        <v/>
      </c>
      <c r="YY63" s="12">
        <f>ROUND(YV63*EssentialMix,0)</f>
        <v/>
      </c>
      <c r="YZ63" s="12">
        <f>YV63-YY63</f>
        <v/>
      </c>
      <c r="ZA63" s="12">
        <f>YW63+YW62+YW61+MAX(0,ZA62-YW62-YW61)*(1-YP63)</f>
        <v/>
      </c>
      <c r="ZB63" s="12">
        <f>YX63+YX62+YX61+MAX(0,ZB62-YX62-YX61)*(1-YP63)</f>
        <v/>
      </c>
      <c r="ZC63" s="12">
        <f>ZC62+YY63-YY51*(AnnualChurn*VLOOKUP(YL63,ChurnSeasonTable,4,FALSE))*POWER(1-(AnnualChurn*VLOOKUP(YL63,ChurnSeasonTable,4,FALSE)),0)+YY39*(AnnualChurn*VLOOKUP(YL63,ChurnSeasonTable,4,FALSE))*POWER(1-(AnnualChurn*VLOOKUP(YL63,ChurnSeasonTable,4,FALSE)),1)+YY27*(AnnualChurn*VLOOKUP(YL63,ChurnSeasonTable,4,FALSE))*POWER(1-(AnnualChurn*VLOOKUP(YL63,ChurnSeasonTable,4,FALSE)),2)+YY15*(AnnualChurn*VLOOKUP(YL63,ChurnSeasonTable,4,FALSE))*POWER(1-(AnnualChurn*VLOOKUP(YL63,ChurnSeasonTable,4,FALSE)),3)</f>
        <v/>
      </c>
      <c r="ZD63" s="12">
        <f>ZD62+YZ63-YZ51*(AnnualChurn*VLOOKUP(YL63,ChurnSeasonTable,4,FALSE))*POWER(1-(AnnualChurn*VLOOKUP(YL63,ChurnSeasonTable,4,FALSE)),0)+YZ39*(AnnualChurn*VLOOKUP(YL63,ChurnSeasonTable,4,FALSE))*POWER(1-(AnnualChurn*VLOOKUP(YL63,ChurnSeasonTable,4,FALSE)),1)+YZ27*(AnnualChurn*VLOOKUP(YL63,ChurnSeasonTable,4,FALSE))*POWER(1-(AnnualChurn*VLOOKUP(YL63,ChurnSeasonTable,4,FALSE)),2)+YZ15*(AnnualChurn*VLOOKUP(YL63,ChurnSeasonTable,4,FALSE))*POWER(1-(AnnualChurn*VLOOKUP(YL63,ChurnSeasonTable,4,FALSE)),3)</f>
        <v/>
      </c>
      <c r="ZE63" s="12">
        <f>ZA63+ZB63+ZC63+ZD63</f>
        <v/>
      </c>
      <c r="ZF63" s="9">
        <f>ZA63*PriceEssMonthly*YO63+ZB63*PricePremMonthly*YO63+ZC63*PriceEssAnnual*YO63/12+ZD63*PricePremAnnual*YO63/12</f>
        <v/>
      </c>
      <c r="ZG63" s="9">
        <f>ZF63*12</f>
        <v/>
      </c>
      <c r="ZH63" s="12">
        <f>ZA63*PriceEssMonthly*YO63+ZB63*PricePremMonthly*YO63</f>
        <v/>
      </c>
      <c r="ZI63" s="12">
        <f>YY63*PriceEssAnnual*YO63+YZ63*PricePremAnnual*YO63</f>
        <v/>
      </c>
      <c r="ZJ63" s="12">
        <f>YY51*POWER(1-(AnnualChurn*VLOOKUP(YL63,ChurnSeasonTable,4,FALSE)),1)*PriceEssAnnual*YO63+YY39*POWER(1-(AnnualChurn*VLOOKUP(YL63,ChurnSeasonTable,4,FALSE)),2)*PriceEssAnnual*YO63+YY27*POWER(1-(AnnualChurn*VLOOKUP(YL63,ChurnSeasonTable,4,FALSE)),3)*PriceEssAnnual*YO63+YY15*POWER(1-(AnnualChurn*VLOOKUP(YL63,ChurnSeasonTable,4,FALSE)),4)*PriceEssAnnual*YO63+YZ51*POWER(1-(AnnualChurn*VLOOKUP(YL63,ChurnSeasonTable,4,FALSE)),1)*PricePremAnnual*YO63+YZ39*POWER(1-(AnnualChurn*VLOOKUP(YL63,ChurnSeasonTable,4,FALSE)),2)*PricePremAnnual*YO63+YZ27*POWER(1-(AnnualChurn*VLOOKUP(YL63,ChurnSeasonTable,4,FALSE)),3)*PricePremAnnual*YO63+YZ15*POWER(1-(AnnualChurn*VLOOKUP(YL63,ChurnSeasonTable,4,FALSE)),4)*PricePremAnnual*YO63</f>
        <v/>
      </c>
      <c r="ZK63" s="9">
        <f>ZH63+ZI63+ZJ63</f>
        <v/>
      </c>
      <c r="ZL63" s="12">
        <f>SUM(ZK52:ZK63)</f>
        <v/>
      </c>
      <c r="ZM63" s="12">
        <f>OR(ZM62,ZL63&gt;=VATThreshold)</f>
        <v/>
      </c>
      <c r="ZN63" s="9">
        <f>IF(ZM63,ZK63/(1+VATRate),ZK63)</f>
        <v/>
      </c>
      <c r="ZO63" s="12">
        <f>ZK63-ZN63</f>
        <v/>
      </c>
      <c r="ZP63" s="12">
        <f>IF(ZM63=0,0,IF(YL63=1,SUMPRODUCT(--(($YM$5:$YM63=$YM63-1)*($YL$5:$YL63&gt;=10)*($YL$5:$YL63&lt;=12)),$ZO$5:$ZO63),IF(YL63=4,SUMPRODUCT(--(($YM$5:$YM63=$YM63)*($YL$5:$YL63&gt;=1)*($YL$5:$YL63&lt;=3)),$ZO$5:$ZO63),IF(YL63=7,SUMPRODUCT(--(($YM$5:$YM63=$YM63)*($YL$5:$YL63&gt;=4)*($YL$5:$YL63&lt;=6)),$ZO$5:$ZO63),IF(YL63=10,SUMPRODUCT(--(($YM$5:$YM63=$YM63)*($YL$5:$YL63&gt;=7)*($YL$5:$YL63&lt;=9)),$ZO$5:$ZO63),0)))))</f>
        <v/>
      </c>
      <c r="ZQ63" s="12">
        <f>ZQ62+ZO63-ZP63</f>
        <v/>
      </c>
      <c r="ZR63" s="12">
        <f>IF(ProviderDelay&gt;=1,ZN62*ProviderShare,ZN63*ProviderShare)</f>
        <v/>
      </c>
      <c r="ZS63" s="12">
        <f>ZK63*PaymentFee</f>
        <v/>
      </c>
      <c r="ZT63" s="12">
        <f>ZE63*OpsAI</f>
        <v/>
      </c>
      <c r="ZU63" s="12">
        <f>MonthlyFixed</f>
        <v/>
      </c>
      <c r="ZV63" s="12">
        <f>YS63*ReferralReward</f>
        <v/>
      </c>
      <c r="ZW63" s="12">
        <f>YQ63</f>
        <v/>
      </c>
      <c r="ZX63" s="9">
        <f>ZN63-ZR63-ZS63-ZT63-ZU63-ZV63-ZW63</f>
        <v/>
      </c>
      <c r="ZY63" s="9">
        <f>ZY62+ZK63-(ZR63+ZS63+ZT63+ZU63+ZV63+ZW63+ZP63)</f>
        <v/>
      </c>
      <c r="ZZ63" s="12">
        <f>IF(ZE63&gt;0,ZF63/ZE63,0)</f>
        <v/>
      </c>
      <c r="AAA63" s="11">
        <f>IF(ZE62&gt;0,MAX(0,(ZE62+YT63-ZE63)/ZE62),0)</f>
        <v/>
      </c>
      <c r="AAC63" s="12" t="n">
        <v>59</v>
      </c>
      <c r="AAD63" s="12">
        <f>MOD(AAC63-1+LaunchMonth-1,12)+1</f>
        <v/>
      </c>
      <c r="AAE63" s="12">
        <f>INT((AAC63-1+LaunchMonth-1)/12)+1</f>
        <v/>
      </c>
      <c r="AAF63" s="12">
        <f>VLOOKUP(AAD63,SeasonTable,2,FALSE)</f>
        <v/>
      </c>
      <c r="AAG63" s="12">
        <f>(1+InflationRate)^INT((AAC63-1)/12)</f>
        <v/>
      </c>
      <c r="AAH63" s="11">
        <f>MonthlyChurn*VLOOKUP(AAD63,ChurnSeasonTable,4,FALSE)</f>
        <v/>
      </c>
      <c r="AAI63" s="12">
        <f>MIN(MAX(MktMin19plus,ABC62*MktPct19plus),MAX(0,ABQ62-CashBuffer))</f>
        <v/>
      </c>
      <c r="AAJ63" s="12">
        <f>IF(AAI63&gt;0,MAX(1,ROUND(AAI63/CAC*AAF63,0)),0)</f>
        <v/>
      </c>
      <c r="AAK63" s="12">
        <f>IF(AAJ63&gt;0,ROUND(AAJ63*ReferralMix/(1-ReferralMix),0),0)</f>
        <v/>
      </c>
      <c r="AAL63" s="12">
        <f>AAJ63+AAK63</f>
        <v/>
      </c>
      <c r="AAM63" s="12">
        <f>ROUND(AAL63*(1-'Sens - Annual Mix'!$A$13),0)</f>
        <v/>
      </c>
      <c r="AAN63" s="12">
        <f>AAL63-AAM63</f>
        <v/>
      </c>
      <c r="AAO63" s="12">
        <f>ROUND(AAM63*EssentialMix,0)</f>
        <v/>
      </c>
      <c r="AAP63" s="12">
        <f>AAM63-AAO63</f>
        <v/>
      </c>
      <c r="AAQ63" s="12">
        <f>ROUND(AAN63*EssentialMix,0)</f>
        <v/>
      </c>
      <c r="AAR63" s="12">
        <f>AAN63-AAQ63</f>
        <v/>
      </c>
      <c r="AAS63" s="12">
        <f>AAO63+AAO62+AAO61+MAX(0,AAS62-AAO62-AAO61)*(1-AAH63)</f>
        <v/>
      </c>
      <c r="AAT63" s="12">
        <f>AAP63+AAP62+AAP61+MAX(0,AAT62-AAP62-AAP61)*(1-AAH63)</f>
        <v/>
      </c>
      <c r="AAU63" s="12">
        <f>AAU62+AAQ63-AAQ51*(AnnualChurn*VLOOKUP(AAD63,ChurnSeasonTable,4,FALSE))*POWER(1-(AnnualChurn*VLOOKUP(AAD63,ChurnSeasonTable,4,FALSE)),0)+AAQ39*(AnnualChurn*VLOOKUP(AAD63,ChurnSeasonTable,4,FALSE))*POWER(1-(AnnualChurn*VLOOKUP(AAD63,ChurnSeasonTable,4,FALSE)),1)+AAQ27*(AnnualChurn*VLOOKUP(AAD63,ChurnSeasonTable,4,FALSE))*POWER(1-(AnnualChurn*VLOOKUP(AAD63,ChurnSeasonTable,4,FALSE)),2)+AAQ15*(AnnualChurn*VLOOKUP(AAD63,ChurnSeasonTable,4,FALSE))*POWER(1-(AnnualChurn*VLOOKUP(AAD63,ChurnSeasonTable,4,FALSE)),3)</f>
        <v/>
      </c>
      <c r="AAV63" s="12">
        <f>AAV62+AAR63-AAR51*(AnnualChurn*VLOOKUP(AAD63,ChurnSeasonTable,4,FALSE))*POWER(1-(AnnualChurn*VLOOKUP(AAD63,ChurnSeasonTable,4,FALSE)),0)+AAR39*(AnnualChurn*VLOOKUP(AAD63,ChurnSeasonTable,4,FALSE))*POWER(1-(AnnualChurn*VLOOKUP(AAD63,ChurnSeasonTable,4,FALSE)),1)+AAR27*(AnnualChurn*VLOOKUP(AAD63,ChurnSeasonTable,4,FALSE))*POWER(1-(AnnualChurn*VLOOKUP(AAD63,ChurnSeasonTable,4,FALSE)),2)+AAR15*(AnnualChurn*VLOOKUP(AAD63,ChurnSeasonTable,4,FALSE))*POWER(1-(AnnualChurn*VLOOKUP(AAD63,ChurnSeasonTable,4,FALSE)),3)</f>
        <v/>
      </c>
      <c r="AAW63" s="12">
        <f>AAS63+AAT63+AAU63+AAV63</f>
        <v/>
      </c>
      <c r="AAX63" s="9">
        <f>AAS63*PriceEssMonthly*AAG63+AAT63*PricePremMonthly*AAG63+AAU63*PriceEssAnnual*AAG63/12+AAV63*PricePremAnnual*AAG63/12</f>
        <v/>
      </c>
      <c r="AAY63" s="9">
        <f>AAX63*12</f>
        <v/>
      </c>
      <c r="AAZ63" s="12">
        <f>AAS63*PriceEssMonthly*AAG63+AAT63*PricePremMonthly*AAG63</f>
        <v/>
      </c>
      <c r="ABA63" s="12">
        <f>AAQ63*PriceEssAnnual*AAG63+AAR63*PricePremAnnual*AAG63</f>
        <v/>
      </c>
      <c r="ABB63" s="12">
        <f>AAQ51*POWER(1-(AnnualChurn*VLOOKUP(AAD63,ChurnSeasonTable,4,FALSE)),1)*PriceEssAnnual*AAG63+AAQ39*POWER(1-(AnnualChurn*VLOOKUP(AAD63,ChurnSeasonTable,4,FALSE)),2)*PriceEssAnnual*AAG63+AAQ27*POWER(1-(AnnualChurn*VLOOKUP(AAD63,ChurnSeasonTable,4,FALSE)),3)*PriceEssAnnual*AAG63+AAQ15*POWER(1-(AnnualChurn*VLOOKUP(AAD63,ChurnSeasonTable,4,FALSE)),4)*PriceEssAnnual*AAG63+AAR51*POWER(1-(AnnualChurn*VLOOKUP(AAD63,ChurnSeasonTable,4,FALSE)),1)*PricePremAnnual*AAG63+AAR39*POWER(1-(AnnualChurn*VLOOKUP(AAD63,ChurnSeasonTable,4,FALSE)),2)*PricePremAnnual*AAG63+AAR27*POWER(1-(AnnualChurn*VLOOKUP(AAD63,ChurnSeasonTable,4,FALSE)),3)*PricePremAnnual*AAG63+AAR15*POWER(1-(AnnualChurn*VLOOKUP(AAD63,ChurnSeasonTable,4,FALSE)),4)*PricePremAnnual*AAG63</f>
        <v/>
      </c>
      <c r="ABC63" s="9">
        <f>AAZ63+ABA63+ABB63</f>
        <v/>
      </c>
      <c r="ABD63" s="12">
        <f>SUM(ABC52:ABC63)</f>
        <v/>
      </c>
      <c r="ABE63" s="12">
        <f>OR(ABE62,ABD63&gt;=VATThreshold)</f>
        <v/>
      </c>
      <c r="ABF63" s="9">
        <f>IF(ABE63,ABC63/(1+VATRate),ABC63)</f>
        <v/>
      </c>
      <c r="ABG63" s="12">
        <f>ABC63-ABF63</f>
        <v/>
      </c>
      <c r="ABH63" s="12">
        <f>IF(ABE63=0,0,IF(AAD63=1,SUMPRODUCT(--(($AAE$5:$AAE63=$AAE63-1)*($AAD$5:$AAD63&gt;=10)*($AAD$5:$AAD63&lt;=12)),$ABG$5:$ABG63),IF(AAD63=4,SUMPRODUCT(--(($AAE$5:$AAE63=$AAE63)*($AAD$5:$AAD63&gt;=1)*($AAD$5:$AAD63&lt;=3)),$ABG$5:$ABG63),IF(AAD63=7,SUMPRODUCT(--(($AAE$5:$AAE63=$AAE63)*($AAD$5:$AAD63&gt;=4)*($AAD$5:$AAD63&lt;=6)),$ABG$5:$ABG63),IF(AAD63=10,SUMPRODUCT(--(($AAE$5:$AAE63=$AAE63)*($AAD$5:$AAD63&gt;=7)*($AAD$5:$AAD63&lt;=9)),$ABG$5:$ABG63),0)))))</f>
        <v/>
      </c>
      <c r="ABI63" s="12">
        <f>ABI62+ABG63-ABH63</f>
        <v/>
      </c>
      <c r="ABJ63" s="12">
        <f>IF(ProviderDelay&gt;=1,ABF62*ProviderShare,ABF63*ProviderShare)</f>
        <v/>
      </c>
      <c r="ABK63" s="12">
        <f>ABC63*PaymentFee</f>
        <v/>
      </c>
      <c r="ABL63" s="12">
        <f>AAW63*OpsAI</f>
        <v/>
      </c>
      <c r="ABM63" s="12">
        <f>MonthlyFixed</f>
        <v/>
      </c>
      <c r="ABN63" s="12">
        <f>AAK63*ReferralReward</f>
        <v/>
      </c>
      <c r="ABO63" s="12">
        <f>AAI63</f>
        <v/>
      </c>
      <c r="ABP63" s="9">
        <f>ABF63-ABJ63-ABK63-ABL63-ABM63-ABN63-ABO63</f>
        <v/>
      </c>
      <c r="ABQ63" s="9">
        <f>ABQ62+ABC63-(ABJ63+ABK63+ABL63+ABM63+ABN63+ABO63+ABH63)</f>
        <v/>
      </c>
      <c r="ABR63" s="12">
        <f>IF(AAW63&gt;0,AAX63/AAW63,0)</f>
        <v/>
      </c>
      <c r="ABS63" s="11">
        <f>IF(AAW62&gt;0,MAX(0,(AAW62+AAL63-AAW63)/AAW62),0)</f>
        <v/>
      </c>
      <c r="ABU63" s="12" t="n">
        <v>59</v>
      </c>
      <c r="ABV63" s="12">
        <f>MOD(ABU63-1+LaunchMonth-1,12)+1</f>
        <v/>
      </c>
      <c r="ABW63" s="12">
        <f>INT((ABU63-1+LaunchMonth-1)/12)+1</f>
        <v/>
      </c>
      <c r="ABX63" s="12">
        <f>VLOOKUP(ABV63,SeasonTable,2,FALSE)</f>
        <v/>
      </c>
      <c r="ABY63" s="12">
        <f>(1+InflationRate)^INT((ABU63-1)/12)</f>
        <v/>
      </c>
      <c r="ABZ63" s="11">
        <f>MonthlyChurn*VLOOKUP(ABV63,ChurnSeasonTable,4,FALSE)</f>
        <v/>
      </c>
      <c r="ACA63" s="12">
        <f>MIN(MAX(MktMin19plus,ACU62*MktPct19plus),MAX(0,ADI62-CashBuffer))</f>
        <v/>
      </c>
      <c r="ACB63" s="12">
        <f>IF(ACA63&gt;0,MAX(1,ROUND(ACA63/CAC*ABX63,0)),0)</f>
        <v/>
      </c>
      <c r="ACC63" s="12">
        <f>IF(ACB63&gt;0,ROUND(ACB63*ReferralMix/(1-ReferralMix),0),0)</f>
        <v/>
      </c>
      <c r="ACD63" s="12">
        <f>ACB63+ACC63</f>
        <v/>
      </c>
      <c r="ACE63" s="12">
        <f>ROUND(ACD63*(1-'Sens - Annual Mix'!$A$14),0)</f>
        <v/>
      </c>
      <c r="ACF63" s="12">
        <f>ACD63-ACE63</f>
        <v/>
      </c>
      <c r="ACG63" s="12">
        <f>ROUND(ACE63*EssentialMix,0)</f>
        <v/>
      </c>
      <c r="ACH63" s="12">
        <f>ACE63-ACG63</f>
        <v/>
      </c>
      <c r="ACI63" s="12">
        <f>ROUND(ACF63*EssentialMix,0)</f>
        <v/>
      </c>
      <c r="ACJ63" s="12">
        <f>ACF63-ACI63</f>
        <v/>
      </c>
      <c r="ACK63" s="12">
        <f>ACG63+ACG62+ACG61+MAX(0,ACK62-ACG62-ACG61)*(1-ABZ63)</f>
        <v/>
      </c>
      <c r="ACL63" s="12">
        <f>ACH63+ACH62+ACH61+MAX(0,ACL62-ACH62-ACH61)*(1-ABZ63)</f>
        <v/>
      </c>
      <c r="ACM63" s="12">
        <f>ACM62+ACI63-ACI51*(AnnualChurn*VLOOKUP(ABV63,ChurnSeasonTable,4,FALSE))*POWER(1-(AnnualChurn*VLOOKUP(ABV63,ChurnSeasonTable,4,FALSE)),0)+ACI39*(AnnualChurn*VLOOKUP(ABV63,ChurnSeasonTable,4,FALSE))*POWER(1-(AnnualChurn*VLOOKUP(ABV63,ChurnSeasonTable,4,FALSE)),1)+ACI27*(AnnualChurn*VLOOKUP(ABV63,ChurnSeasonTable,4,FALSE))*POWER(1-(AnnualChurn*VLOOKUP(ABV63,ChurnSeasonTable,4,FALSE)),2)+ACI15*(AnnualChurn*VLOOKUP(ABV63,ChurnSeasonTable,4,FALSE))*POWER(1-(AnnualChurn*VLOOKUP(ABV63,ChurnSeasonTable,4,FALSE)),3)</f>
        <v/>
      </c>
      <c r="ACN63" s="12">
        <f>ACN62+ACJ63-ACJ51*(AnnualChurn*VLOOKUP(ABV63,ChurnSeasonTable,4,FALSE))*POWER(1-(AnnualChurn*VLOOKUP(ABV63,ChurnSeasonTable,4,FALSE)),0)+ACJ39*(AnnualChurn*VLOOKUP(ABV63,ChurnSeasonTable,4,FALSE))*POWER(1-(AnnualChurn*VLOOKUP(ABV63,ChurnSeasonTable,4,FALSE)),1)+ACJ27*(AnnualChurn*VLOOKUP(ABV63,ChurnSeasonTable,4,FALSE))*POWER(1-(AnnualChurn*VLOOKUP(ABV63,ChurnSeasonTable,4,FALSE)),2)+ACJ15*(AnnualChurn*VLOOKUP(ABV63,ChurnSeasonTable,4,FALSE))*POWER(1-(AnnualChurn*VLOOKUP(ABV63,ChurnSeasonTable,4,FALSE)),3)</f>
        <v/>
      </c>
      <c r="ACO63" s="12">
        <f>ACK63+ACL63+ACM63+ACN63</f>
        <v/>
      </c>
      <c r="ACP63" s="9">
        <f>ACK63*PriceEssMonthly*ABY63+ACL63*PricePremMonthly*ABY63+ACM63*PriceEssAnnual*ABY63/12+ACN63*PricePremAnnual*ABY63/12</f>
        <v/>
      </c>
      <c r="ACQ63" s="9">
        <f>ACP63*12</f>
        <v/>
      </c>
      <c r="ACR63" s="12">
        <f>ACK63*PriceEssMonthly*ABY63+ACL63*PricePremMonthly*ABY63</f>
        <v/>
      </c>
      <c r="ACS63" s="12">
        <f>ACI63*PriceEssAnnual*ABY63+ACJ63*PricePremAnnual*ABY63</f>
        <v/>
      </c>
      <c r="ACT63" s="12">
        <f>ACI51*POWER(1-(AnnualChurn*VLOOKUP(ABV63,ChurnSeasonTable,4,FALSE)),1)*PriceEssAnnual*ABY63+ACI39*POWER(1-(AnnualChurn*VLOOKUP(ABV63,ChurnSeasonTable,4,FALSE)),2)*PriceEssAnnual*ABY63+ACI27*POWER(1-(AnnualChurn*VLOOKUP(ABV63,ChurnSeasonTable,4,FALSE)),3)*PriceEssAnnual*ABY63+ACI15*POWER(1-(AnnualChurn*VLOOKUP(ABV63,ChurnSeasonTable,4,FALSE)),4)*PriceEssAnnual*ABY63+ACJ51*POWER(1-(AnnualChurn*VLOOKUP(ABV63,ChurnSeasonTable,4,FALSE)),1)*PricePremAnnual*ABY63+ACJ39*POWER(1-(AnnualChurn*VLOOKUP(ABV63,ChurnSeasonTable,4,FALSE)),2)*PricePremAnnual*ABY63+ACJ27*POWER(1-(AnnualChurn*VLOOKUP(ABV63,ChurnSeasonTable,4,FALSE)),3)*PricePremAnnual*ABY63+ACJ15*POWER(1-(AnnualChurn*VLOOKUP(ABV63,ChurnSeasonTable,4,FALSE)),4)*PricePremAnnual*ABY63</f>
        <v/>
      </c>
      <c r="ACU63" s="9">
        <f>ACR63+ACS63+ACT63</f>
        <v/>
      </c>
      <c r="ACV63" s="12">
        <f>SUM(ACU52:ACU63)</f>
        <v/>
      </c>
      <c r="ACW63" s="12">
        <f>OR(ACW62,ACV63&gt;=VATThreshold)</f>
        <v/>
      </c>
      <c r="ACX63" s="9">
        <f>IF(ACW63,ACU63/(1+VATRate),ACU63)</f>
        <v/>
      </c>
      <c r="ACY63" s="12">
        <f>ACU63-ACX63</f>
        <v/>
      </c>
      <c r="ACZ63" s="12">
        <f>IF(ACW63=0,0,IF(ABV63=1,SUMPRODUCT(--(($ABW$5:$ABW63=$ABW63-1)*($ABV$5:$ABV63&gt;=10)*($ABV$5:$ABV63&lt;=12)),$ACY$5:$ACY63),IF(ABV63=4,SUMPRODUCT(--(($ABW$5:$ABW63=$ABW63)*($ABV$5:$ABV63&gt;=1)*($ABV$5:$ABV63&lt;=3)),$ACY$5:$ACY63),IF(ABV63=7,SUMPRODUCT(--(($ABW$5:$ABW63=$ABW63)*($ABV$5:$ABV63&gt;=4)*($ABV$5:$ABV63&lt;=6)),$ACY$5:$ACY63),IF(ABV63=10,SUMPRODUCT(--(($ABW$5:$ABW63=$ABW63)*($ABV$5:$ABV63&gt;=7)*($ABV$5:$ABV63&lt;=9)),$ACY$5:$ACY63),0)))))</f>
        <v/>
      </c>
      <c r="ADA63" s="12">
        <f>ADA62+ACY63-ACZ63</f>
        <v/>
      </c>
      <c r="ADB63" s="12">
        <f>IF(ProviderDelay&gt;=1,ACX62*ProviderShare,ACX63*ProviderShare)</f>
        <v/>
      </c>
      <c r="ADC63" s="12">
        <f>ACU63*PaymentFee</f>
        <v/>
      </c>
      <c r="ADD63" s="12">
        <f>ACO63*OpsAI</f>
        <v/>
      </c>
      <c r="ADE63" s="12">
        <f>MonthlyFixed</f>
        <v/>
      </c>
      <c r="ADF63" s="12">
        <f>ACC63*ReferralReward</f>
        <v/>
      </c>
      <c r="ADG63" s="12">
        <f>ACA63</f>
        <v/>
      </c>
      <c r="ADH63" s="9">
        <f>ACX63-ADB63-ADC63-ADD63-ADE63-ADF63-ADG63</f>
        <v/>
      </c>
      <c r="ADI63" s="9">
        <f>ADI62+ACU63-(ADB63+ADC63+ADD63+ADE63+ADF63+ADG63+ACZ63)</f>
        <v/>
      </c>
      <c r="ADJ63" s="12">
        <f>IF(ACO63&gt;0,ACP63/ACO63,0)</f>
        <v/>
      </c>
      <c r="ADK63" s="11">
        <f>IF(ACO62&gt;0,MAX(0,(ACO62+ACD63-ACO63)/ACO62),0)</f>
        <v/>
      </c>
      <c r="ADM63" s="12" t="n">
        <v>59</v>
      </c>
      <c r="ADN63" s="12">
        <f>MOD(ADM63-1+LaunchMonth-1,12)+1</f>
        <v/>
      </c>
      <c r="ADO63" s="12">
        <f>INT((ADM63-1+LaunchMonth-1)/12)+1</f>
        <v/>
      </c>
      <c r="ADP63" s="12">
        <f>VLOOKUP(ADN63,SeasonTable,2,FALSE)</f>
        <v/>
      </c>
      <c r="ADQ63" s="12">
        <f>(1+InflationRate)^INT((ADM63-1)/12)</f>
        <v/>
      </c>
      <c r="ADR63" s="11">
        <f>MonthlyChurn*VLOOKUP(ADN63,ChurnSeasonTable,4,FALSE)</f>
        <v/>
      </c>
      <c r="ADS63" s="12">
        <f>MIN(MAX(MktMin19plus,AEM62*MktPct19plus),MAX(0,AFA62-CashBuffer))</f>
        <v/>
      </c>
      <c r="ADT63" s="12">
        <f>IF(ADS63&gt;0,MAX(1,ROUND(ADS63/CAC*ADP63,0)),0)</f>
        <v/>
      </c>
      <c r="ADU63" s="12">
        <f>IF(ADT63&gt;0,ROUND(ADT63*ReferralMix/(1-ReferralMix),0),0)</f>
        <v/>
      </c>
      <c r="ADV63" s="12">
        <f>ADT63+ADU63</f>
        <v/>
      </c>
      <c r="ADW63" s="12">
        <f>ROUND(ADV63*(1-'Sens - Annual Mix'!$A$15),0)</f>
        <v/>
      </c>
      <c r="ADX63" s="12">
        <f>ADV63-ADW63</f>
        <v/>
      </c>
      <c r="ADY63" s="12">
        <f>ROUND(ADW63*EssentialMix,0)</f>
        <v/>
      </c>
      <c r="ADZ63" s="12">
        <f>ADW63-ADY63</f>
        <v/>
      </c>
      <c r="AEA63" s="12">
        <f>ROUND(ADX63*EssentialMix,0)</f>
        <v/>
      </c>
      <c r="AEB63" s="12">
        <f>ADX63-AEA63</f>
        <v/>
      </c>
      <c r="AEC63" s="12">
        <f>ADY63+ADY62+ADY61+MAX(0,AEC62-ADY62-ADY61)*(1-ADR63)</f>
        <v/>
      </c>
      <c r="AED63" s="12">
        <f>ADZ63+ADZ62+ADZ61+MAX(0,AED62-ADZ62-ADZ61)*(1-ADR63)</f>
        <v/>
      </c>
      <c r="AEE63" s="12">
        <f>AEE62+AEA63-AEA51*(AnnualChurn*VLOOKUP(ADN63,ChurnSeasonTable,4,FALSE))*POWER(1-(AnnualChurn*VLOOKUP(ADN63,ChurnSeasonTable,4,FALSE)),0)+AEA39*(AnnualChurn*VLOOKUP(ADN63,ChurnSeasonTable,4,FALSE))*POWER(1-(AnnualChurn*VLOOKUP(ADN63,ChurnSeasonTable,4,FALSE)),1)+AEA27*(AnnualChurn*VLOOKUP(ADN63,ChurnSeasonTable,4,FALSE))*POWER(1-(AnnualChurn*VLOOKUP(ADN63,ChurnSeasonTable,4,FALSE)),2)+AEA15*(AnnualChurn*VLOOKUP(ADN63,ChurnSeasonTable,4,FALSE))*POWER(1-(AnnualChurn*VLOOKUP(ADN63,ChurnSeasonTable,4,FALSE)),3)</f>
        <v/>
      </c>
      <c r="AEF63" s="12">
        <f>AEF62+AEB63-AEB51*(AnnualChurn*VLOOKUP(ADN63,ChurnSeasonTable,4,FALSE))*POWER(1-(AnnualChurn*VLOOKUP(ADN63,ChurnSeasonTable,4,FALSE)),0)+AEB39*(AnnualChurn*VLOOKUP(ADN63,ChurnSeasonTable,4,FALSE))*POWER(1-(AnnualChurn*VLOOKUP(ADN63,ChurnSeasonTable,4,FALSE)),1)+AEB27*(AnnualChurn*VLOOKUP(ADN63,ChurnSeasonTable,4,FALSE))*POWER(1-(AnnualChurn*VLOOKUP(ADN63,ChurnSeasonTable,4,FALSE)),2)+AEB15*(AnnualChurn*VLOOKUP(ADN63,ChurnSeasonTable,4,FALSE))*POWER(1-(AnnualChurn*VLOOKUP(ADN63,ChurnSeasonTable,4,FALSE)),3)</f>
        <v/>
      </c>
      <c r="AEG63" s="12">
        <f>AEC63+AED63+AEE63+AEF63</f>
        <v/>
      </c>
      <c r="AEH63" s="9">
        <f>AEC63*PriceEssMonthly*ADQ63+AED63*PricePremMonthly*ADQ63+AEE63*PriceEssAnnual*ADQ63/12+AEF63*PricePremAnnual*ADQ63/12</f>
        <v/>
      </c>
      <c r="AEI63" s="9">
        <f>AEH63*12</f>
        <v/>
      </c>
      <c r="AEJ63" s="12">
        <f>AEC63*PriceEssMonthly*ADQ63+AED63*PricePremMonthly*ADQ63</f>
        <v/>
      </c>
      <c r="AEK63" s="12">
        <f>AEA63*PriceEssAnnual*ADQ63+AEB63*PricePremAnnual*ADQ63</f>
        <v/>
      </c>
      <c r="AEL63" s="12">
        <f>AEA51*POWER(1-(AnnualChurn*VLOOKUP(ADN63,ChurnSeasonTable,4,FALSE)),1)*PriceEssAnnual*ADQ63+AEA39*POWER(1-(AnnualChurn*VLOOKUP(ADN63,ChurnSeasonTable,4,FALSE)),2)*PriceEssAnnual*ADQ63+AEA27*POWER(1-(AnnualChurn*VLOOKUP(ADN63,ChurnSeasonTable,4,FALSE)),3)*PriceEssAnnual*ADQ63+AEA15*POWER(1-(AnnualChurn*VLOOKUP(ADN63,ChurnSeasonTable,4,FALSE)),4)*PriceEssAnnual*ADQ63+AEB51*POWER(1-(AnnualChurn*VLOOKUP(ADN63,ChurnSeasonTable,4,FALSE)),1)*PricePremAnnual*ADQ63+AEB39*POWER(1-(AnnualChurn*VLOOKUP(ADN63,ChurnSeasonTable,4,FALSE)),2)*PricePremAnnual*ADQ63+AEB27*POWER(1-(AnnualChurn*VLOOKUP(ADN63,ChurnSeasonTable,4,FALSE)),3)*PricePremAnnual*ADQ63+AEB15*POWER(1-(AnnualChurn*VLOOKUP(ADN63,ChurnSeasonTable,4,FALSE)),4)*PricePremAnnual*ADQ63</f>
        <v/>
      </c>
      <c r="AEM63" s="9">
        <f>AEJ63+AEK63+AEL63</f>
        <v/>
      </c>
      <c r="AEN63" s="12">
        <f>SUM(AEM52:AEM63)</f>
        <v/>
      </c>
      <c r="AEO63" s="12">
        <f>OR(AEO62,AEN63&gt;=VATThreshold)</f>
        <v/>
      </c>
      <c r="AEP63" s="9">
        <f>IF(AEO63,AEM63/(1+VATRate),AEM63)</f>
        <v/>
      </c>
      <c r="AEQ63" s="12">
        <f>AEM63-AEP63</f>
        <v/>
      </c>
      <c r="AER63" s="12">
        <f>IF(AEO63=0,0,IF(ADN63=1,SUMPRODUCT(--(($ADO$5:$ADO63=$ADO63-1)*($ADN$5:$ADN63&gt;=10)*($ADN$5:$ADN63&lt;=12)),$AEQ$5:$AEQ63),IF(ADN63=4,SUMPRODUCT(--(($ADO$5:$ADO63=$ADO63)*($ADN$5:$ADN63&gt;=1)*($ADN$5:$ADN63&lt;=3)),$AEQ$5:$AEQ63),IF(ADN63=7,SUMPRODUCT(--(($ADO$5:$ADO63=$ADO63)*($ADN$5:$ADN63&gt;=4)*($ADN$5:$ADN63&lt;=6)),$AEQ$5:$AEQ63),IF(ADN63=10,SUMPRODUCT(--(($ADO$5:$ADO63=$ADO63)*($ADN$5:$ADN63&gt;=7)*($ADN$5:$ADN63&lt;=9)),$AEQ$5:$AEQ63),0)))))</f>
        <v/>
      </c>
      <c r="AES63" s="12">
        <f>AES62+AEQ63-AER63</f>
        <v/>
      </c>
      <c r="AET63" s="12">
        <f>IF(ProviderDelay&gt;=1,AEP62*ProviderShare,AEP63*ProviderShare)</f>
        <v/>
      </c>
      <c r="AEU63" s="12">
        <f>AEM63*PaymentFee</f>
        <v/>
      </c>
      <c r="AEV63" s="12">
        <f>AEG63*OpsAI</f>
        <v/>
      </c>
      <c r="AEW63" s="12">
        <f>MonthlyFixed</f>
        <v/>
      </c>
      <c r="AEX63" s="12">
        <f>ADU63*ReferralReward</f>
        <v/>
      </c>
      <c r="AEY63" s="12">
        <f>ADS63</f>
        <v/>
      </c>
      <c r="AEZ63" s="9">
        <f>AEP63-AET63-AEU63-AEV63-AEW63-AEX63-AEY63</f>
        <v/>
      </c>
      <c r="AFA63" s="9">
        <f>AFA62+AEM63-(AET63+AEU63+AEV63+AEW63+AEX63+AEY63+AER63)</f>
        <v/>
      </c>
      <c r="AFB63" s="12">
        <f>IF(AEG63&gt;0,AEH63/AEG63,0)</f>
        <v/>
      </c>
      <c r="AFC63" s="11">
        <f>IF(AEG62&gt;0,MAX(0,(AEG62+ADV63-AEG63)/AEG62),0)</f>
        <v/>
      </c>
      <c r="AFE63" s="12" t="n">
        <v>59</v>
      </c>
      <c r="AFF63" s="12">
        <f>MOD(AFE63-1+LaunchMonth-1,12)+1</f>
        <v/>
      </c>
      <c r="AFG63" s="12">
        <f>INT((AFE63-1+LaunchMonth-1)/12)+1</f>
        <v/>
      </c>
      <c r="AFH63" s="12">
        <f>VLOOKUP(AFF63,SeasonTable,2,FALSE)</f>
        <v/>
      </c>
      <c r="AFI63" s="12">
        <f>(1+InflationRate)^INT((AFE63-1)/12)</f>
        <v/>
      </c>
      <c r="AFJ63" s="11">
        <f>MonthlyChurn*VLOOKUP(AFF63,ChurnSeasonTable,4,FALSE)</f>
        <v/>
      </c>
      <c r="AFK63" s="12">
        <f>MIN(MAX(MktMin19plus,AGE62*MktPct19plus),MAX(0,AGS62-CashBuffer))</f>
        <v/>
      </c>
      <c r="AFL63" s="12">
        <f>IF(AFK63&gt;0,MAX(1,ROUND(AFK63/'Sens - CAC &amp; Marketing'!$A$9*AFH63,0)),0)</f>
        <v/>
      </c>
      <c r="AFM63" s="12">
        <f>IF(AFL63&gt;0,ROUND(AFL63*ReferralMix/(1-ReferralMix),0),0)</f>
        <v/>
      </c>
      <c r="AFN63" s="12">
        <f>AFL63+AFM63</f>
        <v/>
      </c>
      <c r="AFO63" s="12">
        <f>ROUND(AFN63*(1-AnnualMix),0)</f>
        <v/>
      </c>
      <c r="AFP63" s="12">
        <f>AFN63-AFO63</f>
        <v/>
      </c>
      <c r="AFQ63" s="12">
        <f>ROUND(AFO63*EssentialMix,0)</f>
        <v/>
      </c>
      <c r="AFR63" s="12">
        <f>AFO63-AFQ63</f>
        <v/>
      </c>
      <c r="AFS63" s="12">
        <f>ROUND(AFP63*EssentialMix,0)</f>
        <v/>
      </c>
      <c r="AFT63" s="12">
        <f>AFP63-AFS63</f>
        <v/>
      </c>
      <c r="AFU63" s="12">
        <f>AFQ63+AFQ62+AFQ61+MAX(0,AFU62-AFQ62-AFQ61)*(1-AFJ63)</f>
        <v/>
      </c>
      <c r="AFV63" s="12">
        <f>AFR63+AFR62+AFR61+MAX(0,AFV62-AFR62-AFR61)*(1-AFJ63)</f>
        <v/>
      </c>
      <c r="AFW63" s="12">
        <f>AFW62+AFS63-AFS51*(AnnualChurn*VLOOKUP(AFF63,ChurnSeasonTable,4,FALSE))*POWER(1-(AnnualChurn*VLOOKUP(AFF63,ChurnSeasonTable,4,FALSE)),0)+AFS39*(AnnualChurn*VLOOKUP(AFF63,ChurnSeasonTable,4,FALSE))*POWER(1-(AnnualChurn*VLOOKUP(AFF63,ChurnSeasonTable,4,FALSE)),1)+AFS27*(AnnualChurn*VLOOKUP(AFF63,ChurnSeasonTable,4,FALSE))*POWER(1-(AnnualChurn*VLOOKUP(AFF63,ChurnSeasonTable,4,FALSE)),2)+AFS15*(AnnualChurn*VLOOKUP(AFF63,ChurnSeasonTable,4,FALSE))*POWER(1-(AnnualChurn*VLOOKUP(AFF63,ChurnSeasonTable,4,FALSE)),3)</f>
        <v/>
      </c>
      <c r="AFX63" s="12">
        <f>AFX62+AFT63-AFT51*(AnnualChurn*VLOOKUP(AFF63,ChurnSeasonTable,4,FALSE))*POWER(1-(AnnualChurn*VLOOKUP(AFF63,ChurnSeasonTable,4,FALSE)),0)+AFT39*(AnnualChurn*VLOOKUP(AFF63,ChurnSeasonTable,4,FALSE))*POWER(1-(AnnualChurn*VLOOKUP(AFF63,ChurnSeasonTable,4,FALSE)),1)+AFT27*(AnnualChurn*VLOOKUP(AFF63,ChurnSeasonTable,4,FALSE))*POWER(1-(AnnualChurn*VLOOKUP(AFF63,ChurnSeasonTable,4,FALSE)),2)+AFT15*(AnnualChurn*VLOOKUP(AFF63,ChurnSeasonTable,4,FALSE))*POWER(1-(AnnualChurn*VLOOKUP(AFF63,ChurnSeasonTable,4,FALSE)),3)</f>
        <v/>
      </c>
      <c r="AFY63" s="12">
        <f>AFU63+AFV63+AFW63+AFX63</f>
        <v/>
      </c>
      <c r="AFZ63" s="9">
        <f>AFU63*PriceEssMonthly*AFI63+AFV63*PricePremMonthly*AFI63+AFW63*PriceEssAnnual*AFI63/12+AFX63*PricePremAnnual*AFI63/12</f>
        <v/>
      </c>
      <c r="AGA63" s="9">
        <f>AFZ63*12</f>
        <v/>
      </c>
      <c r="AGB63" s="12">
        <f>AFU63*PriceEssMonthly*AFI63+AFV63*PricePremMonthly*AFI63</f>
        <v/>
      </c>
      <c r="AGC63" s="12">
        <f>AFS63*PriceEssAnnual*AFI63+AFT63*PricePremAnnual*AFI63</f>
        <v/>
      </c>
      <c r="AGD63" s="12">
        <f>AFS51*POWER(1-(AnnualChurn*VLOOKUP(AFF63,ChurnSeasonTable,4,FALSE)),1)*PriceEssAnnual*AFI63+AFS39*POWER(1-(AnnualChurn*VLOOKUP(AFF63,ChurnSeasonTable,4,FALSE)),2)*PriceEssAnnual*AFI63+AFS27*POWER(1-(AnnualChurn*VLOOKUP(AFF63,ChurnSeasonTable,4,FALSE)),3)*PriceEssAnnual*AFI63+AFS15*POWER(1-(AnnualChurn*VLOOKUP(AFF63,ChurnSeasonTable,4,FALSE)),4)*PriceEssAnnual*AFI63+AFT51*POWER(1-(AnnualChurn*VLOOKUP(AFF63,ChurnSeasonTable,4,FALSE)),1)*PricePremAnnual*AFI63+AFT39*POWER(1-(AnnualChurn*VLOOKUP(AFF63,ChurnSeasonTable,4,FALSE)),2)*PricePremAnnual*AFI63+AFT27*POWER(1-(AnnualChurn*VLOOKUP(AFF63,ChurnSeasonTable,4,FALSE)),3)*PricePremAnnual*AFI63+AFT15*POWER(1-(AnnualChurn*VLOOKUP(AFF63,ChurnSeasonTable,4,FALSE)),4)*PricePremAnnual*AFI63</f>
        <v/>
      </c>
      <c r="AGE63" s="9">
        <f>AGB63+AGC63+AGD63</f>
        <v/>
      </c>
      <c r="AGF63" s="12">
        <f>SUM(AGE52:AGE63)</f>
        <v/>
      </c>
      <c r="AGG63" s="12">
        <f>OR(AGG62,AGF63&gt;=VATThreshold)</f>
        <v/>
      </c>
      <c r="AGH63" s="9">
        <f>IF(AGG63,AGE63/(1+VATRate),AGE63)</f>
        <v/>
      </c>
      <c r="AGI63" s="12">
        <f>AGE63-AGH63</f>
        <v/>
      </c>
      <c r="AGJ63" s="12">
        <f>IF(AGG63=0,0,IF(AFF63=1,SUMPRODUCT(--(($AFG$5:$AFG63=$AFG63-1)*($AFF$5:$AFF63&gt;=10)*($AFF$5:$AFF63&lt;=12)),$AGI$5:$AGI63),IF(AFF63=4,SUMPRODUCT(--(($AFG$5:$AFG63=$AFG63)*($AFF$5:$AFF63&gt;=1)*($AFF$5:$AFF63&lt;=3)),$AGI$5:$AGI63),IF(AFF63=7,SUMPRODUCT(--(($AFG$5:$AFG63=$AFG63)*($AFF$5:$AFF63&gt;=4)*($AFF$5:$AFF63&lt;=6)),$AGI$5:$AGI63),IF(AFF63=10,SUMPRODUCT(--(($AFG$5:$AFG63=$AFG63)*($AFF$5:$AFF63&gt;=7)*($AFF$5:$AFF63&lt;=9)),$AGI$5:$AGI63),0)))))</f>
        <v/>
      </c>
      <c r="AGK63" s="12">
        <f>AGK62+AGI63-AGJ63</f>
        <v/>
      </c>
      <c r="AGL63" s="12">
        <f>IF(ProviderDelay&gt;=1,AGH62*ProviderShare,AGH63*ProviderShare)</f>
        <v/>
      </c>
      <c r="AGM63" s="12">
        <f>AGE63*PaymentFee</f>
        <v/>
      </c>
      <c r="AGN63" s="12">
        <f>AFY63*OpsAI</f>
        <v/>
      </c>
      <c r="AGO63" s="12">
        <f>MonthlyFixed</f>
        <v/>
      </c>
      <c r="AGP63" s="12">
        <f>AFM63*ReferralReward</f>
        <v/>
      </c>
      <c r="AGQ63" s="12">
        <f>AFK63</f>
        <v/>
      </c>
      <c r="AGR63" s="9">
        <f>AGH63-AGL63-AGM63-AGN63-AGO63-AGP63-AGQ63</f>
        <v/>
      </c>
      <c r="AGS63" s="9">
        <f>AGS62+AGE63-(AGL63+AGM63+AGN63+AGO63+AGP63+AGQ63+AGJ63)</f>
        <v/>
      </c>
      <c r="AGT63" s="12">
        <f>IF(AFY63&gt;0,AFZ63/AFY63,0)</f>
        <v/>
      </c>
      <c r="AGU63" s="11">
        <f>IF(AFY62&gt;0,MAX(0,(AFY62+AFN63-AFY63)/AFY62),0)</f>
        <v/>
      </c>
      <c r="AGW63" s="12" t="n">
        <v>59</v>
      </c>
      <c r="AGX63" s="12">
        <f>MOD(AGW63-1+LaunchMonth-1,12)+1</f>
        <v/>
      </c>
      <c r="AGY63" s="12">
        <f>INT((AGW63-1+LaunchMonth-1)/12)+1</f>
        <v/>
      </c>
      <c r="AGZ63" s="12">
        <f>VLOOKUP(AGX63,SeasonTable,2,FALSE)</f>
        <v/>
      </c>
      <c r="AHA63" s="12">
        <f>(1+InflationRate)^INT((AGW63-1)/12)</f>
        <v/>
      </c>
      <c r="AHB63" s="11">
        <f>MonthlyChurn*VLOOKUP(AGX63,ChurnSeasonTable,4,FALSE)</f>
        <v/>
      </c>
      <c r="AHC63" s="12">
        <f>MIN(MAX(MktMin19plus,AHW62*MktPct19plus),MAX(0,AIK62-CashBuffer))</f>
        <v/>
      </c>
      <c r="AHD63" s="12">
        <f>IF(AHC63&gt;0,MAX(1,ROUND(AHC63/'Sens - CAC &amp; Marketing'!$A$10*AGZ63,0)),0)</f>
        <v/>
      </c>
      <c r="AHE63" s="12">
        <f>IF(AHD63&gt;0,ROUND(AHD63*ReferralMix/(1-ReferralMix),0),0)</f>
        <v/>
      </c>
      <c r="AHF63" s="12">
        <f>AHD63+AHE63</f>
        <v/>
      </c>
      <c r="AHG63" s="12">
        <f>ROUND(AHF63*(1-AnnualMix),0)</f>
        <v/>
      </c>
      <c r="AHH63" s="12">
        <f>AHF63-AHG63</f>
        <v/>
      </c>
      <c r="AHI63" s="12">
        <f>ROUND(AHG63*EssentialMix,0)</f>
        <v/>
      </c>
      <c r="AHJ63" s="12">
        <f>AHG63-AHI63</f>
        <v/>
      </c>
      <c r="AHK63" s="12">
        <f>ROUND(AHH63*EssentialMix,0)</f>
        <v/>
      </c>
      <c r="AHL63" s="12">
        <f>AHH63-AHK63</f>
        <v/>
      </c>
      <c r="AHM63" s="12">
        <f>AHI63+AHI62+AHI61+MAX(0,AHM62-AHI62-AHI61)*(1-AHB63)</f>
        <v/>
      </c>
      <c r="AHN63" s="12">
        <f>AHJ63+AHJ62+AHJ61+MAX(0,AHN62-AHJ62-AHJ61)*(1-AHB63)</f>
        <v/>
      </c>
      <c r="AHO63" s="12">
        <f>AHO62+AHK63-AHK51*(AnnualChurn*VLOOKUP(AGX63,ChurnSeasonTable,4,FALSE))*POWER(1-(AnnualChurn*VLOOKUP(AGX63,ChurnSeasonTable,4,FALSE)),0)+AHK39*(AnnualChurn*VLOOKUP(AGX63,ChurnSeasonTable,4,FALSE))*POWER(1-(AnnualChurn*VLOOKUP(AGX63,ChurnSeasonTable,4,FALSE)),1)+AHK27*(AnnualChurn*VLOOKUP(AGX63,ChurnSeasonTable,4,FALSE))*POWER(1-(AnnualChurn*VLOOKUP(AGX63,ChurnSeasonTable,4,FALSE)),2)+AHK15*(AnnualChurn*VLOOKUP(AGX63,ChurnSeasonTable,4,FALSE))*POWER(1-(AnnualChurn*VLOOKUP(AGX63,ChurnSeasonTable,4,FALSE)),3)</f>
        <v/>
      </c>
      <c r="AHP63" s="12">
        <f>AHP62+AHL63-AHL51*(AnnualChurn*VLOOKUP(AGX63,ChurnSeasonTable,4,FALSE))*POWER(1-(AnnualChurn*VLOOKUP(AGX63,ChurnSeasonTable,4,FALSE)),0)+AHL39*(AnnualChurn*VLOOKUP(AGX63,ChurnSeasonTable,4,FALSE))*POWER(1-(AnnualChurn*VLOOKUP(AGX63,ChurnSeasonTable,4,FALSE)),1)+AHL27*(AnnualChurn*VLOOKUP(AGX63,ChurnSeasonTable,4,FALSE))*POWER(1-(AnnualChurn*VLOOKUP(AGX63,ChurnSeasonTable,4,FALSE)),2)+AHL15*(AnnualChurn*VLOOKUP(AGX63,ChurnSeasonTable,4,FALSE))*POWER(1-(AnnualChurn*VLOOKUP(AGX63,ChurnSeasonTable,4,FALSE)),3)</f>
        <v/>
      </c>
      <c r="AHQ63" s="12">
        <f>AHM63+AHN63+AHO63+AHP63</f>
        <v/>
      </c>
      <c r="AHR63" s="9">
        <f>AHM63*PriceEssMonthly*AHA63+AHN63*PricePremMonthly*AHA63+AHO63*PriceEssAnnual*AHA63/12+AHP63*PricePremAnnual*AHA63/12</f>
        <v/>
      </c>
      <c r="AHS63" s="9">
        <f>AHR63*12</f>
        <v/>
      </c>
      <c r="AHT63" s="12">
        <f>AHM63*PriceEssMonthly*AHA63+AHN63*PricePremMonthly*AHA63</f>
        <v/>
      </c>
      <c r="AHU63" s="12">
        <f>AHK63*PriceEssAnnual*AHA63+AHL63*PricePremAnnual*AHA63</f>
        <v/>
      </c>
      <c r="AHV63" s="12">
        <f>AHK51*POWER(1-(AnnualChurn*VLOOKUP(AGX63,ChurnSeasonTable,4,FALSE)),1)*PriceEssAnnual*AHA63+AHK39*POWER(1-(AnnualChurn*VLOOKUP(AGX63,ChurnSeasonTable,4,FALSE)),2)*PriceEssAnnual*AHA63+AHK27*POWER(1-(AnnualChurn*VLOOKUP(AGX63,ChurnSeasonTable,4,FALSE)),3)*PriceEssAnnual*AHA63+AHK15*POWER(1-(AnnualChurn*VLOOKUP(AGX63,ChurnSeasonTable,4,FALSE)),4)*PriceEssAnnual*AHA63+AHL51*POWER(1-(AnnualChurn*VLOOKUP(AGX63,ChurnSeasonTable,4,FALSE)),1)*PricePremAnnual*AHA63+AHL39*POWER(1-(AnnualChurn*VLOOKUP(AGX63,ChurnSeasonTable,4,FALSE)),2)*PricePremAnnual*AHA63+AHL27*POWER(1-(AnnualChurn*VLOOKUP(AGX63,ChurnSeasonTable,4,FALSE)),3)*PricePremAnnual*AHA63+AHL15*POWER(1-(AnnualChurn*VLOOKUP(AGX63,ChurnSeasonTable,4,FALSE)),4)*PricePremAnnual*AHA63</f>
        <v/>
      </c>
      <c r="AHW63" s="9">
        <f>AHT63+AHU63+AHV63</f>
        <v/>
      </c>
      <c r="AHX63" s="12">
        <f>SUM(AHW52:AHW63)</f>
        <v/>
      </c>
      <c r="AHY63" s="12">
        <f>OR(AHY62,AHX63&gt;=VATThreshold)</f>
        <v/>
      </c>
      <c r="AHZ63" s="9">
        <f>IF(AHY63,AHW63/(1+VATRate),AHW63)</f>
        <v/>
      </c>
      <c r="AIA63" s="12">
        <f>AHW63-AHZ63</f>
        <v/>
      </c>
      <c r="AIB63" s="12">
        <f>IF(AHY63=0,0,IF(AGX63=1,SUMPRODUCT(--(($AGY$5:$AGY63=$AGY63-1)*($AGX$5:$AGX63&gt;=10)*($AGX$5:$AGX63&lt;=12)),$AIA$5:$AIA63),IF(AGX63=4,SUMPRODUCT(--(($AGY$5:$AGY63=$AGY63)*($AGX$5:$AGX63&gt;=1)*($AGX$5:$AGX63&lt;=3)),$AIA$5:$AIA63),IF(AGX63=7,SUMPRODUCT(--(($AGY$5:$AGY63=$AGY63)*($AGX$5:$AGX63&gt;=4)*($AGX$5:$AGX63&lt;=6)),$AIA$5:$AIA63),IF(AGX63=10,SUMPRODUCT(--(($AGY$5:$AGY63=$AGY63)*($AGX$5:$AGX63&gt;=7)*($AGX$5:$AGX63&lt;=9)),$AIA$5:$AIA63),0)))))</f>
        <v/>
      </c>
      <c r="AIC63" s="12">
        <f>AIC62+AIA63-AIB63</f>
        <v/>
      </c>
      <c r="AID63" s="12">
        <f>IF(ProviderDelay&gt;=1,AHZ62*ProviderShare,AHZ63*ProviderShare)</f>
        <v/>
      </c>
      <c r="AIE63" s="12">
        <f>AHW63*PaymentFee</f>
        <v/>
      </c>
      <c r="AIF63" s="12">
        <f>AHQ63*OpsAI</f>
        <v/>
      </c>
      <c r="AIG63" s="12">
        <f>MonthlyFixed</f>
        <v/>
      </c>
      <c r="AIH63" s="12">
        <f>AHE63*ReferralReward</f>
        <v/>
      </c>
      <c r="AII63" s="12">
        <f>AHC63</f>
        <v/>
      </c>
      <c r="AIJ63" s="9">
        <f>AHZ63-AID63-AIE63-AIF63-AIG63-AIH63-AII63</f>
        <v/>
      </c>
      <c r="AIK63" s="9">
        <f>AIK62+AHW63-(AID63+AIE63+AIF63+AIG63+AIH63+AII63+AIB63)</f>
        <v/>
      </c>
      <c r="AIL63" s="12">
        <f>IF(AHQ63&gt;0,AHR63/AHQ63,0)</f>
        <v/>
      </c>
      <c r="AIM63" s="11">
        <f>IF(AHQ62&gt;0,MAX(0,(AHQ62+AHF63-AHQ63)/AHQ62),0)</f>
        <v/>
      </c>
      <c r="AIO63" s="12" t="n">
        <v>59</v>
      </c>
      <c r="AIP63" s="12">
        <f>MOD(AIO63-1+LaunchMonth-1,12)+1</f>
        <v/>
      </c>
      <c r="AIQ63" s="12">
        <f>INT((AIO63-1+LaunchMonth-1)/12)+1</f>
        <v/>
      </c>
      <c r="AIR63" s="12">
        <f>VLOOKUP(AIP63,SeasonTable,2,FALSE)</f>
        <v/>
      </c>
      <c r="AIS63" s="12">
        <f>(1+InflationRate)^INT((AIO63-1)/12)</f>
        <v/>
      </c>
      <c r="AIT63" s="11">
        <f>MonthlyChurn*VLOOKUP(AIP63,ChurnSeasonTable,4,FALSE)</f>
        <v/>
      </c>
      <c r="AIU63" s="12">
        <f>MIN(MAX(MktMin19plus,AJO62*MktPct19plus),MAX(0,AKC62-CashBuffer))</f>
        <v/>
      </c>
      <c r="AIV63" s="12">
        <f>IF(AIU63&gt;0,MAX(1,ROUND(AIU63/'Sens - CAC &amp; Marketing'!$A$11*AIR63,0)),0)</f>
        <v/>
      </c>
      <c r="AIW63" s="12">
        <f>IF(AIV63&gt;0,ROUND(AIV63*ReferralMix/(1-ReferralMix),0),0)</f>
        <v/>
      </c>
      <c r="AIX63" s="12">
        <f>AIV63+AIW63</f>
        <v/>
      </c>
      <c r="AIY63" s="12">
        <f>ROUND(AIX63*(1-AnnualMix),0)</f>
        <v/>
      </c>
      <c r="AIZ63" s="12">
        <f>AIX63-AIY63</f>
        <v/>
      </c>
      <c r="AJA63" s="12">
        <f>ROUND(AIY63*EssentialMix,0)</f>
        <v/>
      </c>
      <c r="AJB63" s="12">
        <f>AIY63-AJA63</f>
        <v/>
      </c>
      <c r="AJC63" s="12">
        <f>ROUND(AIZ63*EssentialMix,0)</f>
        <v/>
      </c>
      <c r="AJD63" s="12">
        <f>AIZ63-AJC63</f>
        <v/>
      </c>
      <c r="AJE63" s="12">
        <f>AJA63+AJA62+AJA61+MAX(0,AJE62-AJA62-AJA61)*(1-AIT63)</f>
        <v/>
      </c>
      <c r="AJF63" s="12">
        <f>AJB63+AJB62+AJB61+MAX(0,AJF62-AJB62-AJB61)*(1-AIT63)</f>
        <v/>
      </c>
      <c r="AJG63" s="12">
        <f>AJG62+AJC63-AJC51*(AnnualChurn*VLOOKUP(AIP63,ChurnSeasonTable,4,FALSE))*POWER(1-(AnnualChurn*VLOOKUP(AIP63,ChurnSeasonTable,4,FALSE)),0)+AJC39*(AnnualChurn*VLOOKUP(AIP63,ChurnSeasonTable,4,FALSE))*POWER(1-(AnnualChurn*VLOOKUP(AIP63,ChurnSeasonTable,4,FALSE)),1)+AJC27*(AnnualChurn*VLOOKUP(AIP63,ChurnSeasonTable,4,FALSE))*POWER(1-(AnnualChurn*VLOOKUP(AIP63,ChurnSeasonTable,4,FALSE)),2)+AJC15*(AnnualChurn*VLOOKUP(AIP63,ChurnSeasonTable,4,FALSE))*POWER(1-(AnnualChurn*VLOOKUP(AIP63,ChurnSeasonTable,4,FALSE)),3)</f>
        <v/>
      </c>
      <c r="AJH63" s="12">
        <f>AJH62+AJD63-AJD51*(AnnualChurn*VLOOKUP(AIP63,ChurnSeasonTable,4,FALSE))*POWER(1-(AnnualChurn*VLOOKUP(AIP63,ChurnSeasonTable,4,FALSE)),0)+AJD39*(AnnualChurn*VLOOKUP(AIP63,ChurnSeasonTable,4,FALSE))*POWER(1-(AnnualChurn*VLOOKUP(AIP63,ChurnSeasonTable,4,FALSE)),1)+AJD27*(AnnualChurn*VLOOKUP(AIP63,ChurnSeasonTable,4,FALSE))*POWER(1-(AnnualChurn*VLOOKUP(AIP63,ChurnSeasonTable,4,FALSE)),2)+AJD15*(AnnualChurn*VLOOKUP(AIP63,ChurnSeasonTable,4,FALSE))*POWER(1-(AnnualChurn*VLOOKUP(AIP63,ChurnSeasonTable,4,FALSE)),3)</f>
        <v/>
      </c>
      <c r="AJI63" s="12">
        <f>AJE63+AJF63+AJG63+AJH63</f>
        <v/>
      </c>
      <c r="AJJ63" s="9">
        <f>AJE63*PriceEssMonthly*AIS63+AJF63*PricePremMonthly*AIS63+AJG63*PriceEssAnnual*AIS63/12+AJH63*PricePremAnnual*AIS63/12</f>
        <v/>
      </c>
      <c r="AJK63" s="9">
        <f>AJJ63*12</f>
        <v/>
      </c>
      <c r="AJL63" s="12">
        <f>AJE63*PriceEssMonthly*AIS63+AJF63*PricePremMonthly*AIS63</f>
        <v/>
      </c>
      <c r="AJM63" s="12">
        <f>AJC63*PriceEssAnnual*AIS63+AJD63*PricePremAnnual*AIS63</f>
        <v/>
      </c>
      <c r="AJN63" s="12">
        <f>AJC51*POWER(1-(AnnualChurn*VLOOKUP(AIP63,ChurnSeasonTable,4,FALSE)),1)*PriceEssAnnual*AIS63+AJC39*POWER(1-(AnnualChurn*VLOOKUP(AIP63,ChurnSeasonTable,4,FALSE)),2)*PriceEssAnnual*AIS63+AJC27*POWER(1-(AnnualChurn*VLOOKUP(AIP63,ChurnSeasonTable,4,FALSE)),3)*PriceEssAnnual*AIS63+AJC15*POWER(1-(AnnualChurn*VLOOKUP(AIP63,ChurnSeasonTable,4,FALSE)),4)*PriceEssAnnual*AIS63+AJD51*POWER(1-(AnnualChurn*VLOOKUP(AIP63,ChurnSeasonTable,4,FALSE)),1)*PricePremAnnual*AIS63+AJD39*POWER(1-(AnnualChurn*VLOOKUP(AIP63,ChurnSeasonTable,4,FALSE)),2)*PricePremAnnual*AIS63+AJD27*POWER(1-(AnnualChurn*VLOOKUP(AIP63,ChurnSeasonTable,4,FALSE)),3)*PricePremAnnual*AIS63+AJD15*POWER(1-(AnnualChurn*VLOOKUP(AIP63,ChurnSeasonTable,4,FALSE)),4)*PricePremAnnual*AIS63</f>
        <v/>
      </c>
      <c r="AJO63" s="9">
        <f>AJL63+AJM63+AJN63</f>
        <v/>
      </c>
      <c r="AJP63" s="12">
        <f>SUM(AJO52:AJO63)</f>
        <v/>
      </c>
      <c r="AJQ63" s="12">
        <f>OR(AJQ62,AJP63&gt;=VATThreshold)</f>
        <v/>
      </c>
      <c r="AJR63" s="9">
        <f>IF(AJQ63,AJO63/(1+VATRate),AJO63)</f>
        <v/>
      </c>
      <c r="AJS63" s="12">
        <f>AJO63-AJR63</f>
        <v/>
      </c>
      <c r="AJT63" s="12">
        <f>IF(AJQ63=0,0,IF(AIP63=1,SUMPRODUCT(--(($AIQ$5:$AIQ63=$AIQ63-1)*($AIP$5:$AIP63&gt;=10)*($AIP$5:$AIP63&lt;=12)),$AJS$5:$AJS63),IF(AIP63=4,SUMPRODUCT(--(($AIQ$5:$AIQ63=$AIQ63)*($AIP$5:$AIP63&gt;=1)*($AIP$5:$AIP63&lt;=3)),$AJS$5:$AJS63),IF(AIP63=7,SUMPRODUCT(--(($AIQ$5:$AIQ63=$AIQ63)*($AIP$5:$AIP63&gt;=4)*($AIP$5:$AIP63&lt;=6)),$AJS$5:$AJS63),IF(AIP63=10,SUMPRODUCT(--(($AIQ$5:$AIQ63=$AIQ63)*($AIP$5:$AIP63&gt;=7)*($AIP$5:$AIP63&lt;=9)),$AJS$5:$AJS63),0)))))</f>
        <v/>
      </c>
      <c r="AJU63" s="12">
        <f>AJU62+AJS63-AJT63</f>
        <v/>
      </c>
      <c r="AJV63" s="12">
        <f>IF(ProviderDelay&gt;=1,AJR62*ProviderShare,AJR63*ProviderShare)</f>
        <v/>
      </c>
      <c r="AJW63" s="12">
        <f>AJO63*PaymentFee</f>
        <v/>
      </c>
      <c r="AJX63" s="12">
        <f>AJI63*OpsAI</f>
        <v/>
      </c>
      <c r="AJY63" s="12">
        <f>MonthlyFixed</f>
        <v/>
      </c>
      <c r="AJZ63" s="12">
        <f>AIW63*ReferralReward</f>
        <v/>
      </c>
      <c r="AKA63" s="12">
        <f>AIU63</f>
        <v/>
      </c>
      <c r="AKB63" s="9">
        <f>AJR63-AJV63-AJW63-AJX63-AJY63-AJZ63-AKA63</f>
        <v/>
      </c>
      <c r="AKC63" s="9">
        <f>AKC62+AJO63-(AJV63+AJW63+AJX63+AJY63+AJZ63+AKA63+AJT63)</f>
        <v/>
      </c>
      <c r="AKD63" s="12">
        <f>IF(AJI63&gt;0,AJJ63/AJI63,0)</f>
        <v/>
      </c>
      <c r="AKE63" s="11">
        <f>IF(AJI62&gt;0,MAX(0,(AJI62+AIX63-AJI63)/AJI62),0)</f>
        <v/>
      </c>
      <c r="AKG63" s="12" t="n">
        <v>59</v>
      </c>
      <c r="AKH63" s="12">
        <f>MOD(AKG63-1+LaunchMonth-1,12)+1</f>
        <v/>
      </c>
      <c r="AKI63" s="12">
        <f>INT((AKG63-1+LaunchMonth-1)/12)+1</f>
        <v/>
      </c>
      <c r="AKJ63" s="12">
        <f>VLOOKUP(AKH63,SeasonTable,2,FALSE)</f>
        <v/>
      </c>
      <c r="AKK63" s="12">
        <f>(1+InflationRate)^INT((AKG63-1)/12)</f>
        <v/>
      </c>
      <c r="AKL63" s="11">
        <f>MonthlyChurn*VLOOKUP(AKH63,ChurnSeasonTable,4,FALSE)</f>
        <v/>
      </c>
      <c r="AKM63" s="12">
        <f>MIN(MAX(MktMin19plus,ALG62*MktPct19plus),MAX(0,ALU62-CashBuffer))</f>
        <v/>
      </c>
      <c r="AKN63" s="12">
        <f>IF(AKM63&gt;0,MAX(1,ROUND(AKM63/'Sens - CAC &amp; Marketing'!$A$12*AKJ63,0)),0)</f>
        <v/>
      </c>
      <c r="AKO63" s="12">
        <f>IF(AKN63&gt;0,ROUND(AKN63*ReferralMix/(1-ReferralMix),0),0)</f>
        <v/>
      </c>
      <c r="AKP63" s="12">
        <f>AKN63+AKO63</f>
        <v/>
      </c>
      <c r="AKQ63" s="12">
        <f>ROUND(AKP63*(1-AnnualMix),0)</f>
        <v/>
      </c>
      <c r="AKR63" s="12">
        <f>AKP63-AKQ63</f>
        <v/>
      </c>
      <c r="AKS63" s="12">
        <f>ROUND(AKQ63*EssentialMix,0)</f>
        <v/>
      </c>
      <c r="AKT63" s="12">
        <f>AKQ63-AKS63</f>
        <v/>
      </c>
      <c r="AKU63" s="12">
        <f>ROUND(AKR63*EssentialMix,0)</f>
        <v/>
      </c>
      <c r="AKV63" s="12">
        <f>AKR63-AKU63</f>
        <v/>
      </c>
      <c r="AKW63" s="12">
        <f>AKS63+AKS62+AKS61+MAX(0,AKW62-AKS62-AKS61)*(1-AKL63)</f>
        <v/>
      </c>
      <c r="AKX63" s="12">
        <f>AKT63+AKT62+AKT61+MAX(0,AKX62-AKT62-AKT61)*(1-AKL63)</f>
        <v/>
      </c>
      <c r="AKY63" s="12">
        <f>AKY62+AKU63-AKU51*(AnnualChurn*VLOOKUP(AKH63,ChurnSeasonTable,4,FALSE))*POWER(1-(AnnualChurn*VLOOKUP(AKH63,ChurnSeasonTable,4,FALSE)),0)+AKU39*(AnnualChurn*VLOOKUP(AKH63,ChurnSeasonTable,4,FALSE))*POWER(1-(AnnualChurn*VLOOKUP(AKH63,ChurnSeasonTable,4,FALSE)),1)+AKU27*(AnnualChurn*VLOOKUP(AKH63,ChurnSeasonTable,4,FALSE))*POWER(1-(AnnualChurn*VLOOKUP(AKH63,ChurnSeasonTable,4,FALSE)),2)+AKU15*(AnnualChurn*VLOOKUP(AKH63,ChurnSeasonTable,4,FALSE))*POWER(1-(AnnualChurn*VLOOKUP(AKH63,ChurnSeasonTable,4,FALSE)),3)</f>
        <v/>
      </c>
      <c r="AKZ63" s="12">
        <f>AKZ62+AKV63-AKV51*(AnnualChurn*VLOOKUP(AKH63,ChurnSeasonTable,4,FALSE))*POWER(1-(AnnualChurn*VLOOKUP(AKH63,ChurnSeasonTable,4,FALSE)),0)+AKV39*(AnnualChurn*VLOOKUP(AKH63,ChurnSeasonTable,4,FALSE))*POWER(1-(AnnualChurn*VLOOKUP(AKH63,ChurnSeasonTable,4,FALSE)),1)+AKV27*(AnnualChurn*VLOOKUP(AKH63,ChurnSeasonTable,4,FALSE))*POWER(1-(AnnualChurn*VLOOKUP(AKH63,ChurnSeasonTable,4,FALSE)),2)+AKV15*(AnnualChurn*VLOOKUP(AKH63,ChurnSeasonTable,4,FALSE))*POWER(1-(AnnualChurn*VLOOKUP(AKH63,ChurnSeasonTable,4,FALSE)),3)</f>
        <v/>
      </c>
      <c r="ALA63" s="12">
        <f>AKW63+AKX63+AKY63+AKZ63</f>
        <v/>
      </c>
      <c r="ALB63" s="9">
        <f>AKW63*PriceEssMonthly*AKK63+AKX63*PricePremMonthly*AKK63+AKY63*PriceEssAnnual*AKK63/12+AKZ63*PricePremAnnual*AKK63/12</f>
        <v/>
      </c>
      <c r="ALC63" s="9">
        <f>ALB63*12</f>
        <v/>
      </c>
      <c r="ALD63" s="12">
        <f>AKW63*PriceEssMonthly*AKK63+AKX63*PricePremMonthly*AKK63</f>
        <v/>
      </c>
      <c r="ALE63" s="12">
        <f>AKU63*PriceEssAnnual*AKK63+AKV63*PricePremAnnual*AKK63</f>
        <v/>
      </c>
      <c r="ALF63" s="12">
        <f>AKU51*POWER(1-(AnnualChurn*VLOOKUP(AKH63,ChurnSeasonTable,4,FALSE)),1)*PriceEssAnnual*AKK63+AKU39*POWER(1-(AnnualChurn*VLOOKUP(AKH63,ChurnSeasonTable,4,FALSE)),2)*PriceEssAnnual*AKK63+AKU27*POWER(1-(AnnualChurn*VLOOKUP(AKH63,ChurnSeasonTable,4,FALSE)),3)*PriceEssAnnual*AKK63+AKU15*POWER(1-(AnnualChurn*VLOOKUP(AKH63,ChurnSeasonTable,4,FALSE)),4)*PriceEssAnnual*AKK63+AKV51*POWER(1-(AnnualChurn*VLOOKUP(AKH63,ChurnSeasonTable,4,FALSE)),1)*PricePremAnnual*AKK63+AKV39*POWER(1-(AnnualChurn*VLOOKUP(AKH63,ChurnSeasonTable,4,FALSE)),2)*PricePremAnnual*AKK63+AKV27*POWER(1-(AnnualChurn*VLOOKUP(AKH63,ChurnSeasonTable,4,FALSE)),3)*PricePremAnnual*AKK63+AKV15*POWER(1-(AnnualChurn*VLOOKUP(AKH63,ChurnSeasonTable,4,FALSE)),4)*PricePremAnnual*AKK63</f>
        <v/>
      </c>
      <c r="ALG63" s="9">
        <f>ALD63+ALE63+ALF63</f>
        <v/>
      </c>
      <c r="ALH63" s="12">
        <f>SUM(ALG52:ALG63)</f>
        <v/>
      </c>
      <c r="ALI63" s="12">
        <f>OR(ALI62,ALH63&gt;=VATThreshold)</f>
        <v/>
      </c>
      <c r="ALJ63" s="9">
        <f>IF(ALI63,ALG63/(1+VATRate),ALG63)</f>
        <v/>
      </c>
      <c r="ALK63" s="12">
        <f>ALG63-ALJ63</f>
        <v/>
      </c>
      <c r="ALL63" s="12">
        <f>IF(ALI63=0,0,IF(AKH63=1,SUMPRODUCT(--(($AKI$5:$AKI63=$AKI63-1)*($AKH$5:$AKH63&gt;=10)*($AKH$5:$AKH63&lt;=12)),$ALK$5:$ALK63),IF(AKH63=4,SUMPRODUCT(--(($AKI$5:$AKI63=$AKI63)*($AKH$5:$AKH63&gt;=1)*($AKH$5:$AKH63&lt;=3)),$ALK$5:$ALK63),IF(AKH63=7,SUMPRODUCT(--(($AKI$5:$AKI63=$AKI63)*($AKH$5:$AKH63&gt;=4)*($AKH$5:$AKH63&lt;=6)),$ALK$5:$ALK63),IF(AKH63=10,SUMPRODUCT(--(($AKI$5:$AKI63=$AKI63)*($AKH$5:$AKH63&gt;=7)*($AKH$5:$AKH63&lt;=9)),$ALK$5:$ALK63),0)))))</f>
        <v/>
      </c>
      <c r="ALM63" s="12">
        <f>ALM62+ALK63-ALL63</f>
        <v/>
      </c>
      <c r="ALN63" s="12">
        <f>IF(ProviderDelay&gt;=1,ALJ62*ProviderShare,ALJ63*ProviderShare)</f>
        <v/>
      </c>
      <c r="ALO63" s="12">
        <f>ALG63*PaymentFee</f>
        <v/>
      </c>
      <c r="ALP63" s="12">
        <f>ALA63*OpsAI</f>
        <v/>
      </c>
      <c r="ALQ63" s="12">
        <f>MonthlyFixed</f>
        <v/>
      </c>
      <c r="ALR63" s="12">
        <f>AKO63*ReferralReward</f>
        <v/>
      </c>
      <c r="ALS63" s="12">
        <f>AKM63</f>
        <v/>
      </c>
      <c r="ALT63" s="9">
        <f>ALJ63-ALN63-ALO63-ALP63-ALQ63-ALR63-ALS63</f>
        <v/>
      </c>
      <c r="ALU63" s="9">
        <f>ALU62+ALG63-(ALN63+ALO63+ALP63+ALQ63+ALR63+ALS63+ALL63)</f>
        <v/>
      </c>
      <c r="ALV63" s="12">
        <f>IF(ALA63&gt;0,ALB63/ALA63,0)</f>
        <v/>
      </c>
      <c r="ALW63" s="11">
        <f>IF(ALA62&gt;0,MAX(0,(ALA62+AKP63-ALA63)/ALA62),0)</f>
        <v/>
      </c>
      <c r="ALY63" s="12" t="n">
        <v>59</v>
      </c>
      <c r="ALZ63" s="12">
        <f>MOD(ALY63-1+LaunchMonth-1,12)+1</f>
        <v/>
      </c>
      <c r="AMA63" s="12">
        <f>INT((ALY63-1+LaunchMonth-1)/12)+1</f>
        <v/>
      </c>
      <c r="AMB63" s="12">
        <f>VLOOKUP(ALZ63,SeasonTable,2,FALSE)</f>
        <v/>
      </c>
      <c r="AMC63" s="12">
        <f>(1+InflationRate)^INT((ALY63-1)/12)</f>
        <v/>
      </c>
      <c r="AMD63" s="11">
        <f>MonthlyChurn*VLOOKUP(ALZ63,ChurnSeasonTable,4,FALSE)</f>
        <v/>
      </c>
      <c r="AME63" s="12">
        <f>MIN(MAX(MktMin19plus,AMY62*MktPct19plus),MAX(0,ANM62-CashBuffer))</f>
        <v/>
      </c>
      <c r="AMF63" s="12">
        <f>IF(AME63&gt;0,MAX(1,ROUND(AME63/'Sens - CAC &amp; Marketing'!$A$13*AMB63,0)),0)</f>
        <v/>
      </c>
      <c r="AMG63" s="12">
        <f>IF(AMF63&gt;0,ROUND(AMF63*ReferralMix/(1-ReferralMix),0),0)</f>
        <v/>
      </c>
      <c r="AMH63" s="12">
        <f>AMF63+AMG63</f>
        <v/>
      </c>
      <c r="AMI63" s="12">
        <f>ROUND(AMH63*(1-AnnualMix),0)</f>
        <v/>
      </c>
      <c r="AMJ63" s="12">
        <f>AMH63-AMI63</f>
        <v/>
      </c>
      <c r="AMK63" s="12">
        <f>ROUND(AMI63*EssentialMix,0)</f>
        <v/>
      </c>
      <c r="AML63" s="12">
        <f>AMI63-AMK63</f>
        <v/>
      </c>
      <c r="AMM63" s="12">
        <f>ROUND(AMJ63*EssentialMix,0)</f>
        <v/>
      </c>
      <c r="AMN63" s="12">
        <f>AMJ63-AMM63</f>
        <v/>
      </c>
      <c r="AMO63" s="12">
        <f>AMK63+AMK62+AMK61+MAX(0,AMO62-AMK62-AMK61)*(1-AMD63)</f>
        <v/>
      </c>
      <c r="AMP63" s="12">
        <f>AML63+AML62+AML61+MAX(0,AMP62-AML62-AML61)*(1-AMD63)</f>
        <v/>
      </c>
      <c r="AMQ63" s="12">
        <f>AMQ62+AMM63-AMM51*(AnnualChurn*VLOOKUP(ALZ63,ChurnSeasonTable,4,FALSE))*POWER(1-(AnnualChurn*VLOOKUP(ALZ63,ChurnSeasonTable,4,FALSE)),0)+AMM39*(AnnualChurn*VLOOKUP(ALZ63,ChurnSeasonTable,4,FALSE))*POWER(1-(AnnualChurn*VLOOKUP(ALZ63,ChurnSeasonTable,4,FALSE)),1)+AMM27*(AnnualChurn*VLOOKUP(ALZ63,ChurnSeasonTable,4,FALSE))*POWER(1-(AnnualChurn*VLOOKUP(ALZ63,ChurnSeasonTable,4,FALSE)),2)+AMM15*(AnnualChurn*VLOOKUP(ALZ63,ChurnSeasonTable,4,FALSE))*POWER(1-(AnnualChurn*VLOOKUP(ALZ63,ChurnSeasonTable,4,FALSE)),3)</f>
        <v/>
      </c>
      <c r="AMR63" s="12">
        <f>AMR62+AMN63-AMN51*(AnnualChurn*VLOOKUP(ALZ63,ChurnSeasonTable,4,FALSE))*POWER(1-(AnnualChurn*VLOOKUP(ALZ63,ChurnSeasonTable,4,FALSE)),0)+AMN39*(AnnualChurn*VLOOKUP(ALZ63,ChurnSeasonTable,4,FALSE))*POWER(1-(AnnualChurn*VLOOKUP(ALZ63,ChurnSeasonTable,4,FALSE)),1)+AMN27*(AnnualChurn*VLOOKUP(ALZ63,ChurnSeasonTable,4,FALSE))*POWER(1-(AnnualChurn*VLOOKUP(ALZ63,ChurnSeasonTable,4,FALSE)),2)+AMN15*(AnnualChurn*VLOOKUP(ALZ63,ChurnSeasonTable,4,FALSE))*POWER(1-(AnnualChurn*VLOOKUP(ALZ63,ChurnSeasonTable,4,FALSE)),3)</f>
        <v/>
      </c>
      <c r="AMS63" s="12">
        <f>AMO63+AMP63+AMQ63+AMR63</f>
        <v/>
      </c>
      <c r="AMT63" s="9">
        <f>AMO63*PriceEssMonthly*AMC63+AMP63*PricePremMonthly*AMC63+AMQ63*PriceEssAnnual*AMC63/12+AMR63*PricePremAnnual*AMC63/12</f>
        <v/>
      </c>
      <c r="AMU63" s="9">
        <f>AMT63*12</f>
        <v/>
      </c>
      <c r="AMV63" s="12">
        <f>AMO63*PriceEssMonthly*AMC63+AMP63*PricePremMonthly*AMC63</f>
        <v/>
      </c>
      <c r="AMW63" s="12">
        <f>AMM63*PriceEssAnnual*AMC63+AMN63*PricePremAnnual*AMC63</f>
        <v/>
      </c>
      <c r="AMX63" s="12">
        <f>AMM51*POWER(1-(AnnualChurn*VLOOKUP(ALZ63,ChurnSeasonTable,4,FALSE)),1)*PriceEssAnnual*AMC63+AMM39*POWER(1-(AnnualChurn*VLOOKUP(ALZ63,ChurnSeasonTable,4,FALSE)),2)*PriceEssAnnual*AMC63+AMM27*POWER(1-(AnnualChurn*VLOOKUP(ALZ63,ChurnSeasonTable,4,FALSE)),3)*PriceEssAnnual*AMC63+AMM15*POWER(1-(AnnualChurn*VLOOKUP(ALZ63,ChurnSeasonTable,4,FALSE)),4)*PriceEssAnnual*AMC63+AMN51*POWER(1-(AnnualChurn*VLOOKUP(ALZ63,ChurnSeasonTable,4,FALSE)),1)*PricePremAnnual*AMC63+AMN39*POWER(1-(AnnualChurn*VLOOKUP(ALZ63,ChurnSeasonTable,4,FALSE)),2)*PricePremAnnual*AMC63+AMN27*POWER(1-(AnnualChurn*VLOOKUP(ALZ63,ChurnSeasonTable,4,FALSE)),3)*PricePremAnnual*AMC63+AMN15*POWER(1-(AnnualChurn*VLOOKUP(ALZ63,ChurnSeasonTable,4,FALSE)),4)*PricePremAnnual*AMC63</f>
        <v/>
      </c>
      <c r="AMY63" s="9">
        <f>AMV63+AMW63+AMX63</f>
        <v/>
      </c>
      <c r="AMZ63" s="12">
        <f>SUM(AMY52:AMY63)</f>
        <v/>
      </c>
      <c r="ANA63" s="12">
        <f>OR(ANA62,AMZ63&gt;=VATThreshold)</f>
        <v/>
      </c>
      <c r="ANB63" s="9">
        <f>IF(ANA63,AMY63/(1+VATRate),AMY63)</f>
        <v/>
      </c>
      <c r="ANC63" s="12">
        <f>AMY63-ANB63</f>
        <v/>
      </c>
      <c r="AND63" s="12">
        <f>IF(ANA63=0,0,IF(ALZ63=1,SUMPRODUCT(--(($AMA$5:$AMA63=$AMA63-1)*($ALZ$5:$ALZ63&gt;=10)*($ALZ$5:$ALZ63&lt;=12)),$ANC$5:$ANC63),IF(ALZ63=4,SUMPRODUCT(--(($AMA$5:$AMA63=$AMA63)*($ALZ$5:$ALZ63&gt;=1)*($ALZ$5:$ALZ63&lt;=3)),$ANC$5:$ANC63),IF(ALZ63=7,SUMPRODUCT(--(($AMA$5:$AMA63=$AMA63)*($ALZ$5:$ALZ63&gt;=4)*($ALZ$5:$ALZ63&lt;=6)),$ANC$5:$ANC63),IF(ALZ63=10,SUMPRODUCT(--(($AMA$5:$AMA63=$AMA63)*($ALZ$5:$ALZ63&gt;=7)*($ALZ$5:$ALZ63&lt;=9)),$ANC$5:$ANC63),0)))))</f>
        <v/>
      </c>
      <c r="ANE63" s="12">
        <f>ANE62+ANC63-AND63</f>
        <v/>
      </c>
      <c r="ANF63" s="12">
        <f>IF(ProviderDelay&gt;=1,ANB62*ProviderShare,ANB63*ProviderShare)</f>
        <v/>
      </c>
      <c r="ANG63" s="12">
        <f>AMY63*PaymentFee</f>
        <v/>
      </c>
      <c r="ANH63" s="12">
        <f>AMS63*OpsAI</f>
        <v/>
      </c>
      <c r="ANI63" s="12">
        <f>MonthlyFixed</f>
        <v/>
      </c>
      <c r="ANJ63" s="12">
        <f>AMG63*ReferralReward</f>
        <v/>
      </c>
      <c r="ANK63" s="12">
        <f>AME63</f>
        <v/>
      </c>
      <c r="ANL63" s="9">
        <f>ANB63-ANF63-ANG63-ANH63-ANI63-ANJ63-ANK63</f>
        <v/>
      </c>
      <c r="ANM63" s="9">
        <f>ANM62+AMY63-(ANF63+ANG63+ANH63+ANI63+ANJ63+ANK63+AND63)</f>
        <v/>
      </c>
      <c r="ANN63" s="12">
        <f>IF(AMS63&gt;0,AMT63/AMS63,0)</f>
        <v/>
      </c>
      <c r="ANO63" s="11">
        <f>IF(AMS62&gt;0,MAX(0,(AMS62+AMH63-AMS63)/AMS62),0)</f>
        <v/>
      </c>
      <c r="ANQ63" s="12" t="n">
        <v>59</v>
      </c>
      <c r="ANR63" s="12">
        <f>MOD(ANQ63-1+LaunchMonth-1,12)+1</f>
        <v/>
      </c>
      <c r="ANS63" s="12">
        <f>INT((ANQ63-1+LaunchMonth-1)/12)+1</f>
        <v/>
      </c>
      <c r="ANT63" s="12">
        <f>VLOOKUP(ANR63,SeasonTable,2,FALSE)</f>
        <v/>
      </c>
      <c r="ANU63" s="12">
        <f>(1+InflationRate)^INT((ANQ63-1)/12)</f>
        <v/>
      </c>
      <c r="ANV63" s="11">
        <f>MonthlyChurn*VLOOKUP(ANR63,ChurnSeasonTable,4,FALSE)</f>
        <v/>
      </c>
      <c r="ANW63" s="12">
        <f>MIN(MAX(MktMin19plus,AOQ62*MktPct19plus),MAX(0,APE62-CashBuffer))</f>
        <v/>
      </c>
      <c r="ANX63" s="12">
        <f>IF(ANW63&gt;0,MAX(1,ROUND(ANW63/'Sens - CAC &amp; Marketing'!$A$14*ANT63,0)),0)</f>
        <v/>
      </c>
      <c r="ANY63" s="12">
        <f>IF(ANX63&gt;0,ROUND(ANX63*ReferralMix/(1-ReferralMix),0),0)</f>
        <v/>
      </c>
      <c r="ANZ63" s="12">
        <f>ANX63+ANY63</f>
        <v/>
      </c>
      <c r="AOA63" s="12">
        <f>ROUND(ANZ63*(1-AnnualMix),0)</f>
        <v/>
      </c>
      <c r="AOB63" s="12">
        <f>ANZ63-AOA63</f>
        <v/>
      </c>
      <c r="AOC63" s="12">
        <f>ROUND(AOA63*EssentialMix,0)</f>
        <v/>
      </c>
      <c r="AOD63" s="12">
        <f>AOA63-AOC63</f>
        <v/>
      </c>
      <c r="AOE63" s="12">
        <f>ROUND(AOB63*EssentialMix,0)</f>
        <v/>
      </c>
      <c r="AOF63" s="12">
        <f>AOB63-AOE63</f>
        <v/>
      </c>
      <c r="AOG63" s="12">
        <f>AOC63+AOC62+AOC61+MAX(0,AOG62-AOC62-AOC61)*(1-ANV63)</f>
        <v/>
      </c>
      <c r="AOH63" s="12">
        <f>AOD63+AOD62+AOD61+MAX(0,AOH62-AOD62-AOD61)*(1-ANV63)</f>
        <v/>
      </c>
      <c r="AOI63" s="12">
        <f>AOI62+AOE63-AOE51*(AnnualChurn*VLOOKUP(ANR63,ChurnSeasonTable,4,FALSE))*POWER(1-(AnnualChurn*VLOOKUP(ANR63,ChurnSeasonTable,4,FALSE)),0)+AOE39*(AnnualChurn*VLOOKUP(ANR63,ChurnSeasonTable,4,FALSE))*POWER(1-(AnnualChurn*VLOOKUP(ANR63,ChurnSeasonTable,4,FALSE)),1)+AOE27*(AnnualChurn*VLOOKUP(ANR63,ChurnSeasonTable,4,FALSE))*POWER(1-(AnnualChurn*VLOOKUP(ANR63,ChurnSeasonTable,4,FALSE)),2)+AOE15*(AnnualChurn*VLOOKUP(ANR63,ChurnSeasonTable,4,FALSE))*POWER(1-(AnnualChurn*VLOOKUP(ANR63,ChurnSeasonTable,4,FALSE)),3)</f>
        <v/>
      </c>
      <c r="AOJ63" s="12">
        <f>AOJ62+AOF63-AOF51*(AnnualChurn*VLOOKUP(ANR63,ChurnSeasonTable,4,FALSE))*POWER(1-(AnnualChurn*VLOOKUP(ANR63,ChurnSeasonTable,4,FALSE)),0)+AOF39*(AnnualChurn*VLOOKUP(ANR63,ChurnSeasonTable,4,FALSE))*POWER(1-(AnnualChurn*VLOOKUP(ANR63,ChurnSeasonTable,4,FALSE)),1)+AOF27*(AnnualChurn*VLOOKUP(ANR63,ChurnSeasonTable,4,FALSE))*POWER(1-(AnnualChurn*VLOOKUP(ANR63,ChurnSeasonTable,4,FALSE)),2)+AOF15*(AnnualChurn*VLOOKUP(ANR63,ChurnSeasonTable,4,FALSE))*POWER(1-(AnnualChurn*VLOOKUP(ANR63,ChurnSeasonTable,4,FALSE)),3)</f>
        <v/>
      </c>
      <c r="AOK63" s="12">
        <f>AOG63+AOH63+AOI63+AOJ63</f>
        <v/>
      </c>
      <c r="AOL63" s="9">
        <f>AOG63*PriceEssMonthly*ANU63+AOH63*PricePremMonthly*ANU63+AOI63*PriceEssAnnual*ANU63/12+AOJ63*PricePremAnnual*ANU63/12</f>
        <v/>
      </c>
      <c r="AOM63" s="9">
        <f>AOL63*12</f>
        <v/>
      </c>
      <c r="AON63" s="12">
        <f>AOG63*PriceEssMonthly*ANU63+AOH63*PricePremMonthly*ANU63</f>
        <v/>
      </c>
      <c r="AOO63" s="12">
        <f>AOE63*PriceEssAnnual*ANU63+AOF63*PricePremAnnual*ANU63</f>
        <v/>
      </c>
      <c r="AOP63" s="12">
        <f>AOE51*POWER(1-(AnnualChurn*VLOOKUP(ANR63,ChurnSeasonTable,4,FALSE)),1)*PriceEssAnnual*ANU63+AOE39*POWER(1-(AnnualChurn*VLOOKUP(ANR63,ChurnSeasonTable,4,FALSE)),2)*PriceEssAnnual*ANU63+AOE27*POWER(1-(AnnualChurn*VLOOKUP(ANR63,ChurnSeasonTable,4,FALSE)),3)*PriceEssAnnual*ANU63+AOE15*POWER(1-(AnnualChurn*VLOOKUP(ANR63,ChurnSeasonTable,4,FALSE)),4)*PriceEssAnnual*ANU63+AOF51*POWER(1-(AnnualChurn*VLOOKUP(ANR63,ChurnSeasonTable,4,FALSE)),1)*PricePremAnnual*ANU63+AOF39*POWER(1-(AnnualChurn*VLOOKUP(ANR63,ChurnSeasonTable,4,FALSE)),2)*PricePremAnnual*ANU63+AOF27*POWER(1-(AnnualChurn*VLOOKUP(ANR63,ChurnSeasonTable,4,FALSE)),3)*PricePremAnnual*ANU63+AOF15*POWER(1-(AnnualChurn*VLOOKUP(ANR63,ChurnSeasonTable,4,FALSE)),4)*PricePremAnnual*ANU63</f>
        <v/>
      </c>
      <c r="AOQ63" s="9">
        <f>AON63+AOO63+AOP63</f>
        <v/>
      </c>
      <c r="AOR63" s="12">
        <f>SUM(AOQ52:AOQ63)</f>
        <v/>
      </c>
      <c r="AOS63" s="12">
        <f>OR(AOS62,AOR63&gt;=VATThreshold)</f>
        <v/>
      </c>
      <c r="AOT63" s="9">
        <f>IF(AOS63,AOQ63/(1+VATRate),AOQ63)</f>
        <v/>
      </c>
      <c r="AOU63" s="12">
        <f>AOQ63-AOT63</f>
        <v/>
      </c>
      <c r="AOV63" s="12">
        <f>IF(AOS63=0,0,IF(ANR63=1,SUMPRODUCT(--(($ANS$5:$ANS63=$ANS63-1)*($ANR$5:$ANR63&gt;=10)*($ANR$5:$ANR63&lt;=12)),$AOU$5:$AOU63),IF(ANR63=4,SUMPRODUCT(--(($ANS$5:$ANS63=$ANS63)*($ANR$5:$ANR63&gt;=1)*($ANR$5:$ANR63&lt;=3)),$AOU$5:$AOU63),IF(ANR63=7,SUMPRODUCT(--(($ANS$5:$ANS63=$ANS63)*($ANR$5:$ANR63&gt;=4)*($ANR$5:$ANR63&lt;=6)),$AOU$5:$AOU63),IF(ANR63=10,SUMPRODUCT(--(($ANS$5:$ANS63=$ANS63)*($ANR$5:$ANR63&gt;=7)*($ANR$5:$ANR63&lt;=9)),$AOU$5:$AOU63),0)))))</f>
        <v/>
      </c>
      <c r="AOW63" s="12">
        <f>AOW62+AOU63-AOV63</f>
        <v/>
      </c>
      <c r="AOX63" s="12">
        <f>IF(ProviderDelay&gt;=1,AOT62*ProviderShare,AOT63*ProviderShare)</f>
        <v/>
      </c>
      <c r="AOY63" s="12">
        <f>AOQ63*PaymentFee</f>
        <v/>
      </c>
      <c r="AOZ63" s="12">
        <f>AOK63*OpsAI</f>
        <v/>
      </c>
      <c r="APA63" s="12">
        <f>MonthlyFixed</f>
        <v/>
      </c>
      <c r="APB63" s="12">
        <f>ANY63*ReferralReward</f>
        <v/>
      </c>
      <c r="APC63" s="12">
        <f>ANW63</f>
        <v/>
      </c>
      <c r="APD63" s="9">
        <f>AOT63-AOX63-AOY63-AOZ63-APA63-APB63-APC63</f>
        <v/>
      </c>
      <c r="APE63" s="9">
        <f>APE62+AOQ63-(AOX63+AOY63+AOZ63+APA63+APB63+APC63+AOV63)</f>
        <v/>
      </c>
      <c r="APF63" s="12">
        <f>IF(AOK63&gt;0,AOL63/AOK63,0)</f>
        <v/>
      </c>
      <c r="APG63" s="11">
        <f>IF(AOK62&gt;0,MAX(0,(AOK62+ANZ63-AOK63)/AOK62),0)</f>
        <v/>
      </c>
      <c r="API63" s="12" t="n">
        <v>59</v>
      </c>
      <c r="APJ63" s="12">
        <f>MOD(API63-1+LaunchMonth-1,12)+1</f>
        <v/>
      </c>
      <c r="APK63" s="12">
        <f>INT((API63-1+LaunchMonth-1)/12)+1</f>
        <v/>
      </c>
      <c r="APL63" s="12">
        <f>VLOOKUP(APJ63,SeasonTable,2,FALSE)</f>
        <v/>
      </c>
      <c r="APM63" s="12">
        <f>(1+InflationRate)^INT((API63-1)/12)</f>
        <v/>
      </c>
      <c r="APN63" s="11">
        <f>MonthlyChurn*VLOOKUP(APJ63,ChurnSeasonTable,4,FALSE)</f>
        <v/>
      </c>
      <c r="APO63" s="12">
        <f>MIN(MAX(MktMin19plus,AQI62*MktPct19plus),MAX(0,AQW62-CashBuffer))</f>
        <v/>
      </c>
      <c r="APP63" s="12">
        <f>IF(APO63&gt;0,MAX(1,ROUND(APO63/'Sens - CAC &amp; Marketing'!$A$15*APL63,0)),0)</f>
        <v/>
      </c>
      <c r="APQ63" s="12">
        <f>IF(APP63&gt;0,ROUND(APP63*ReferralMix/(1-ReferralMix),0),0)</f>
        <v/>
      </c>
      <c r="APR63" s="12">
        <f>APP63+APQ63</f>
        <v/>
      </c>
      <c r="APS63" s="12">
        <f>ROUND(APR63*(1-AnnualMix),0)</f>
        <v/>
      </c>
      <c r="APT63" s="12">
        <f>APR63-APS63</f>
        <v/>
      </c>
      <c r="APU63" s="12">
        <f>ROUND(APS63*EssentialMix,0)</f>
        <v/>
      </c>
      <c r="APV63" s="12">
        <f>APS63-APU63</f>
        <v/>
      </c>
      <c r="APW63" s="12">
        <f>ROUND(APT63*EssentialMix,0)</f>
        <v/>
      </c>
      <c r="APX63" s="12">
        <f>APT63-APW63</f>
        <v/>
      </c>
      <c r="APY63" s="12">
        <f>APU63+APU62+APU61+MAX(0,APY62-APU62-APU61)*(1-APN63)</f>
        <v/>
      </c>
      <c r="APZ63" s="12">
        <f>APV63+APV62+APV61+MAX(0,APZ62-APV62-APV61)*(1-APN63)</f>
        <v/>
      </c>
      <c r="AQA63" s="12">
        <f>AQA62+APW63-APW51*(AnnualChurn*VLOOKUP(APJ63,ChurnSeasonTable,4,FALSE))*POWER(1-(AnnualChurn*VLOOKUP(APJ63,ChurnSeasonTable,4,FALSE)),0)+APW39*(AnnualChurn*VLOOKUP(APJ63,ChurnSeasonTable,4,FALSE))*POWER(1-(AnnualChurn*VLOOKUP(APJ63,ChurnSeasonTable,4,FALSE)),1)+APW27*(AnnualChurn*VLOOKUP(APJ63,ChurnSeasonTable,4,FALSE))*POWER(1-(AnnualChurn*VLOOKUP(APJ63,ChurnSeasonTable,4,FALSE)),2)+APW15*(AnnualChurn*VLOOKUP(APJ63,ChurnSeasonTable,4,FALSE))*POWER(1-(AnnualChurn*VLOOKUP(APJ63,ChurnSeasonTable,4,FALSE)),3)</f>
        <v/>
      </c>
      <c r="AQB63" s="12">
        <f>AQB62+APX63-APX51*(AnnualChurn*VLOOKUP(APJ63,ChurnSeasonTable,4,FALSE))*POWER(1-(AnnualChurn*VLOOKUP(APJ63,ChurnSeasonTable,4,FALSE)),0)+APX39*(AnnualChurn*VLOOKUP(APJ63,ChurnSeasonTable,4,FALSE))*POWER(1-(AnnualChurn*VLOOKUP(APJ63,ChurnSeasonTable,4,FALSE)),1)+APX27*(AnnualChurn*VLOOKUP(APJ63,ChurnSeasonTable,4,FALSE))*POWER(1-(AnnualChurn*VLOOKUP(APJ63,ChurnSeasonTable,4,FALSE)),2)+APX15*(AnnualChurn*VLOOKUP(APJ63,ChurnSeasonTable,4,FALSE))*POWER(1-(AnnualChurn*VLOOKUP(APJ63,ChurnSeasonTable,4,FALSE)),3)</f>
        <v/>
      </c>
      <c r="AQC63" s="12">
        <f>APY63+APZ63+AQA63+AQB63</f>
        <v/>
      </c>
      <c r="AQD63" s="9">
        <f>APY63*PriceEssMonthly*APM63+APZ63*PricePremMonthly*APM63+AQA63*PriceEssAnnual*APM63/12+AQB63*PricePremAnnual*APM63/12</f>
        <v/>
      </c>
      <c r="AQE63" s="9">
        <f>AQD63*12</f>
        <v/>
      </c>
      <c r="AQF63" s="12">
        <f>APY63*PriceEssMonthly*APM63+APZ63*PricePremMonthly*APM63</f>
        <v/>
      </c>
      <c r="AQG63" s="12">
        <f>APW63*PriceEssAnnual*APM63+APX63*PricePremAnnual*APM63</f>
        <v/>
      </c>
      <c r="AQH63" s="12">
        <f>APW51*POWER(1-(AnnualChurn*VLOOKUP(APJ63,ChurnSeasonTable,4,FALSE)),1)*PriceEssAnnual*APM63+APW39*POWER(1-(AnnualChurn*VLOOKUP(APJ63,ChurnSeasonTable,4,FALSE)),2)*PriceEssAnnual*APM63+APW27*POWER(1-(AnnualChurn*VLOOKUP(APJ63,ChurnSeasonTable,4,FALSE)),3)*PriceEssAnnual*APM63+APW15*POWER(1-(AnnualChurn*VLOOKUP(APJ63,ChurnSeasonTable,4,FALSE)),4)*PriceEssAnnual*APM63+APX51*POWER(1-(AnnualChurn*VLOOKUP(APJ63,ChurnSeasonTable,4,FALSE)),1)*PricePremAnnual*APM63+APX39*POWER(1-(AnnualChurn*VLOOKUP(APJ63,ChurnSeasonTable,4,FALSE)),2)*PricePremAnnual*APM63+APX27*POWER(1-(AnnualChurn*VLOOKUP(APJ63,ChurnSeasonTable,4,FALSE)),3)*PricePremAnnual*APM63+APX15*POWER(1-(AnnualChurn*VLOOKUP(APJ63,ChurnSeasonTable,4,FALSE)),4)*PricePremAnnual*APM63</f>
        <v/>
      </c>
      <c r="AQI63" s="9">
        <f>AQF63+AQG63+AQH63</f>
        <v/>
      </c>
      <c r="AQJ63" s="12">
        <f>SUM(AQI52:AQI63)</f>
        <v/>
      </c>
      <c r="AQK63" s="12">
        <f>OR(AQK62,AQJ63&gt;=VATThreshold)</f>
        <v/>
      </c>
      <c r="AQL63" s="9">
        <f>IF(AQK63,AQI63/(1+VATRate),AQI63)</f>
        <v/>
      </c>
      <c r="AQM63" s="12">
        <f>AQI63-AQL63</f>
        <v/>
      </c>
      <c r="AQN63" s="12">
        <f>IF(AQK63=0,0,IF(APJ63=1,SUMPRODUCT(--(($APK$5:$APK63=$APK63-1)*($APJ$5:$APJ63&gt;=10)*($APJ$5:$APJ63&lt;=12)),$AQM$5:$AQM63),IF(APJ63=4,SUMPRODUCT(--(($APK$5:$APK63=$APK63)*($APJ$5:$APJ63&gt;=1)*($APJ$5:$APJ63&lt;=3)),$AQM$5:$AQM63),IF(APJ63=7,SUMPRODUCT(--(($APK$5:$APK63=$APK63)*($APJ$5:$APJ63&gt;=4)*($APJ$5:$APJ63&lt;=6)),$AQM$5:$AQM63),IF(APJ63=10,SUMPRODUCT(--(($APK$5:$APK63=$APK63)*($APJ$5:$APJ63&gt;=7)*($APJ$5:$APJ63&lt;=9)),$AQM$5:$AQM63),0)))))</f>
        <v/>
      </c>
      <c r="AQO63" s="12">
        <f>AQO62+AQM63-AQN63</f>
        <v/>
      </c>
      <c r="AQP63" s="12">
        <f>IF(ProviderDelay&gt;=1,AQL62*ProviderShare,AQL63*ProviderShare)</f>
        <v/>
      </c>
      <c r="AQQ63" s="12">
        <f>AQI63*PaymentFee</f>
        <v/>
      </c>
      <c r="AQR63" s="12">
        <f>AQC63*OpsAI</f>
        <v/>
      </c>
      <c r="AQS63" s="12">
        <f>MonthlyFixed</f>
        <v/>
      </c>
      <c r="AQT63" s="12">
        <f>APQ63*ReferralReward</f>
        <v/>
      </c>
      <c r="AQU63" s="12">
        <f>APO63</f>
        <v/>
      </c>
      <c r="AQV63" s="9">
        <f>AQL63-AQP63-AQQ63-AQR63-AQS63-AQT63-AQU63</f>
        <v/>
      </c>
      <c r="AQW63" s="9">
        <f>AQW62+AQI63-(AQP63+AQQ63+AQR63+AQS63+AQT63+AQU63+AQN63)</f>
        <v/>
      </c>
      <c r="AQX63" s="12">
        <f>IF(AQC63&gt;0,AQD63/AQC63,0)</f>
        <v/>
      </c>
      <c r="AQY63" s="11">
        <f>IF(AQC62&gt;0,MAX(0,(AQC62+APR63-AQC63)/AQC62),0)</f>
        <v/>
      </c>
      <c r="ARA63" s="12" t="n">
        <v>59</v>
      </c>
      <c r="ARB63" s="12">
        <f>MOD(ARA63-1+LaunchMonth-1,12)+1</f>
        <v/>
      </c>
      <c r="ARC63" s="12">
        <f>INT((ARA63-1+LaunchMonth-1)/12)+1</f>
        <v/>
      </c>
      <c r="ARD63" s="12">
        <f>VLOOKUP(ARB63,WinterPivotSeasonTable,5,FALSE)</f>
        <v/>
      </c>
      <c r="ARE63" s="12">
        <f>(1+InflationRate)^INT((ARA63-1)/12)</f>
        <v/>
      </c>
      <c r="ARF63" s="11">
        <f>MonthlyChurn*VLOOKUP(ARB63,WinterPivotChurnTable,6,FALSE)</f>
        <v/>
      </c>
      <c r="ARG63" s="12">
        <f>MIN(MAX(MktMin19plus,ASA62*MktPct19plus),MAX(0,ASO62-CashBuffer))</f>
        <v/>
      </c>
      <c r="ARH63" s="12">
        <f>IF(ARG63&gt;0,MAX(1,ROUND(ARG63/CAC*ARD63,0)),0)</f>
        <v/>
      </c>
      <c r="ARI63" s="12">
        <f>IF(ARH63&gt;0,ROUND(ARH63*ReferralMix/(1-ReferralMix),0),0)</f>
        <v/>
      </c>
      <c r="ARJ63" s="12">
        <f>ARH63+ARI63</f>
        <v/>
      </c>
      <c r="ARK63" s="12">
        <f>ROUND(ARJ63*(1-AnnualMix),0)</f>
        <v/>
      </c>
      <c r="ARL63" s="12">
        <f>ARJ63-ARK63</f>
        <v/>
      </c>
      <c r="ARM63" s="12">
        <f>ROUND(ARK63*'Sens - Winter Pivot'!$B$6,0)</f>
        <v/>
      </c>
      <c r="ARN63" s="12">
        <f>ARK63-ARM63</f>
        <v/>
      </c>
      <c r="ARO63" s="12">
        <f>ROUND(ARL63*'Sens - Winter Pivot'!$B$6,0)</f>
        <v/>
      </c>
      <c r="ARP63" s="12">
        <f>ARL63-ARO63</f>
        <v/>
      </c>
      <c r="ARQ63" s="12">
        <f>ARM63+ARM62+ARM61+MAX(0,ARQ62-ARM62-ARM61)*(1-ARF63)</f>
        <v/>
      </c>
      <c r="ARR63" s="12">
        <f>ARN63+ARN62+ARN61+MAX(0,ARR62-ARN62-ARN61)*(1-ARF63)</f>
        <v/>
      </c>
      <c r="ARS63" s="12">
        <f>ARS62+ARO63-ARO51*(AnnualChurn*VLOOKUP(ARB63,WinterPivotChurnTable,6,FALSE))*POWER(1-(AnnualChurn*VLOOKUP(ARB63,WinterPivotChurnTable,6,FALSE)),0)+ARO39*(AnnualChurn*VLOOKUP(ARB63,WinterPivotChurnTable,6,FALSE))*POWER(1-(AnnualChurn*VLOOKUP(ARB63,WinterPivotChurnTable,6,FALSE)),1)+ARO27*(AnnualChurn*VLOOKUP(ARB63,WinterPivotChurnTable,6,FALSE))*POWER(1-(AnnualChurn*VLOOKUP(ARB63,WinterPivotChurnTable,6,FALSE)),2)+ARO15*(AnnualChurn*VLOOKUP(ARB63,WinterPivotChurnTable,6,FALSE))*POWER(1-(AnnualChurn*VLOOKUP(ARB63,WinterPivotChurnTable,6,FALSE)),3)</f>
        <v/>
      </c>
      <c r="ART63" s="12">
        <f>ART62+ARP63-ARP51*(AnnualChurn*VLOOKUP(ARB63,WinterPivotChurnTable,6,FALSE))*POWER(1-(AnnualChurn*VLOOKUP(ARB63,WinterPivotChurnTable,6,FALSE)),0)+ARP39*(AnnualChurn*VLOOKUP(ARB63,WinterPivotChurnTable,6,FALSE))*POWER(1-(AnnualChurn*VLOOKUP(ARB63,WinterPivotChurnTable,6,FALSE)),1)+ARP27*(AnnualChurn*VLOOKUP(ARB63,WinterPivotChurnTable,6,FALSE))*POWER(1-(AnnualChurn*VLOOKUP(ARB63,WinterPivotChurnTable,6,FALSE)),2)+ARP15*(AnnualChurn*VLOOKUP(ARB63,WinterPivotChurnTable,6,FALSE))*POWER(1-(AnnualChurn*VLOOKUP(ARB63,WinterPivotChurnTable,6,FALSE)),3)</f>
        <v/>
      </c>
      <c r="ARU63" s="12">
        <f>ARQ63+ARR63+ARS63+ART63</f>
        <v/>
      </c>
      <c r="ARV63" s="9">
        <f>ARQ63*PriceEssMonthly*ARE63+ARR63*(PricePremMonthly+'Sens - Winter Pivot'!$B$7)*ARE63+ARS63*PriceEssAnnual*ARE63/12+ART63*(PricePremAnnual+'Sens - Winter Pivot'!$B$7*12)*ARE63/12</f>
        <v/>
      </c>
      <c r="ARW63" s="9">
        <f>ARV63*12</f>
        <v/>
      </c>
      <c r="ARX63" s="12">
        <f>ARQ63*PriceEssMonthly*ARE63+ARR63*(PricePremMonthly+'Sens - Winter Pivot'!$B$7)*ARE63</f>
        <v/>
      </c>
      <c r="ARY63" s="12">
        <f>ARO63*PriceEssAnnual*ARE63+ARP63*(PricePremAnnual+'Sens - Winter Pivot'!$B$7*12)*ARE63</f>
        <v/>
      </c>
      <c r="ARZ63" s="12">
        <f>ARO51*POWER(1-(AnnualChurn*VLOOKUP(ARB63,WinterPivotChurnTable,6,FALSE)),1)*PriceEssAnnual*ARE63+ARO39*POWER(1-(AnnualChurn*VLOOKUP(ARB63,WinterPivotChurnTable,6,FALSE)),2)*PriceEssAnnual*ARE63+ARO27*POWER(1-(AnnualChurn*VLOOKUP(ARB63,WinterPivotChurnTable,6,FALSE)),3)*PriceEssAnnual*ARE63+ARO15*POWER(1-(AnnualChurn*VLOOKUP(ARB63,WinterPivotChurnTable,6,FALSE)),4)*PriceEssAnnual*ARE63+ARP51*POWER(1-(AnnualChurn*VLOOKUP(ARB63,WinterPivotChurnTable,6,FALSE)),1)*PricePremAnnual*ARE63+ARP39*POWER(1-(AnnualChurn*VLOOKUP(ARB63,WinterPivotChurnTable,6,FALSE)),2)*PricePremAnnual*ARE63+ARP27*POWER(1-(AnnualChurn*VLOOKUP(ARB63,WinterPivotChurnTable,6,FALSE)),3)*PricePremAnnual*ARE63+ARP15*POWER(1-(AnnualChurn*VLOOKUP(ARB63,WinterPivotChurnTable,6,FALSE)),4)*PricePremAnnual*ARE63</f>
        <v/>
      </c>
      <c r="ASA63" s="9">
        <f>ARX63+ARY63+ARZ63</f>
        <v/>
      </c>
      <c r="ASB63" s="12">
        <f>SUM(ASA52:ASA63)</f>
        <v/>
      </c>
      <c r="ASC63" s="12">
        <f>OR(ASC62,ASB63&gt;=VATThreshold)</f>
        <v/>
      </c>
      <c r="ASD63" s="9">
        <f>IF(ASC63,ASA63/(1+VATRate),ASA63)</f>
        <v/>
      </c>
      <c r="ASE63" s="12">
        <f>ASA63-ASD63</f>
        <v/>
      </c>
      <c r="ASF63" s="12">
        <f>IF(ASC63=0,0,IF(ARB63=1,SUMPRODUCT(--(($ARC$5:$ARC63=$ARC63-1)*($ARB$5:$ARB63&gt;=10)*($ARB$5:$ARB63&lt;=12)),$ASE$5:$ASE63),IF(ARB63=4,SUMPRODUCT(--(($ARC$5:$ARC63=$ARC63)*($ARB$5:$ARB63&gt;=1)*($ARB$5:$ARB63&lt;=3)),$ASE$5:$ASE63),IF(ARB63=7,SUMPRODUCT(--(($ARC$5:$ARC63=$ARC63)*($ARB$5:$ARB63&gt;=4)*($ARB$5:$ARB63&lt;=6)),$ASE$5:$ASE63),IF(ARB63=10,SUMPRODUCT(--(($ARC$5:$ARC63=$ARC63)*($ARB$5:$ARB63&gt;=7)*($ARB$5:$ARB63&lt;=9)),$ASE$5:$ASE63),0)))))</f>
        <v/>
      </c>
      <c r="ASG63" s="12">
        <f>ASG62+ASE63-ASF63</f>
        <v/>
      </c>
      <c r="ASH63" s="12">
        <f>IF(ProviderDelay&gt;=1,ASD62*ProviderShare,ASD63*ProviderShare)</f>
        <v/>
      </c>
      <c r="ASI63" s="12">
        <f>ASA63*PaymentFee</f>
        <v/>
      </c>
      <c r="ASJ63" s="12">
        <f>ARU63*OpsAI</f>
        <v/>
      </c>
      <c r="ASK63" s="12">
        <f>MonthlyFixed</f>
        <v/>
      </c>
      <c r="ASL63" s="12">
        <f>ARI63*ReferralReward</f>
        <v/>
      </c>
      <c r="ASM63" s="12">
        <f>ARG63</f>
        <v/>
      </c>
      <c r="ASN63" s="9">
        <f>ASD63-ASH63-ASI63-ASJ63-ASK63-ASL63-ASM63</f>
        <v/>
      </c>
      <c r="ASO63" s="9">
        <f>ASO62+ASA63-(ASH63+ASI63+ASJ63+ASK63+ASL63+ASM63+ASF63)</f>
        <v/>
      </c>
      <c r="ASP63" s="12">
        <f>IF(ARU63&gt;0,ARV63/ARU63,0)</f>
        <v/>
      </c>
      <c r="ASQ63" s="11">
        <f>IF(ARU62&gt;0,MAX(0,(ARU62+ARJ63-ARU63)/ARU62),0)</f>
        <v/>
      </c>
    </row>
    <row r="64">
      <c r="A64" s="12" t="n">
        <v>60</v>
      </c>
      <c r="B64" s="12">
        <f>MOD(A64-1+LaunchMonth-1,12)+1</f>
        <v/>
      </c>
      <c r="C64" s="12">
        <f>INT((A64-1+LaunchMonth-1)/12)+1</f>
        <v/>
      </c>
      <c r="D64" s="12">
        <f>VLOOKUP(B64,SeasonTable,2,FALSE)</f>
        <v/>
      </c>
      <c r="E64" s="12">
        <f>(1+InflationRate)^INT((A64-1)/12)</f>
        <v/>
      </c>
      <c r="F64" s="11">
        <f>'Sens - Scenarios'!$B$5*VLOOKUP(B64,ChurnSeasonTable,4,FALSE)</f>
        <v/>
      </c>
      <c r="G64" s="12">
        <f>MIN(MAX(MktMin19plus,AA63*MktPct19plus),MAX(0,AO63-CashBuffer))</f>
        <v/>
      </c>
      <c r="H64" s="12">
        <f>IF(G64&gt;0,MAX(1,ROUND(G64/'Sens - Scenarios'!$B$8*D64,0)),0)</f>
        <v/>
      </c>
      <c r="I64" s="12">
        <f>IF(H64&gt;0,ROUND(H64*ReferralMix/(1-ReferralMix),0),0)</f>
        <v/>
      </c>
      <c r="J64" s="12">
        <f>H64+I64</f>
        <v/>
      </c>
      <c r="K64" s="12">
        <f>ROUND(J64*(1-'Sens - Scenarios'!$B$7),0)</f>
        <v/>
      </c>
      <c r="L64" s="12">
        <f>J64-K64</f>
        <v/>
      </c>
      <c r="M64" s="12">
        <f>ROUND(K64*EssentialMix,0)</f>
        <v/>
      </c>
      <c r="N64" s="12">
        <f>K64-M64</f>
        <v/>
      </c>
      <c r="O64" s="12">
        <f>ROUND(L64*EssentialMix,0)</f>
        <v/>
      </c>
      <c r="P64" s="12">
        <f>L64-O64</f>
        <v/>
      </c>
      <c r="Q64" s="12">
        <f>M64+M63+M62+MAX(0,Q63-M63-M62)*(1-F64)</f>
        <v/>
      </c>
      <c r="R64" s="12">
        <f>N64+N63+N62+MAX(0,R63-N63-N62)*(1-F64)</f>
        <v/>
      </c>
      <c r="S64" s="12">
        <f>S63+O64-O52*('Sens - Scenarios'!$B$6*VLOOKUP(B64,ChurnSeasonTable,4,FALSE))*POWER(1-('Sens - Scenarios'!$B$6*VLOOKUP(B64,ChurnSeasonTable,4,FALSE)),0)+O40*('Sens - Scenarios'!$B$6*VLOOKUP(B64,ChurnSeasonTable,4,FALSE))*POWER(1-('Sens - Scenarios'!$B$6*VLOOKUP(B64,ChurnSeasonTable,4,FALSE)),1)+O28*('Sens - Scenarios'!$B$6*VLOOKUP(B64,ChurnSeasonTable,4,FALSE))*POWER(1-('Sens - Scenarios'!$B$6*VLOOKUP(B64,ChurnSeasonTable,4,FALSE)),2)+O16*('Sens - Scenarios'!$B$6*VLOOKUP(B64,ChurnSeasonTable,4,FALSE))*POWER(1-('Sens - Scenarios'!$B$6*VLOOKUP(B64,ChurnSeasonTable,4,FALSE)),3)</f>
        <v/>
      </c>
      <c r="T64" s="12">
        <f>T63+P64-P52*('Sens - Scenarios'!$B$6*VLOOKUP(B64,ChurnSeasonTable,4,FALSE))*POWER(1-('Sens - Scenarios'!$B$6*VLOOKUP(B64,ChurnSeasonTable,4,FALSE)),0)+P40*('Sens - Scenarios'!$B$6*VLOOKUP(B64,ChurnSeasonTable,4,FALSE))*POWER(1-('Sens - Scenarios'!$B$6*VLOOKUP(B64,ChurnSeasonTable,4,FALSE)),1)+P28*('Sens - Scenarios'!$B$6*VLOOKUP(B64,ChurnSeasonTable,4,FALSE))*POWER(1-('Sens - Scenarios'!$B$6*VLOOKUP(B64,ChurnSeasonTable,4,FALSE)),2)+P16*('Sens - Scenarios'!$B$6*VLOOKUP(B64,ChurnSeasonTable,4,FALSE))*POWER(1-('Sens - Scenarios'!$B$6*VLOOKUP(B64,ChurnSeasonTable,4,FALSE)),3)</f>
        <v/>
      </c>
      <c r="U64" s="12">
        <f>Q64+R64+S64+T64</f>
        <v/>
      </c>
      <c r="V64" s="9">
        <f>Q64*PriceEssMonthly*E64+R64*PricePremMonthly*E64+S64*PriceEssAnnual*E64/12+T64*PricePremAnnual*E64/12</f>
        <v/>
      </c>
      <c r="W64" s="9">
        <f>V64*12</f>
        <v/>
      </c>
      <c r="X64" s="12">
        <f>Q64*PriceEssMonthly*E64+R64*PricePremMonthly*E64</f>
        <v/>
      </c>
      <c r="Y64" s="12">
        <f>O64*PriceEssAnnual*E64+P64*PricePremAnnual*E64</f>
        <v/>
      </c>
      <c r="Z64" s="12">
        <f>O52*POWER(1-('Sens - Scenarios'!$B$6*VLOOKUP(B64,ChurnSeasonTable,4,FALSE)),1)*PriceEssAnnual*E64+O40*POWER(1-('Sens - Scenarios'!$B$6*VLOOKUP(B64,ChurnSeasonTable,4,FALSE)),2)*PriceEssAnnual*E64+O28*POWER(1-('Sens - Scenarios'!$B$6*VLOOKUP(B64,ChurnSeasonTable,4,FALSE)),3)*PriceEssAnnual*E64+O16*POWER(1-('Sens - Scenarios'!$B$6*VLOOKUP(B64,ChurnSeasonTable,4,FALSE)),4)*PriceEssAnnual*E64+P52*POWER(1-('Sens - Scenarios'!$B$6*VLOOKUP(B64,ChurnSeasonTable,4,FALSE)),1)*PricePremAnnual*E64+P40*POWER(1-('Sens - Scenarios'!$B$6*VLOOKUP(B64,ChurnSeasonTable,4,FALSE)),2)*PricePremAnnual*E64+P28*POWER(1-('Sens - Scenarios'!$B$6*VLOOKUP(B64,ChurnSeasonTable,4,FALSE)),3)*PricePremAnnual*E64+P16*POWER(1-('Sens - Scenarios'!$B$6*VLOOKUP(B64,ChurnSeasonTable,4,FALSE)),4)*PricePremAnnual*E64</f>
        <v/>
      </c>
      <c r="AA64" s="9">
        <f>X64+Y64+Z64</f>
        <v/>
      </c>
      <c r="AB64" s="12">
        <f>SUM(AA53:AA64)</f>
        <v/>
      </c>
      <c r="AC64" s="12">
        <f>OR(AC63,AB64&gt;=VATThreshold)</f>
        <v/>
      </c>
      <c r="AD64" s="9">
        <f>IF(AC64,AA64/(1+VATRate),AA64)</f>
        <v/>
      </c>
      <c r="AE64" s="12">
        <f>AA64-AD64</f>
        <v/>
      </c>
      <c r="AF64" s="12">
        <f>IF(AC64=0,0,IF(B64=1,SUMPRODUCT(--(($C$5:$C64=$C64-1)*($B$5:$B64&gt;=10)*($B$5:$B64&lt;=12)),$AE$5:$AE64),IF(B64=4,SUMPRODUCT(--(($C$5:$C64=$C64)*($B$5:$B64&gt;=1)*($B$5:$B64&lt;=3)),$AE$5:$AE64),IF(B64=7,SUMPRODUCT(--(($C$5:$C64=$C64)*($B$5:$B64&gt;=4)*($B$5:$B64&lt;=6)),$AE$5:$AE64),IF(B64=10,SUMPRODUCT(--(($C$5:$C64=$C64)*($B$5:$B64&gt;=7)*($B$5:$B64&lt;=9)),$AE$5:$AE64),0)))))</f>
        <v/>
      </c>
      <c r="AG64" s="12">
        <f>AG63+AE64-AF64</f>
        <v/>
      </c>
      <c r="AH64" s="12">
        <f>IF(ProviderDelay&gt;=1,AD63*ProviderShare,AD64*ProviderShare)</f>
        <v/>
      </c>
      <c r="AI64" s="12">
        <f>AA64*PaymentFee</f>
        <v/>
      </c>
      <c r="AJ64" s="12">
        <f>U64*OpsAI</f>
        <v/>
      </c>
      <c r="AK64" s="12">
        <f>MonthlyFixed</f>
        <v/>
      </c>
      <c r="AL64" s="12">
        <f>I64*ReferralReward</f>
        <v/>
      </c>
      <c r="AM64" s="12">
        <f>G64</f>
        <v/>
      </c>
      <c r="AN64" s="9">
        <f>AD64-AH64-AI64-AJ64-AK64-AL64-AM64</f>
        <v/>
      </c>
      <c r="AO64" s="9">
        <f>AO63+AA64-(AH64+AI64+AJ64+AK64+AL64+AM64+AF64)</f>
        <v/>
      </c>
      <c r="AP64" s="12">
        <f>IF(U64&gt;0,V64/U64,0)</f>
        <v/>
      </c>
      <c r="AQ64" s="11">
        <f>IF(U63&gt;0,MAX(0,(U63+J64-U64)/U63),0)</f>
        <v/>
      </c>
      <c r="AS64" s="12" t="n">
        <v>60</v>
      </c>
      <c r="AT64" s="12">
        <f>MOD(AS64-1+LaunchMonth-1,12)+1</f>
        <v/>
      </c>
      <c r="AU64" s="12">
        <f>INT((AS64-1+LaunchMonth-1)/12)+1</f>
        <v/>
      </c>
      <c r="AV64" s="12">
        <f>VLOOKUP(AT64,SeasonTable,2,FALSE)</f>
        <v/>
      </c>
      <c r="AW64" s="12">
        <f>(1+InflationRate)^INT((AS64-1)/12)</f>
        <v/>
      </c>
      <c r="AX64" s="11">
        <f>MonthlyChurn*VLOOKUP(AT64,ChurnSeasonTable,4,FALSE)</f>
        <v/>
      </c>
      <c r="AY64" s="12">
        <f>MIN(MAX(MktMin19plus,BS63*MktPct19plus),MAX(0,CG63-CashBuffer))</f>
        <v/>
      </c>
      <c r="AZ64" s="12">
        <f>IF(AY64&gt;0,MAX(1,ROUND(AY64/CAC*AV64,0)),0)</f>
        <v/>
      </c>
      <c r="BA64" s="12">
        <f>IF(AZ64&gt;0,ROUND(AZ64*ReferralMix/(1-ReferralMix),0),0)</f>
        <v/>
      </c>
      <c r="BB64" s="12">
        <f>AZ64+BA64</f>
        <v/>
      </c>
      <c r="BC64" s="12">
        <f>ROUND(BB64*(1-AnnualMix),0)</f>
        <v/>
      </c>
      <c r="BD64" s="12">
        <f>BB64-BC64</f>
        <v/>
      </c>
      <c r="BE64" s="12">
        <f>ROUND(BC64*EssentialMix,0)</f>
        <v/>
      </c>
      <c r="BF64" s="12">
        <f>BC64-BE64</f>
        <v/>
      </c>
      <c r="BG64" s="12">
        <f>ROUND(BD64*EssentialMix,0)</f>
        <v/>
      </c>
      <c r="BH64" s="12">
        <f>BD64-BG64</f>
        <v/>
      </c>
      <c r="BI64" s="12">
        <f>BE64+BE63+BE62+MAX(0,BI63-BE63-BE62)*(1-AX64)</f>
        <v/>
      </c>
      <c r="BJ64" s="12">
        <f>BF64+BF63+BF62+MAX(0,BJ63-BF63-BF62)*(1-AX64)</f>
        <v/>
      </c>
      <c r="BK64" s="12">
        <f>BK63+BG64-BG52*(AnnualChurn*VLOOKUP(AT64,ChurnSeasonTable,4,FALSE))*POWER(1-(AnnualChurn*VLOOKUP(AT64,ChurnSeasonTable,4,FALSE)),0)+BG40*(AnnualChurn*VLOOKUP(AT64,ChurnSeasonTable,4,FALSE))*POWER(1-(AnnualChurn*VLOOKUP(AT64,ChurnSeasonTable,4,FALSE)),1)+BG28*(AnnualChurn*VLOOKUP(AT64,ChurnSeasonTable,4,FALSE))*POWER(1-(AnnualChurn*VLOOKUP(AT64,ChurnSeasonTable,4,FALSE)),2)+BG16*(AnnualChurn*VLOOKUP(AT64,ChurnSeasonTable,4,FALSE))*POWER(1-(AnnualChurn*VLOOKUP(AT64,ChurnSeasonTable,4,FALSE)),3)</f>
        <v/>
      </c>
      <c r="BL64" s="12">
        <f>BL63+BH64-BH52*(AnnualChurn*VLOOKUP(AT64,ChurnSeasonTable,4,FALSE))*POWER(1-(AnnualChurn*VLOOKUP(AT64,ChurnSeasonTable,4,FALSE)),0)+BH40*(AnnualChurn*VLOOKUP(AT64,ChurnSeasonTable,4,FALSE))*POWER(1-(AnnualChurn*VLOOKUP(AT64,ChurnSeasonTable,4,FALSE)),1)+BH28*(AnnualChurn*VLOOKUP(AT64,ChurnSeasonTable,4,FALSE))*POWER(1-(AnnualChurn*VLOOKUP(AT64,ChurnSeasonTable,4,FALSE)),2)+BH16*(AnnualChurn*VLOOKUP(AT64,ChurnSeasonTable,4,FALSE))*POWER(1-(AnnualChurn*VLOOKUP(AT64,ChurnSeasonTable,4,FALSE)),3)</f>
        <v/>
      </c>
      <c r="BM64" s="12">
        <f>BI64+BJ64+BK64+BL64</f>
        <v/>
      </c>
      <c r="BN64" s="9">
        <f>BI64*PriceEssMonthly*AW64+BJ64*PricePremMonthly*AW64+BK64*PriceEssAnnual*AW64/12+BL64*PricePremAnnual*AW64/12</f>
        <v/>
      </c>
      <c r="BO64" s="9">
        <f>BN64*12</f>
        <v/>
      </c>
      <c r="BP64" s="12">
        <f>BI64*PriceEssMonthly*AW64+BJ64*PricePremMonthly*AW64</f>
        <v/>
      </c>
      <c r="BQ64" s="12">
        <f>BG64*PriceEssAnnual*AW64+BH64*PricePremAnnual*AW64</f>
        <v/>
      </c>
      <c r="BR64" s="12">
        <f>BG52*POWER(1-(AnnualChurn*VLOOKUP(AT64,ChurnSeasonTable,4,FALSE)),1)*PriceEssAnnual*AW64+BG40*POWER(1-(AnnualChurn*VLOOKUP(AT64,ChurnSeasonTable,4,FALSE)),2)*PriceEssAnnual*AW64+BG28*POWER(1-(AnnualChurn*VLOOKUP(AT64,ChurnSeasonTable,4,FALSE)),3)*PriceEssAnnual*AW64+BG16*POWER(1-(AnnualChurn*VLOOKUP(AT64,ChurnSeasonTable,4,FALSE)),4)*PriceEssAnnual*AW64+BH52*POWER(1-(AnnualChurn*VLOOKUP(AT64,ChurnSeasonTable,4,FALSE)),1)*PricePremAnnual*AW64+BH40*POWER(1-(AnnualChurn*VLOOKUP(AT64,ChurnSeasonTable,4,FALSE)),2)*PricePremAnnual*AW64+BH28*POWER(1-(AnnualChurn*VLOOKUP(AT64,ChurnSeasonTable,4,FALSE)),3)*PricePremAnnual*AW64+BH16*POWER(1-(AnnualChurn*VLOOKUP(AT64,ChurnSeasonTable,4,FALSE)),4)*PricePremAnnual*AW64</f>
        <v/>
      </c>
      <c r="BS64" s="9">
        <f>BP64+BQ64+BR64</f>
        <v/>
      </c>
      <c r="BT64" s="12">
        <f>SUM(BS53:BS64)</f>
        <v/>
      </c>
      <c r="BU64" s="12">
        <f>OR(BU63,BT64&gt;=VATThreshold)</f>
        <v/>
      </c>
      <c r="BV64" s="9">
        <f>IF(BU64,BS64/(1+VATRate),BS64)</f>
        <v/>
      </c>
      <c r="BW64" s="12">
        <f>BS64-BV64</f>
        <v/>
      </c>
      <c r="BX64" s="12">
        <f>IF(BU64=0,0,IF(AT64=1,SUMPRODUCT(--(($AU$5:$AU64=$AU64-1)*($AT$5:$AT64&gt;=10)*($AT$5:$AT64&lt;=12)),$BW$5:$BW64),IF(AT64=4,SUMPRODUCT(--(($AU$5:$AU64=$AU64)*($AT$5:$AT64&gt;=1)*($AT$5:$AT64&lt;=3)),$BW$5:$BW64),IF(AT64=7,SUMPRODUCT(--(($AU$5:$AU64=$AU64)*($AT$5:$AT64&gt;=4)*($AT$5:$AT64&lt;=6)),$BW$5:$BW64),IF(AT64=10,SUMPRODUCT(--(($AU$5:$AU64=$AU64)*($AT$5:$AT64&gt;=7)*($AT$5:$AT64&lt;=9)),$BW$5:$BW64),0)))))</f>
        <v/>
      </c>
      <c r="BY64" s="12">
        <f>BY63+BW64-BX64</f>
        <v/>
      </c>
      <c r="BZ64" s="12">
        <f>IF(ProviderDelay&gt;=1,BV63*ProviderShare,BV64*ProviderShare)</f>
        <v/>
      </c>
      <c r="CA64" s="12">
        <f>BS64*PaymentFee</f>
        <v/>
      </c>
      <c r="CB64" s="12">
        <f>BM64*OpsAI</f>
        <v/>
      </c>
      <c r="CC64" s="12">
        <f>MonthlyFixed</f>
        <v/>
      </c>
      <c r="CD64" s="12">
        <f>BA64*ReferralReward</f>
        <v/>
      </c>
      <c r="CE64" s="12">
        <f>AY64</f>
        <v/>
      </c>
      <c r="CF64" s="9">
        <f>BV64-BZ64-CA64-CB64-CC64-CD64-CE64</f>
        <v/>
      </c>
      <c r="CG64" s="9">
        <f>CG63+BS64-(BZ64+CA64+CB64+CC64+CD64+CE64+BX64)</f>
        <v/>
      </c>
      <c r="CH64" s="12">
        <f>IF(BM64&gt;0,BN64/BM64,0)</f>
        <v/>
      </c>
      <c r="CI64" s="11">
        <f>IF(BM63&gt;0,MAX(0,(BM63+BB64-BM64)/BM63),0)</f>
        <v/>
      </c>
      <c r="CK64" s="12" t="n">
        <v>60</v>
      </c>
      <c r="CL64" s="12">
        <f>MOD(CK64-1+LaunchMonth-1,12)+1</f>
        <v/>
      </c>
      <c r="CM64" s="12">
        <f>INT((CK64-1+LaunchMonth-1)/12)+1</f>
        <v/>
      </c>
      <c r="CN64" s="12">
        <f>VLOOKUP(CL64,SeasonTable,2,FALSE)</f>
        <v/>
      </c>
      <c r="CO64" s="12">
        <f>(1+InflationRate)^INT((CK64-1)/12)</f>
        <v/>
      </c>
      <c r="CP64" s="11">
        <f>'Sens - Scenarios'!$D$5*VLOOKUP(CL64,ChurnSeasonTable,4,FALSE)</f>
        <v/>
      </c>
      <c r="CQ64" s="12">
        <f>MIN(MAX(MktMin19plus,DK63*MktPct19plus),MAX(0,DY63-CashBuffer))</f>
        <v/>
      </c>
      <c r="CR64" s="12">
        <f>IF(CQ64&gt;0,MAX(1,ROUND(CQ64/'Sens - Scenarios'!$D$8*CN64,0)),0)</f>
        <v/>
      </c>
      <c r="CS64" s="12">
        <f>IF(CR64&gt;0,ROUND(CR64*ReferralMix/(1-ReferralMix),0),0)</f>
        <v/>
      </c>
      <c r="CT64" s="12">
        <f>CR64+CS64</f>
        <v/>
      </c>
      <c r="CU64" s="12">
        <f>ROUND(CT64*(1-'Sens - Scenarios'!$D$7),0)</f>
        <v/>
      </c>
      <c r="CV64" s="12">
        <f>CT64-CU64</f>
        <v/>
      </c>
      <c r="CW64" s="12">
        <f>ROUND(CU64*EssentialMix,0)</f>
        <v/>
      </c>
      <c r="CX64" s="12">
        <f>CU64-CW64</f>
        <v/>
      </c>
      <c r="CY64" s="12">
        <f>ROUND(CV64*EssentialMix,0)</f>
        <v/>
      </c>
      <c r="CZ64" s="12">
        <f>CV64-CY64</f>
        <v/>
      </c>
      <c r="DA64" s="12">
        <f>CW64+CW63+CW62+MAX(0,DA63-CW63-CW62)*(1-CP64)</f>
        <v/>
      </c>
      <c r="DB64" s="12">
        <f>CX64+CX63+CX62+MAX(0,DB63-CX63-CX62)*(1-CP64)</f>
        <v/>
      </c>
      <c r="DC64" s="12">
        <f>DC63+CY64-CY52*('Sens - Scenarios'!$D$6*VLOOKUP(CL64,ChurnSeasonTable,4,FALSE))*POWER(1-('Sens - Scenarios'!$D$6*VLOOKUP(CL64,ChurnSeasonTable,4,FALSE)),0)+CY40*('Sens - Scenarios'!$D$6*VLOOKUP(CL64,ChurnSeasonTable,4,FALSE))*POWER(1-('Sens - Scenarios'!$D$6*VLOOKUP(CL64,ChurnSeasonTable,4,FALSE)),1)+CY28*('Sens - Scenarios'!$D$6*VLOOKUP(CL64,ChurnSeasonTable,4,FALSE))*POWER(1-('Sens - Scenarios'!$D$6*VLOOKUP(CL64,ChurnSeasonTable,4,FALSE)),2)+CY16*('Sens - Scenarios'!$D$6*VLOOKUP(CL64,ChurnSeasonTable,4,FALSE))*POWER(1-('Sens - Scenarios'!$D$6*VLOOKUP(CL64,ChurnSeasonTable,4,FALSE)),3)</f>
        <v/>
      </c>
      <c r="DD64" s="12">
        <f>DD63+CZ64-CZ52*('Sens - Scenarios'!$D$6*VLOOKUP(CL64,ChurnSeasonTable,4,FALSE))*POWER(1-('Sens - Scenarios'!$D$6*VLOOKUP(CL64,ChurnSeasonTable,4,FALSE)),0)+CZ40*('Sens - Scenarios'!$D$6*VLOOKUP(CL64,ChurnSeasonTable,4,FALSE))*POWER(1-('Sens - Scenarios'!$D$6*VLOOKUP(CL64,ChurnSeasonTable,4,FALSE)),1)+CZ28*('Sens - Scenarios'!$D$6*VLOOKUP(CL64,ChurnSeasonTable,4,FALSE))*POWER(1-('Sens - Scenarios'!$D$6*VLOOKUP(CL64,ChurnSeasonTable,4,FALSE)),2)+CZ16*('Sens - Scenarios'!$D$6*VLOOKUP(CL64,ChurnSeasonTable,4,FALSE))*POWER(1-('Sens - Scenarios'!$D$6*VLOOKUP(CL64,ChurnSeasonTable,4,FALSE)),3)</f>
        <v/>
      </c>
      <c r="DE64" s="12">
        <f>DA64+DB64+DC64+DD64</f>
        <v/>
      </c>
      <c r="DF64" s="9">
        <f>DA64*PriceEssMonthly*CO64+DB64*PricePremMonthly*CO64+DC64*PriceEssAnnual*CO64/12+DD64*PricePremAnnual*CO64/12</f>
        <v/>
      </c>
      <c r="DG64" s="9">
        <f>DF64*12</f>
        <v/>
      </c>
      <c r="DH64" s="12">
        <f>DA64*PriceEssMonthly*CO64+DB64*PricePremMonthly*CO64</f>
        <v/>
      </c>
      <c r="DI64" s="12">
        <f>CY64*PriceEssAnnual*CO64+CZ64*PricePremAnnual*CO64</f>
        <v/>
      </c>
      <c r="DJ64" s="12">
        <f>CY52*POWER(1-('Sens - Scenarios'!$D$6*VLOOKUP(CL64,ChurnSeasonTable,4,FALSE)),1)*PriceEssAnnual*CO64+CY40*POWER(1-('Sens - Scenarios'!$D$6*VLOOKUP(CL64,ChurnSeasonTable,4,FALSE)),2)*PriceEssAnnual*CO64+CY28*POWER(1-('Sens - Scenarios'!$D$6*VLOOKUP(CL64,ChurnSeasonTable,4,FALSE)),3)*PriceEssAnnual*CO64+CY16*POWER(1-('Sens - Scenarios'!$D$6*VLOOKUP(CL64,ChurnSeasonTable,4,FALSE)),4)*PriceEssAnnual*CO64+CZ52*POWER(1-('Sens - Scenarios'!$D$6*VLOOKUP(CL64,ChurnSeasonTable,4,FALSE)),1)*PricePremAnnual*CO64+CZ40*POWER(1-('Sens - Scenarios'!$D$6*VLOOKUP(CL64,ChurnSeasonTable,4,FALSE)),2)*PricePremAnnual*CO64+CZ28*POWER(1-('Sens - Scenarios'!$D$6*VLOOKUP(CL64,ChurnSeasonTable,4,FALSE)),3)*PricePremAnnual*CO64+CZ16*POWER(1-('Sens - Scenarios'!$D$6*VLOOKUP(CL64,ChurnSeasonTable,4,FALSE)),4)*PricePremAnnual*CO64</f>
        <v/>
      </c>
      <c r="DK64" s="9">
        <f>DH64+DI64+DJ64</f>
        <v/>
      </c>
      <c r="DL64" s="12">
        <f>SUM(DK53:DK64)</f>
        <v/>
      </c>
      <c r="DM64" s="12">
        <f>OR(DM63,DL64&gt;=VATThreshold)</f>
        <v/>
      </c>
      <c r="DN64" s="9">
        <f>IF(DM64,DK64/(1+VATRate),DK64)</f>
        <v/>
      </c>
      <c r="DO64" s="12">
        <f>DK64-DN64</f>
        <v/>
      </c>
      <c r="DP64" s="12">
        <f>IF(DM64=0,0,IF(CL64=1,SUMPRODUCT(--(($CM$5:$CM64=$CM64-1)*($CL$5:$CL64&gt;=10)*($CL$5:$CL64&lt;=12)),$DO$5:$DO64),IF(CL64=4,SUMPRODUCT(--(($CM$5:$CM64=$CM64)*($CL$5:$CL64&gt;=1)*($CL$5:$CL64&lt;=3)),$DO$5:$DO64),IF(CL64=7,SUMPRODUCT(--(($CM$5:$CM64=$CM64)*($CL$5:$CL64&gt;=4)*($CL$5:$CL64&lt;=6)),$DO$5:$DO64),IF(CL64=10,SUMPRODUCT(--(($CM$5:$CM64=$CM64)*($CL$5:$CL64&gt;=7)*($CL$5:$CL64&lt;=9)),$DO$5:$DO64),0)))))</f>
        <v/>
      </c>
      <c r="DQ64" s="12">
        <f>DQ63+DO64-DP64</f>
        <v/>
      </c>
      <c r="DR64" s="12">
        <f>IF(ProviderDelay&gt;=1,DN63*ProviderShare,DN64*ProviderShare)</f>
        <v/>
      </c>
      <c r="DS64" s="12">
        <f>DK64*PaymentFee</f>
        <v/>
      </c>
      <c r="DT64" s="12">
        <f>DE64*OpsAI</f>
        <v/>
      </c>
      <c r="DU64" s="12">
        <f>MonthlyFixed</f>
        <v/>
      </c>
      <c r="DV64" s="12">
        <f>CS64*ReferralReward</f>
        <v/>
      </c>
      <c r="DW64" s="12">
        <f>CQ64</f>
        <v/>
      </c>
      <c r="DX64" s="9">
        <f>DN64-DR64-DS64-DT64-DU64-DV64-DW64</f>
        <v/>
      </c>
      <c r="DY64" s="9">
        <f>DY63+DK64-(DR64+DS64+DT64+DU64+DV64+DW64+DP64)</f>
        <v/>
      </c>
      <c r="DZ64" s="12">
        <f>IF(DE64&gt;0,DF64/DE64,0)</f>
        <v/>
      </c>
      <c r="EA64" s="11">
        <f>IF(DE63&gt;0,MAX(0,(DE63+CT64-DE64)/DE63),0)</f>
        <v/>
      </c>
      <c r="EC64" s="12" t="n">
        <v>60</v>
      </c>
      <c r="ED64" s="12">
        <f>MOD(EC64-1+LaunchMonth-1,12)+1</f>
        <v/>
      </c>
      <c r="EE64" s="12">
        <f>INT((EC64-1+LaunchMonth-1)/12)+1</f>
        <v/>
      </c>
      <c r="EF64" s="12">
        <f>VLOOKUP(ED64,SeasonTable,2,FALSE)</f>
        <v/>
      </c>
      <c r="EG64" s="12">
        <f>(1+InflationRate)^INT((EC64-1)/12)</f>
        <v/>
      </c>
      <c r="EH64" s="11">
        <f>'Sens - Churn'!$A$13*VLOOKUP(ED64,ChurnSeasonTable,4,FALSE)</f>
        <v/>
      </c>
      <c r="EI64" s="12">
        <f>MIN(MAX(MktMin19plus,FC63*MktPct19plus),MAX(0,FQ63-CashBuffer))</f>
        <v/>
      </c>
      <c r="EJ64" s="12">
        <f>IF(EI64&gt;0,MAX(1,ROUND(EI64/CAC*EF64,0)),0)</f>
        <v/>
      </c>
      <c r="EK64" s="12">
        <f>IF(EJ64&gt;0,ROUND(EJ64*ReferralMix/(1-ReferralMix),0),0)</f>
        <v/>
      </c>
      <c r="EL64" s="12">
        <f>EJ64+EK64</f>
        <v/>
      </c>
      <c r="EM64" s="12">
        <f>ROUND(EL64*(1-AnnualMix),0)</f>
        <v/>
      </c>
      <c r="EN64" s="12">
        <f>EL64-EM64</f>
        <v/>
      </c>
      <c r="EO64" s="12">
        <f>ROUND(EM64*EssentialMix,0)</f>
        <v/>
      </c>
      <c r="EP64" s="12">
        <f>EM64-EO64</f>
        <v/>
      </c>
      <c r="EQ64" s="12">
        <f>ROUND(EN64*EssentialMix,0)</f>
        <v/>
      </c>
      <c r="ER64" s="12">
        <f>EN64-EQ64</f>
        <v/>
      </c>
      <c r="ES64" s="12">
        <f>EO64+EO63+EO62+MAX(0,ES63-EO63-EO62)*(1-EH64)</f>
        <v/>
      </c>
      <c r="ET64" s="12">
        <f>EP64+EP63+EP62+MAX(0,ET63-EP63-EP62)*(1-EH64)</f>
        <v/>
      </c>
      <c r="EU64" s="12">
        <f>EU63+EQ64-EQ52*(AnnualChurn*VLOOKUP(ED64,ChurnSeasonTable,4,FALSE))*POWER(1-(AnnualChurn*VLOOKUP(ED64,ChurnSeasonTable,4,FALSE)),0)+EQ40*(AnnualChurn*VLOOKUP(ED64,ChurnSeasonTable,4,FALSE))*POWER(1-(AnnualChurn*VLOOKUP(ED64,ChurnSeasonTable,4,FALSE)),1)+EQ28*(AnnualChurn*VLOOKUP(ED64,ChurnSeasonTable,4,FALSE))*POWER(1-(AnnualChurn*VLOOKUP(ED64,ChurnSeasonTable,4,FALSE)),2)+EQ16*(AnnualChurn*VLOOKUP(ED64,ChurnSeasonTable,4,FALSE))*POWER(1-(AnnualChurn*VLOOKUP(ED64,ChurnSeasonTable,4,FALSE)),3)</f>
        <v/>
      </c>
      <c r="EV64" s="12">
        <f>EV63+ER64-ER52*(AnnualChurn*VLOOKUP(ED64,ChurnSeasonTable,4,FALSE))*POWER(1-(AnnualChurn*VLOOKUP(ED64,ChurnSeasonTable,4,FALSE)),0)+ER40*(AnnualChurn*VLOOKUP(ED64,ChurnSeasonTable,4,FALSE))*POWER(1-(AnnualChurn*VLOOKUP(ED64,ChurnSeasonTable,4,FALSE)),1)+ER28*(AnnualChurn*VLOOKUP(ED64,ChurnSeasonTable,4,FALSE))*POWER(1-(AnnualChurn*VLOOKUP(ED64,ChurnSeasonTable,4,FALSE)),2)+ER16*(AnnualChurn*VLOOKUP(ED64,ChurnSeasonTable,4,FALSE))*POWER(1-(AnnualChurn*VLOOKUP(ED64,ChurnSeasonTable,4,FALSE)),3)</f>
        <v/>
      </c>
      <c r="EW64" s="12">
        <f>ES64+ET64+EU64+EV64</f>
        <v/>
      </c>
      <c r="EX64" s="9">
        <f>ES64*PriceEssMonthly*EG64+ET64*PricePremMonthly*EG64+EU64*PriceEssAnnual*EG64/12+EV64*PricePremAnnual*EG64/12</f>
        <v/>
      </c>
      <c r="EY64" s="9">
        <f>EX64*12</f>
        <v/>
      </c>
      <c r="EZ64" s="12">
        <f>ES64*PriceEssMonthly*EG64+ET64*PricePremMonthly*EG64</f>
        <v/>
      </c>
      <c r="FA64" s="12">
        <f>EQ64*PriceEssAnnual*EG64+ER64*PricePremAnnual*EG64</f>
        <v/>
      </c>
      <c r="FB64" s="12">
        <f>EQ52*POWER(1-(AnnualChurn*VLOOKUP(ED64,ChurnSeasonTable,4,FALSE)),1)*PriceEssAnnual*EG64+EQ40*POWER(1-(AnnualChurn*VLOOKUP(ED64,ChurnSeasonTable,4,FALSE)),2)*PriceEssAnnual*EG64+EQ28*POWER(1-(AnnualChurn*VLOOKUP(ED64,ChurnSeasonTable,4,FALSE)),3)*PriceEssAnnual*EG64+EQ16*POWER(1-(AnnualChurn*VLOOKUP(ED64,ChurnSeasonTable,4,FALSE)),4)*PriceEssAnnual*EG64+ER52*POWER(1-(AnnualChurn*VLOOKUP(ED64,ChurnSeasonTable,4,FALSE)),1)*PricePremAnnual*EG64+ER40*POWER(1-(AnnualChurn*VLOOKUP(ED64,ChurnSeasonTable,4,FALSE)),2)*PricePremAnnual*EG64+ER28*POWER(1-(AnnualChurn*VLOOKUP(ED64,ChurnSeasonTable,4,FALSE)),3)*PricePremAnnual*EG64+ER16*POWER(1-(AnnualChurn*VLOOKUP(ED64,ChurnSeasonTable,4,FALSE)),4)*PricePremAnnual*EG64</f>
        <v/>
      </c>
      <c r="FC64" s="9">
        <f>EZ64+FA64+FB64</f>
        <v/>
      </c>
      <c r="FD64" s="12">
        <f>SUM(FC53:FC64)</f>
        <v/>
      </c>
      <c r="FE64" s="12">
        <f>OR(FE63,FD64&gt;=VATThreshold)</f>
        <v/>
      </c>
      <c r="FF64" s="9">
        <f>IF(FE64,FC64/(1+VATRate),FC64)</f>
        <v/>
      </c>
      <c r="FG64" s="12">
        <f>FC64-FF64</f>
        <v/>
      </c>
      <c r="FH64" s="12">
        <f>IF(FE64=0,0,IF(ED64=1,SUMPRODUCT(--(($EE$5:$EE64=$EE64-1)*($ED$5:$ED64&gt;=10)*($ED$5:$ED64&lt;=12)),$FG$5:$FG64),IF(ED64=4,SUMPRODUCT(--(($EE$5:$EE64=$EE64)*($ED$5:$ED64&gt;=1)*($ED$5:$ED64&lt;=3)),$FG$5:$FG64),IF(ED64=7,SUMPRODUCT(--(($EE$5:$EE64=$EE64)*($ED$5:$ED64&gt;=4)*($ED$5:$ED64&lt;=6)),$FG$5:$FG64),IF(ED64=10,SUMPRODUCT(--(($EE$5:$EE64=$EE64)*($ED$5:$ED64&gt;=7)*($ED$5:$ED64&lt;=9)),$FG$5:$FG64),0)))))</f>
        <v/>
      </c>
      <c r="FI64" s="12">
        <f>FI63+FG64-FH64</f>
        <v/>
      </c>
      <c r="FJ64" s="12">
        <f>IF(ProviderDelay&gt;=1,FF63*ProviderShare,FF64*ProviderShare)</f>
        <v/>
      </c>
      <c r="FK64" s="12">
        <f>FC64*PaymentFee</f>
        <v/>
      </c>
      <c r="FL64" s="12">
        <f>EW64*OpsAI</f>
        <v/>
      </c>
      <c r="FM64" s="12">
        <f>MonthlyFixed</f>
        <v/>
      </c>
      <c r="FN64" s="12">
        <f>EK64*ReferralReward</f>
        <v/>
      </c>
      <c r="FO64" s="12">
        <f>EI64</f>
        <v/>
      </c>
      <c r="FP64" s="9">
        <f>FF64-FJ64-FK64-FL64-FM64-FN64-FO64</f>
        <v/>
      </c>
      <c r="FQ64" s="9">
        <f>FQ63+FC64-(FJ64+FK64+FL64+FM64+FN64+FO64+FH64)</f>
        <v/>
      </c>
      <c r="FR64" s="12">
        <f>IF(EW64&gt;0,EX64/EW64,0)</f>
        <v/>
      </c>
      <c r="FS64" s="11">
        <f>IF(EW63&gt;0,MAX(0,(EW63+EL64-EW64)/EW63),0)</f>
        <v/>
      </c>
      <c r="FU64" s="12" t="n">
        <v>60</v>
      </c>
      <c r="FV64" s="12">
        <f>MOD(FU64-1+LaunchMonth-1,12)+1</f>
        <v/>
      </c>
      <c r="FW64" s="12">
        <f>INT((FU64-1+LaunchMonth-1)/12)+1</f>
        <v/>
      </c>
      <c r="FX64" s="12">
        <f>VLOOKUP(FV64,SeasonTable,2,FALSE)</f>
        <v/>
      </c>
      <c r="FY64" s="12">
        <f>(1+InflationRate)^INT((FU64-1)/12)</f>
        <v/>
      </c>
      <c r="FZ64" s="11">
        <f>'Sens - Churn'!$A$14*VLOOKUP(FV64,ChurnSeasonTable,4,FALSE)</f>
        <v/>
      </c>
      <c r="GA64" s="12">
        <f>MIN(MAX(MktMin19plus,GU63*MktPct19plus),MAX(0,HI63-CashBuffer))</f>
        <v/>
      </c>
      <c r="GB64" s="12">
        <f>IF(GA64&gt;0,MAX(1,ROUND(GA64/CAC*FX64,0)),0)</f>
        <v/>
      </c>
      <c r="GC64" s="12">
        <f>IF(GB64&gt;0,ROUND(GB64*ReferralMix/(1-ReferralMix),0),0)</f>
        <v/>
      </c>
      <c r="GD64" s="12">
        <f>GB64+GC64</f>
        <v/>
      </c>
      <c r="GE64" s="12">
        <f>ROUND(GD64*(1-AnnualMix),0)</f>
        <v/>
      </c>
      <c r="GF64" s="12">
        <f>GD64-GE64</f>
        <v/>
      </c>
      <c r="GG64" s="12">
        <f>ROUND(GE64*EssentialMix,0)</f>
        <v/>
      </c>
      <c r="GH64" s="12">
        <f>GE64-GG64</f>
        <v/>
      </c>
      <c r="GI64" s="12">
        <f>ROUND(GF64*EssentialMix,0)</f>
        <v/>
      </c>
      <c r="GJ64" s="12">
        <f>GF64-GI64</f>
        <v/>
      </c>
      <c r="GK64" s="12">
        <f>GG64+GG63+GG62+MAX(0,GK63-GG63-GG62)*(1-FZ64)</f>
        <v/>
      </c>
      <c r="GL64" s="12">
        <f>GH64+GH63+GH62+MAX(0,GL63-GH63-GH62)*(1-FZ64)</f>
        <v/>
      </c>
      <c r="GM64" s="12">
        <f>GM63+GI64-GI52*(AnnualChurn*VLOOKUP(FV64,ChurnSeasonTable,4,FALSE))*POWER(1-(AnnualChurn*VLOOKUP(FV64,ChurnSeasonTable,4,FALSE)),0)+GI40*(AnnualChurn*VLOOKUP(FV64,ChurnSeasonTable,4,FALSE))*POWER(1-(AnnualChurn*VLOOKUP(FV64,ChurnSeasonTable,4,FALSE)),1)+GI28*(AnnualChurn*VLOOKUP(FV64,ChurnSeasonTable,4,FALSE))*POWER(1-(AnnualChurn*VLOOKUP(FV64,ChurnSeasonTable,4,FALSE)),2)+GI16*(AnnualChurn*VLOOKUP(FV64,ChurnSeasonTable,4,FALSE))*POWER(1-(AnnualChurn*VLOOKUP(FV64,ChurnSeasonTable,4,FALSE)),3)</f>
        <v/>
      </c>
      <c r="GN64" s="12">
        <f>GN63+GJ64-GJ52*(AnnualChurn*VLOOKUP(FV64,ChurnSeasonTable,4,FALSE))*POWER(1-(AnnualChurn*VLOOKUP(FV64,ChurnSeasonTable,4,FALSE)),0)+GJ40*(AnnualChurn*VLOOKUP(FV64,ChurnSeasonTable,4,FALSE))*POWER(1-(AnnualChurn*VLOOKUP(FV64,ChurnSeasonTable,4,FALSE)),1)+GJ28*(AnnualChurn*VLOOKUP(FV64,ChurnSeasonTable,4,FALSE))*POWER(1-(AnnualChurn*VLOOKUP(FV64,ChurnSeasonTable,4,FALSE)),2)+GJ16*(AnnualChurn*VLOOKUP(FV64,ChurnSeasonTable,4,FALSE))*POWER(1-(AnnualChurn*VLOOKUP(FV64,ChurnSeasonTable,4,FALSE)),3)</f>
        <v/>
      </c>
      <c r="GO64" s="12">
        <f>GK64+GL64+GM64+GN64</f>
        <v/>
      </c>
      <c r="GP64" s="9">
        <f>GK64*PriceEssMonthly*FY64+GL64*PricePremMonthly*FY64+GM64*PriceEssAnnual*FY64/12+GN64*PricePremAnnual*FY64/12</f>
        <v/>
      </c>
      <c r="GQ64" s="9">
        <f>GP64*12</f>
        <v/>
      </c>
      <c r="GR64" s="12">
        <f>GK64*PriceEssMonthly*FY64+GL64*PricePremMonthly*FY64</f>
        <v/>
      </c>
      <c r="GS64" s="12">
        <f>GI64*PriceEssAnnual*FY64+GJ64*PricePremAnnual*FY64</f>
        <v/>
      </c>
      <c r="GT64" s="12">
        <f>GI52*POWER(1-(AnnualChurn*VLOOKUP(FV64,ChurnSeasonTable,4,FALSE)),1)*PriceEssAnnual*FY64+GI40*POWER(1-(AnnualChurn*VLOOKUP(FV64,ChurnSeasonTable,4,FALSE)),2)*PriceEssAnnual*FY64+GI28*POWER(1-(AnnualChurn*VLOOKUP(FV64,ChurnSeasonTable,4,FALSE)),3)*PriceEssAnnual*FY64+GI16*POWER(1-(AnnualChurn*VLOOKUP(FV64,ChurnSeasonTable,4,FALSE)),4)*PriceEssAnnual*FY64+GJ52*POWER(1-(AnnualChurn*VLOOKUP(FV64,ChurnSeasonTable,4,FALSE)),1)*PricePremAnnual*FY64+GJ40*POWER(1-(AnnualChurn*VLOOKUP(FV64,ChurnSeasonTable,4,FALSE)),2)*PricePremAnnual*FY64+GJ28*POWER(1-(AnnualChurn*VLOOKUP(FV64,ChurnSeasonTable,4,FALSE)),3)*PricePremAnnual*FY64+GJ16*POWER(1-(AnnualChurn*VLOOKUP(FV64,ChurnSeasonTable,4,FALSE)),4)*PricePremAnnual*FY64</f>
        <v/>
      </c>
      <c r="GU64" s="9">
        <f>GR64+GS64+GT64</f>
        <v/>
      </c>
      <c r="GV64" s="12">
        <f>SUM(GU53:GU64)</f>
        <v/>
      </c>
      <c r="GW64" s="12">
        <f>OR(GW63,GV64&gt;=VATThreshold)</f>
        <v/>
      </c>
      <c r="GX64" s="9">
        <f>IF(GW64,GU64/(1+VATRate),GU64)</f>
        <v/>
      </c>
      <c r="GY64" s="12">
        <f>GU64-GX64</f>
        <v/>
      </c>
      <c r="GZ64" s="12">
        <f>IF(GW64=0,0,IF(FV64=1,SUMPRODUCT(--(($FW$5:$FW64=$FW64-1)*($FV$5:$FV64&gt;=10)*($FV$5:$FV64&lt;=12)),$GY$5:$GY64),IF(FV64=4,SUMPRODUCT(--(($FW$5:$FW64=$FW64)*($FV$5:$FV64&gt;=1)*($FV$5:$FV64&lt;=3)),$GY$5:$GY64),IF(FV64=7,SUMPRODUCT(--(($FW$5:$FW64=$FW64)*($FV$5:$FV64&gt;=4)*($FV$5:$FV64&lt;=6)),$GY$5:$GY64),IF(FV64=10,SUMPRODUCT(--(($FW$5:$FW64=$FW64)*($FV$5:$FV64&gt;=7)*($FV$5:$FV64&lt;=9)),$GY$5:$GY64),0)))))</f>
        <v/>
      </c>
      <c r="HA64" s="12">
        <f>HA63+GY64-GZ64</f>
        <v/>
      </c>
      <c r="HB64" s="12">
        <f>IF(ProviderDelay&gt;=1,GX63*ProviderShare,GX64*ProviderShare)</f>
        <v/>
      </c>
      <c r="HC64" s="12">
        <f>GU64*PaymentFee</f>
        <v/>
      </c>
      <c r="HD64" s="12">
        <f>GO64*OpsAI</f>
        <v/>
      </c>
      <c r="HE64" s="12">
        <f>MonthlyFixed</f>
        <v/>
      </c>
      <c r="HF64" s="12">
        <f>GC64*ReferralReward</f>
        <v/>
      </c>
      <c r="HG64" s="12">
        <f>GA64</f>
        <v/>
      </c>
      <c r="HH64" s="9">
        <f>GX64-HB64-HC64-HD64-HE64-HF64-HG64</f>
        <v/>
      </c>
      <c r="HI64" s="9">
        <f>HI63+GU64-(HB64+HC64+HD64+HE64+HF64+HG64+GZ64)</f>
        <v/>
      </c>
      <c r="HJ64" s="12">
        <f>IF(GO64&gt;0,GP64/GO64,0)</f>
        <v/>
      </c>
      <c r="HK64" s="11">
        <f>IF(GO63&gt;0,MAX(0,(GO63+GD64-GO64)/GO63),0)</f>
        <v/>
      </c>
      <c r="HM64" s="12" t="n">
        <v>60</v>
      </c>
      <c r="HN64" s="12">
        <f>MOD(HM64-1+LaunchMonth-1,12)+1</f>
        <v/>
      </c>
      <c r="HO64" s="12">
        <f>INT((HM64-1+LaunchMonth-1)/12)+1</f>
        <v/>
      </c>
      <c r="HP64" s="12">
        <f>VLOOKUP(HN64,SeasonTable,2,FALSE)</f>
        <v/>
      </c>
      <c r="HQ64" s="12">
        <f>(1+InflationRate)^INT((HM64-1)/12)</f>
        <v/>
      </c>
      <c r="HR64" s="11">
        <f>'Sens - Churn'!$A$15*VLOOKUP(HN64,ChurnSeasonTable,4,FALSE)</f>
        <v/>
      </c>
      <c r="HS64" s="12">
        <f>MIN(MAX(MktMin19plus,IM63*MktPct19plus),MAX(0,JA63-CashBuffer))</f>
        <v/>
      </c>
      <c r="HT64" s="12">
        <f>IF(HS64&gt;0,MAX(1,ROUND(HS64/CAC*HP64,0)),0)</f>
        <v/>
      </c>
      <c r="HU64" s="12">
        <f>IF(HT64&gt;0,ROUND(HT64*ReferralMix/(1-ReferralMix),0),0)</f>
        <v/>
      </c>
      <c r="HV64" s="12">
        <f>HT64+HU64</f>
        <v/>
      </c>
      <c r="HW64" s="12">
        <f>ROUND(HV64*(1-AnnualMix),0)</f>
        <v/>
      </c>
      <c r="HX64" s="12">
        <f>HV64-HW64</f>
        <v/>
      </c>
      <c r="HY64" s="12">
        <f>ROUND(HW64*EssentialMix,0)</f>
        <v/>
      </c>
      <c r="HZ64" s="12">
        <f>HW64-HY64</f>
        <v/>
      </c>
      <c r="IA64" s="12">
        <f>ROUND(HX64*EssentialMix,0)</f>
        <v/>
      </c>
      <c r="IB64" s="12">
        <f>HX64-IA64</f>
        <v/>
      </c>
      <c r="IC64" s="12">
        <f>HY64+HY63+HY62+MAX(0,IC63-HY63-HY62)*(1-HR64)</f>
        <v/>
      </c>
      <c r="ID64" s="12">
        <f>HZ64+HZ63+HZ62+MAX(0,ID63-HZ63-HZ62)*(1-HR64)</f>
        <v/>
      </c>
      <c r="IE64" s="12">
        <f>IE63+IA64-IA52*(AnnualChurn*VLOOKUP(HN64,ChurnSeasonTable,4,FALSE))*POWER(1-(AnnualChurn*VLOOKUP(HN64,ChurnSeasonTable,4,FALSE)),0)+IA40*(AnnualChurn*VLOOKUP(HN64,ChurnSeasonTable,4,FALSE))*POWER(1-(AnnualChurn*VLOOKUP(HN64,ChurnSeasonTable,4,FALSE)),1)+IA28*(AnnualChurn*VLOOKUP(HN64,ChurnSeasonTable,4,FALSE))*POWER(1-(AnnualChurn*VLOOKUP(HN64,ChurnSeasonTable,4,FALSE)),2)+IA16*(AnnualChurn*VLOOKUP(HN64,ChurnSeasonTable,4,FALSE))*POWER(1-(AnnualChurn*VLOOKUP(HN64,ChurnSeasonTable,4,FALSE)),3)</f>
        <v/>
      </c>
      <c r="IF64" s="12">
        <f>IF63+IB64-IB52*(AnnualChurn*VLOOKUP(HN64,ChurnSeasonTable,4,FALSE))*POWER(1-(AnnualChurn*VLOOKUP(HN64,ChurnSeasonTable,4,FALSE)),0)+IB40*(AnnualChurn*VLOOKUP(HN64,ChurnSeasonTable,4,FALSE))*POWER(1-(AnnualChurn*VLOOKUP(HN64,ChurnSeasonTable,4,FALSE)),1)+IB28*(AnnualChurn*VLOOKUP(HN64,ChurnSeasonTable,4,FALSE))*POWER(1-(AnnualChurn*VLOOKUP(HN64,ChurnSeasonTable,4,FALSE)),2)+IB16*(AnnualChurn*VLOOKUP(HN64,ChurnSeasonTable,4,FALSE))*POWER(1-(AnnualChurn*VLOOKUP(HN64,ChurnSeasonTable,4,FALSE)),3)</f>
        <v/>
      </c>
      <c r="IG64" s="12">
        <f>IC64+ID64+IE64+IF64</f>
        <v/>
      </c>
      <c r="IH64" s="9">
        <f>IC64*PriceEssMonthly*HQ64+ID64*PricePremMonthly*HQ64+IE64*PriceEssAnnual*HQ64/12+IF64*PricePremAnnual*HQ64/12</f>
        <v/>
      </c>
      <c r="II64" s="9">
        <f>IH64*12</f>
        <v/>
      </c>
      <c r="IJ64" s="12">
        <f>IC64*PriceEssMonthly*HQ64+ID64*PricePremMonthly*HQ64</f>
        <v/>
      </c>
      <c r="IK64" s="12">
        <f>IA64*PriceEssAnnual*HQ64+IB64*PricePremAnnual*HQ64</f>
        <v/>
      </c>
      <c r="IL64" s="12">
        <f>IA52*POWER(1-(AnnualChurn*VLOOKUP(HN64,ChurnSeasonTable,4,FALSE)),1)*PriceEssAnnual*HQ64+IA40*POWER(1-(AnnualChurn*VLOOKUP(HN64,ChurnSeasonTable,4,FALSE)),2)*PriceEssAnnual*HQ64+IA28*POWER(1-(AnnualChurn*VLOOKUP(HN64,ChurnSeasonTable,4,FALSE)),3)*PriceEssAnnual*HQ64+IA16*POWER(1-(AnnualChurn*VLOOKUP(HN64,ChurnSeasonTable,4,FALSE)),4)*PriceEssAnnual*HQ64+IB52*POWER(1-(AnnualChurn*VLOOKUP(HN64,ChurnSeasonTable,4,FALSE)),1)*PricePremAnnual*HQ64+IB40*POWER(1-(AnnualChurn*VLOOKUP(HN64,ChurnSeasonTable,4,FALSE)),2)*PricePremAnnual*HQ64+IB28*POWER(1-(AnnualChurn*VLOOKUP(HN64,ChurnSeasonTable,4,FALSE)),3)*PricePremAnnual*HQ64+IB16*POWER(1-(AnnualChurn*VLOOKUP(HN64,ChurnSeasonTable,4,FALSE)),4)*PricePremAnnual*HQ64</f>
        <v/>
      </c>
      <c r="IM64" s="9">
        <f>IJ64+IK64+IL64</f>
        <v/>
      </c>
      <c r="IN64" s="12">
        <f>SUM(IM53:IM64)</f>
        <v/>
      </c>
      <c r="IO64" s="12">
        <f>OR(IO63,IN64&gt;=VATThreshold)</f>
        <v/>
      </c>
      <c r="IP64" s="9">
        <f>IF(IO64,IM64/(1+VATRate),IM64)</f>
        <v/>
      </c>
      <c r="IQ64" s="12">
        <f>IM64-IP64</f>
        <v/>
      </c>
      <c r="IR64" s="12">
        <f>IF(IO64=0,0,IF(HN64=1,SUMPRODUCT(--(($HO$5:$HO64=$HO64-1)*($HN$5:$HN64&gt;=10)*($HN$5:$HN64&lt;=12)),$IQ$5:$IQ64),IF(HN64=4,SUMPRODUCT(--(($HO$5:$HO64=$HO64)*($HN$5:$HN64&gt;=1)*($HN$5:$HN64&lt;=3)),$IQ$5:$IQ64),IF(HN64=7,SUMPRODUCT(--(($HO$5:$HO64=$HO64)*($HN$5:$HN64&gt;=4)*($HN$5:$HN64&lt;=6)),$IQ$5:$IQ64),IF(HN64=10,SUMPRODUCT(--(($HO$5:$HO64=$HO64)*($HN$5:$HN64&gt;=7)*($HN$5:$HN64&lt;=9)),$IQ$5:$IQ64),0)))))</f>
        <v/>
      </c>
      <c r="IS64" s="12">
        <f>IS63+IQ64-IR64</f>
        <v/>
      </c>
      <c r="IT64" s="12">
        <f>IF(ProviderDelay&gt;=1,IP63*ProviderShare,IP64*ProviderShare)</f>
        <v/>
      </c>
      <c r="IU64" s="12">
        <f>IM64*PaymentFee</f>
        <v/>
      </c>
      <c r="IV64" s="12">
        <f>IG64*OpsAI</f>
        <v/>
      </c>
      <c r="IW64" s="12">
        <f>MonthlyFixed</f>
        <v/>
      </c>
      <c r="IX64" s="12">
        <f>HU64*ReferralReward</f>
        <v/>
      </c>
      <c r="IY64" s="12">
        <f>HS64</f>
        <v/>
      </c>
      <c r="IZ64" s="9">
        <f>IP64-IT64-IU64-IV64-IW64-IX64-IY64</f>
        <v/>
      </c>
      <c r="JA64" s="9">
        <f>JA63+IM64-(IT64+IU64+IV64+IW64+IX64+IY64+IR64)</f>
        <v/>
      </c>
      <c r="JB64" s="12">
        <f>IF(IG64&gt;0,IH64/IG64,0)</f>
        <v/>
      </c>
      <c r="JC64" s="11">
        <f>IF(IG63&gt;0,MAX(0,(IG63+HV64-IG64)/IG63),0)</f>
        <v/>
      </c>
      <c r="JE64" s="12" t="n">
        <v>60</v>
      </c>
      <c r="JF64" s="12">
        <f>MOD(JE64-1+LaunchMonth-1,12)+1</f>
        <v/>
      </c>
      <c r="JG64" s="12">
        <f>INT((JE64-1+LaunchMonth-1)/12)+1</f>
        <v/>
      </c>
      <c r="JH64" s="12">
        <f>VLOOKUP(JF64,SeasonTable,2,FALSE)</f>
        <v/>
      </c>
      <c r="JI64" s="12">
        <f>(1+InflationRate)^INT((JE64-1)/12)</f>
        <v/>
      </c>
      <c r="JJ64" s="11">
        <f>'Sens - Churn'!$A$16*VLOOKUP(JF64,ChurnSeasonTable,4,FALSE)</f>
        <v/>
      </c>
      <c r="JK64" s="12">
        <f>MIN(MAX(MktMin19plus,KE63*MktPct19plus),MAX(0,KS63-CashBuffer))</f>
        <v/>
      </c>
      <c r="JL64" s="12">
        <f>IF(JK64&gt;0,MAX(1,ROUND(JK64/CAC*JH64,0)),0)</f>
        <v/>
      </c>
      <c r="JM64" s="12">
        <f>IF(JL64&gt;0,ROUND(JL64*ReferralMix/(1-ReferralMix),0),0)</f>
        <v/>
      </c>
      <c r="JN64" s="12">
        <f>JL64+JM64</f>
        <v/>
      </c>
      <c r="JO64" s="12">
        <f>ROUND(JN64*(1-AnnualMix),0)</f>
        <v/>
      </c>
      <c r="JP64" s="12">
        <f>JN64-JO64</f>
        <v/>
      </c>
      <c r="JQ64" s="12">
        <f>ROUND(JO64*EssentialMix,0)</f>
        <v/>
      </c>
      <c r="JR64" s="12">
        <f>JO64-JQ64</f>
        <v/>
      </c>
      <c r="JS64" s="12">
        <f>ROUND(JP64*EssentialMix,0)</f>
        <v/>
      </c>
      <c r="JT64" s="12">
        <f>JP64-JS64</f>
        <v/>
      </c>
      <c r="JU64" s="12">
        <f>JQ64+JQ63+JQ62+MAX(0,JU63-JQ63-JQ62)*(1-JJ64)</f>
        <v/>
      </c>
      <c r="JV64" s="12">
        <f>JR64+JR63+JR62+MAX(0,JV63-JR63-JR62)*(1-JJ64)</f>
        <v/>
      </c>
      <c r="JW64" s="12">
        <f>JW63+JS64-JS52*(AnnualChurn*VLOOKUP(JF64,ChurnSeasonTable,4,FALSE))*POWER(1-(AnnualChurn*VLOOKUP(JF64,ChurnSeasonTable,4,FALSE)),0)+JS40*(AnnualChurn*VLOOKUP(JF64,ChurnSeasonTable,4,FALSE))*POWER(1-(AnnualChurn*VLOOKUP(JF64,ChurnSeasonTable,4,FALSE)),1)+JS28*(AnnualChurn*VLOOKUP(JF64,ChurnSeasonTable,4,FALSE))*POWER(1-(AnnualChurn*VLOOKUP(JF64,ChurnSeasonTable,4,FALSE)),2)+JS16*(AnnualChurn*VLOOKUP(JF64,ChurnSeasonTable,4,FALSE))*POWER(1-(AnnualChurn*VLOOKUP(JF64,ChurnSeasonTable,4,FALSE)),3)</f>
        <v/>
      </c>
      <c r="JX64" s="12">
        <f>JX63+JT64-JT52*(AnnualChurn*VLOOKUP(JF64,ChurnSeasonTable,4,FALSE))*POWER(1-(AnnualChurn*VLOOKUP(JF64,ChurnSeasonTable,4,FALSE)),0)+JT40*(AnnualChurn*VLOOKUP(JF64,ChurnSeasonTable,4,FALSE))*POWER(1-(AnnualChurn*VLOOKUP(JF64,ChurnSeasonTable,4,FALSE)),1)+JT28*(AnnualChurn*VLOOKUP(JF64,ChurnSeasonTable,4,FALSE))*POWER(1-(AnnualChurn*VLOOKUP(JF64,ChurnSeasonTable,4,FALSE)),2)+JT16*(AnnualChurn*VLOOKUP(JF64,ChurnSeasonTable,4,FALSE))*POWER(1-(AnnualChurn*VLOOKUP(JF64,ChurnSeasonTable,4,FALSE)),3)</f>
        <v/>
      </c>
      <c r="JY64" s="12">
        <f>JU64+JV64+JW64+JX64</f>
        <v/>
      </c>
      <c r="JZ64" s="9">
        <f>JU64*PriceEssMonthly*JI64+JV64*PricePremMonthly*JI64+JW64*PriceEssAnnual*JI64/12+JX64*PricePremAnnual*JI64/12</f>
        <v/>
      </c>
      <c r="KA64" s="9">
        <f>JZ64*12</f>
        <v/>
      </c>
      <c r="KB64" s="12">
        <f>JU64*PriceEssMonthly*JI64+JV64*PricePremMonthly*JI64</f>
        <v/>
      </c>
      <c r="KC64" s="12">
        <f>JS64*PriceEssAnnual*JI64+JT64*PricePremAnnual*JI64</f>
        <v/>
      </c>
      <c r="KD64" s="12">
        <f>JS52*POWER(1-(AnnualChurn*VLOOKUP(JF64,ChurnSeasonTable,4,FALSE)),1)*PriceEssAnnual*JI64+JS40*POWER(1-(AnnualChurn*VLOOKUP(JF64,ChurnSeasonTable,4,FALSE)),2)*PriceEssAnnual*JI64+JS28*POWER(1-(AnnualChurn*VLOOKUP(JF64,ChurnSeasonTable,4,FALSE)),3)*PriceEssAnnual*JI64+JS16*POWER(1-(AnnualChurn*VLOOKUP(JF64,ChurnSeasonTable,4,FALSE)),4)*PriceEssAnnual*JI64+JT52*POWER(1-(AnnualChurn*VLOOKUP(JF64,ChurnSeasonTable,4,FALSE)),1)*PricePremAnnual*JI64+JT40*POWER(1-(AnnualChurn*VLOOKUP(JF64,ChurnSeasonTable,4,FALSE)),2)*PricePremAnnual*JI64+JT28*POWER(1-(AnnualChurn*VLOOKUP(JF64,ChurnSeasonTable,4,FALSE)),3)*PricePremAnnual*JI64+JT16*POWER(1-(AnnualChurn*VLOOKUP(JF64,ChurnSeasonTable,4,FALSE)),4)*PricePremAnnual*JI64</f>
        <v/>
      </c>
      <c r="KE64" s="9">
        <f>KB64+KC64+KD64</f>
        <v/>
      </c>
      <c r="KF64" s="12">
        <f>SUM(KE53:KE64)</f>
        <v/>
      </c>
      <c r="KG64" s="12">
        <f>OR(KG63,KF64&gt;=VATThreshold)</f>
        <v/>
      </c>
      <c r="KH64" s="9">
        <f>IF(KG64,KE64/(1+VATRate),KE64)</f>
        <v/>
      </c>
      <c r="KI64" s="12">
        <f>KE64-KH64</f>
        <v/>
      </c>
      <c r="KJ64" s="12">
        <f>IF(KG64=0,0,IF(JF64=1,SUMPRODUCT(--(($JG$5:$JG64=$JG64-1)*($JF$5:$JF64&gt;=10)*($JF$5:$JF64&lt;=12)),$KI$5:$KI64),IF(JF64=4,SUMPRODUCT(--(($JG$5:$JG64=$JG64)*($JF$5:$JF64&gt;=1)*($JF$5:$JF64&lt;=3)),$KI$5:$KI64),IF(JF64=7,SUMPRODUCT(--(($JG$5:$JG64=$JG64)*($JF$5:$JF64&gt;=4)*($JF$5:$JF64&lt;=6)),$KI$5:$KI64),IF(JF64=10,SUMPRODUCT(--(($JG$5:$JG64=$JG64)*($JF$5:$JF64&gt;=7)*($JF$5:$JF64&lt;=9)),$KI$5:$KI64),0)))))</f>
        <v/>
      </c>
      <c r="KK64" s="12">
        <f>KK63+KI64-KJ64</f>
        <v/>
      </c>
      <c r="KL64" s="12">
        <f>IF(ProviderDelay&gt;=1,KH63*ProviderShare,KH64*ProviderShare)</f>
        <v/>
      </c>
      <c r="KM64" s="12">
        <f>KE64*PaymentFee</f>
        <v/>
      </c>
      <c r="KN64" s="12">
        <f>JY64*OpsAI</f>
        <v/>
      </c>
      <c r="KO64" s="12">
        <f>MonthlyFixed</f>
        <v/>
      </c>
      <c r="KP64" s="12">
        <f>JM64*ReferralReward</f>
        <v/>
      </c>
      <c r="KQ64" s="12">
        <f>JK64</f>
        <v/>
      </c>
      <c r="KR64" s="9">
        <f>KH64-KL64-KM64-KN64-KO64-KP64-KQ64</f>
        <v/>
      </c>
      <c r="KS64" s="9">
        <f>KS63+KE64-(KL64+KM64+KN64+KO64+KP64+KQ64+KJ64)</f>
        <v/>
      </c>
      <c r="KT64" s="12">
        <f>IF(JY64&gt;0,JZ64/JY64,0)</f>
        <v/>
      </c>
      <c r="KU64" s="11">
        <f>IF(JY63&gt;0,MAX(0,(JY63+JN64-JY64)/JY63),0)</f>
        <v/>
      </c>
      <c r="KW64" s="12" t="n">
        <v>60</v>
      </c>
      <c r="KX64" s="12">
        <f>MOD(KW64-1+LaunchMonth-1,12)+1</f>
        <v/>
      </c>
      <c r="KY64" s="12">
        <f>INT((KW64-1+LaunchMonth-1)/12)+1</f>
        <v/>
      </c>
      <c r="KZ64" s="12">
        <f>VLOOKUP(KX64,SeasonTable,2,FALSE)</f>
        <v/>
      </c>
      <c r="LA64" s="12">
        <f>(1+InflationRate)^INT((KW64-1)/12)</f>
        <v/>
      </c>
      <c r="LB64" s="11">
        <f>'Sens - Churn'!$A$17*VLOOKUP(KX64,ChurnSeasonTable,4,FALSE)</f>
        <v/>
      </c>
      <c r="LC64" s="12">
        <f>MIN(MAX(MktMin19plus,LW63*MktPct19plus),MAX(0,MK63-CashBuffer))</f>
        <v/>
      </c>
      <c r="LD64" s="12">
        <f>IF(LC64&gt;0,MAX(1,ROUND(LC64/CAC*KZ64,0)),0)</f>
        <v/>
      </c>
      <c r="LE64" s="12">
        <f>IF(LD64&gt;0,ROUND(LD64*ReferralMix/(1-ReferralMix),0),0)</f>
        <v/>
      </c>
      <c r="LF64" s="12">
        <f>LD64+LE64</f>
        <v/>
      </c>
      <c r="LG64" s="12">
        <f>ROUND(LF64*(1-AnnualMix),0)</f>
        <v/>
      </c>
      <c r="LH64" s="12">
        <f>LF64-LG64</f>
        <v/>
      </c>
      <c r="LI64" s="12">
        <f>ROUND(LG64*EssentialMix,0)</f>
        <v/>
      </c>
      <c r="LJ64" s="12">
        <f>LG64-LI64</f>
        <v/>
      </c>
      <c r="LK64" s="12">
        <f>ROUND(LH64*EssentialMix,0)</f>
        <v/>
      </c>
      <c r="LL64" s="12">
        <f>LH64-LK64</f>
        <v/>
      </c>
      <c r="LM64" s="12">
        <f>LI64+LI63+LI62+MAX(0,LM63-LI63-LI62)*(1-LB64)</f>
        <v/>
      </c>
      <c r="LN64" s="12">
        <f>LJ64+LJ63+LJ62+MAX(0,LN63-LJ63-LJ62)*(1-LB64)</f>
        <v/>
      </c>
      <c r="LO64" s="12">
        <f>LO63+LK64-LK52*(AnnualChurn*VLOOKUP(KX64,ChurnSeasonTable,4,FALSE))*POWER(1-(AnnualChurn*VLOOKUP(KX64,ChurnSeasonTable,4,FALSE)),0)+LK40*(AnnualChurn*VLOOKUP(KX64,ChurnSeasonTable,4,FALSE))*POWER(1-(AnnualChurn*VLOOKUP(KX64,ChurnSeasonTable,4,FALSE)),1)+LK28*(AnnualChurn*VLOOKUP(KX64,ChurnSeasonTable,4,FALSE))*POWER(1-(AnnualChurn*VLOOKUP(KX64,ChurnSeasonTable,4,FALSE)),2)+LK16*(AnnualChurn*VLOOKUP(KX64,ChurnSeasonTable,4,FALSE))*POWER(1-(AnnualChurn*VLOOKUP(KX64,ChurnSeasonTable,4,FALSE)),3)</f>
        <v/>
      </c>
      <c r="LP64" s="12">
        <f>LP63+LL64-LL52*(AnnualChurn*VLOOKUP(KX64,ChurnSeasonTable,4,FALSE))*POWER(1-(AnnualChurn*VLOOKUP(KX64,ChurnSeasonTable,4,FALSE)),0)+LL40*(AnnualChurn*VLOOKUP(KX64,ChurnSeasonTable,4,FALSE))*POWER(1-(AnnualChurn*VLOOKUP(KX64,ChurnSeasonTable,4,FALSE)),1)+LL28*(AnnualChurn*VLOOKUP(KX64,ChurnSeasonTable,4,FALSE))*POWER(1-(AnnualChurn*VLOOKUP(KX64,ChurnSeasonTable,4,FALSE)),2)+LL16*(AnnualChurn*VLOOKUP(KX64,ChurnSeasonTable,4,FALSE))*POWER(1-(AnnualChurn*VLOOKUP(KX64,ChurnSeasonTable,4,FALSE)),3)</f>
        <v/>
      </c>
      <c r="LQ64" s="12">
        <f>LM64+LN64+LO64+LP64</f>
        <v/>
      </c>
      <c r="LR64" s="9">
        <f>LM64*PriceEssMonthly*LA64+LN64*PricePremMonthly*LA64+LO64*PriceEssAnnual*LA64/12+LP64*PricePremAnnual*LA64/12</f>
        <v/>
      </c>
      <c r="LS64" s="9">
        <f>LR64*12</f>
        <v/>
      </c>
      <c r="LT64" s="12">
        <f>LM64*PriceEssMonthly*LA64+LN64*PricePremMonthly*LA64</f>
        <v/>
      </c>
      <c r="LU64" s="12">
        <f>LK64*PriceEssAnnual*LA64+LL64*PricePremAnnual*LA64</f>
        <v/>
      </c>
      <c r="LV64" s="12">
        <f>LK52*POWER(1-(AnnualChurn*VLOOKUP(KX64,ChurnSeasonTable,4,FALSE)),1)*PriceEssAnnual*LA64+LK40*POWER(1-(AnnualChurn*VLOOKUP(KX64,ChurnSeasonTable,4,FALSE)),2)*PriceEssAnnual*LA64+LK28*POWER(1-(AnnualChurn*VLOOKUP(KX64,ChurnSeasonTable,4,FALSE)),3)*PriceEssAnnual*LA64+LK16*POWER(1-(AnnualChurn*VLOOKUP(KX64,ChurnSeasonTable,4,FALSE)),4)*PriceEssAnnual*LA64+LL52*POWER(1-(AnnualChurn*VLOOKUP(KX64,ChurnSeasonTable,4,FALSE)),1)*PricePremAnnual*LA64+LL40*POWER(1-(AnnualChurn*VLOOKUP(KX64,ChurnSeasonTable,4,FALSE)),2)*PricePremAnnual*LA64+LL28*POWER(1-(AnnualChurn*VLOOKUP(KX64,ChurnSeasonTable,4,FALSE)),3)*PricePremAnnual*LA64+LL16*POWER(1-(AnnualChurn*VLOOKUP(KX64,ChurnSeasonTable,4,FALSE)),4)*PricePremAnnual*LA64</f>
        <v/>
      </c>
      <c r="LW64" s="9">
        <f>LT64+LU64+LV64</f>
        <v/>
      </c>
      <c r="LX64" s="12">
        <f>SUM(LW53:LW64)</f>
        <v/>
      </c>
      <c r="LY64" s="12">
        <f>OR(LY63,LX64&gt;=VATThreshold)</f>
        <v/>
      </c>
      <c r="LZ64" s="9">
        <f>IF(LY64,LW64/(1+VATRate),LW64)</f>
        <v/>
      </c>
      <c r="MA64" s="12">
        <f>LW64-LZ64</f>
        <v/>
      </c>
      <c r="MB64" s="12">
        <f>IF(LY64=0,0,IF(KX64=1,SUMPRODUCT(--(($KY$5:$KY64=$KY64-1)*($KX$5:$KX64&gt;=10)*($KX$5:$KX64&lt;=12)),$MA$5:$MA64),IF(KX64=4,SUMPRODUCT(--(($KY$5:$KY64=$KY64)*($KX$5:$KX64&gt;=1)*($KX$5:$KX64&lt;=3)),$MA$5:$MA64),IF(KX64=7,SUMPRODUCT(--(($KY$5:$KY64=$KY64)*($KX$5:$KX64&gt;=4)*($KX$5:$KX64&lt;=6)),$MA$5:$MA64),IF(KX64=10,SUMPRODUCT(--(($KY$5:$KY64=$KY64)*($KX$5:$KX64&gt;=7)*($KX$5:$KX64&lt;=9)),$MA$5:$MA64),0)))))</f>
        <v/>
      </c>
      <c r="MC64" s="12">
        <f>MC63+MA64-MB64</f>
        <v/>
      </c>
      <c r="MD64" s="12">
        <f>IF(ProviderDelay&gt;=1,LZ63*ProviderShare,LZ64*ProviderShare)</f>
        <v/>
      </c>
      <c r="ME64" s="12">
        <f>LW64*PaymentFee</f>
        <v/>
      </c>
      <c r="MF64" s="12">
        <f>LQ64*OpsAI</f>
        <v/>
      </c>
      <c r="MG64" s="12">
        <f>MonthlyFixed</f>
        <v/>
      </c>
      <c r="MH64" s="12">
        <f>LE64*ReferralReward</f>
        <v/>
      </c>
      <c r="MI64" s="12">
        <f>LC64</f>
        <v/>
      </c>
      <c r="MJ64" s="9">
        <f>LZ64-MD64-ME64-MF64-MG64-MH64-MI64</f>
        <v/>
      </c>
      <c r="MK64" s="9">
        <f>MK63+LW64-(MD64+ME64+MF64+MG64+MH64+MI64+MB64)</f>
        <v/>
      </c>
      <c r="ML64" s="12">
        <f>IF(LQ64&gt;0,LR64/LQ64,0)</f>
        <v/>
      </c>
      <c r="MM64" s="11">
        <f>IF(LQ63&gt;0,MAX(0,(LQ63+LF64-LQ64)/LQ63),0)</f>
        <v/>
      </c>
      <c r="MO64" s="12" t="n">
        <v>60</v>
      </c>
      <c r="MP64" s="12">
        <f>MOD(MO64-1+LaunchMonth-1,12)+1</f>
        <v/>
      </c>
      <c r="MQ64" s="12">
        <f>INT((MO64-1+LaunchMonth-1)/12)+1</f>
        <v/>
      </c>
      <c r="MR64" s="12">
        <f>VLOOKUP(MP64,SeasonTable,2,FALSE)</f>
        <v/>
      </c>
      <c r="MS64" s="12">
        <f>(1+InflationRate)^INT((MO64-1)/12)</f>
        <v/>
      </c>
      <c r="MT64" s="11">
        <f>'Sens - Churn'!$A$18*VLOOKUP(MP64,ChurnSeasonTable,4,FALSE)</f>
        <v/>
      </c>
      <c r="MU64" s="12">
        <f>MIN(MAX(MktMin19plus,NO63*MktPct19plus),MAX(0,OC63-CashBuffer))</f>
        <v/>
      </c>
      <c r="MV64" s="12">
        <f>IF(MU64&gt;0,MAX(1,ROUND(MU64/CAC*MR64,0)),0)</f>
        <v/>
      </c>
      <c r="MW64" s="12">
        <f>IF(MV64&gt;0,ROUND(MV64*ReferralMix/(1-ReferralMix),0),0)</f>
        <v/>
      </c>
      <c r="MX64" s="12">
        <f>MV64+MW64</f>
        <v/>
      </c>
      <c r="MY64" s="12">
        <f>ROUND(MX64*(1-AnnualMix),0)</f>
        <v/>
      </c>
      <c r="MZ64" s="12">
        <f>MX64-MY64</f>
        <v/>
      </c>
      <c r="NA64" s="12">
        <f>ROUND(MY64*EssentialMix,0)</f>
        <v/>
      </c>
      <c r="NB64" s="12">
        <f>MY64-NA64</f>
        <v/>
      </c>
      <c r="NC64" s="12">
        <f>ROUND(MZ64*EssentialMix,0)</f>
        <v/>
      </c>
      <c r="ND64" s="12">
        <f>MZ64-NC64</f>
        <v/>
      </c>
      <c r="NE64" s="12">
        <f>NA64+NA63+NA62+MAX(0,NE63-NA63-NA62)*(1-MT64)</f>
        <v/>
      </c>
      <c r="NF64" s="12">
        <f>NB64+NB63+NB62+MAX(0,NF63-NB63-NB62)*(1-MT64)</f>
        <v/>
      </c>
      <c r="NG64" s="12">
        <f>NG63+NC64-NC52*(AnnualChurn*VLOOKUP(MP64,ChurnSeasonTable,4,FALSE))*POWER(1-(AnnualChurn*VLOOKUP(MP64,ChurnSeasonTable,4,FALSE)),0)+NC40*(AnnualChurn*VLOOKUP(MP64,ChurnSeasonTable,4,FALSE))*POWER(1-(AnnualChurn*VLOOKUP(MP64,ChurnSeasonTable,4,FALSE)),1)+NC28*(AnnualChurn*VLOOKUP(MP64,ChurnSeasonTable,4,FALSE))*POWER(1-(AnnualChurn*VLOOKUP(MP64,ChurnSeasonTable,4,FALSE)),2)+NC16*(AnnualChurn*VLOOKUP(MP64,ChurnSeasonTable,4,FALSE))*POWER(1-(AnnualChurn*VLOOKUP(MP64,ChurnSeasonTable,4,FALSE)),3)</f>
        <v/>
      </c>
      <c r="NH64" s="12">
        <f>NH63+ND64-ND52*(AnnualChurn*VLOOKUP(MP64,ChurnSeasonTable,4,FALSE))*POWER(1-(AnnualChurn*VLOOKUP(MP64,ChurnSeasonTable,4,FALSE)),0)+ND40*(AnnualChurn*VLOOKUP(MP64,ChurnSeasonTable,4,FALSE))*POWER(1-(AnnualChurn*VLOOKUP(MP64,ChurnSeasonTable,4,FALSE)),1)+ND28*(AnnualChurn*VLOOKUP(MP64,ChurnSeasonTable,4,FALSE))*POWER(1-(AnnualChurn*VLOOKUP(MP64,ChurnSeasonTable,4,FALSE)),2)+ND16*(AnnualChurn*VLOOKUP(MP64,ChurnSeasonTable,4,FALSE))*POWER(1-(AnnualChurn*VLOOKUP(MP64,ChurnSeasonTable,4,FALSE)),3)</f>
        <v/>
      </c>
      <c r="NI64" s="12">
        <f>NE64+NF64+NG64+NH64</f>
        <v/>
      </c>
      <c r="NJ64" s="9">
        <f>NE64*PriceEssMonthly*MS64+NF64*PricePremMonthly*MS64+NG64*PriceEssAnnual*MS64/12+NH64*PricePremAnnual*MS64/12</f>
        <v/>
      </c>
      <c r="NK64" s="9">
        <f>NJ64*12</f>
        <v/>
      </c>
      <c r="NL64" s="12">
        <f>NE64*PriceEssMonthly*MS64+NF64*PricePremMonthly*MS64</f>
        <v/>
      </c>
      <c r="NM64" s="12">
        <f>NC64*PriceEssAnnual*MS64+ND64*PricePremAnnual*MS64</f>
        <v/>
      </c>
      <c r="NN64" s="12">
        <f>NC52*POWER(1-(AnnualChurn*VLOOKUP(MP64,ChurnSeasonTable,4,FALSE)),1)*PriceEssAnnual*MS64+NC40*POWER(1-(AnnualChurn*VLOOKUP(MP64,ChurnSeasonTable,4,FALSE)),2)*PriceEssAnnual*MS64+NC28*POWER(1-(AnnualChurn*VLOOKUP(MP64,ChurnSeasonTable,4,FALSE)),3)*PriceEssAnnual*MS64+NC16*POWER(1-(AnnualChurn*VLOOKUP(MP64,ChurnSeasonTable,4,FALSE)),4)*PriceEssAnnual*MS64+ND52*POWER(1-(AnnualChurn*VLOOKUP(MP64,ChurnSeasonTable,4,FALSE)),1)*PricePremAnnual*MS64+ND40*POWER(1-(AnnualChurn*VLOOKUP(MP64,ChurnSeasonTable,4,FALSE)),2)*PricePremAnnual*MS64+ND28*POWER(1-(AnnualChurn*VLOOKUP(MP64,ChurnSeasonTable,4,FALSE)),3)*PricePremAnnual*MS64+ND16*POWER(1-(AnnualChurn*VLOOKUP(MP64,ChurnSeasonTable,4,FALSE)),4)*PricePremAnnual*MS64</f>
        <v/>
      </c>
      <c r="NO64" s="9">
        <f>NL64+NM64+NN64</f>
        <v/>
      </c>
      <c r="NP64" s="12">
        <f>SUM(NO53:NO64)</f>
        <v/>
      </c>
      <c r="NQ64" s="12">
        <f>OR(NQ63,NP64&gt;=VATThreshold)</f>
        <v/>
      </c>
      <c r="NR64" s="9">
        <f>IF(NQ64,NO64/(1+VATRate),NO64)</f>
        <v/>
      </c>
      <c r="NS64" s="12">
        <f>NO64-NR64</f>
        <v/>
      </c>
      <c r="NT64" s="12">
        <f>IF(NQ64=0,0,IF(MP64=1,SUMPRODUCT(--(($MQ$5:$MQ64=$MQ64-1)*($MP$5:$MP64&gt;=10)*($MP$5:$MP64&lt;=12)),$NS$5:$NS64),IF(MP64=4,SUMPRODUCT(--(($MQ$5:$MQ64=$MQ64)*($MP$5:$MP64&gt;=1)*($MP$5:$MP64&lt;=3)),$NS$5:$NS64),IF(MP64=7,SUMPRODUCT(--(($MQ$5:$MQ64=$MQ64)*($MP$5:$MP64&gt;=4)*($MP$5:$MP64&lt;=6)),$NS$5:$NS64),IF(MP64=10,SUMPRODUCT(--(($MQ$5:$MQ64=$MQ64)*($MP$5:$MP64&gt;=7)*($MP$5:$MP64&lt;=9)),$NS$5:$NS64),0)))))</f>
        <v/>
      </c>
      <c r="NU64" s="12">
        <f>NU63+NS64-NT64</f>
        <v/>
      </c>
      <c r="NV64" s="12">
        <f>IF(ProviderDelay&gt;=1,NR63*ProviderShare,NR64*ProviderShare)</f>
        <v/>
      </c>
      <c r="NW64" s="12">
        <f>NO64*PaymentFee</f>
        <v/>
      </c>
      <c r="NX64" s="12">
        <f>NI64*OpsAI</f>
        <v/>
      </c>
      <c r="NY64" s="12">
        <f>MonthlyFixed</f>
        <v/>
      </c>
      <c r="NZ64" s="12">
        <f>MW64*ReferralReward</f>
        <v/>
      </c>
      <c r="OA64" s="12">
        <f>MU64</f>
        <v/>
      </c>
      <c r="OB64" s="9">
        <f>NR64-NV64-NW64-NX64-NY64-NZ64-OA64</f>
        <v/>
      </c>
      <c r="OC64" s="9">
        <f>OC63+NO64-(NV64+NW64+NX64+NY64+NZ64+OA64+NT64)</f>
        <v/>
      </c>
      <c r="OD64" s="12">
        <f>IF(NI64&gt;0,NJ64/NI64,0)</f>
        <v/>
      </c>
      <c r="OE64" s="11">
        <f>IF(NI63&gt;0,MAX(0,(NI63+MX64-NI64)/NI63),0)</f>
        <v/>
      </c>
      <c r="OG64" s="12" t="n">
        <v>60</v>
      </c>
      <c r="OH64" s="12">
        <f>MOD(OG64-1+LaunchMonth-1,12)+1</f>
        <v/>
      </c>
      <c r="OI64" s="12">
        <f>INT((OG64-1+LaunchMonth-1)/12)+1</f>
        <v/>
      </c>
      <c r="OJ64" s="12">
        <f>VLOOKUP(OH64,SeasonTable,2,FALSE)</f>
        <v/>
      </c>
      <c r="OK64" s="12">
        <f>(1+InflationRate)^INT((OG64-1)/12)</f>
        <v/>
      </c>
      <c r="OL64" s="11">
        <f>'Sens - Churn'!$A$19*VLOOKUP(OH64,ChurnSeasonTable,4,FALSE)</f>
        <v/>
      </c>
      <c r="OM64" s="12">
        <f>MIN(MAX(MktMin19plus,PG63*MktPct19plus),MAX(0,PU63-CashBuffer))</f>
        <v/>
      </c>
      <c r="ON64" s="12">
        <f>IF(OM64&gt;0,MAX(1,ROUND(OM64/CAC*OJ64,0)),0)</f>
        <v/>
      </c>
      <c r="OO64" s="12">
        <f>IF(ON64&gt;0,ROUND(ON64*ReferralMix/(1-ReferralMix),0),0)</f>
        <v/>
      </c>
      <c r="OP64" s="12">
        <f>ON64+OO64</f>
        <v/>
      </c>
      <c r="OQ64" s="12">
        <f>ROUND(OP64*(1-AnnualMix),0)</f>
        <v/>
      </c>
      <c r="OR64" s="12">
        <f>OP64-OQ64</f>
        <v/>
      </c>
      <c r="OS64" s="12">
        <f>ROUND(OQ64*EssentialMix,0)</f>
        <v/>
      </c>
      <c r="OT64" s="12">
        <f>OQ64-OS64</f>
        <v/>
      </c>
      <c r="OU64" s="12">
        <f>ROUND(OR64*EssentialMix,0)</f>
        <v/>
      </c>
      <c r="OV64" s="12">
        <f>OR64-OU64</f>
        <v/>
      </c>
      <c r="OW64" s="12">
        <f>OS64+OS63+OS62+MAX(0,OW63-OS63-OS62)*(1-OL64)</f>
        <v/>
      </c>
      <c r="OX64" s="12">
        <f>OT64+OT63+OT62+MAX(0,OX63-OT63-OT62)*(1-OL64)</f>
        <v/>
      </c>
      <c r="OY64" s="12">
        <f>OY63+OU64-OU52*(AnnualChurn*VLOOKUP(OH64,ChurnSeasonTable,4,FALSE))*POWER(1-(AnnualChurn*VLOOKUP(OH64,ChurnSeasonTable,4,FALSE)),0)+OU40*(AnnualChurn*VLOOKUP(OH64,ChurnSeasonTable,4,FALSE))*POWER(1-(AnnualChurn*VLOOKUP(OH64,ChurnSeasonTable,4,FALSE)),1)+OU28*(AnnualChurn*VLOOKUP(OH64,ChurnSeasonTable,4,FALSE))*POWER(1-(AnnualChurn*VLOOKUP(OH64,ChurnSeasonTable,4,FALSE)),2)+OU16*(AnnualChurn*VLOOKUP(OH64,ChurnSeasonTable,4,FALSE))*POWER(1-(AnnualChurn*VLOOKUP(OH64,ChurnSeasonTable,4,FALSE)),3)</f>
        <v/>
      </c>
      <c r="OZ64" s="12">
        <f>OZ63+OV64-OV52*(AnnualChurn*VLOOKUP(OH64,ChurnSeasonTable,4,FALSE))*POWER(1-(AnnualChurn*VLOOKUP(OH64,ChurnSeasonTable,4,FALSE)),0)+OV40*(AnnualChurn*VLOOKUP(OH64,ChurnSeasonTable,4,FALSE))*POWER(1-(AnnualChurn*VLOOKUP(OH64,ChurnSeasonTable,4,FALSE)),1)+OV28*(AnnualChurn*VLOOKUP(OH64,ChurnSeasonTable,4,FALSE))*POWER(1-(AnnualChurn*VLOOKUP(OH64,ChurnSeasonTable,4,FALSE)),2)+OV16*(AnnualChurn*VLOOKUP(OH64,ChurnSeasonTable,4,FALSE))*POWER(1-(AnnualChurn*VLOOKUP(OH64,ChurnSeasonTable,4,FALSE)),3)</f>
        <v/>
      </c>
      <c r="PA64" s="12">
        <f>OW64+OX64+OY64+OZ64</f>
        <v/>
      </c>
      <c r="PB64" s="9">
        <f>OW64*PriceEssMonthly*OK64+OX64*PricePremMonthly*OK64+OY64*PriceEssAnnual*OK64/12+OZ64*PricePremAnnual*OK64/12</f>
        <v/>
      </c>
      <c r="PC64" s="9">
        <f>PB64*12</f>
        <v/>
      </c>
      <c r="PD64" s="12">
        <f>OW64*PriceEssMonthly*OK64+OX64*PricePremMonthly*OK64</f>
        <v/>
      </c>
      <c r="PE64" s="12">
        <f>OU64*PriceEssAnnual*OK64+OV64*PricePremAnnual*OK64</f>
        <v/>
      </c>
      <c r="PF64" s="12">
        <f>OU52*POWER(1-(AnnualChurn*VLOOKUP(OH64,ChurnSeasonTable,4,FALSE)),1)*PriceEssAnnual*OK64+OU40*POWER(1-(AnnualChurn*VLOOKUP(OH64,ChurnSeasonTable,4,FALSE)),2)*PriceEssAnnual*OK64+OU28*POWER(1-(AnnualChurn*VLOOKUP(OH64,ChurnSeasonTable,4,FALSE)),3)*PriceEssAnnual*OK64+OU16*POWER(1-(AnnualChurn*VLOOKUP(OH64,ChurnSeasonTable,4,FALSE)),4)*PriceEssAnnual*OK64+OV52*POWER(1-(AnnualChurn*VLOOKUP(OH64,ChurnSeasonTable,4,FALSE)),1)*PricePremAnnual*OK64+OV40*POWER(1-(AnnualChurn*VLOOKUP(OH64,ChurnSeasonTable,4,FALSE)),2)*PricePremAnnual*OK64+OV28*POWER(1-(AnnualChurn*VLOOKUP(OH64,ChurnSeasonTable,4,FALSE)),3)*PricePremAnnual*OK64+OV16*POWER(1-(AnnualChurn*VLOOKUP(OH64,ChurnSeasonTable,4,FALSE)),4)*PricePremAnnual*OK64</f>
        <v/>
      </c>
      <c r="PG64" s="9">
        <f>PD64+PE64+PF64</f>
        <v/>
      </c>
      <c r="PH64" s="12">
        <f>SUM(PG53:PG64)</f>
        <v/>
      </c>
      <c r="PI64" s="12">
        <f>OR(PI63,PH64&gt;=VATThreshold)</f>
        <v/>
      </c>
      <c r="PJ64" s="9">
        <f>IF(PI64,PG64/(1+VATRate),PG64)</f>
        <v/>
      </c>
      <c r="PK64" s="12">
        <f>PG64-PJ64</f>
        <v/>
      </c>
      <c r="PL64" s="12">
        <f>IF(PI64=0,0,IF(OH64=1,SUMPRODUCT(--(($OI$5:$OI64=$OI64-1)*($OH$5:$OH64&gt;=10)*($OH$5:$OH64&lt;=12)),$PK$5:$PK64),IF(OH64=4,SUMPRODUCT(--(($OI$5:$OI64=$OI64)*($OH$5:$OH64&gt;=1)*($OH$5:$OH64&lt;=3)),$PK$5:$PK64),IF(OH64=7,SUMPRODUCT(--(($OI$5:$OI64=$OI64)*($OH$5:$OH64&gt;=4)*($OH$5:$OH64&lt;=6)),$PK$5:$PK64),IF(OH64=10,SUMPRODUCT(--(($OI$5:$OI64=$OI64)*($OH$5:$OH64&gt;=7)*($OH$5:$OH64&lt;=9)),$PK$5:$PK64),0)))))</f>
        <v/>
      </c>
      <c r="PM64" s="12">
        <f>PM63+PK64-PL64</f>
        <v/>
      </c>
      <c r="PN64" s="12">
        <f>IF(ProviderDelay&gt;=1,PJ63*ProviderShare,PJ64*ProviderShare)</f>
        <v/>
      </c>
      <c r="PO64" s="12">
        <f>PG64*PaymentFee</f>
        <v/>
      </c>
      <c r="PP64" s="12">
        <f>PA64*OpsAI</f>
        <v/>
      </c>
      <c r="PQ64" s="12">
        <f>MonthlyFixed</f>
        <v/>
      </c>
      <c r="PR64" s="12">
        <f>OO64*ReferralReward</f>
        <v/>
      </c>
      <c r="PS64" s="12">
        <f>OM64</f>
        <v/>
      </c>
      <c r="PT64" s="9">
        <f>PJ64-PN64-PO64-PP64-PQ64-PR64-PS64</f>
        <v/>
      </c>
      <c r="PU64" s="9">
        <f>PU63+PG64-(PN64+PO64+PP64+PQ64+PR64+PS64+PL64)</f>
        <v/>
      </c>
      <c r="PV64" s="12">
        <f>IF(PA64&gt;0,PB64/PA64,0)</f>
        <v/>
      </c>
      <c r="PW64" s="11">
        <f>IF(PA63&gt;0,MAX(0,(PA63+OP64-PA64)/PA63),0)</f>
        <v/>
      </c>
      <c r="PY64" s="12" t="n">
        <v>60</v>
      </c>
      <c r="PZ64" s="12">
        <f>MOD(PY64-1+LaunchMonth-1,12)+1</f>
        <v/>
      </c>
      <c r="QA64" s="12">
        <f>INT((PY64-1+LaunchMonth-1)/12)+1</f>
        <v/>
      </c>
      <c r="QB64" s="12">
        <f>VLOOKUP(PZ64,SeasonTable,2,FALSE)</f>
        <v/>
      </c>
      <c r="QC64" s="12">
        <f>(1+InflationRate)^INT((PY64-1)/12)</f>
        <v/>
      </c>
      <c r="QD64" s="11">
        <f>'Sens - Churn'!$A$20*VLOOKUP(PZ64,ChurnSeasonTable,4,FALSE)</f>
        <v/>
      </c>
      <c r="QE64" s="12">
        <f>MIN(MAX(MktMin19plus,QY63*MktPct19plus),MAX(0,RM63-CashBuffer))</f>
        <v/>
      </c>
      <c r="QF64" s="12">
        <f>IF(QE64&gt;0,MAX(1,ROUND(QE64/CAC*QB64,0)),0)</f>
        <v/>
      </c>
      <c r="QG64" s="12">
        <f>IF(QF64&gt;0,ROUND(QF64*ReferralMix/(1-ReferralMix),0),0)</f>
        <v/>
      </c>
      <c r="QH64" s="12">
        <f>QF64+QG64</f>
        <v/>
      </c>
      <c r="QI64" s="12">
        <f>ROUND(QH64*(1-AnnualMix),0)</f>
        <v/>
      </c>
      <c r="QJ64" s="12">
        <f>QH64-QI64</f>
        <v/>
      </c>
      <c r="QK64" s="12">
        <f>ROUND(QI64*EssentialMix,0)</f>
        <v/>
      </c>
      <c r="QL64" s="12">
        <f>QI64-QK64</f>
        <v/>
      </c>
      <c r="QM64" s="12">
        <f>ROUND(QJ64*EssentialMix,0)</f>
        <v/>
      </c>
      <c r="QN64" s="12">
        <f>QJ64-QM64</f>
        <v/>
      </c>
      <c r="QO64" s="12">
        <f>QK64+QK63+QK62+MAX(0,QO63-QK63-QK62)*(1-QD64)</f>
        <v/>
      </c>
      <c r="QP64" s="12">
        <f>QL64+QL63+QL62+MAX(0,QP63-QL63-QL62)*(1-QD64)</f>
        <v/>
      </c>
      <c r="QQ64" s="12">
        <f>QQ63+QM64-QM52*(AnnualChurn*VLOOKUP(PZ64,ChurnSeasonTable,4,FALSE))*POWER(1-(AnnualChurn*VLOOKUP(PZ64,ChurnSeasonTable,4,FALSE)),0)+QM40*(AnnualChurn*VLOOKUP(PZ64,ChurnSeasonTable,4,FALSE))*POWER(1-(AnnualChurn*VLOOKUP(PZ64,ChurnSeasonTable,4,FALSE)),1)+QM28*(AnnualChurn*VLOOKUP(PZ64,ChurnSeasonTable,4,FALSE))*POWER(1-(AnnualChurn*VLOOKUP(PZ64,ChurnSeasonTable,4,FALSE)),2)+QM16*(AnnualChurn*VLOOKUP(PZ64,ChurnSeasonTable,4,FALSE))*POWER(1-(AnnualChurn*VLOOKUP(PZ64,ChurnSeasonTable,4,FALSE)),3)</f>
        <v/>
      </c>
      <c r="QR64" s="12">
        <f>QR63+QN64-QN52*(AnnualChurn*VLOOKUP(PZ64,ChurnSeasonTable,4,FALSE))*POWER(1-(AnnualChurn*VLOOKUP(PZ64,ChurnSeasonTable,4,FALSE)),0)+QN40*(AnnualChurn*VLOOKUP(PZ64,ChurnSeasonTable,4,FALSE))*POWER(1-(AnnualChurn*VLOOKUP(PZ64,ChurnSeasonTable,4,FALSE)),1)+QN28*(AnnualChurn*VLOOKUP(PZ64,ChurnSeasonTable,4,FALSE))*POWER(1-(AnnualChurn*VLOOKUP(PZ64,ChurnSeasonTable,4,FALSE)),2)+QN16*(AnnualChurn*VLOOKUP(PZ64,ChurnSeasonTable,4,FALSE))*POWER(1-(AnnualChurn*VLOOKUP(PZ64,ChurnSeasonTable,4,FALSE)),3)</f>
        <v/>
      </c>
      <c r="QS64" s="12">
        <f>QO64+QP64+QQ64+QR64</f>
        <v/>
      </c>
      <c r="QT64" s="9">
        <f>QO64*PriceEssMonthly*QC64+QP64*PricePremMonthly*QC64+QQ64*PriceEssAnnual*QC64/12+QR64*PricePremAnnual*QC64/12</f>
        <v/>
      </c>
      <c r="QU64" s="9">
        <f>QT64*12</f>
        <v/>
      </c>
      <c r="QV64" s="12">
        <f>QO64*PriceEssMonthly*QC64+QP64*PricePremMonthly*QC64</f>
        <v/>
      </c>
      <c r="QW64" s="12">
        <f>QM64*PriceEssAnnual*QC64+QN64*PricePremAnnual*QC64</f>
        <v/>
      </c>
      <c r="QX64" s="12">
        <f>QM52*POWER(1-(AnnualChurn*VLOOKUP(PZ64,ChurnSeasonTable,4,FALSE)),1)*PriceEssAnnual*QC64+QM40*POWER(1-(AnnualChurn*VLOOKUP(PZ64,ChurnSeasonTable,4,FALSE)),2)*PriceEssAnnual*QC64+QM28*POWER(1-(AnnualChurn*VLOOKUP(PZ64,ChurnSeasonTable,4,FALSE)),3)*PriceEssAnnual*QC64+QM16*POWER(1-(AnnualChurn*VLOOKUP(PZ64,ChurnSeasonTable,4,FALSE)),4)*PriceEssAnnual*QC64+QN52*POWER(1-(AnnualChurn*VLOOKUP(PZ64,ChurnSeasonTable,4,FALSE)),1)*PricePremAnnual*QC64+QN40*POWER(1-(AnnualChurn*VLOOKUP(PZ64,ChurnSeasonTable,4,FALSE)),2)*PricePremAnnual*QC64+QN28*POWER(1-(AnnualChurn*VLOOKUP(PZ64,ChurnSeasonTable,4,FALSE)),3)*PricePremAnnual*QC64+QN16*POWER(1-(AnnualChurn*VLOOKUP(PZ64,ChurnSeasonTable,4,FALSE)),4)*PricePremAnnual*QC64</f>
        <v/>
      </c>
      <c r="QY64" s="9">
        <f>QV64+QW64+QX64</f>
        <v/>
      </c>
      <c r="QZ64" s="12">
        <f>SUM(QY53:QY64)</f>
        <v/>
      </c>
      <c r="RA64" s="12">
        <f>OR(RA63,QZ64&gt;=VATThreshold)</f>
        <v/>
      </c>
      <c r="RB64" s="9">
        <f>IF(RA64,QY64/(1+VATRate),QY64)</f>
        <v/>
      </c>
      <c r="RC64" s="12">
        <f>QY64-RB64</f>
        <v/>
      </c>
      <c r="RD64" s="12">
        <f>IF(RA64=0,0,IF(PZ64=1,SUMPRODUCT(--(($QA$5:$QA64=$QA64-1)*($PZ$5:$PZ64&gt;=10)*($PZ$5:$PZ64&lt;=12)),$RC$5:$RC64),IF(PZ64=4,SUMPRODUCT(--(($QA$5:$QA64=$QA64)*($PZ$5:$PZ64&gt;=1)*($PZ$5:$PZ64&lt;=3)),$RC$5:$RC64),IF(PZ64=7,SUMPRODUCT(--(($QA$5:$QA64=$QA64)*($PZ$5:$PZ64&gt;=4)*($PZ$5:$PZ64&lt;=6)),$RC$5:$RC64),IF(PZ64=10,SUMPRODUCT(--(($QA$5:$QA64=$QA64)*($PZ$5:$PZ64&gt;=7)*($PZ$5:$PZ64&lt;=9)),$RC$5:$RC64),0)))))</f>
        <v/>
      </c>
      <c r="RE64" s="12">
        <f>RE63+RC64-RD64</f>
        <v/>
      </c>
      <c r="RF64" s="12">
        <f>IF(ProviderDelay&gt;=1,RB63*ProviderShare,RB64*ProviderShare)</f>
        <v/>
      </c>
      <c r="RG64" s="12">
        <f>QY64*PaymentFee</f>
        <v/>
      </c>
      <c r="RH64" s="12">
        <f>QS64*OpsAI</f>
        <v/>
      </c>
      <c r="RI64" s="12">
        <f>MonthlyFixed</f>
        <v/>
      </c>
      <c r="RJ64" s="12">
        <f>QG64*ReferralReward</f>
        <v/>
      </c>
      <c r="RK64" s="12">
        <f>QE64</f>
        <v/>
      </c>
      <c r="RL64" s="9">
        <f>RB64-RF64-RG64-RH64-RI64-RJ64-RK64</f>
        <v/>
      </c>
      <c r="RM64" s="9">
        <f>RM63+QY64-(RF64+RG64+RH64+RI64+RJ64+RK64+RD64)</f>
        <v/>
      </c>
      <c r="RN64" s="12">
        <f>IF(QS64&gt;0,QT64/QS64,0)</f>
        <v/>
      </c>
      <c r="RO64" s="11">
        <f>IF(QS63&gt;0,MAX(0,(QS63+QH64-QS64)/QS63),0)</f>
        <v/>
      </c>
      <c r="RQ64" s="12" t="n">
        <v>60</v>
      </c>
      <c r="RR64" s="12">
        <f>MOD(RQ64-1+LaunchMonth-1,12)+1</f>
        <v/>
      </c>
      <c r="RS64" s="12">
        <f>INT((RQ64-1+LaunchMonth-1)/12)+1</f>
        <v/>
      </c>
      <c r="RT64" s="12">
        <f>VLOOKUP(RR64,SeasonTable,2,FALSE)</f>
        <v/>
      </c>
      <c r="RU64" s="12">
        <f>(1+InflationRate)^INT((RQ64-1)/12)</f>
        <v/>
      </c>
      <c r="RV64" s="11">
        <f>'Sens - Churn'!$A$21*VLOOKUP(RR64,ChurnSeasonTable,4,FALSE)</f>
        <v/>
      </c>
      <c r="RW64" s="12">
        <f>MIN(MAX(MktMin19plus,SQ63*MktPct19plus),MAX(0,TE63-CashBuffer))</f>
        <v/>
      </c>
      <c r="RX64" s="12">
        <f>IF(RW64&gt;0,MAX(1,ROUND(RW64/CAC*RT64,0)),0)</f>
        <v/>
      </c>
      <c r="RY64" s="12">
        <f>IF(RX64&gt;0,ROUND(RX64*ReferralMix/(1-ReferralMix),0),0)</f>
        <v/>
      </c>
      <c r="RZ64" s="12">
        <f>RX64+RY64</f>
        <v/>
      </c>
      <c r="SA64" s="12">
        <f>ROUND(RZ64*(1-AnnualMix),0)</f>
        <v/>
      </c>
      <c r="SB64" s="12">
        <f>RZ64-SA64</f>
        <v/>
      </c>
      <c r="SC64" s="12">
        <f>ROUND(SA64*EssentialMix,0)</f>
        <v/>
      </c>
      <c r="SD64" s="12">
        <f>SA64-SC64</f>
        <v/>
      </c>
      <c r="SE64" s="12">
        <f>ROUND(SB64*EssentialMix,0)</f>
        <v/>
      </c>
      <c r="SF64" s="12">
        <f>SB64-SE64</f>
        <v/>
      </c>
      <c r="SG64" s="12">
        <f>SC64+SC63+SC62+MAX(0,SG63-SC63-SC62)*(1-RV64)</f>
        <v/>
      </c>
      <c r="SH64" s="12">
        <f>SD64+SD63+SD62+MAX(0,SH63-SD63-SD62)*(1-RV64)</f>
        <v/>
      </c>
      <c r="SI64" s="12">
        <f>SI63+SE64-SE52*(AnnualChurn*VLOOKUP(RR64,ChurnSeasonTable,4,FALSE))*POWER(1-(AnnualChurn*VLOOKUP(RR64,ChurnSeasonTable,4,FALSE)),0)+SE40*(AnnualChurn*VLOOKUP(RR64,ChurnSeasonTable,4,FALSE))*POWER(1-(AnnualChurn*VLOOKUP(RR64,ChurnSeasonTable,4,FALSE)),1)+SE28*(AnnualChurn*VLOOKUP(RR64,ChurnSeasonTable,4,FALSE))*POWER(1-(AnnualChurn*VLOOKUP(RR64,ChurnSeasonTable,4,FALSE)),2)+SE16*(AnnualChurn*VLOOKUP(RR64,ChurnSeasonTable,4,FALSE))*POWER(1-(AnnualChurn*VLOOKUP(RR64,ChurnSeasonTable,4,FALSE)),3)</f>
        <v/>
      </c>
      <c r="SJ64" s="12">
        <f>SJ63+SF64-SF52*(AnnualChurn*VLOOKUP(RR64,ChurnSeasonTable,4,FALSE))*POWER(1-(AnnualChurn*VLOOKUP(RR64,ChurnSeasonTable,4,FALSE)),0)+SF40*(AnnualChurn*VLOOKUP(RR64,ChurnSeasonTable,4,FALSE))*POWER(1-(AnnualChurn*VLOOKUP(RR64,ChurnSeasonTable,4,FALSE)),1)+SF28*(AnnualChurn*VLOOKUP(RR64,ChurnSeasonTable,4,FALSE))*POWER(1-(AnnualChurn*VLOOKUP(RR64,ChurnSeasonTable,4,FALSE)),2)+SF16*(AnnualChurn*VLOOKUP(RR64,ChurnSeasonTable,4,FALSE))*POWER(1-(AnnualChurn*VLOOKUP(RR64,ChurnSeasonTable,4,FALSE)),3)</f>
        <v/>
      </c>
      <c r="SK64" s="12">
        <f>SG64+SH64+SI64+SJ64</f>
        <v/>
      </c>
      <c r="SL64" s="9">
        <f>SG64*PriceEssMonthly*RU64+SH64*PricePremMonthly*RU64+SI64*PriceEssAnnual*RU64/12+SJ64*PricePremAnnual*RU64/12</f>
        <v/>
      </c>
      <c r="SM64" s="9">
        <f>SL64*12</f>
        <v/>
      </c>
      <c r="SN64" s="12">
        <f>SG64*PriceEssMonthly*RU64+SH64*PricePremMonthly*RU64</f>
        <v/>
      </c>
      <c r="SO64" s="12">
        <f>SE64*PriceEssAnnual*RU64+SF64*PricePremAnnual*RU64</f>
        <v/>
      </c>
      <c r="SP64" s="12">
        <f>SE52*POWER(1-(AnnualChurn*VLOOKUP(RR64,ChurnSeasonTable,4,FALSE)),1)*PriceEssAnnual*RU64+SE40*POWER(1-(AnnualChurn*VLOOKUP(RR64,ChurnSeasonTable,4,FALSE)),2)*PriceEssAnnual*RU64+SE28*POWER(1-(AnnualChurn*VLOOKUP(RR64,ChurnSeasonTable,4,FALSE)),3)*PriceEssAnnual*RU64+SE16*POWER(1-(AnnualChurn*VLOOKUP(RR64,ChurnSeasonTable,4,FALSE)),4)*PriceEssAnnual*RU64+SF52*POWER(1-(AnnualChurn*VLOOKUP(RR64,ChurnSeasonTable,4,FALSE)),1)*PricePremAnnual*RU64+SF40*POWER(1-(AnnualChurn*VLOOKUP(RR64,ChurnSeasonTable,4,FALSE)),2)*PricePremAnnual*RU64+SF28*POWER(1-(AnnualChurn*VLOOKUP(RR64,ChurnSeasonTable,4,FALSE)),3)*PricePremAnnual*RU64+SF16*POWER(1-(AnnualChurn*VLOOKUP(RR64,ChurnSeasonTable,4,FALSE)),4)*PricePremAnnual*RU64</f>
        <v/>
      </c>
      <c r="SQ64" s="9">
        <f>SN64+SO64+SP64</f>
        <v/>
      </c>
      <c r="SR64" s="12">
        <f>SUM(SQ53:SQ64)</f>
        <v/>
      </c>
      <c r="SS64" s="12">
        <f>OR(SS63,SR64&gt;=VATThreshold)</f>
        <v/>
      </c>
      <c r="ST64" s="9">
        <f>IF(SS64,SQ64/(1+VATRate),SQ64)</f>
        <v/>
      </c>
      <c r="SU64" s="12">
        <f>SQ64-ST64</f>
        <v/>
      </c>
      <c r="SV64" s="12">
        <f>IF(SS64=0,0,IF(RR64=1,SUMPRODUCT(--(($RS$5:$RS64=$RS64-1)*($RR$5:$RR64&gt;=10)*($RR$5:$RR64&lt;=12)),$SU$5:$SU64),IF(RR64=4,SUMPRODUCT(--(($RS$5:$RS64=$RS64)*($RR$5:$RR64&gt;=1)*($RR$5:$RR64&lt;=3)),$SU$5:$SU64),IF(RR64=7,SUMPRODUCT(--(($RS$5:$RS64=$RS64)*($RR$5:$RR64&gt;=4)*($RR$5:$RR64&lt;=6)),$SU$5:$SU64),IF(RR64=10,SUMPRODUCT(--(($RS$5:$RS64=$RS64)*($RR$5:$RR64&gt;=7)*($RR$5:$RR64&lt;=9)),$SU$5:$SU64),0)))))</f>
        <v/>
      </c>
      <c r="SW64" s="12">
        <f>SW63+SU64-SV64</f>
        <v/>
      </c>
      <c r="SX64" s="12">
        <f>IF(ProviderDelay&gt;=1,ST63*ProviderShare,ST64*ProviderShare)</f>
        <v/>
      </c>
      <c r="SY64" s="12">
        <f>SQ64*PaymentFee</f>
        <v/>
      </c>
      <c r="SZ64" s="12">
        <f>SK64*OpsAI</f>
        <v/>
      </c>
      <c r="TA64" s="12">
        <f>MonthlyFixed</f>
        <v/>
      </c>
      <c r="TB64" s="12">
        <f>RY64*ReferralReward</f>
        <v/>
      </c>
      <c r="TC64" s="12">
        <f>RW64</f>
        <v/>
      </c>
      <c r="TD64" s="9">
        <f>ST64-SX64-SY64-SZ64-TA64-TB64-TC64</f>
        <v/>
      </c>
      <c r="TE64" s="9">
        <f>TE63+SQ64-(SX64+SY64+SZ64+TA64+TB64+TC64+SV64)</f>
        <v/>
      </c>
      <c r="TF64" s="12">
        <f>IF(SK64&gt;0,SL64/SK64,0)</f>
        <v/>
      </c>
      <c r="TG64" s="11">
        <f>IF(SK63&gt;0,MAX(0,(SK63+RZ64-SK64)/SK63),0)</f>
        <v/>
      </c>
      <c r="TI64" s="12" t="n">
        <v>60</v>
      </c>
      <c r="TJ64" s="12">
        <f>MOD(TI64-1+LaunchMonth-1,12)+1</f>
        <v/>
      </c>
      <c r="TK64" s="12">
        <f>INT((TI64-1+LaunchMonth-1)/12)+1</f>
        <v/>
      </c>
      <c r="TL64" s="12">
        <f>VLOOKUP(TJ64,SeasonTable,2,FALSE)</f>
        <v/>
      </c>
      <c r="TM64" s="12">
        <f>(1+InflationRate)^INT((TI64-1)/12)</f>
        <v/>
      </c>
      <c r="TN64" s="11">
        <f>MonthlyChurn*VLOOKUP(TJ64,ChurnSeasonTable,4,FALSE)</f>
        <v/>
      </c>
      <c r="TO64" s="12">
        <f>MIN(MAX(MktMin19plus,UI63*MktPct19plus),MAX(0,UW63-CashBuffer))</f>
        <v/>
      </c>
      <c r="TP64" s="12">
        <f>IF(TO64&gt;0,MAX(1,ROUND(TO64/CAC*TL64,0)),0)</f>
        <v/>
      </c>
      <c r="TQ64" s="12">
        <f>IF(TP64&gt;0,ROUND(TP64*ReferralMix/(1-ReferralMix),0),0)</f>
        <v/>
      </c>
      <c r="TR64" s="12">
        <f>TP64+TQ64</f>
        <v/>
      </c>
      <c r="TS64" s="12">
        <f>ROUND(TR64*(1-'Sens - Annual Mix'!$A$9),0)</f>
        <v/>
      </c>
      <c r="TT64" s="12">
        <f>TR64-TS64</f>
        <v/>
      </c>
      <c r="TU64" s="12">
        <f>ROUND(TS64*EssentialMix,0)</f>
        <v/>
      </c>
      <c r="TV64" s="12">
        <f>TS64-TU64</f>
        <v/>
      </c>
      <c r="TW64" s="12">
        <f>ROUND(TT64*EssentialMix,0)</f>
        <v/>
      </c>
      <c r="TX64" s="12">
        <f>TT64-TW64</f>
        <v/>
      </c>
      <c r="TY64" s="12">
        <f>TU64+TU63+TU62+MAX(0,TY63-TU63-TU62)*(1-TN64)</f>
        <v/>
      </c>
      <c r="TZ64" s="12">
        <f>TV64+TV63+TV62+MAX(0,TZ63-TV63-TV62)*(1-TN64)</f>
        <v/>
      </c>
      <c r="UA64" s="12">
        <f>UA63+TW64-TW52*(AnnualChurn*VLOOKUP(TJ64,ChurnSeasonTable,4,FALSE))*POWER(1-(AnnualChurn*VLOOKUP(TJ64,ChurnSeasonTable,4,FALSE)),0)+TW40*(AnnualChurn*VLOOKUP(TJ64,ChurnSeasonTable,4,FALSE))*POWER(1-(AnnualChurn*VLOOKUP(TJ64,ChurnSeasonTable,4,FALSE)),1)+TW28*(AnnualChurn*VLOOKUP(TJ64,ChurnSeasonTable,4,FALSE))*POWER(1-(AnnualChurn*VLOOKUP(TJ64,ChurnSeasonTable,4,FALSE)),2)+TW16*(AnnualChurn*VLOOKUP(TJ64,ChurnSeasonTable,4,FALSE))*POWER(1-(AnnualChurn*VLOOKUP(TJ64,ChurnSeasonTable,4,FALSE)),3)</f>
        <v/>
      </c>
      <c r="UB64" s="12">
        <f>UB63+TX64-TX52*(AnnualChurn*VLOOKUP(TJ64,ChurnSeasonTable,4,FALSE))*POWER(1-(AnnualChurn*VLOOKUP(TJ64,ChurnSeasonTable,4,FALSE)),0)+TX40*(AnnualChurn*VLOOKUP(TJ64,ChurnSeasonTable,4,FALSE))*POWER(1-(AnnualChurn*VLOOKUP(TJ64,ChurnSeasonTable,4,FALSE)),1)+TX28*(AnnualChurn*VLOOKUP(TJ64,ChurnSeasonTable,4,FALSE))*POWER(1-(AnnualChurn*VLOOKUP(TJ64,ChurnSeasonTable,4,FALSE)),2)+TX16*(AnnualChurn*VLOOKUP(TJ64,ChurnSeasonTable,4,FALSE))*POWER(1-(AnnualChurn*VLOOKUP(TJ64,ChurnSeasonTable,4,FALSE)),3)</f>
        <v/>
      </c>
      <c r="UC64" s="12">
        <f>TY64+TZ64+UA64+UB64</f>
        <v/>
      </c>
      <c r="UD64" s="9">
        <f>TY64*PriceEssMonthly*TM64+TZ64*PricePremMonthly*TM64+UA64*PriceEssAnnual*TM64/12+UB64*PricePremAnnual*TM64/12</f>
        <v/>
      </c>
      <c r="UE64" s="9">
        <f>UD64*12</f>
        <v/>
      </c>
      <c r="UF64" s="12">
        <f>TY64*PriceEssMonthly*TM64+TZ64*PricePremMonthly*TM64</f>
        <v/>
      </c>
      <c r="UG64" s="12">
        <f>TW64*PriceEssAnnual*TM64+TX64*PricePremAnnual*TM64</f>
        <v/>
      </c>
      <c r="UH64" s="12">
        <f>TW52*POWER(1-(AnnualChurn*VLOOKUP(TJ64,ChurnSeasonTable,4,FALSE)),1)*PriceEssAnnual*TM64+TW40*POWER(1-(AnnualChurn*VLOOKUP(TJ64,ChurnSeasonTable,4,FALSE)),2)*PriceEssAnnual*TM64+TW28*POWER(1-(AnnualChurn*VLOOKUP(TJ64,ChurnSeasonTable,4,FALSE)),3)*PriceEssAnnual*TM64+TW16*POWER(1-(AnnualChurn*VLOOKUP(TJ64,ChurnSeasonTable,4,FALSE)),4)*PriceEssAnnual*TM64+TX52*POWER(1-(AnnualChurn*VLOOKUP(TJ64,ChurnSeasonTable,4,FALSE)),1)*PricePremAnnual*TM64+TX40*POWER(1-(AnnualChurn*VLOOKUP(TJ64,ChurnSeasonTable,4,FALSE)),2)*PricePremAnnual*TM64+TX28*POWER(1-(AnnualChurn*VLOOKUP(TJ64,ChurnSeasonTable,4,FALSE)),3)*PricePremAnnual*TM64+TX16*POWER(1-(AnnualChurn*VLOOKUP(TJ64,ChurnSeasonTable,4,FALSE)),4)*PricePremAnnual*TM64</f>
        <v/>
      </c>
      <c r="UI64" s="9">
        <f>UF64+UG64+UH64</f>
        <v/>
      </c>
      <c r="UJ64" s="12">
        <f>SUM(UI53:UI64)</f>
        <v/>
      </c>
      <c r="UK64" s="12">
        <f>OR(UK63,UJ64&gt;=VATThreshold)</f>
        <v/>
      </c>
      <c r="UL64" s="9">
        <f>IF(UK64,UI64/(1+VATRate),UI64)</f>
        <v/>
      </c>
      <c r="UM64" s="12">
        <f>UI64-UL64</f>
        <v/>
      </c>
      <c r="UN64" s="12">
        <f>IF(UK64=0,0,IF(TJ64=1,SUMPRODUCT(--(($TK$5:$TK64=$TK64-1)*($TJ$5:$TJ64&gt;=10)*($TJ$5:$TJ64&lt;=12)),$UM$5:$UM64),IF(TJ64=4,SUMPRODUCT(--(($TK$5:$TK64=$TK64)*($TJ$5:$TJ64&gt;=1)*($TJ$5:$TJ64&lt;=3)),$UM$5:$UM64),IF(TJ64=7,SUMPRODUCT(--(($TK$5:$TK64=$TK64)*($TJ$5:$TJ64&gt;=4)*($TJ$5:$TJ64&lt;=6)),$UM$5:$UM64),IF(TJ64=10,SUMPRODUCT(--(($TK$5:$TK64=$TK64)*($TJ$5:$TJ64&gt;=7)*($TJ$5:$TJ64&lt;=9)),$UM$5:$UM64),0)))))</f>
        <v/>
      </c>
      <c r="UO64" s="12">
        <f>UO63+UM64-UN64</f>
        <v/>
      </c>
      <c r="UP64" s="12">
        <f>IF(ProviderDelay&gt;=1,UL63*ProviderShare,UL64*ProviderShare)</f>
        <v/>
      </c>
      <c r="UQ64" s="12">
        <f>UI64*PaymentFee</f>
        <v/>
      </c>
      <c r="UR64" s="12">
        <f>UC64*OpsAI</f>
        <v/>
      </c>
      <c r="US64" s="12">
        <f>MonthlyFixed</f>
        <v/>
      </c>
      <c r="UT64" s="12">
        <f>TQ64*ReferralReward</f>
        <v/>
      </c>
      <c r="UU64" s="12">
        <f>TO64</f>
        <v/>
      </c>
      <c r="UV64" s="9">
        <f>UL64-UP64-UQ64-UR64-US64-UT64-UU64</f>
        <v/>
      </c>
      <c r="UW64" s="9">
        <f>UW63+UI64-(UP64+UQ64+UR64+US64+UT64+UU64+UN64)</f>
        <v/>
      </c>
      <c r="UX64" s="12">
        <f>IF(UC64&gt;0,UD64/UC64,0)</f>
        <v/>
      </c>
      <c r="UY64" s="11">
        <f>IF(UC63&gt;0,MAX(0,(UC63+TR64-UC64)/UC63),0)</f>
        <v/>
      </c>
      <c r="VA64" s="12" t="n">
        <v>60</v>
      </c>
      <c r="VB64" s="12">
        <f>MOD(VA64-1+LaunchMonth-1,12)+1</f>
        <v/>
      </c>
      <c r="VC64" s="12">
        <f>INT((VA64-1+LaunchMonth-1)/12)+1</f>
        <v/>
      </c>
      <c r="VD64" s="12">
        <f>VLOOKUP(VB64,SeasonTable,2,FALSE)</f>
        <v/>
      </c>
      <c r="VE64" s="12">
        <f>(1+InflationRate)^INT((VA64-1)/12)</f>
        <v/>
      </c>
      <c r="VF64" s="11">
        <f>MonthlyChurn*VLOOKUP(VB64,ChurnSeasonTable,4,FALSE)</f>
        <v/>
      </c>
      <c r="VG64" s="12">
        <f>MIN(MAX(MktMin19plus,WA63*MktPct19plus),MAX(0,WO63-CashBuffer))</f>
        <v/>
      </c>
      <c r="VH64" s="12">
        <f>IF(VG64&gt;0,MAX(1,ROUND(VG64/CAC*VD64,0)),0)</f>
        <v/>
      </c>
      <c r="VI64" s="12">
        <f>IF(VH64&gt;0,ROUND(VH64*ReferralMix/(1-ReferralMix),0),0)</f>
        <v/>
      </c>
      <c r="VJ64" s="12">
        <f>VH64+VI64</f>
        <v/>
      </c>
      <c r="VK64" s="12">
        <f>ROUND(VJ64*(1-'Sens - Annual Mix'!$A$10),0)</f>
        <v/>
      </c>
      <c r="VL64" s="12">
        <f>VJ64-VK64</f>
        <v/>
      </c>
      <c r="VM64" s="12">
        <f>ROUND(VK64*EssentialMix,0)</f>
        <v/>
      </c>
      <c r="VN64" s="12">
        <f>VK64-VM64</f>
        <v/>
      </c>
      <c r="VO64" s="12">
        <f>ROUND(VL64*EssentialMix,0)</f>
        <v/>
      </c>
      <c r="VP64" s="12">
        <f>VL64-VO64</f>
        <v/>
      </c>
      <c r="VQ64" s="12">
        <f>VM64+VM63+VM62+MAX(0,VQ63-VM63-VM62)*(1-VF64)</f>
        <v/>
      </c>
      <c r="VR64" s="12">
        <f>VN64+VN63+VN62+MAX(0,VR63-VN63-VN62)*(1-VF64)</f>
        <v/>
      </c>
      <c r="VS64" s="12">
        <f>VS63+VO64-VO52*(AnnualChurn*VLOOKUP(VB64,ChurnSeasonTable,4,FALSE))*POWER(1-(AnnualChurn*VLOOKUP(VB64,ChurnSeasonTable,4,FALSE)),0)+VO40*(AnnualChurn*VLOOKUP(VB64,ChurnSeasonTable,4,FALSE))*POWER(1-(AnnualChurn*VLOOKUP(VB64,ChurnSeasonTable,4,FALSE)),1)+VO28*(AnnualChurn*VLOOKUP(VB64,ChurnSeasonTable,4,FALSE))*POWER(1-(AnnualChurn*VLOOKUP(VB64,ChurnSeasonTable,4,FALSE)),2)+VO16*(AnnualChurn*VLOOKUP(VB64,ChurnSeasonTable,4,FALSE))*POWER(1-(AnnualChurn*VLOOKUP(VB64,ChurnSeasonTable,4,FALSE)),3)</f>
        <v/>
      </c>
      <c r="VT64" s="12">
        <f>VT63+VP64-VP52*(AnnualChurn*VLOOKUP(VB64,ChurnSeasonTable,4,FALSE))*POWER(1-(AnnualChurn*VLOOKUP(VB64,ChurnSeasonTable,4,FALSE)),0)+VP40*(AnnualChurn*VLOOKUP(VB64,ChurnSeasonTable,4,FALSE))*POWER(1-(AnnualChurn*VLOOKUP(VB64,ChurnSeasonTable,4,FALSE)),1)+VP28*(AnnualChurn*VLOOKUP(VB64,ChurnSeasonTable,4,FALSE))*POWER(1-(AnnualChurn*VLOOKUP(VB64,ChurnSeasonTable,4,FALSE)),2)+VP16*(AnnualChurn*VLOOKUP(VB64,ChurnSeasonTable,4,FALSE))*POWER(1-(AnnualChurn*VLOOKUP(VB64,ChurnSeasonTable,4,FALSE)),3)</f>
        <v/>
      </c>
      <c r="VU64" s="12">
        <f>VQ64+VR64+VS64+VT64</f>
        <v/>
      </c>
      <c r="VV64" s="9">
        <f>VQ64*PriceEssMonthly*VE64+VR64*PricePremMonthly*VE64+VS64*PriceEssAnnual*VE64/12+VT64*PricePremAnnual*VE64/12</f>
        <v/>
      </c>
      <c r="VW64" s="9">
        <f>VV64*12</f>
        <v/>
      </c>
      <c r="VX64" s="12">
        <f>VQ64*PriceEssMonthly*VE64+VR64*PricePremMonthly*VE64</f>
        <v/>
      </c>
      <c r="VY64" s="12">
        <f>VO64*PriceEssAnnual*VE64+VP64*PricePremAnnual*VE64</f>
        <v/>
      </c>
      <c r="VZ64" s="12">
        <f>VO52*POWER(1-(AnnualChurn*VLOOKUP(VB64,ChurnSeasonTable,4,FALSE)),1)*PriceEssAnnual*VE64+VO40*POWER(1-(AnnualChurn*VLOOKUP(VB64,ChurnSeasonTable,4,FALSE)),2)*PriceEssAnnual*VE64+VO28*POWER(1-(AnnualChurn*VLOOKUP(VB64,ChurnSeasonTable,4,FALSE)),3)*PriceEssAnnual*VE64+VO16*POWER(1-(AnnualChurn*VLOOKUP(VB64,ChurnSeasonTable,4,FALSE)),4)*PriceEssAnnual*VE64+VP52*POWER(1-(AnnualChurn*VLOOKUP(VB64,ChurnSeasonTable,4,FALSE)),1)*PricePremAnnual*VE64+VP40*POWER(1-(AnnualChurn*VLOOKUP(VB64,ChurnSeasonTable,4,FALSE)),2)*PricePremAnnual*VE64+VP28*POWER(1-(AnnualChurn*VLOOKUP(VB64,ChurnSeasonTable,4,FALSE)),3)*PricePremAnnual*VE64+VP16*POWER(1-(AnnualChurn*VLOOKUP(VB64,ChurnSeasonTable,4,FALSE)),4)*PricePremAnnual*VE64</f>
        <v/>
      </c>
      <c r="WA64" s="9">
        <f>VX64+VY64+VZ64</f>
        <v/>
      </c>
      <c r="WB64" s="12">
        <f>SUM(WA53:WA64)</f>
        <v/>
      </c>
      <c r="WC64" s="12">
        <f>OR(WC63,WB64&gt;=VATThreshold)</f>
        <v/>
      </c>
      <c r="WD64" s="9">
        <f>IF(WC64,WA64/(1+VATRate),WA64)</f>
        <v/>
      </c>
      <c r="WE64" s="12">
        <f>WA64-WD64</f>
        <v/>
      </c>
      <c r="WF64" s="12">
        <f>IF(WC64=0,0,IF(VB64=1,SUMPRODUCT(--(($VC$5:$VC64=$VC64-1)*($VB$5:$VB64&gt;=10)*($VB$5:$VB64&lt;=12)),$WE$5:$WE64),IF(VB64=4,SUMPRODUCT(--(($VC$5:$VC64=$VC64)*($VB$5:$VB64&gt;=1)*($VB$5:$VB64&lt;=3)),$WE$5:$WE64),IF(VB64=7,SUMPRODUCT(--(($VC$5:$VC64=$VC64)*($VB$5:$VB64&gt;=4)*($VB$5:$VB64&lt;=6)),$WE$5:$WE64),IF(VB64=10,SUMPRODUCT(--(($VC$5:$VC64=$VC64)*($VB$5:$VB64&gt;=7)*($VB$5:$VB64&lt;=9)),$WE$5:$WE64),0)))))</f>
        <v/>
      </c>
      <c r="WG64" s="12">
        <f>WG63+WE64-WF64</f>
        <v/>
      </c>
      <c r="WH64" s="12">
        <f>IF(ProviderDelay&gt;=1,WD63*ProviderShare,WD64*ProviderShare)</f>
        <v/>
      </c>
      <c r="WI64" s="12">
        <f>WA64*PaymentFee</f>
        <v/>
      </c>
      <c r="WJ64" s="12">
        <f>VU64*OpsAI</f>
        <v/>
      </c>
      <c r="WK64" s="12">
        <f>MonthlyFixed</f>
        <v/>
      </c>
      <c r="WL64" s="12">
        <f>VI64*ReferralReward</f>
        <v/>
      </c>
      <c r="WM64" s="12">
        <f>VG64</f>
        <v/>
      </c>
      <c r="WN64" s="9">
        <f>WD64-WH64-WI64-WJ64-WK64-WL64-WM64</f>
        <v/>
      </c>
      <c r="WO64" s="9">
        <f>WO63+WA64-(WH64+WI64+WJ64+WK64+WL64+WM64+WF64)</f>
        <v/>
      </c>
      <c r="WP64" s="12">
        <f>IF(VU64&gt;0,VV64/VU64,0)</f>
        <v/>
      </c>
      <c r="WQ64" s="11">
        <f>IF(VU63&gt;0,MAX(0,(VU63+VJ64-VU64)/VU63),0)</f>
        <v/>
      </c>
      <c r="WS64" s="12" t="n">
        <v>60</v>
      </c>
      <c r="WT64" s="12">
        <f>MOD(WS64-1+LaunchMonth-1,12)+1</f>
        <v/>
      </c>
      <c r="WU64" s="12">
        <f>INT((WS64-1+LaunchMonth-1)/12)+1</f>
        <v/>
      </c>
      <c r="WV64" s="12">
        <f>VLOOKUP(WT64,SeasonTable,2,FALSE)</f>
        <v/>
      </c>
      <c r="WW64" s="12">
        <f>(1+InflationRate)^INT((WS64-1)/12)</f>
        <v/>
      </c>
      <c r="WX64" s="11">
        <f>MonthlyChurn*VLOOKUP(WT64,ChurnSeasonTable,4,FALSE)</f>
        <v/>
      </c>
      <c r="WY64" s="12">
        <f>MIN(MAX(MktMin19plus,XS63*MktPct19plus),MAX(0,YG63-CashBuffer))</f>
        <v/>
      </c>
      <c r="WZ64" s="12">
        <f>IF(WY64&gt;0,MAX(1,ROUND(WY64/CAC*WV64,0)),0)</f>
        <v/>
      </c>
      <c r="XA64" s="12">
        <f>IF(WZ64&gt;0,ROUND(WZ64*ReferralMix/(1-ReferralMix),0),0)</f>
        <v/>
      </c>
      <c r="XB64" s="12">
        <f>WZ64+XA64</f>
        <v/>
      </c>
      <c r="XC64" s="12">
        <f>ROUND(XB64*(1-'Sens - Annual Mix'!$A$11),0)</f>
        <v/>
      </c>
      <c r="XD64" s="12">
        <f>XB64-XC64</f>
        <v/>
      </c>
      <c r="XE64" s="12">
        <f>ROUND(XC64*EssentialMix,0)</f>
        <v/>
      </c>
      <c r="XF64" s="12">
        <f>XC64-XE64</f>
        <v/>
      </c>
      <c r="XG64" s="12">
        <f>ROUND(XD64*EssentialMix,0)</f>
        <v/>
      </c>
      <c r="XH64" s="12">
        <f>XD64-XG64</f>
        <v/>
      </c>
      <c r="XI64" s="12">
        <f>XE64+XE63+XE62+MAX(0,XI63-XE63-XE62)*(1-WX64)</f>
        <v/>
      </c>
      <c r="XJ64" s="12">
        <f>XF64+XF63+XF62+MAX(0,XJ63-XF63-XF62)*(1-WX64)</f>
        <v/>
      </c>
      <c r="XK64" s="12">
        <f>XK63+XG64-XG52*(AnnualChurn*VLOOKUP(WT64,ChurnSeasonTable,4,FALSE))*POWER(1-(AnnualChurn*VLOOKUP(WT64,ChurnSeasonTable,4,FALSE)),0)+XG40*(AnnualChurn*VLOOKUP(WT64,ChurnSeasonTable,4,FALSE))*POWER(1-(AnnualChurn*VLOOKUP(WT64,ChurnSeasonTable,4,FALSE)),1)+XG28*(AnnualChurn*VLOOKUP(WT64,ChurnSeasonTable,4,FALSE))*POWER(1-(AnnualChurn*VLOOKUP(WT64,ChurnSeasonTable,4,FALSE)),2)+XG16*(AnnualChurn*VLOOKUP(WT64,ChurnSeasonTable,4,FALSE))*POWER(1-(AnnualChurn*VLOOKUP(WT64,ChurnSeasonTable,4,FALSE)),3)</f>
        <v/>
      </c>
      <c r="XL64" s="12">
        <f>XL63+XH64-XH52*(AnnualChurn*VLOOKUP(WT64,ChurnSeasonTable,4,FALSE))*POWER(1-(AnnualChurn*VLOOKUP(WT64,ChurnSeasonTable,4,FALSE)),0)+XH40*(AnnualChurn*VLOOKUP(WT64,ChurnSeasonTable,4,FALSE))*POWER(1-(AnnualChurn*VLOOKUP(WT64,ChurnSeasonTable,4,FALSE)),1)+XH28*(AnnualChurn*VLOOKUP(WT64,ChurnSeasonTable,4,FALSE))*POWER(1-(AnnualChurn*VLOOKUP(WT64,ChurnSeasonTable,4,FALSE)),2)+XH16*(AnnualChurn*VLOOKUP(WT64,ChurnSeasonTable,4,FALSE))*POWER(1-(AnnualChurn*VLOOKUP(WT64,ChurnSeasonTable,4,FALSE)),3)</f>
        <v/>
      </c>
      <c r="XM64" s="12">
        <f>XI64+XJ64+XK64+XL64</f>
        <v/>
      </c>
      <c r="XN64" s="9">
        <f>XI64*PriceEssMonthly*WW64+XJ64*PricePremMonthly*WW64+XK64*PriceEssAnnual*WW64/12+XL64*PricePremAnnual*WW64/12</f>
        <v/>
      </c>
      <c r="XO64" s="9">
        <f>XN64*12</f>
        <v/>
      </c>
      <c r="XP64" s="12">
        <f>XI64*PriceEssMonthly*WW64+XJ64*PricePremMonthly*WW64</f>
        <v/>
      </c>
      <c r="XQ64" s="12">
        <f>XG64*PriceEssAnnual*WW64+XH64*PricePremAnnual*WW64</f>
        <v/>
      </c>
      <c r="XR64" s="12">
        <f>XG52*POWER(1-(AnnualChurn*VLOOKUP(WT64,ChurnSeasonTable,4,FALSE)),1)*PriceEssAnnual*WW64+XG40*POWER(1-(AnnualChurn*VLOOKUP(WT64,ChurnSeasonTable,4,FALSE)),2)*PriceEssAnnual*WW64+XG28*POWER(1-(AnnualChurn*VLOOKUP(WT64,ChurnSeasonTable,4,FALSE)),3)*PriceEssAnnual*WW64+XG16*POWER(1-(AnnualChurn*VLOOKUP(WT64,ChurnSeasonTable,4,FALSE)),4)*PriceEssAnnual*WW64+XH52*POWER(1-(AnnualChurn*VLOOKUP(WT64,ChurnSeasonTable,4,FALSE)),1)*PricePremAnnual*WW64+XH40*POWER(1-(AnnualChurn*VLOOKUP(WT64,ChurnSeasonTable,4,FALSE)),2)*PricePremAnnual*WW64+XH28*POWER(1-(AnnualChurn*VLOOKUP(WT64,ChurnSeasonTable,4,FALSE)),3)*PricePremAnnual*WW64+XH16*POWER(1-(AnnualChurn*VLOOKUP(WT64,ChurnSeasonTable,4,FALSE)),4)*PricePremAnnual*WW64</f>
        <v/>
      </c>
      <c r="XS64" s="9">
        <f>XP64+XQ64+XR64</f>
        <v/>
      </c>
      <c r="XT64" s="12">
        <f>SUM(XS53:XS64)</f>
        <v/>
      </c>
      <c r="XU64" s="12">
        <f>OR(XU63,XT64&gt;=VATThreshold)</f>
        <v/>
      </c>
      <c r="XV64" s="9">
        <f>IF(XU64,XS64/(1+VATRate),XS64)</f>
        <v/>
      </c>
      <c r="XW64" s="12">
        <f>XS64-XV64</f>
        <v/>
      </c>
      <c r="XX64" s="12">
        <f>IF(XU64=0,0,IF(WT64=1,SUMPRODUCT(--(($WU$5:$WU64=$WU64-1)*($WT$5:$WT64&gt;=10)*($WT$5:$WT64&lt;=12)),$XW$5:$XW64),IF(WT64=4,SUMPRODUCT(--(($WU$5:$WU64=$WU64)*($WT$5:$WT64&gt;=1)*($WT$5:$WT64&lt;=3)),$XW$5:$XW64),IF(WT64=7,SUMPRODUCT(--(($WU$5:$WU64=$WU64)*($WT$5:$WT64&gt;=4)*($WT$5:$WT64&lt;=6)),$XW$5:$XW64),IF(WT64=10,SUMPRODUCT(--(($WU$5:$WU64=$WU64)*($WT$5:$WT64&gt;=7)*($WT$5:$WT64&lt;=9)),$XW$5:$XW64),0)))))</f>
        <v/>
      </c>
      <c r="XY64" s="12">
        <f>XY63+XW64-XX64</f>
        <v/>
      </c>
      <c r="XZ64" s="12">
        <f>IF(ProviderDelay&gt;=1,XV63*ProviderShare,XV64*ProviderShare)</f>
        <v/>
      </c>
      <c r="YA64" s="12">
        <f>XS64*PaymentFee</f>
        <v/>
      </c>
      <c r="YB64" s="12">
        <f>XM64*OpsAI</f>
        <v/>
      </c>
      <c r="YC64" s="12">
        <f>MonthlyFixed</f>
        <v/>
      </c>
      <c r="YD64" s="12">
        <f>XA64*ReferralReward</f>
        <v/>
      </c>
      <c r="YE64" s="12">
        <f>WY64</f>
        <v/>
      </c>
      <c r="YF64" s="9">
        <f>XV64-XZ64-YA64-YB64-YC64-YD64-YE64</f>
        <v/>
      </c>
      <c r="YG64" s="9">
        <f>YG63+XS64-(XZ64+YA64+YB64+YC64+YD64+YE64+XX64)</f>
        <v/>
      </c>
      <c r="YH64" s="12">
        <f>IF(XM64&gt;0,XN64/XM64,0)</f>
        <v/>
      </c>
      <c r="YI64" s="11">
        <f>IF(XM63&gt;0,MAX(0,(XM63+XB64-XM64)/XM63),0)</f>
        <v/>
      </c>
      <c r="YK64" s="12" t="n">
        <v>60</v>
      </c>
      <c r="YL64" s="12">
        <f>MOD(YK64-1+LaunchMonth-1,12)+1</f>
        <v/>
      </c>
      <c r="YM64" s="12">
        <f>INT((YK64-1+LaunchMonth-1)/12)+1</f>
        <v/>
      </c>
      <c r="YN64" s="12">
        <f>VLOOKUP(YL64,SeasonTable,2,FALSE)</f>
        <v/>
      </c>
      <c r="YO64" s="12">
        <f>(1+InflationRate)^INT((YK64-1)/12)</f>
        <v/>
      </c>
      <c r="YP64" s="11">
        <f>MonthlyChurn*VLOOKUP(YL64,ChurnSeasonTable,4,FALSE)</f>
        <v/>
      </c>
      <c r="YQ64" s="12">
        <f>MIN(MAX(MktMin19plus,ZK63*MktPct19plus),MAX(0,ZY63-CashBuffer))</f>
        <v/>
      </c>
      <c r="YR64" s="12">
        <f>IF(YQ64&gt;0,MAX(1,ROUND(YQ64/CAC*YN64,0)),0)</f>
        <v/>
      </c>
      <c r="YS64" s="12">
        <f>IF(YR64&gt;0,ROUND(YR64*ReferralMix/(1-ReferralMix),0),0)</f>
        <v/>
      </c>
      <c r="YT64" s="12">
        <f>YR64+YS64</f>
        <v/>
      </c>
      <c r="YU64" s="12">
        <f>ROUND(YT64*(1-'Sens - Annual Mix'!$A$12),0)</f>
        <v/>
      </c>
      <c r="YV64" s="12">
        <f>YT64-YU64</f>
        <v/>
      </c>
      <c r="YW64" s="12">
        <f>ROUND(YU64*EssentialMix,0)</f>
        <v/>
      </c>
      <c r="YX64" s="12">
        <f>YU64-YW64</f>
        <v/>
      </c>
      <c r="YY64" s="12">
        <f>ROUND(YV64*EssentialMix,0)</f>
        <v/>
      </c>
      <c r="YZ64" s="12">
        <f>YV64-YY64</f>
        <v/>
      </c>
      <c r="ZA64" s="12">
        <f>YW64+YW63+YW62+MAX(0,ZA63-YW63-YW62)*(1-YP64)</f>
        <v/>
      </c>
      <c r="ZB64" s="12">
        <f>YX64+YX63+YX62+MAX(0,ZB63-YX63-YX62)*(1-YP64)</f>
        <v/>
      </c>
      <c r="ZC64" s="12">
        <f>ZC63+YY64-YY52*(AnnualChurn*VLOOKUP(YL64,ChurnSeasonTable,4,FALSE))*POWER(1-(AnnualChurn*VLOOKUP(YL64,ChurnSeasonTable,4,FALSE)),0)+YY40*(AnnualChurn*VLOOKUP(YL64,ChurnSeasonTable,4,FALSE))*POWER(1-(AnnualChurn*VLOOKUP(YL64,ChurnSeasonTable,4,FALSE)),1)+YY28*(AnnualChurn*VLOOKUP(YL64,ChurnSeasonTable,4,FALSE))*POWER(1-(AnnualChurn*VLOOKUP(YL64,ChurnSeasonTable,4,FALSE)),2)+YY16*(AnnualChurn*VLOOKUP(YL64,ChurnSeasonTable,4,FALSE))*POWER(1-(AnnualChurn*VLOOKUP(YL64,ChurnSeasonTable,4,FALSE)),3)</f>
        <v/>
      </c>
      <c r="ZD64" s="12">
        <f>ZD63+YZ64-YZ52*(AnnualChurn*VLOOKUP(YL64,ChurnSeasonTable,4,FALSE))*POWER(1-(AnnualChurn*VLOOKUP(YL64,ChurnSeasonTable,4,FALSE)),0)+YZ40*(AnnualChurn*VLOOKUP(YL64,ChurnSeasonTable,4,FALSE))*POWER(1-(AnnualChurn*VLOOKUP(YL64,ChurnSeasonTable,4,FALSE)),1)+YZ28*(AnnualChurn*VLOOKUP(YL64,ChurnSeasonTable,4,FALSE))*POWER(1-(AnnualChurn*VLOOKUP(YL64,ChurnSeasonTable,4,FALSE)),2)+YZ16*(AnnualChurn*VLOOKUP(YL64,ChurnSeasonTable,4,FALSE))*POWER(1-(AnnualChurn*VLOOKUP(YL64,ChurnSeasonTable,4,FALSE)),3)</f>
        <v/>
      </c>
      <c r="ZE64" s="12">
        <f>ZA64+ZB64+ZC64+ZD64</f>
        <v/>
      </c>
      <c r="ZF64" s="9">
        <f>ZA64*PriceEssMonthly*YO64+ZB64*PricePremMonthly*YO64+ZC64*PriceEssAnnual*YO64/12+ZD64*PricePremAnnual*YO64/12</f>
        <v/>
      </c>
      <c r="ZG64" s="9">
        <f>ZF64*12</f>
        <v/>
      </c>
      <c r="ZH64" s="12">
        <f>ZA64*PriceEssMonthly*YO64+ZB64*PricePremMonthly*YO64</f>
        <v/>
      </c>
      <c r="ZI64" s="12">
        <f>YY64*PriceEssAnnual*YO64+YZ64*PricePremAnnual*YO64</f>
        <v/>
      </c>
      <c r="ZJ64" s="12">
        <f>YY52*POWER(1-(AnnualChurn*VLOOKUP(YL64,ChurnSeasonTable,4,FALSE)),1)*PriceEssAnnual*YO64+YY40*POWER(1-(AnnualChurn*VLOOKUP(YL64,ChurnSeasonTable,4,FALSE)),2)*PriceEssAnnual*YO64+YY28*POWER(1-(AnnualChurn*VLOOKUP(YL64,ChurnSeasonTable,4,FALSE)),3)*PriceEssAnnual*YO64+YY16*POWER(1-(AnnualChurn*VLOOKUP(YL64,ChurnSeasonTable,4,FALSE)),4)*PriceEssAnnual*YO64+YZ52*POWER(1-(AnnualChurn*VLOOKUP(YL64,ChurnSeasonTable,4,FALSE)),1)*PricePremAnnual*YO64+YZ40*POWER(1-(AnnualChurn*VLOOKUP(YL64,ChurnSeasonTable,4,FALSE)),2)*PricePremAnnual*YO64+YZ28*POWER(1-(AnnualChurn*VLOOKUP(YL64,ChurnSeasonTable,4,FALSE)),3)*PricePremAnnual*YO64+YZ16*POWER(1-(AnnualChurn*VLOOKUP(YL64,ChurnSeasonTable,4,FALSE)),4)*PricePremAnnual*YO64</f>
        <v/>
      </c>
      <c r="ZK64" s="9">
        <f>ZH64+ZI64+ZJ64</f>
        <v/>
      </c>
      <c r="ZL64" s="12">
        <f>SUM(ZK53:ZK64)</f>
        <v/>
      </c>
      <c r="ZM64" s="12">
        <f>OR(ZM63,ZL64&gt;=VATThreshold)</f>
        <v/>
      </c>
      <c r="ZN64" s="9">
        <f>IF(ZM64,ZK64/(1+VATRate),ZK64)</f>
        <v/>
      </c>
      <c r="ZO64" s="12">
        <f>ZK64-ZN64</f>
        <v/>
      </c>
      <c r="ZP64" s="12">
        <f>IF(ZM64=0,0,IF(YL64=1,SUMPRODUCT(--(($YM$5:$YM64=$YM64-1)*($YL$5:$YL64&gt;=10)*($YL$5:$YL64&lt;=12)),$ZO$5:$ZO64),IF(YL64=4,SUMPRODUCT(--(($YM$5:$YM64=$YM64)*($YL$5:$YL64&gt;=1)*($YL$5:$YL64&lt;=3)),$ZO$5:$ZO64),IF(YL64=7,SUMPRODUCT(--(($YM$5:$YM64=$YM64)*($YL$5:$YL64&gt;=4)*($YL$5:$YL64&lt;=6)),$ZO$5:$ZO64),IF(YL64=10,SUMPRODUCT(--(($YM$5:$YM64=$YM64)*($YL$5:$YL64&gt;=7)*($YL$5:$YL64&lt;=9)),$ZO$5:$ZO64),0)))))</f>
        <v/>
      </c>
      <c r="ZQ64" s="12">
        <f>ZQ63+ZO64-ZP64</f>
        <v/>
      </c>
      <c r="ZR64" s="12">
        <f>IF(ProviderDelay&gt;=1,ZN63*ProviderShare,ZN64*ProviderShare)</f>
        <v/>
      </c>
      <c r="ZS64" s="12">
        <f>ZK64*PaymentFee</f>
        <v/>
      </c>
      <c r="ZT64" s="12">
        <f>ZE64*OpsAI</f>
        <v/>
      </c>
      <c r="ZU64" s="12">
        <f>MonthlyFixed</f>
        <v/>
      </c>
      <c r="ZV64" s="12">
        <f>YS64*ReferralReward</f>
        <v/>
      </c>
      <c r="ZW64" s="12">
        <f>YQ64</f>
        <v/>
      </c>
      <c r="ZX64" s="9">
        <f>ZN64-ZR64-ZS64-ZT64-ZU64-ZV64-ZW64</f>
        <v/>
      </c>
      <c r="ZY64" s="9">
        <f>ZY63+ZK64-(ZR64+ZS64+ZT64+ZU64+ZV64+ZW64+ZP64)</f>
        <v/>
      </c>
      <c r="ZZ64" s="12">
        <f>IF(ZE64&gt;0,ZF64/ZE64,0)</f>
        <v/>
      </c>
      <c r="AAA64" s="11">
        <f>IF(ZE63&gt;0,MAX(0,(ZE63+YT64-ZE64)/ZE63),0)</f>
        <v/>
      </c>
      <c r="AAC64" s="12" t="n">
        <v>60</v>
      </c>
      <c r="AAD64" s="12">
        <f>MOD(AAC64-1+LaunchMonth-1,12)+1</f>
        <v/>
      </c>
      <c r="AAE64" s="12">
        <f>INT((AAC64-1+LaunchMonth-1)/12)+1</f>
        <v/>
      </c>
      <c r="AAF64" s="12">
        <f>VLOOKUP(AAD64,SeasonTable,2,FALSE)</f>
        <v/>
      </c>
      <c r="AAG64" s="12">
        <f>(1+InflationRate)^INT((AAC64-1)/12)</f>
        <v/>
      </c>
      <c r="AAH64" s="11">
        <f>MonthlyChurn*VLOOKUP(AAD64,ChurnSeasonTable,4,FALSE)</f>
        <v/>
      </c>
      <c r="AAI64" s="12">
        <f>MIN(MAX(MktMin19plus,ABC63*MktPct19plus),MAX(0,ABQ63-CashBuffer))</f>
        <v/>
      </c>
      <c r="AAJ64" s="12">
        <f>IF(AAI64&gt;0,MAX(1,ROUND(AAI64/CAC*AAF64,0)),0)</f>
        <v/>
      </c>
      <c r="AAK64" s="12">
        <f>IF(AAJ64&gt;0,ROUND(AAJ64*ReferralMix/(1-ReferralMix),0),0)</f>
        <v/>
      </c>
      <c r="AAL64" s="12">
        <f>AAJ64+AAK64</f>
        <v/>
      </c>
      <c r="AAM64" s="12">
        <f>ROUND(AAL64*(1-'Sens - Annual Mix'!$A$13),0)</f>
        <v/>
      </c>
      <c r="AAN64" s="12">
        <f>AAL64-AAM64</f>
        <v/>
      </c>
      <c r="AAO64" s="12">
        <f>ROUND(AAM64*EssentialMix,0)</f>
        <v/>
      </c>
      <c r="AAP64" s="12">
        <f>AAM64-AAO64</f>
        <v/>
      </c>
      <c r="AAQ64" s="12">
        <f>ROUND(AAN64*EssentialMix,0)</f>
        <v/>
      </c>
      <c r="AAR64" s="12">
        <f>AAN64-AAQ64</f>
        <v/>
      </c>
      <c r="AAS64" s="12">
        <f>AAO64+AAO63+AAO62+MAX(0,AAS63-AAO63-AAO62)*(1-AAH64)</f>
        <v/>
      </c>
      <c r="AAT64" s="12">
        <f>AAP64+AAP63+AAP62+MAX(0,AAT63-AAP63-AAP62)*(1-AAH64)</f>
        <v/>
      </c>
      <c r="AAU64" s="12">
        <f>AAU63+AAQ64-AAQ52*(AnnualChurn*VLOOKUP(AAD64,ChurnSeasonTable,4,FALSE))*POWER(1-(AnnualChurn*VLOOKUP(AAD64,ChurnSeasonTable,4,FALSE)),0)+AAQ40*(AnnualChurn*VLOOKUP(AAD64,ChurnSeasonTable,4,FALSE))*POWER(1-(AnnualChurn*VLOOKUP(AAD64,ChurnSeasonTable,4,FALSE)),1)+AAQ28*(AnnualChurn*VLOOKUP(AAD64,ChurnSeasonTable,4,FALSE))*POWER(1-(AnnualChurn*VLOOKUP(AAD64,ChurnSeasonTable,4,FALSE)),2)+AAQ16*(AnnualChurn*VLOOKUP(AAD64,ChurnSeasonTable,4,FALSE))*POWER(1-(AnnualChurn*VLOOKUP(AAD64,ChurnSeasonTable,4,FALSE)),3)</f>
        <v/>
      </c>
      <c r="AAV64" s="12">
        <f>AAV63+AAR64-AAR52*(AnnualChurn*VLOOKUP(AAD64,ChurnSeasonTable,4,FALSE))*POWER(1-(AnnualChurn*VLOOKUP(AAD64,ChurnSeasonTable,4,FALSE)),0)+AAR40*(AnnualChurn*VLOOKUP(AAD64,ChurnSeasonTable,4,FALSE))*POWER(1-(AnnualChurn*VLOOKUP(AAD64,ChurnSeasonTable,4,FALSE)),1)+AAR28*(AnnualChurn*VLOOKUP(AAD64,ChurnSeasonTable,4,FALSE))*POWER(1-(AnnualChurn*VLOOKUP(AAD64,ChurnSeasonTable,4,FALSE)),2)+AAR16*(AnnualChurn*VLOOKUP(AAD64,ChurnSeasonTable,4,FALSE))*POWER(1-(AnnualChurn*VLOOKUP(AAD64,ChurnSeasonTable,4,FALSE)),3)</f>
        <v/>
      </c>
      <c r="AAW64" s="12">
        <f>AAS64+AAT64+AAU64+AAV64</f>
        <v/>
      </c>
      <c r="AAX64" s="9">
        <f>AAS64*PriceEssMonthly*AAG64+AAT64*PricePremMonthly*AAG64+AAU64*PriceEssAnnual*AAG64/12+AAV64*PricePremAnnual*AAG64/12</f>
        <v/>
      </c>
      <c r="AAY64" s="9">
        <f>AAX64*12</f>
        <v/>
      </c>
      <c r="AAZ64" s="12">
        <f>AAS64*PriceEssMonthly*AAG64+AAT64*PricePremMonthly*AAG64</f>
        <v/>
      </c>
      <c r="ABA64" s="12">
        <f>AAQ64*PriceEssAnnual*AAG64+AAR64*PricePremAnnual*AAG64</f>
        <v/>
      </c>
      <c r="ABB64" s="12">
        <f>AAQ52*POWER(1-(AnnualChurn*VLOOKUP(AAD64,ChurnSeasonTable,4,FALSE)),1)*PriceEssAnnual*AAG64+AAQ40*POWER(1-(AnnualChurn*VLOOKUP(AAD64,ChurnSeasonTable,4,FALSE)),2)*PriceEssAnnual*AAG64+AAQ28*POWER(1-(AnnualChurn*VLOOKUP(AAD64,ChurnSeasonTable,4,FALSE)),3)*PriceEssAnnual*AAG64+AAQ16*POWER(1-(AnnualChurn*VLOOKUP(AAD64,ChurnSeasonTable,4,FALSE)),4)*PriceEssAnnual*AAG64+AAR52*POWER(1-(AnnualChurn*VLOOKUP(AAD64,ChurnSeasonTable,4,FALSE)),1)*PricePremAnnual*AAG64+AAR40*POWER(1-(AnnualChurn*VLOOKUP(AAD64,ChurnSeasonTable,4,FALSE)),2)*PricePremAnnual*AAG64+AAR28*POWER(1-(AnnualChurn*VLOOKUP(AAD64,ChurnSeasonTable,4,FALSE)),3)*PricePremAnnual*AAG64+AAR16*POWER(1-(AnnualChurn*VLOOKUP(AAD64,ChurnSeasonTable,4,FALSE)),4)*PricePremAnnual*AAG64</f>
        <v/>
      </c>
      <c r="ABC64" s="9">
        <f>AAZ64+ABA64+ABB64</f>
        <v/>
      </c>
      <c r="ABD64" s="12">
        <f>SUM(ABC53:ABC64)</f>
        <v/>
      </c>
      <c r="ABE64" s="12">
        <f>OR(ABE63,ABD64&gt;=VATThreshold)</f>
        <v/>
      </c>
      <c r="ABF64" s="9">
        <f>IF(ABE64,ABC64/(1+VATRate),ABC64)</f>
        <v/>
      </c>
      <c r="ABG64" s="12">
        <f>ABC64-ABF64</f>
        <v/>
      </c>
      <c r="ABH64" s="12">
        <f>IF(ABE64=0,0,IF(AAD64=1,SUMPRODUCT(--(($AAE$5:$AAE64=$AAE64-1)*($AAD$5:$AAD64&gt;=10)*($AAD$5:$AAD64&lt;=12)),$ABG$5:$ABG64),IF(AAD64=4,SUMPRODUCT(--(($AAE$5:$AAE64=$AAE64)*($AAD$5:$AAD64&gt;=1)*($AAD$5:$AAD64&lt;=3)),$ABG$5:$ABG64),IF(AAD64=7,SUMPRODUCT(--(($AAE$5:$AAE64=$AAE64)*($AAD$5:$AAD64&gt;=4)*($AAD$5:$AAD64&lt;=6)),$ABG$5:$ABG64),IF(AAD64=10,SUMPRODUCT(--(($AAE$5:$AAE64=$AAE64)*($AAD$5:$AAD64&gt;=7)*($AAD$5:$AAD64&lt;=9)),$ABG$5:$ABG64),0)))))</f>
        <v/>
      </c>
      <c r="ABI64" s="12">
        <f>ABI63+ABG64-ABH64</f>
        <v/>
      </c>
      <c r="ABJ64" s="12">
        <f>IF(ProviderDelay&gt;=1,ABF63*ProviderShare,ABF64*ProviderShare)</f>
        <v/>
      </c>
      <c r="ABK64" s="12">
        <f>ABC64*PaymentFee</f>
        <v/>
      </c>
      <c r="ABL64" s="12">
        <f>AAW64*OpsAI</f>
        <v/>
      </c>
      <c r="ABM64" s="12">
        <f>MonthlyFixed</f>
        <v/>
      </c>
      <c r="ABN64" s="12">
        <f>AAK64*ReferralReward</f>
        <v/>
      </c>
      <c r="ABO64" s="12">
        <f>AAI64</f>
        <v/>
      </c>
      <c r="ABP64" s="9">
        <f>ABF64-ABJ64-ABK64-ABL64-ABM64-ABN64-ABO64</f>
        <v/>
      </c>
      <c r="ABQ64" s="9">
        <f>ABQ63+ABC64-(ABJ64+ABK64+ABL64+ABM64+ABN64+ABO64+ABH64)</f>
        <v/>
      </c>
      <c r="ABR64" s="12">
        <f>IF(AAW64&gt;0,AAX64/AAW64,0)</f>
        <v/>
      </c>
      <c r="ABS64" s="11">
        <f>IF(AAW63&gt;0,MAX(0,(AAW63+AAL64-AAW64)/AAW63),0)</f>
        <v/>
      </c>
      <c r="ABU64" s="12" t="n">
        <v>60</v>
      </c>
      <c r="ABV64" s="12">
        <f>MOD(ABU64-1+LaunchMonth-1,12)+1</f>
        <v/>
      </c>
      <c r="ABW64" s="12">
        <f>INT((ABU64-1+LaunchMonth-1)/12)+1</f>
        <v/>
      </c>
      <c r="ABX64" s="12">
        <f>VLOOKUP(ABV64,SeasonTable,2,FALSE)</f>
        <v/>
      </c>
      <c r="ABY64" s="12">
        <f>(1+InflationRate)^INT((ABU64-1)/12)</f>
        <v/>
      </c>
      <c r="ABZ64" s="11">
        <f>MonthlyChurn*VLOOKUP(ABV64,ChurnSeasonTable,4,FALSE)</f>
        <v/>
      </c>
      <c r="ACA64" s="12">
        <f>MIN(MAX(MktMin19plus,ACU63*MktPct19plus),MAX(0,ADI63-CashBuffer))</f>
        <v/>
      </c>
      <c r="ACB64" s="12">
        <f>IF(ACA64&gt;0,MAX(1,ROUND(ACA64/CAC*ABX64,0)),0)</f>
        <v/>
      </c>
      <c r="ACC64" s="12">
        <f>IF(ACB64&gt;0,ROUND(ACB64*ReferralMix/(1-ReferralMix),0),0)</f>
        <v/>
      </c>
      <c r="ACD64" s="12">
        <f>ACB64+ACC64</f>
        <v/>
      </c>
      <c r="ACE64" s="12">
        <f>ROUND(ACD64*(1-'Sens - Annual Mix'!$A$14),0)</f>
        <v/>
      </c>
      <c r="ACF64" s="12">
        <f>ACD64-ACE64</f>
        <v/>
      </c>
      <c r="ACG64" s="12">
        <f>ROUND(ACE64*EssentialMix,0)</f>
        <v/>
      </c>
      <c r="ACH64" s="12">
        <f>ACE64-ACG64</f>
        <v/>
      </c>
      <c r="ACI64" s="12">
        <f>ROUND(ACF64*EssentialMix,0)</f>
        <v/>
      </c>
      <c r="ACJ64" s="12">
        <f>ACF64-ACI64</f>
        <v/>
      </c>
      <c r="ACK64" s="12">
        <f>ACG64+ACG63+ACG62+MAX(0,ACK63-ACG63-ACG62)*(1-ABZ64)</f>
        <v/>
      </c>
      <c r="ACL64" s="12">
        <f>ACH64+ACH63+ACH62+MAX(0,ACL63-ACH63-ACH62)*(1-ABZ64)</f>
        <v/>
      </c>
      <c r="ACM64" s="12">
        <f>ACM63+ACI64-ACI52*(AnnualChurn*VLOOKUP(ABV64,ChurnSeasonTable,4,FALSE))*POWER(1-(AnnualChurn*VLOOKUP(ABV64,ChurnSeasonTable,4,FALSE)),0)+ACI40*(AnnualChurn*VLOOKUP(ABV64,ChurnSeasonTable,4,FALSE))*POWER(1-(AnnualChurn*VLOOKUP(ABV64,ChurnSeasonTable,4,FALSE)),1)+ACI28*(AnnualChurn*VLOOKUP(ABV64,ChurnSeasonTable,4,FALSE))*POWER(1-(AnnualChurn*VLOOKUP(ABV64,ChurnSeasonTable,4,FALSE)),2)+ACI16*(AnnualChurn*VLOOKUP(ABV64,ChurnSeasonTable,4,FALSE))*POWER(1-(AnnualChurn*VLOOKUP(ABV64,ChurnSeasonTable,4,FALSE)),3)</f>
        <v/>
      </c>
      <c r="ACN64" s="12">
        <f>ACN63+ACJ64-ACJ52*(AnnualChurn*VLOOKUP(ABV64,ChurnSeasonTable,4,FALSE))*POWER(1-(AnnualChurn*VLOOKUP(ABV64,ChurnSeasonTable,4,FALSE)),0)+ACJ40*(AnnualChurn*VLOOKUP(ABV64,ChurnSeasonTable,4,FALSE))*POWER(1-(AnnualChurn*VLOOKUP(ABV64,ChurnSeasonTable,4,FALSE)),1)+ACJ28*(AnnualChurn*VLOOKUP(ABV64,ChurnSeasonTable,4,FALSE))*POWER(1-(AnnualChurn*VLOOKUP(ABV64,ChurnSeasonTable,4,FALSE)),2)+ACJ16*(AnnualChurn*VLOOKUP(ABV64,ChurnSeasonTable,4,FALSE))*POWER(1-(AnnualChurn*VLOOKUP(ABV64,ChurnSeasonTable,4,FALSE)),3)</f>
        <v/>
      </c>
      <c r="ACO64" s="12">
        <f>ACK64+ACL64+ACM64+ACN64</f>
        <v/>
      </c>
      <c r="ACP64" s="9">
        <f>ACK64*PriceEssMonthly*ABY64+ACL64*PricePremMonthly*ABY64+ACM64*PriceEssAnnual*ABY64/12+ACN64*PricePremAnnual*ABY64/12</f>
        <v/>
      </c>
      <c r="ACQ64" s="9">
        <f>ACP64*12</f>
        <v/>
      </c>
      <c r="ACR64" s="12">
        <f>ACK64*PriceEssMonthly*ABY64+ACL64*PricePremMonthly*ABY64</f>
        <v/>
      </c>
      <c r="ACS64" s="12">
        <f>ACI64*PriceEssAnnual*ABY64+ACJ64*PricePremAnnual*ABY64</f>
        <v/>
      </c>
      <c r="ACT64" s="12">
        <f>ACI52*POWER(1-(AnnualChurn*VLOOKUP(ABV64,ChurnSeasonTable,4,FALSE)),1)*PriceEssAnnual*ABY64+ACI40*POWER(1-(AnnualChurn*VLOOKUP(ABV64,ChurnSeasonTable,4,FALSE)),2)*PriceEssAnnual*ABY64+ACI28*POWER(1-(AnnualChurn*VLOOKUP(ABV64,ChurnSeasonTable,4,FALSE)),3)*PriceEssAnnual*ABY64+ACI16*POWER(1-(AnnualChurn*VLOOKUP(ABV64,ChurnSeasonTable,4,FALSE)),4)*PriceEssAnnual*ABY64+ACJ52*POWER(1-(AnnualChurn*VLOOKUP(ABV64,ChurnSeasonTable,4,FALSE)),1)*PricePremAnnual*ABY64+ACJ40*POWER(1-(AnnualChurn*VLOOKUP(ABV64,ChurnSeasonTable,4,FALSE)),2)*PricePremAnnual*ABY64+ACJ28*POWER(1-(AnnualChurn*VLOOKUP(ABV64,ChurnSeasonTable,4,FALSE)),3)*PricePremAnnual*ABY64+ACJ16*POWER(1-(AnnualChurn*VLOOKUP(ABV64,ChurnSeasonTable,4,FALSE)),4)*PricePremAnnual*ABY64</f>
        <v/>
      </c>
      <c r="ACU64" s="9">
        <f>ACR64+ACS64+ACT64</f>
        <v/>
      </c>
      <c r="ACV64" s="12">
        <f>SUM(ACU53:ACU64)</f>
        <v/>
      </c>
      <c r="ACW64" s="12">
        <f>OR(ACW63,ACV64&gt;=VATThreshold)</f>
        <v/>
      </c>
      <c r="ACX64" s="9">
        <f>IF(ACW64,ACU64/(1+VATRate),ACU64)</f>
        <v/>
      </c>
      <c r="ACY64" s="12">
        <f>ACU64-ACX64</f>
        <v/>
      </c>
      <c r="ACZ64" s="12">
        <f>IF(ACW64=0,0,IF(ABV64=1,SUMPRODUCT(--(($ABW$5:$ABW64=$ABW64-1)*($ABV$5:$ABV64&gt;=10)*($ABV$5:$ABV64&lt;=12)),$ACY$5:$ACY64),IF(ABV64=4,SUMPRODUCT(--(($ABW$5:$ABW64=$ABW64)*($ABV$5:$ABV64&gt;=1)*($ABV$5:$ABV64&lt;=3)),$ACY$5:$ACY64),IF(ABV64=7,SUMPRODUCT(--(($ABW$5:$ABW64=$ABW64)*($ABV$5:$ABV64&gt;=4)*($ABV$5:$ABV64&lt;=6)),$ACY$5:$ACY64),IF(ABV64=10,SUMPRODUCT(--(($ABW$5:$ABW64=$ABW64)*($ABV$5:$ABV64&gt;=7)*($ABV$5:$ABV64&lt;=9)),$ACY$5:$ACY64),0)))))</f>
        <v/>
      </c>
      <c r="ADA64" s="12">
        <f>ADA63+ACY64-ACZ64</f>
        <v/>
      </c>
      <c r="ADB64" s="12">
        <f>IF(ProviderDelay&gt;=1,ACX63*ProviderShare,ACX64*ProviderShare)</f>
        <v/>
      </c>
      <c r="ADC64" s="12">
        <f>ACU64*PaymentFee</f>
        <v/>
      </c>
      <c r="ADD64" s="12">
        <f>ACO64*OpsAI</f>
        <v/>
      </c>
      <c r="ADE64" s="12">
        <f>MonthlyFixed</f>
        <v/>
      </c>
      <c r="ADF64" s="12">
        <f>ACC64*ReferralReward</f>
        <v/>
      </c>
      <c r="ADG64" s="12">
        <f>ACA64</f>
        <v/>
      </c>
      <c r="ADH64" s="9">
        <f>ACX64-ADB64-ADC64-ADD64-ADE64-ADF64-ADG64</f>
        <v/>
      </c>
      <c r="ADI64" s="9">
        <f>ADI63+ACU64-(ADB64+ADC64+ADD64+ADE64+ADF64+ADG64+ACZ64)</f>
        <v/>
      </c>
      <c r="ADJ64" s="12">
        <f>IF(ACO64&gt;0,ACP64/ACO64,0)</f>
        <v/>
      </c>
      <c r="ADK64" s="11">
        <f>IF(ACO63&gt;0,MAX(0,(ACO63+ACD64-ACO64)/ACO63),0)</f>
        <v/>
      </c>
      <c r="ADM64" s="12" t="n">
        <v>60</v>
      </c>
      <c r="ADN64" s="12">
        <f>MOD(ADM64-1+LaunchMonth-1,12)+1</f>
        <v/>
      </c>
      <c r="ADO64" s="12">
        <f>INT((ADM64-1+LaunchMonth-1)/12)+1</f>
        <v/>
      </c>
      <c r="ADP64" s="12">
        <f>VLOOKUP(ADN64,SeasonTable,2,FALSE)</f>
        <v/>
      </c>
      <c r="ADQ64" s="12">
        <f>(1+InflationRate)^INT((ADM64-1)/12)</f>
        <v/>
      </c>
      <c r="ADR64" s="11">
        <f>MonthlyChurn*VLOOKUP(ADN64,ChurnSeasonTable,4,FALSE)</f>
        <v/>
      </c>
      <c r="ADS64" s="12">
        <f>MIN(MAX(MktMin19plus,AEM63*MktPct19plus),MAX(0,AFA63-CashBuffer))</f>
        <v/>
      </c>
      <c r="ADT64" s="12">
        <f>IF(ADS64&gt;0,MAX(1,ROUND(ADS64/CAC*ADP64,0)),0)</f>
        <v/>
      </c>
      <c r="ADU64" s="12">
        <f>IF(ADT64&gt;0,ROUND(ADT64*ReferralMix/(1-ReferralMix),0),0)</f>
        <v/>
      </c>
      <c r="ADV64" s="12">
        <f>ADT64+ADU64</f>
        <v/>
      </c>
      <c r="ADW64" s="12">
        <f>ROUND(ADV64*(1-'Sens - Annual Mix'!$A$15),0)</f>
        <v/>
      </c>
      <c r="ADX64" s="12">
        <f>ADV64-ADW64</f>
        <v/>
      </c>
      <c r="ADY64" s="12">
        <f>ROUND(ADW64*EssentialMix,0)</f>
        <v/>
      </c>
      <c r="ADZ64" s="12">
        <f>ADW64-ADY64</f>
        <v/>
      </c>
      <c r="AEA64" s="12">
        <f>ROUND(ADX64*EssentialMix,0)</f>
        <v/>
      </c>
      <c r="AEB64" s="12">
        <f>ADX64-AEA64</f>
        <v/>
      </c>
      <c r="AEC64" s="12">
        <f>ADY64+ADY63+ADY62+MAX(0,AEC63-ADY63-ADY62)*(1-ADR64)</f>
        <v/>
      </c>
      <c r="AED64" s="12">
        <f>ADZ64+ADZ63+ADZ62+MAX(0,AED63-ADZ63-ADZ62)*(1-ADR64)</f>
        <v/>
      </c>
      <c r="AEE64" s="12">
        <f>AEE63+AEA64-AEA52*(AnnualChurn*VLOOKUP(ADN64,ChurnSeasonTable,4,FALSE))*POWER(1-(AnnualChurn*VLOOKUP(ADN64,ChurnSeasonTable,4,FALSE)),0)+AEA40*(AnnualChurn*VLOOKUP(ADN64,ChurnSeasonTable,4,FALSE))*POWER(1-(AnnualChurn*VLOOKUP(ADN64,ChurnSeasonTable,4,FALSE)),1)+AEA28*(AnnualChurn*VLOOKUP(ADN64,ChurnSeasonTable,4,FALSE))*POWER(1-(AnnualChurn*VLOOKUP(ADN64,ChurnSeasonTable,4,FALSE)),2)+AEA16*(AnnualChurn*VLOOKUP(ADN64,ChurnSeasonTable,4,FALSE))*POWER(1-(AnnualChurn*VLOOKUP(ADN64,ChurnSeasonTable,4,FALSE)),3)</f>
        <v/>
      </c>
      <c r="AEF64" s="12">
        <f>AEF63+AEB64-AEB52*(AnnualChurn*VLOOKUP(ADN64,ChurnSeasonTable,4,FALSE))*POWER(1-(AnnualChurn*VLOOKUP(ADN64,ChurnSeasonTable,4,FALSE)),0)+AEB40*(AnnualChurn*VLOOKUP(ADN64,ChurnSeasonTable,4,FALSE))*POWER(1-(AnnualChurn*VLOOKUP(ADN64,ChurnSeasonTable,4,FALSE)),1)+AEB28*(AnnualChurn*VLOOKUP(ADN64,ChurnSeasonTable,4,FALSE))*POWER(1-(AnnualChurn*VLOOKUP(ADN64,ChurnSeasonTable,4,FALSE)),2)+AEB16*(AnnualChurn*VLOOKUP(ADN64,ChurnSeasonTable,4,FALSE))*POWER(1-(AnnualChurn*VLOOKUP(ADN64,ChurnSeasonTable,4,FALSE)),3)</f>
        <v/>
      </c>
      <c r="AEG64" s="12">
        <f>AEC64+AED64+AEE64+AEF64</f>
        <v/>
      </c>
      <c r="AEH64" s="9">
        <f>AEC64*PriceEssMonthly*ADQ64+AED64*PricePremMonthly*ADQ64+AEE64*PriceEssAnnual*ADQ64/12+AEF64*PricePremAnnual*ADQ64/12</f>
        <v/>
      </c>
      <c r="AEI64" s="9">
        <f>AEH64*12</f>
        <v/>
      </c>
      <c r="AEJ64" s="12">
        <f>AEC64*PriceEssMonthly*ADQ64+AED64*PricePremMonthly*ADQ64</f>
        <v/>
      </c>
      <c r="AEK64" s="12">
        <f>AEA64*PriceEssAnnual*ADQ64+AEB64*PricePremAnnual*ADQ64</f>
        <v/>
      </c>
      <c r="AEL64" s="12">
        <f>AEA52*POWER(1-(AnnualChurn*VLOOKUP(ADN64,ChurnSeasonTable,4,FALSE)),1)*PriceEssAnnual*ADQ64+AEA40*POWER(1-(AnnualChurn*VLOOKUP(ADN64,ChurnSeasonTable,4,FALSE)),2)*PriceEssAnnual*ADQ64+AEA28*POWER(1-(AnnualChurn*VLOOKUP(ADN64,ChurnSeasonTable,4,FALSE)),3)*PriceEssAnnual*ADQ64+AEA16*POWER(1-(AnnualChurn*VLOOKUP(ADN64,ChurnSeasonTable,4,FALSE)),4)*PriceEssAnnual*ADQ64+AEB52*POWER(1-(AnnualChurn*VLOOKUP(ADN64,ChurnSeasonTable,4,FALSE)),1)*PricePremAnnual*ADQ64+AEB40*POWER(1-(AnnualChurn*VLOOKUP(ADN64,ChurnSeasonTable,4,FALSE)),2)*PricePremAnnual*ADQ64+AEB28*POWER(1-(AnnualChurn*VLOOKUP(ADN64,ChurnSeasonTable,4,FALSE)),3)*PricePremAnnual*ADQ64+AEB16*POWER(1-(AnnualChurn*VLOOKUP(ADN64,ChurnSeasonTable,4,FALSE)),4)*PricePremAnnual*ADQ64</f>
        <v/>
      </c>
      <c r="AEM64" s="9">
        <f>AEJ64+AEK64+AEL64</f>
        <v/>
      </c>
      <c r="AEN64" s="12">
        <f>SUM(AEM53:AEM64)</f>
        <v/>
      </c>
      <c r="AEO64" s="12">
        <f>OR(AEO63,AEN64&gt;=VATThreshold)</f>
        <v/>
      </c>
      <c r="AEP64" s="9">
        <f>IF(AEO64,AEM64/(1+VATRate),AEM64)</f>
        <v/>
      </c>
      <c r="AEQ64" s="12">
        <f>AEM64-AEP64</f>
        <v/>
      </c>
      <c r="AER64" s="12">
        <f>IF(AEO64=0,0,IF(ADN64=1,SUMPRODUCT(--(($ADO$5:$ADO64=$ADO64-1)*($ADN$5:$ADN64&gt;=10)*($ADN$5:$ADN64&lt;=12)),$AEQ$5:$AEQ64),IF(ADN64=4,SUMPRODUCT(--(($ADO$5:$ADO64=$ADO64)*($ADN$5:$ADN64&gt;=1)*($ADN$5:$ADN64&lt;=3)),$AEQ$5:$AEQ64),IF(ADN64=7,SUMPRODUCT(--(($ADO$5:$ADO64=$ADO64)*($ADN$5:$ADN64&gt;=4)*($ADN$5:$ADN64&lt;=6)),$AEQ$5:$AEQ64),IF(ADN64=10,SUMPRODUCT(--(($ADO$5:$ADO64=$ADO64)*($ADN$5:$ADN64&gt;=7)*($ADN$5:$ADN64&lt;=9)),$AEQ$5:$AEQ64),0)))))</f>
        <v/>
      </c>
      <c r="AES64" s="12">
        <f>AES63+AEQ64-AER64</f>
        <v/>
      </c>
      <c r="AET64" s="12">
        <f>IF(ProviderDelay&gt;=1,AEP63*ProviderShare,AEP64*ProviderShare)</f>
        <v/>
      </c>
      <c r="AEU64" s="12">
        <f>AEM64*PaymentFee</f>
        <v/>
      </c>
      <c r="AEV64" s="12">
        <f>AEG64*OpsAI</f>
        <v/>
      </c>
      <c r="AEW64" s="12">
        <f>MonthlyFixed</f>
        <v/>
      </c>
      <c r="AEX64" s="12">
        <f>ADU64*ReferralReward</f>
        <v/>
      </c>
      <c r="AEY64" s="12">
        <f>ADS64</f>
        <v/>
      </c>
      <c r="AEZ64" s="9">
        <f>AEP64-AET64-AEU64-AEV64-AEW64-AEX64-AEY64</f>
        <v/>
      </c>
      <c r="AFA64" s="9">
        <f>AFA63+AEM64-(AET64+AEU64+AEV64+AEW64+AEX64+AEY64+AER64)</f>
        <v/>
      </c>
      <c r="AFB64" s="12">
        <f>IF(AEG64&gt;0,AEH64/AEG64,0)</f>
        <v/>
      </c>
      <c r="AFC64" s="11">
        <f>IF(AEG63&gt;0,MAX(0,(AEG63+ADV64-AEG64)/AEG63),0)</f>
        <v/>
      </c>
      <c r="AFE64" s="12" t="n">
        <v>60</v>
      </c>
      <c r="AFF64" s="12">
        <f>MOD(AFE64-1+LaunchMonth-1,12)+1</f>
        <v/>
      </c>
      <c r="AFG64" s="12">
        <f>INT((AFE64-1+LaunchMonth-1)/12)+1</f>
        <v/>
      </c>
      <c r="AFH64" s="12">
        <f>VLOOKUP(AFF64,SeasonTable,2,FALSE)</f>
        <v/>
      </c>
      <c r="AFI64" s="12">
        <f>(1+InflationRate)^INT((AFE64-1)/12)</f>
        <v/>
      </c>
      <c r="AFJ64" s="11">
        <f>MonthlyChurn*VLOOKUP(AFF64,ChurnSeasonTable,4,FALSE)</f>
        <v/>
      </c>
      <c r="AFK64" s="12">
        <f>MIN(MAX(MktMin19plus,AGE63*MktPct19plus),MAX(0,AGS63-CashBuffer))</f>
        <v/>
      </c>
      <c r="AFL64" s="12">
        <f>IF(AFK64&gt;0,MAX(1,ROUND(AFK64/'Sens - CAC &amp; Marketing'!$A$9*AFH64,0)),0)</f>
        <v/>
      </c>
      <c r="AFM64" s="12">
        <f>IF(AFL64&gt;0,ROUND(AFL64*ReferralMix/(1-ReferralMix),0),0)</f>
        <v/>
      </c>
      <c r="AFN64" s="12">
        <f>AFL64+AFM64</f>
        <v/>
      </c>
      <c r="AFO64" s="12">
        <f>ROUND(AFN64*(1-AnnualMix),0)</f>
        <v/>
      </c>
      <c r="AFP64" s="12">
        <f>AFN64-AFO64</f>
        <v/>
      </c>
      <c r="AFQ64" s="12">
        <f>ROUND(AFO64*EssentialMix,0)</f>
        <v/>
      </c>
      <c r="AFR64" s="12">
        <f>AFO64-AFQ64</f>
        <v/>
      </c>
      <c r="AFS64" s="12">
        <f>ROUND(AFP64*EssentialMix,0)</f>
        <v/>
      </c>
      <c r="AFT64" s="12">
        <f>AFP64-AFS64</f>
        <v/>
      </c>
      <c r="AFU64" s="12">
        <f>AFQ64+AFQ63+AFQ62+MAX(0,AFU63-AFQ63-AFQ62)*(1-AFJ64)</f>
        <v/>
      </c>
      <c r="AFV64" s="12">
        <f>AFR64+AFR63+AFR62+MAX(0,AFV63-AFR63-AFR62)*(1-AFJ64)</f>
        <v/>
      </c>
      <c r="AFW64" s="12">
        <f>AFW63+AFS64-AFS52*(AnnualChurn*VLOOKUP(AFF64,ChurnSeasonTable,4,FALSE))*POWER(1-(AnnualChurn*VLOOKUP(AFF64,ChurnSeasonTable,4,FALSE)),0)+AFS40*(AnnualChurn*VLOOKUP(AFF64,ChurnSeasonTable,4,FALSE))*POWER(1-(AnnualChurn*VLOOKUP(AFF64,ChurnSeasonTable,4,FALSE)),1)+AFS28*(AnnualChurn*VLOOKUP(AFF64,ChurnSeasonTable,4,FALSE))*POWER(1-(AnnualChurn*VLOOKUP(AFF64,ChurnSeasonTable,4,FALSE)),2)+AFS16*(AnnualChurn*VLOOKUP(AFF64,ChurnSeasonTable,4,FALSE))*POWER(1-(AnnualChurn*VLOOKUP(AFF64,ChurnSeasonTable,4,FALSE)),3)</f>
        <v/>
      </c>
      <c r="AFX64" s="12">
        <f>AFX63+AFT64-AFT52*(AnnualChurn*VLOOKUP(AFF64,ChurnSeasonTable,4,FALSE))*POWER(1-(AnnualChurn*VLOOKUP(AFF64,ChurnSeasonTable,4,FALSE)),0)+AFT40*(AnnualChurn*VLOOKUP(AFF64,ChurnSeasonTable,4,FALSE))*POWER(1-(AnnualChurn*VLOOKUP(AFF64,ChurnSeasonTable,4,FALSE)),1)+AFT28*(AnnualChurn*VLOOKUP(AFF64,ChurnSeasonTable,4,FALSE))*POWER(1-(AnnualChurn*VLOOKUP(AFF64,ChurnSeasonTable,4,FALSE)),2)+AFT16*(AnnualChurn*VLOOKUP(AFF64,ChurnSeasonTable,4,FALSE))*POWER(1-(AnnualChurn*VLOOKUP(AFF64,ChurnSeasonTable,4,FALSE)),3)</f>
        <v/>
      </c>
      <c r="AFY64" s="12">
        <f>AFU64+AFV64+AFW64+AFX64</f>
        <v/>
      </c>
      <c r="AFZ64" s="9">
        <f>AFU64*PriceEssMonthly*AFI64+AFV64*PricePremMonthly*AFI64+AFW64*PriceEssAnnual*AFI64/12+AFX64*PricePremAnnual*AFI64/12</f>
        <v/>
      </c>
      <c r="AGA64" s="9">
        <f>AFZ64*12</f>
        <v/>
      </c>
      <c r="AGB64" s="12">
        <f>AFU64*PriceEssMonthly*AFI64+AFV64*PricePremMonthly*AFI64</f>
        <v/>
      </c>
      <c r="AGC64" s="12">
        <f>AFS64*PriceEssAnnual*AFI64+AFT64*PricePremAnnual*AFI64</f>
        <v/>
      </c>
      <c r="AGD64" s="12">
        <f>AFS52*POWER(1-(AnnualChurn*VLOOKUP(AFF64,ChurnSeasonTable,4,FALSE)),1)*PriceEssAnnual*AFI64+AFS40*POWER(1-(AnnualChurn*VLOOKUP(AFF64,ChurnSeasonTable,4,FALSE)),2)*PriceEssAnnual*AFI64+AFS28*POWER(1-(AnnualChurn*VLOOKUP(AFF64,ChurnSeasonTable,4,FALSE)),3)*PriceEssAnnual*AFI64+AFS16*POWER(1-(AnnualChurn*VLOOKUP(AFF64,ChurnSeasonTable,4,FALSE)),4)*PriceEssAnnual*AFI64+AFT52*POWER(1-(AnnualChurn*VLOOKUP(AFF64,ChurnSeasonTable,4,FALSE)),1)*PricePremAnnual*AFI64+AFT40*POWER(1-(AnnualChurn*VLOOKUP(AFF64,ChurnSeasonTable,4,FALSE)),2)*PricePremAnnual*AFI64+AFT28*POWER(1-(AnnualChurn*VLOOKUP(AFF64,ChurnSeasonTable,4,FALSE)),3)*PricePremAnnual*AFI64+AFT16*POWER(1-(AnnualChurn*VLOOKUP(AFF64,ChurnSeasonTable,4,FALSE)),4)*PricePremAnnual*AFI64</f>
        <v/>
      </c>
      <c r="AGE64" s="9">
        <f>AGB64+AGC64+AGD64</f>
        <v/>
      </c>
      <c r="AGF64" s="12">
        <f>SUM(AGE53:AGE64)</f>
        <v/>
      </c>
      <c r="AGG64" s="12">
        <f>OR(AGG63,AGF64&gt;=VATThreshold)</f>
        <v/>
      </c>
      <c r="AGH64" s="9">
        <f>IF(AGG64,AGE64/(1+VATRate),AGE64)</f>
        <v/>
      </c>
      <c r="AGI64" s="12">
        <f>AGE64-AGH64</f>
        <v/>
      </c>
      <c r="AGJ64" s="12">
        <f>IF(AGG64=0,0,IF(AFF64=1,SUMPRODUCT(--(($AFG$5:$AFG64=$AFG64-1)*($AFF$5:$AFF64&gt;=10)*($AFF$5:$AFF64&lt;=12)),$AGI$5:$AGI64),IF(AFF64=4,SUMPRODUCT(--(($AFG$5:$AFG64=$AFG64)*($AFF$5:$AFF64&gt;=1)*($AFF$5:$AFF64&lt;=3)),$AGI$5:$AGI64),IF(AFF64=7,SUMPRODUCT(--(($AFG$5:$AFG64=$AFG64)*($AFF$5:$AFF64&gt;=4)*($AFF$5:$AFF64&lt;=6)),$AGI$5:$AGI64),IF(AFF64=10,SUMPRODUCT(--(($AFG$5:$AFG64=$AFG64)*($AFF$5:$AFF64&gt;=7)*($AFF$5:$AFF64&lt;=9)),$AGI$5:$AGI64),0)))))</f>
        <v/>
      </c>
      <c r="AGK64" s="12">
        <f>AGK63+AGI64-AGJ64</f>
        <v/>
      </c>
      <c r="AGL64" s="12">
        <f>IF(ProviderDelay&gt;=1,AGH63*ProviderShare,AGH64*ProviderShare)</f>
        <v/>
      </c>
      <c r="AGM64" s="12">
        <f>AGE64*PaymentFee</f>
        <v/>
      </c>
      <c r="AGN64" s="12">
        <f>AFY64*OpsAI</f>
        <v/>
      </c>
      <c r="AGO64" s="12">
        <f>MonthlyFixed</f>
        <v/>
      </c>
      <c r="AGP64" s="12">
        <f>AFM64*ReferralReward</f>
        <v/>
      </c>
      <c r="AGQ64" s="12">
        <f>AFK64</f>
        <v/>
      </c>
      <c r="AGR64" s="9">
        <f>AGH64-AGL64-AGM64-AGN64-AGO64-AGP64-AGQ64</f>
        <v/>
      </c>
      <c r="AGS64" s="9">
        <f>AGS63+AGE64-(AGL64+AGM64+AGN64+AGO64+AGP64+AGQ64+AGJ64)</f>
        <v/>
      </c>
      <c r="AGT64" s="12">
        <f>IF(AFY64&gt;0,AFZ64/AFY64,0)</f>
        <v/>
      </c>
      <c r="AGU64" s="11">
        <f>IF(AFY63&gt;0,MAX(0,(AFY63+AFN64-AFY64)/AFY63),0)</f>
        <v/>
      </c>
      <c r="AGW64" s="12" t="n">
        <v>60</v>
      </c>
      <c r="AGX64" s="12">
        <f>MOD(AGW64-1+LaunchMonth-1,12)+1</f>
        <v/>
      </c>
      <c r="AGY64" s="12">
        <f>INT((AGW64-1+LaunchMonth-1)/12)+1</f>
        <v/>
      </c>
      <c r="AGZ64" s="12">
        <f>VLOOKUP(AGX64,SeasonTable,2,FALSE)</f>
        <v/>
      </c>
      <c r="AHA64" s="12">
        <f>(1+InflationRate)^INT((AGW64-1)/12)</f>
        <v/>
      </c>
      <c r="AHB64" s="11">
        <f>MonthlyChurn*VLOOKUP(AGX64,ChurnSeasonTable,4,FALSE)</f>
        <v/>
      </c>
      <c r="AHC64" s="12">
        <f>MIN(MAX(MktMin19plus,AHW63*MktPct19plus),MAX(0,AIK63-CashBuffer))</f>
        <v/>
      </c>
      <c r="AHD64" s="12">
        <f>IF(AHC64&gt;0,MAX(1,ROUND(AHC64/'Sens - CAC &amp; Marketing'!$A$10*AGZ64,0)),0)</f>
        <v/>
      </c>
      <c r="AHE64" s="12">
        <f>IF(AHD64&gt;0,ROUND(AHD64*ReferralMix/(1-ReferralMix),0),0)</f>
        <v/>
      </c>
      <c r="AHF64" s="12">
        <f>AHD64+AHE64</f>
        <v/>
      </c>
      <c r="AHG64" s="12">
        <f>ROUND(AHF64*(1-AnnualMix),0)</f>
        <v/>
      </c>
      <c r="AHH64" s="12">
        <f>AHF64-AHG64</f>
        <v/>
      </c>
      <c r="AHI64" s="12">
        <f>ROUND(AHG64*EssentialMix,0)</f>
        <v/>
      </c>
      <c r="AHJ64" s="12">
        <f>AHG64-AHI64</f>
        <v/>
      </c>
      <c r="AHK64" s="12">
        <f>ROUND(AHH64*EssentialMix,0)</f>
        <v/>
      </c>
      <c r="AHL64" s="12">
        <f>AHH64-AHK64</f>
        <v/>
      </c>
      <c r="AHM64" s="12">
        <f>AHI64+AHI63+AHI62+MAX(0,AHM63-AHI63-AHI62)*(1-AHB64)</f>
        <v/>
      </c>
      <c r="AHN64" s="12">
        <f>AHJ64+AHJ63+AHJ62+MAX(0,AHN63-AHJ63-AHJ62)*(1-AHB64)</f>
        <v/>
      </c>
      <c r="AHO64" s="12">
        <f>AHO63+AHK64-AHK52*(AnnualChurn*VLOOKUP(AGX64,ChurnSeasonTable,4,FALSE))*POWER(1-(AnnualChurn*VLOOKUP(AGX64,ChurnSeasonTable,4,FALSE)),0)+AHK40*(AnnualChurn*VLOOKUP(AGX64,ChurnSeasonTable,4,FALSE))*POWER(1-(AnnualChurn*VLOOKUP(AGX64,ChurnSeasonTable,4,FALSE)),1)+AHK28*(AnnualChurn*VLOOKUP(AGX64,ChurnSeasonTable,4,FALSE))*POWER(1-(AnnualChurn*VLOOKUP(AGX64,ChurnSeasonTable,4,FALSE)),2)+AHK16*(AnnualChurn*VLOOKUP(AGX64,ChurnSeasonTable,4,FALSE))*POWER(1-(AnnualChurn*VLOOKUP(AGX64,ChurnSeasonTable,4,FALSE)),3)</f>
        <v/>
      </c>
      <c r="AHP64" s="12">
        <f>AHP63+AHL64-AHL52*(AnnualChurn*VLOOKUP(AGX64,ChurnSeasonTable,4,FALSE))*POWER(1-(AnnualChurn*VLOOKUP(AGX64,ChurnSeasonTable,4,FALSE)),0)+AHL40*(AnnualChurn*VLOOKUP(AGX64,ChurnSeasonTable,4,FALSE))*POWER(1-(AnnualChurn*VLOOKUP(AGX64,ChurnSeasonTable,4,FALSE)),1)+AHL28*(AnnualChurn*VLOOKUP(AGX64,ChurnSeasonTable,4,FALSE))*POWER(1-(AnnualChurn*VLOOKUP(AGX64,ChurnSeasonTable,4,FALSE)),2)+AHL16*(AnnualChurn*VLOOKUP(AGX64,ChurnSeasonTable,4,FALSE))*POWER(1-(AnnualChurn*VLOOKUP(AGX64,ChurnSeasonTable,4,FALSE)),3)</f>
        <v/>
      </c>
      <c r="AHQ64" s="12">
        <f>AHM64+AHN64+AHO64+AHP64</f>
        <v/>
      </c>
      <c r="AHR64" s="9">
        <f>AHM64*PriceEssMonthly*AHA64+AHN64*PricePremMonthly*AHA64+AHO64*PriceEssAnnual*AHA64/12+AHP64*PricePremAnnual*AHA64/12</f>
        <v/>
      </c>
      <c r="AHS64" s="9">
        <f>AHR64*12</f>
        <v/>
      </c>
      <c r="AHT64" s="12">
        <f>AHM64*PriceEssMonthly*AHA64+AHN64*PricePremMonthly*AHA64</f>
        <v/>
      </c>
      <c r="AHU64" s="12">
        <f>AHK64*PriceEssAnnual*AHA64+AHL64*PricePremAnnual*AHA64</f>
        <v/>
      </c>
      <c r="AHV64" s="12">
        <f>AHK52*POWER(1-(AnnualChurn*VLOOKUP(AGX64,ChurnSeasonTable,4,FALSE)),1)*PriceEssAnnual*AHA64+AHK40*POWER(1-(AnnualChurn*VLOOKUP(AGX64,ChurnSeasonTable,4,FALSE)),2)*PriceEssAnnual*AHA64+AHK28*POWER(1-(AnnualChurn*VLOOKUP(AGX64,ChurnSeasonTable,4,FALSE)),3)*PriceEssAnnual*AHA64+AHK16*POWER(1-(AnnualChurn*VLOOKUP(AGX64,ChurnSeasonTable,4,FALSE)),4)*PriceEssAnnual*AHA64+AHL52*POWER(1-(AnnualChurn*VLOOKUP(AGX64,ChurnSeasonTable,4,FALSE)),1)*PricePremAnnual*AHA64+AHL40*POWER(1-(AnnualChurn*VLOOKUP(AGX64,ChurnSeasonTable,4,FALSE)),2)*PricePremAnnual*AHA64+AHL28*POWER(1-(AnnualChurn*VLOOKUP(AGX64,ChurnSeasonTable,4,FALSE)),3)*PricePremAnnual*AHA64+AHL16*POWER(1-(AnnualChurn*VLOOKUP(AGX64,ChurnSeasonTable,4,FALSE)),4)*PricePremAnnual*AHA64</f>
        <v/>
      </c>
      <c r="AHW64" s="9">
        <f>AHT64+AHU64+AHV64</f>
        <v/>
      </c>
      <c r="AHX64" s="12">
        <f>SUM(AHW53:AHW64)</f>
        <v/>
      </c>
      <c r="AHY64" s="12">
        <f>OR(AHY63,AHX64&gt;=VATThreshold)</f>
        <v/>
      </c>
      <c r="AHZ64" s="9">
        <f>IF(AHY64,AHW64/(1+VATRate),AHW64)</f>
        <v/>
      </c>
      <c r="AIA64" s="12">
        <f>AHW64-AHZ64</f>
        <v/>
      </c>
      <c r="AIB64" s="12">
        <f>IF(AHY64=0,0,IF(AGX64=1,SUMPRODUCT(--(($AGY$5:$AGY64=$AGY64-1)*($AGX$5:$AGX64&gt;=10)*($AGX$5:$AGX64&lt;=12)),$AIA$5:$AIA64),IF(AGX64=4,SUMPRODUCT(--(($AGY$5:$AGY64=$AGY64)*($AGX$5:$AGX64&gt;=1)*($AGX$5:$AGX64&lt;=3)),$AIA$5:$AIA64),IF(AGX64=7,SUMPRODUCT(--(($AGY$5:$AGY64=$AGY64)*($AGX$5:$AGX64&gt;=4)*($AGX$5:$AGX64&lt;=6)),$AIA$5:$AIA64),IF(AGX64=10,SUMPRODUCT(--(($AGY$5:$AGY64=$AGY64)*($AGX$5:$AGX64&gt;=7)*($AGX$5:$AGX64&lt;=9)),$AIA$5:$AIA64),0)))))</f>
        <v/>
      </c>
      <c r="AIC64" s="12">
        <f>AIC63+AIA64-AIB64</f>
        <v/>
      </c>
      <c r="AID64" s="12">
        <f>IF(ProviderDelay&gt;=1,AHZ63*ProviderShare,AHZ64*ProviderShare)</f>
        <v/>
      </c>
      <c r="AIE64" s="12">
        <f>AHW64*PaymentFee</f>
        <v/>
      </c>
      <c r="AIF64" s="12">
        <f>AHQ64*OpsAI</f>
        <v/>
      </c>
      <c r="AIG64" s="12">
        <f>MonthlyFixed</f>
        <v/>
      </c>
      <c r="AIH64" s="12">
        <f>AHE64*ReferralReward</f>
        <v/>
      </c>
      <c r="AII64" s="12">
        <f>AHC64</f>
        <v/>
      </c>
      <c r="AIJ64" s="9">
        <f>AHZ64-AID64-AIE64-AIF64-AIG64-AIH64-AII64</f>
        <v/>
      </c>
      <c r="AIK64" s="9">
        <f>AIK63+AHW64-(AID64+AIE64+AIF64+AIG64+AIH64+AII64+AIB64)</f>
        <v/>
      </c>
      <c r="AIL64" s="12">
        <f>IF(AHQ64&gt;0,AHR64/AHQ64,0)</f>
        <v/>
      </c>
      <c r="AIM64" s="11">
        <f>IF(AHQ63&gt;0,MAX(0,(AHQ63+AHF64-AHQ64)/AHQ63),0)</f>
        <v/>
      </c>
      <c r="AIO64" s="12" t="n">
        <v>60</v>
      </c>
      <c r="AIP64" s="12">
        <f>MOD(AIO64-1+LaunchMonth-1,12)+1</f>
        <v/>
      </c>
      <c r="AIQ64" s="12">
        <f>INT((AIO64-1+LaunchMonth-1)/12)+1</f>
        <v/>
      </c>
      <c r="AIR64" s="12">
        <f>VLOOKUP(AIP64,SeasonTable,2,FALSE)</f>
        <v/>
      </c>
      <c r="AIS64" s="12">
        <f>(1+InflationRate)^INT((AIO64-1)/12)</f>
        <v/>
      </c>
      <c r="AIT64" s="11">
        <f>MonthlyChurn*VLOOKUP(AIP64,ChurnSeasonTable,4,FALSE)</f>
        <v/>
      </c>
      <c r="AIU64" s="12">
        <f>MIN(MAX(MktMin19plus,AJO63*MktPct19plus),MAX(0,AKC63-CashBuffer))</f>
        <v/>
      </c>
      <c r="AIV64" s="12">
        <f>IF(AIU64&gt;0,MAX(1,ROUND(AIU64/'Sens - CAC &amp; Marketing'!$A$11*AIR64,0)),0)</f>
        <v/>
      </c>
      <c r="AIW64" s="12">
        <f>IF(AIV64&gt;0,ROUND(AIV64*ReferralMix/(1-ReferralMix),0),0)</f>
        <v/>
      </c>
      <c r="AIX64" s="12">
        <f>AIV64+AIW64</f>
        <v/>
      </c>
      <c r="AIY64" s="12">
        <f>ROUND(AIX64*(1-AnnualMix),0)</f>
        <v/>
      </c>
      <c r="AIZ64" s="12">
        <f>AIX64-AIY64</f>
        <v/>
      </c>
      <c r="AJA64" s="12">
        <f>ROUND(AIY64*EssentialMix,0)</f>
        <v/>
      </c>
      <c r="AJB64" s="12">
        <f>AIY64-AJA64</f>
        <v/>
      </c>
      <c r="AJC64" s="12">
        <f>ROUND(AIZ64*EssentialMix,0)</f>
        <v/>
      </c>
      <c r="AJD64" s="12">
        <f>AIZ64-AJC64</f>
        <v/>
      </c>
      <c r="AJE64" s="12">
        <f>AJA64+AJA63+AJA62+MAX(0,AJE63-AJA63-AJA62)*(1-AIT64)</f>
        <v/>
      </c>
      <c r="AJF64" s="12">
        <f>AJB64+AJB63+AJB62+MAX(0,AJF63-AJB63-AJB62)*(1-AIT64)</f>
        <v/>
      </c>
      <c r="AJG64" s="12">
        <f>AJG63+AJC64-AJC52*(AnnualChurn*VLOOKUP(AIP64,ChurnSeasonTable,4,FALSE))*POWER(1-(AnnualChurn*VLOOKUP(AIP64,ChurnSeasonTable,4,FALSE)),0)+AJC40*(AnnualChurn*VLOOKUP(AIP64,ChurnSeasonTable,4,FALSE))*POWER(1-(AnnualChurn*VLOOKUP(AIP64,ChurnSeasonTable,4,FALSE)),1)+AJC28*(AnnualChurn*VLOOKUP(AIP64,ChurnSeasonTable,4,FALSE))*POWER(1-(AnnualChurn*VLOOKUP(AIP64,ChurnSeasonTable,4,FALSE)),2)+AJC16*(AnnualChurn*VLOOKUP(AIP64,ChurnSeasonTable,4,FALSE))*POWER(1-(AnnualChurn*VLOOKUP(AIP64,ChurnSeasonTable,4,FALSE)),3)</f>
        <v/>
      </c>
      <c r="AJH64" s="12">
        <f>AJH63+AJD64-AJD52*(AnnualChurn*VLOOKUP(AIP64,ChurnSeasonTable,4,FALSE))*POWER(1-(AnnualChurn*VLOOKUP(AIP64,ChurnSeasonTable,4,FALSE)),0)+AJD40*(AnnualChurn*VLOOKUP(AIP64,ChurnSeasonTable,4,FALSE))*POWER(1-(AnnualChurn*VLOOKUP(AIP64,ChurnSeasonTable,4,FALSE)),1)+AJD28*(AnnualChurn*VLOOKUP(AIP64,ChurnSeasonTable,4,FALSE))*POWER(1-(AnnualChurn*VLOOKUP(AIP64,ChurnSeasonTable,4,FALSE)),2)+AJD16*(AnnualChurn*VLOOKUP(AIP64,ChurnSeasonTable,4,FALSE))*POWER(1-(AnnualChurn*VLOOKUP(AIP64,ChurnSeasonTable,4,FALSE)),3)</f>
        <v/>
      </c>
      <c r="AJI64" s="12">
        <f>AJE64+AJF64+AJG64+AJH64</f>
        <v/>
      </c>
      <c r="AJJ64" s="9">
        <f>AJE64*PriceEssMonthly*AIS64+AJF64*PricePremMonthly*AIS64+AJG64*PriceEssAnnual*AIS64/12+AJH64*PricePremAnnual*AIS64/12</f>
        <v/>
      </c>
      <c r="AJK64" s="9">
        <f>AJJ64*12</f>
        <v/>
      </c>
      <c r="AJL64" s="12">
        <f>AJE64*PriceEssMonthly*AIS64+AJF64*PricePremMonthly*AIS64</f>
        <v/>
      </c>
      <c r="AJM64" s="12">
        <f>AJC64*PriceEssAnnual*AIS64+AJD64*PricePremAnnual*AIS64</f>
        <v/>
      </c>
      <c r="AJN64" s="12">
        <f>AJC52*POWER(1-(AnnualChurn*VLOOKUP(AIP64,ChurnSeasonTable,4,FALSE)),1)*PriceEssAnnual*AIS64+AJC40*POWER(1-(AnnualChurn*VLOOKUP(AIP64,ChurnSeasonTable,4,FALSE)),2)*PriceEssAnnual*AIS64+AJC28*POWER(1-(AnnualChurn*VLOOKUP(AIP64,ChurnSeasonTable,4,FALSE)),3)*PriceEssAnnual*AIS64+AJC16*POWER(1-(AnnualChurn*VLOOKUP(AIP64,ChurnSeasonTable,4,FALSE)),4)*PriceEssAnnual*AIS64+AJD52*POWER(1-(AnnualChurn*VLOOKUP(AIP64,ChurnSeasonTable,4,FALSE)),1)*PricePremAnnual*AIS64+AJD40*POWER(1-(AnnualChurn*VLOOKUP(AIP64,ChurnSeasonTable,4,FALSE)),2)*PricePremAnnual*AIS64+AJD28*POWER(1-(AnnualChurn*VLOOKUP(AIP64,ChurnSeasonTable,4,FALSE)),3)*PricePremAnnual*AIS64+AJD16*POWER(1-(AnnualChurn*VLOOKUP(AIP64,ChurnSeasonTable,4,FALSE)),4)*PricePremAnnual*AIS64</f>
        <v/>
      </c>
      <c r="AJO64" s="9">
        <f>AJL64+AJM64+AJN64</f>
        <v/>
      </c>
      <c r="AJP64" s="12">
        <f>SUM(AJO53:AJO64)</f>
        <v/>
      </c>
      <c r="AJQ64" s="12">
        <f>OR(AJQ63,AJP64&gt;=VATThreshold)</f>
        <v/>
      </c>
      <c r="AJR64" s="9">
        <f>IF(AJQ64,AJO64/(1+VATRate),AJO64)</f>
        <v/>
      </c>
      <c r="AJS64" s="12">
        <f>AJO64-AJR64</f>
        <v/>
      </c>
      <c r="AJT64" s="12">
        <f>IF(AJQ64=0,0,IF(AIP64=1,SUMPRODUCT(--(($AIQ$5:$AIQ64=$AIQ64-1)*($AIP$5:$AIP64&gt;=10)*($AIP$5:$AIP64&lt;=12)),$AJS$5:$AJS64),IF(AIP64=4,SUMPRODUCT(--(($AIQ$5:$AIQ64=$AIQ64)*($AIP$5:$AIP64&gt;=1)*($AIP$5:$AIP64&lt;=3)),$AJS$5:$AJS64),IF(AIP64=7,SUMPRODUCT(--(($AIQ$5:$AIQ64=$AIQ64)*($AIP$5:$AIP64&gt;=4)*($AIP$5:$AIP64&lt;=6)),$AJS$5:$AJS64),IF(AIP64=10,SUMPRODUCT(--(($AIQ$5:$AIQ64=$AIQ64)*($AIP$5:$AIP64&gt;=7)*($AIP$5:$AIP64&lt;=9)),$AJS$5:$AJS64),0)))))</f>
        <v/>
      </c>
      <c r="AJU64" s="12">
        <f>AJU63+AJS64-AJT64</f>
        <v/>
      </c>
      <c r="AJV64" s="12">
        <f>IF(ProviderDelay&gt;=1,AJR63*ProviderShare,AJR64*ProviderShare)</f>
        <v/>
      </c>
      <c r="AJW64" s="12">
        <f>AJO64*PaymentFee</f>
        <v/>
      </c>
      <c r="AJX64" s="12">
        <f>AJI64*OpsAI</f>
        <v/>
      </c>
      <c r="AJY64" s="12">
        <f>MonthlyFixed</f>
        <v/>
      </c>
      <c r="AJZ64" s="12">
        <f>AIW64*ReferralReward</f>
        <v/>
      </c>
      <c r="AKA64" s="12">
        <f>AIU64</f>
        <v/>
      </c>
      <c r="AKB64" s="9">
        <f>AJR64-AJV64-AJW64-AJX64-AJY64-AJZ64-AKA64</f>
        <v/>
      </c>
      <c r="AKC64" s="9">
        <f>AKC63+AJO64-(AJV64+AJW64+AJX64+AJY64+AJZ64+AKA64+AJT64)</f>
        <v/>
      </c>
      <c r="AKD64" s="12">
        <f>IF(AJI64&gt;0,AJJ64/AJI64,0)</f>
        <v/>
      </c>
      <c r="AKE64" s="11">
        <f>IF(AJI63&gt;0,MAX(0,(AJI63+AIX64-AJI64)/AJI63),0)</f>
        <v/>
      </c>
      <c r="AKG64" s="12" t="n">
        <v>60</v>
      </c>
      <c r="AKH64" s="12">
        <f>MOD(AKG64-1+LaunchMonth-1,12)+1</f>
        <v/>
      </c>
      <c r="AKI64" s="12">
        <f>INT((AKG64-1+LaunchMonth-1)/12)+1</f>
        <v/>
      </c>
      <c r="AKJ64" s="12">
        <f>VLOOKUP(AKH64,SeasonTable,2,FALSE)</f>
        <v/>
      </c>
      <c r="AKK64" s="12">
        <f>(1+InflationRate)^INT((AKG64-1)/12)</f>
        <v/>
      </c>
      <c r="AKL64" s="11">
        <f>MonthlyChurn*VLOOKUP(AKH64,ChurnSeasonTable,4,FALSE)</f>
        <v/>
      </c>
      <c r="AKM64" s="12">
        <f>MIN(MAX(MktMin19plus,ALG63*MktPct19plus),MAX(0,ALU63-CashBuffer))</f>
        <v/>
      </c>
      <c r="AKN64" s="12">
        <f>IF(AKM64&gt;0,MAX(1,ROUND(AKM64/'Sens - CAC &amp; Marketing'!$A$12*AKJ64,0)),0)</f>
        <v/>
      </c>
      <c r="AKO64" s="12">
        <f>IF(AKN64&gt;0,ROUND(AKN64*ReferralMix/(1-ReferralMix),0),0)</f>
        <v/>
      </c>
      <c r="AKP64" s="12">
        <f>AKN64+AKO64</f>
        <v/>
      </c>
      <c r="AKQ64" s="12">
        <f>ROUND(AKP64*(1-AnnualMix),0)</f>
        <v/>
      </c>
      <c r="AKR64" s="12">
        <f>AKP64-AKQ64</f>
        <v/>
      </c>
      <c r="AKS64" s="12">
        <f>ROUND(AKQ64*EssentialMix,0)</f>
        <v/>
      </c>
      <c r="AKT64" s="12">
        <f>AKQ64-AKS64</f>
        <v/>
      </c>
      <c r="AKU64" s="12">
        <f>ROUND(AKR64*EssentialMix,0)</f>
        <v/>
      </c>
      <c r="AKV64" s="12">
        <f>AKR64-AKU64</f>
        <v/>
      </c>
      <c r="AKW64" s="12">
        <f>AKS64+AKS63+AKS62+MAX(0,AKW63-AKS63-AKS62)*(1-AKL64)</f>
        <v/>
      </c>
      <c r="AKX64" s="12">
        <f>AKT64+AKT63+AKT62+MAX(0,AKX63-AKT63-AKT62)*(1-AKL64)</f>
        <v/>
      </c>
      <c r="AKY64" s="12">
        <f>AKY63+AKU64-AKU52*(AnnualChurn*VLOOKUP(AKH64,ChurnSeasonTable,4,FALSE))*POWER(1-(AnnualChurn*VLOOKUP(AKH64,ChurnSeasonTable,4,FALSE)),0)+AKU40*(AnnualChurn*VLOOKUP(AKH64,ChurnSeasonTable,4,FALSE))*POWER(1-(AnnualChurn*VLOOKUP(AKH64,ChurnSeasonTable,4,FALSE)),1)+AKU28*(AnnualChurn*VLOOKUP(AKH64,ChurnSeasonTable,4,FALSE))*POWER(1-(AnnualChurn*VLOOKUP(AKH64,ChurnSeasonTable,4,FALSE)),2)+AKU16*(AnnualChurn*VLOOKUP(AKH64,ChurnSeasonTable,4,FALSE))*POWER(1-(AnnualChurn*VLOOKUP(AKH64,ChurnSeasonTable,4,FALSE)),3)</f>
        <v/>
      </c>
      <c r="AKZ64" s="12">
        <f>AKZ63+AKV64-AKV52*(AnnualChurn*VLOOKUP(AKH64,ChurnSeasonTable,4,FALSE))*POWER(1-(AnnualChurn*VLOOKUP(AKH64,ChurnSeasonTable,4,FALSE)),0)+AKV40*(AnnualChurn*VLOOKUP(AKH64,ChurnSeasonTable,4,FALSE))*POWER(1-(AnnualChurn*VLOOKUP(AKH64,ChurnSeasonTable,4,FALSE)),1)+AKV28*(AnnualChurn*VLOOKUP(AKH64,ChurnSeasonTable,4,FALSE))*POWER(1-(AnnualChurn*VLOOKUP(AKH64,ChurnSeasonTable,4,FALSE)),2)+AKV16*(AnnualChurn*VLOOKUP(AKH64,ChurnSeasonTable,4,FALSE))*POWER(1-(AnnualChurn*VLOOKUP(AKH64,ChurnSeasonTable,4,FALSE)),3)</f>
        <v/>
      </c>
      <c r="ALA64" s="12">
        <f>AKW64+AKX64+AKY64+AKZ64</f>
        <v/>
      </c>
      <c r="ALB64" s="9">
        <f>AKW64*PriceEssMonthly*AKK64+AKX64*PricePremMonthly*AKK64+AKY64*PriceEssAnnual*AKK64/12+AKZ64*PricePremAnnual*AKK64/12</f>
        <v/>
      </c>
      <c r="ALC64" s="9">
        <f>ALB64*12</f>
        <v/>
      </c>
      <c r="ALD64" s="12">
        <f>AKW64*PriceEssMonthly*AKK64+AKX64*PricePremMonthly*AKK64</f>
        <v/>
      </c>
      <c r="ALE64" s="12">
        <f>AKU64*PriceEssAnnual*AKK64+AKV64*PricePremAnnual*AKK64</f>
        <v/>
      </c>
      <c r="ALF64" s="12">
        <f>AKU52*POWER(1-(AnnualChurn*VLOOKUP(AKH64,ChurnSeasonTable,4,FALSE)),1)*PriceEssAnnual*AKK64+AKU40*POWER(1-(AnnualChurn*VLOOKUP(AKH64,ChurnSeasonTable,4,FALSE)),2)*PriceEssAnnual*AKK64+AKU28*POWER(1-(AnnualChurn*VLOOKUP(AKH64,ChurnSeasonTable,4,FALSE)),3)*PriceEssAnnual*AKK64+AKU16*POWER(1-(AnnualChurn*VLOOKUP(AKH64,ChurnSeasonTable,4,FALSE)),4)*PriceEssAnnual*AKK64+AKV52*POWER(1-(AnnualChurn*VLOOKUP(AKH64,ChurnSeasonTable,4,FALSE)),1)*PricePremAnnual*AKK64+AKV40*POWER(1-(AnnualChurn*VLOOKUP(AKH64,ChurnSeasonTable,4,FALSE)),2)*PricePremAnnual*AKK64+AKV28*POWER(1-(AnnualChurn*VLOOKUP(AKH64,ChurnSeasonTable,4,FALSE)),3)*PricePremAnnual*AKK64+AKV16*POWER(1-(AnnualChurn*VLOOKUP(AKH64,ChurnSeasonTable,4,FALSE)),4)*PricePremAnnual*AKK64</f>
        <v/>
      </c>
      <c r="ALG64" s="9">
        <f>ALD64+ALE64+ALF64</f>
        <v/>
      </c>
      <c r="ALH64" s="12">
        <f>SUM(ALG53:ALG64)</f>
        <v/>
      </c>
      <c r="ALI64" s="12">
        <f>OR(ALI63,ALH64&gt;=VATThreshold)</f>
        <v/>
      </c>
      <c r="ALJ64" s="9">
        <f>IF(ALI64,ALG64/(1+VATRate),ALG64)</f>
        <v/>
      </c>
      <c r="ALK64" s="12">
        <f>ALG64-ALJ64</f>
        <v/>
      </c>
      <c r="ALL64" s="12">
        <f>IF(ALI64=0,0,IF(AKH64=1,SUMPRODUCT(--(($AKI$5:$AKI64=$AKI64-1)*($AKH$5:$AKH64&gt;=10)*($AKH$5:$AKH64&lt;=12)),$ALK$5:$ALK64),IF(AKH64=4,SUMPRODUCT(--(($AKI$5:$AKI64=$AKI64)*($AKH$5:$AKH64&gt;=1)*($AKH$5:$AKH64&lt;=3)),$ALK$5:$ALK64),IF(AKH64=7,SUMPRODUCT(--(($AKI$5:$AKI64=$AKI64)*($AKH$5:$AKH64&gt;=4)*($AKH$5:$AKH64&lt;=6)),$ALK$5:$ALK64),IF(AKH64=10,SUMPRODUCT(--(($AKI$5:$AKI64=$AKI64)*($AKH$5:$AKH64&gt;=7)*($AKH$5:$AKH64&lt;=9)),$ALK$5:$ALK64),0)))))</f>
        <v/>
      </c>
      <c r="ALM64" s="12">
        <f>ALM63+ALK64-ALL64</f>
        <v/>
      </c>
      <c r="ALN64" s="12">
        <f>IF(ProviderDelay&gt;=1,ALJ63*ProviderShare,ALJ64*ProviderShare)</f>
        <v/>
      </c>
      <c r="ALO64" s="12">
        <f>ALG64*PaymentFee</f>
        <v/>
      </c>
      <c r="ALP64" s="12">
        <f>ALA64*OpsAI</f>
        <v/>
      </c>
      <c r="ALQ64" s="12">
        <f>MonthlyFixed</f>
        <v/>
      </c>
      <c r="ALR64" s="12">
        <f>AKO64*ReferralReward</f>
        <v/>
      </c>
      <c r="ALS64" s="12">
        <f>AKM64</f>
        <v/>
      </c>
      <c r="ALT64" s="9">
        <f>ALJ64-ALN64-ALO64-ALP64-ALQ64-ALR64-ALS64</f>
        <v/>
      </c>
      <c r="ALU64" s="9">
        <f>ALU63+ALG64-(ALN64+ALO64+ALP64+ALQ64+ALR64+ALS64+ALL64)</f>
        <v/>
      </c>
      <c r="ALV64" s="12">
        <f>IF(ALA64&gt;0,ALB64/ALA64,0)</f>
        <v/>
      </c>
      <c r="ALW64" s="11">
        <f>IF(ALA63&gt;0,MAX(0,(ALA63+AKP64-ALA64)/ALA63),0)</f>
        <v/>
      </c>
      <c r="ALY64" s="12" t="n">
        <v>60</v>
      </c>
      <c r="ALZ64" s="12">
        <f>MOD(ALY64-1+LaunchMonth-1,12)+1</f>
        <v/>
      </c>
      <c r="AMA64" s="12">
        <f>INT((ALY64-1+LaunchMonth-1)/12)+1</f>
        <v/>
      </c>
      <c r="AMB64" s="12">
        <f>VLOOKUP(ALZ64,SeasonTable,2,FALSE)</f>
        <v/>
      </c>
      <c r="AMC64" s="12">
        <f>(1+InflationRate)^INT((ALY64-1)/12)</f>
        <v/>
      </c>
      <c r="AMD64" s="11">
        <f>MonthlyChurn*VLOOKUP(ALZ64,ChurnSeasonTable,4,FALSE)</f>
        <v/>
      </c>
      <c r="AME64" s="12">
        <f>MIN(MAX(MktMin19plus,AMY63*MktPct19plus),MAX(0,ANM63-CashBuffer))</f>
        <v/>
      </c>
      <c r="AMF64" s="12">
        <f>IF(AME64&gt;0,MAX(1,ROUND(AME64/'Sens - CAC &amp; Marketing'!$A$13*AMB64,0)),0)</f>
        <v/>
      </c>
      <c r="AMG64" s="12">
        <f>IF(AMF64&gt;0,ROUND(AMF64*ReferralMix/(1-ReferralMix),0),0)</f>
        <v/>
      </c>
      <c r="AMH64" s="12">
        <f>AMF64+AMG64</f>
        <v/>
      </c>
      <c r="AMI64" s="12">
        <f>ROUND(AMH64*(1-AnnualMix),0)</f>
        <v/>
      </c>
      <c r="AMJ64" s="12">
        <f>AMH64-AMI64</f>
        <v/>
      </c>
      <c r="AMK64" s="12">
        <f>ROUND(AMI64*EssentialMix,0)</f>
        <v/>
      </c>
      <c r="AML64" s="12">
        <f>AMI64-AMK64</f>
        <v/>
      </c>
      <c r="AMM64" s="12">
        <f>ROUND(AMJ64*EssentialMix,0)</f>
        <v/>
      </c>
      <c r="AMN64" s="12">
        <f>AMJ64-AMM64</f>
        <v/>
      </c>
      <c r="AMO64" s="12">
        <f>AMK64+AMK63+AMK62+MAX(0,AMO63-AMK63-AMK62)*(1-AMD64)</f>
        <v/>
      </c>
      <c r="AMP64" s="12">
        <f>AML64+AML63+AML62+MAX(0,AMP63-AML63-AML62)*(1-AMD64)</f>
        <v/>
      </c>
      <c r="AMQ64" s="12">
        <f>AMQ63+AMM64-AMM52*(AnnualChurn*VLOOKUP(ALZ64,ChurnSeasonTable,4,FALSE))*POWER(1-(AnnualChurn*VLOOKUP(ALZ64,ChurnSeasonTable,4,FALSE)),0)+AMM40*(AnnualChurn*VLOOKUP(ALZ64,ChurnSeasonTable,4,FALSE))*POWER(1-(AnnualChurn*VLOOKUP(ALZ64,ChurnSeasonTable,4,FALSE)),1)+AMM28*(AnnualChurn*VLOOKUP(ALZ64,ChurnSeasonTable,4,FALSE))*POWER(1-(AnnualChurn*VLOOKUP(ALZ64,ChurnSeasonTable,4,FALSE)),2)+AMM16*(AnnualChurn*VLOOKUP(ALZ64,ChurnSeasonTable,4,FALSE))*POWER(1-(AnnualChurn*VLOOKUP(ALZ64,ChurnSeasonTable,4,FALSE)),3)</f>
        <v/>
      </c>
      <c r="AMR64" s="12">
        <f>AMR63+AMN64-AMN52*(AnnualChurn*VLOOKUP(ALZ64,ChurnSeasonTable,4,FALSE))*POWER(1-(AnnualChurn*VLOOKUP(ALZ64,ChurnSeasonTable,4,FALSE)),0)+AMN40*(AnnualChurn*VLOOKUP(ALZ64,ChurnSeasonTable,4,FALSE))*POWER(1-(AnnualChurn*VLOOKUP(ALZ64,ChurnSeasonTable,4,FALSE)),1)+AMN28*(AnnualChurn*VLOOKUP(ALZ64,ChurnSeasonTable,4,FALSE))*POWER(1-(AnnualChurn*VLOOKUP(ALZ64,ChurnSeasonTable,4,FALSE)),2)+AMN16*(AnnualChurn*VLOOKUP(ALZ64,ChurnSeasonTable,4,FALSE))*POWER(1-(AnnualChurn*VLOOKUP(ALZ64,ChurnSeasonTable,4,FALSE)),3)</f>
        <v/>
      </c>
      <c r="AMS64" s="12">
        <f>AMO64+AMP64+AMQ64+AMR64</f>
        <v/>
      </c>
      <c r="AMT64" s="9">
        <f>AMO64*PriceEssMonthly*AMC64+AMP64*PricePremMonthly*AMC64+AMQ64*PriceEssAnnual*AMC64/12+AMR64*PricePremAnnual*AMC64/12</f>
        <v/>
      </c>
      <c r="AMU64" s="9">
        <f>AMT64*12</f>
        <v/>
      </c>
      <c r="AMV64" s="12">
        <f>AMO64*PriceEssMonthly*AMC64+AMP64*PricePremMonthly*AMC64</f>
        <v/>
      </c>
      <c r="AMW64" s="12">
        <f>AMM64*PriceEssAnnual*AMC64+AMN64*PricePremAnnual*AMC64</f>
        <v/>
      </c>
      <c r="AMX64" s="12">
        <f>AMM52*POWER(1-(AnnualChurn*VLOOKUP(ALZ64,ChurnSeasonTable,4,FALSE)),1)*PriceEssAnnual*AMC64+AMM40*POWER(1-(AnnualChurn*VLOOKUP(ALZ64,ChurnSeasonTable,4,FALSE)),2)*PriceEssAnnual*AMC64+AMM28*POWER(1-(AnnualChurn*VLOOKUP(ALZ64,ChurnSeasonTable,4,FALSE)),3)*PriceEssAnnual*AMC64+AMM16*POWER(1-(AnnualChurn*VLOOKUP(ALZ64,ChurnSeasonTable,4,FALSE)),4)*PriceEssAnnual*AMC64+AMN52*POWER(1-(AnnualChurn*VLOOKUP(ALZ64,ChurnSeasonTable,4,FALSE)),1)*PricePremAnnual*AMC64+AMN40*POWER(1-(AnnualChurn*VLOOKUP(ALZ64,ChurnSeasonTable,4,FALSE)),2)*PricePremAnnual*AMC64+AMN28*POWER(1-(AnnualChurn*VLOOKUP(ALZ64,ChurnSeasonTable,4,FALSE)),3)*PricePremAnnual*AMC64+AMN16*POWER(1-(AnnualChurn*VLOOKUP(ALZ64,ChurnSeasonTable,4,FALSE)),4)*PricePremAnnual*AMC64</f>
        <v/>
      </c>
      <c r="AMY64" s="9">
        <f>AMV64+AMW64+AMX64</f>
        <v/>
      </c>
      <c r="AMZ64" s="12">
        <f>SUM(AMY53:AMY64)</f>
        <v/>
      </c>
      <c r="ANA64" s="12">
        <f>OR(ANA63,AMZ64&gt;=VATThreshold)</f>
        <v/>
      </c>
      <c r="ANB64" s="9">
        <f>IF(ANA64,AMY64/(1+VATRate),AMY64)</f>
        <v/>
      </c>
      <c r="ANC64" s="12">
        <f>AMY64-ANB64</f>
        <v/>
      </c>
      <c r="AND64" s="12">
        <f>IF(ANA64=0,0,IF(ALZ64=1,SUMPRODUCT(--(($AMA$5:$AMA64=$AMA64-1)*($ALZ$5:$ALZ64&gt;=10)*($ALZ$5:$ALZ64&lt;=12)),$ANC$5:$ANC64),IF(ALZ64=4,SUMPRODUCT(--(($AMA$5:$AMA64=$AMA64)*($ALZ$5:$ALZ64&gt;=1)*($ALZ$5:$ALZ64&lt;=3)),$ANC$5:$ANC64),IF(ALZ64=7,SUMPRODUCT(--(($AMA$5:$AMA64=$AMA64)*($ALZ$5:$ALZ64&gt;=4)*($ALZ$5:$ALZ64&lt;=6)),$ANC$5:$ANC64),IF(ALZ64=10,SUMPRODUCT(--(($AMA$5:$AMA64=$AMA64)*($ALZ$5:$ALZ64&gt;=7)*($ALZ$5:$ALZ64&lt;=9)),$ANC$5:$ANC64),0)))))</f>
        <v/>
      </c>
      <c r="ANE64" s="12">
        <f>ANE63+ANC64-AND64</f>
        <v/>
      </c>
      <c r="ANF64" s="12">
        <f>IF(ProviderDelay&gt;=1,ANB63*ProviderShare,ANB64*ProviderShare)</f>
        <v/>
      </c>
      <c r="ANG64" s="12">
        <f>AMY64*PaymentFee</f>
        <v/>
      </c>
      <c r="ANH64" s="12">
        <f>AMS64*OpsAI</f>
        <v/>
      </c>
      <c r="ANI64" s="12">
        <f>MonthlyFixed</f>
        <v/>
      </c>
      <c r="ANJ64" s="12">
        <f>AMG64*ReferralReward</f>
        <v/>
      </c>
      <c r="ANK64" s="12">
        <f>AME64</f>
        <v/>
      </c>
      <c r="ANL64" s="9">
        <f>ANB64-ANF64-ANG64-ANH64-ANI64-ANJ64-ANK64</f>
        <v/>
      </c>
      <c r="ANM64" s="9">
        <f>ANM63+AMY64-(ANF64+ANG64+ANH64+ANI64+ANJ64+ANK64+AND64)</f>
        <v/>
      </c>
      <c r="ANN64" s="12">
        <f>IF(AMS64&gt;0,AMT64/AMS64,0)</f>
        <v/>
      </c>
      <c r="ANO64" s="11">
        <f>IF(AMS63&gt;0,MAX(0,(AMS63+AMH64-AMS64)/AMS63),0)</f>
        <v/>
      </c>
      <c r="ANQ64" s="12" t="n">
        <v>60</v>
      </c>
      <c r="ANR64" s="12">
        <f>MOD(ANQ64-1+LaunchMonth-1,12)+1</f>
        <v/>
      </c>
      <c r="ANS64" s="12">
        <f>INT((ANQ64-1+LaunchMonth-1)/12)+1</f>
        <v/>
      </c>
      <c r="ANT64" s="12">
        <f>VLOOKUP(ANR64,SeasonTable,2,FALSE)</f>
        <v/>
      </c>
      <c r="ANU64" s="12">
        <f>(1+InflationRate)^INT((ANQ64-1)/12)</f>
        <v/>
      </c>
      <c r="ANV64" s="11">
        <f>MonthlyChurn*VLOOKUP(ANR64,ChurnSeasonTable,4,FALSE)</f>
        <v/>
      </c>
      <c r="ANW64" s="12">
        <f>MIN(MAX(MktMin19plus,AOQ63*MktPct19plus),MAX(0,APE63-CashBuffer))</f>
        <v/>
      </c>
      <c r="ANX64" s="12">
        <f>IF(ANW64&gt;0,MAX(1,ROUND(ANW64/'Sens - CAC &amp; Marketing'!$A$14*ANT64,0)),0)</f>
        <v/>
      </c>
      <c r="ANY64" s="12">
        <f>IF(ANX64&gt;0,ROUND(ANX64*ReferralMix/(1-ReferralMix),0),0)</f>
        <v/>
      </c>
      <c r="ANZ64" s="12">
        <f>ANX64+ANY64</f>
        <v/>
      </c>
      <c r="AOA64" s="12">
        <f>ROUND(ANZ64*(1-AnnualMix),0)</f>
        <v/>
      </c>
      <c r="AOB64" s="12">
        <f>ANZ64-AOA64</f>
        <v/>
      </c>
      <c r="AOC64" s="12">
        <f>ROUND(AOA64*EssentialMix,0)</f>
        <v/>
      </c>
      <c r="AOD64" s="12">
        <f>AOA64-AOC64</f>
        <v/>
      </c>
      <c r="AOE64" s="12">
        <f>ROUND(AOB64*EssentialMix,0)</f>
        <v/>
      </c>
      <c r="AOF64" s="12">
        <f>AOB64-AOE64</f>
        <v/>
      </c>
      <c r="AOG64" s="12">
        <f>AOC64+AOC63+AOC62+MAX(0,AOG63-AOC63-AOC62)*(1-ANV64)</f>
        <v/>
      </c>
      <c r="AOH64" s="12">
        <f>AOD64+AOD63+AOD62+MAX(0,AOH63-AOD63-AOD62)*(1-ANV64)</f>
        <v/>
      </c>
      <c r="AOI64" s="12">
        <f>AOI63+AOE64-AOE52*(AnnualChurn*VLOOKUP(ANR64,ChurnSeasonTable,4,FALSE))*POWER(1-(AnnualChurn*VLOOKUP(ANR64,ChurnSeasonTable,4,FALSE)),0)+AOE40*(AnnualChurn*VLOOKUP(ANR64,ChurnSeasonTable,4,FALSE))*POWER(1-(AnnualChurn*VLOOKUP(ANR64,ChurnSeasonTable,4,FALSE)),1)+AOE28*(AnnualChurn*VLOOKUP(ANR64,ChurnSeasonTable,4,FALSE))*POWER(1-(AnnualChurn*VLOOKUP(ANR64,ChurnSeasonTable,4,FALSE)),2)+AOE16*(AnnualChurn*VLOOKUP(ANR64,ChurnSeasonTable,4,FALSE))*POWER(1-(AnnualChurn*VLOOKUP(ANR64,ChurnSeasonTable,4,FALSE)),3)</f>
        <v/>
      </c>
      <c r="AOJ64" s="12">
        <f>AOJ63+AOF64-AOF52*(AnnualChurn*VLOOKUP(ANR64,ChurnSeasonTable,4,FALSE))*POWER(1-(AnnualChurn*VLOOKUP(ANR64,ChurnSeasonTable,4,FALSE)),0)+AOF40*(AnnualChurn*VLOOKUP(ANR64,ChurnSeasonTable,4,FALSE))*POWER(1-(AnnualChurn*VLOOKUP(ANR64,ChurnSeasonTable,4,FALSE)),1)+AOF28*(AnnualChurn*VLOOKUP(ANR64,ChurnSeasonTable,4,FALSE))*POWER(1-(AnnualChurn*VLOOKUP(ANR64,ChurnSeasonTable,4,FALSE)),2)+AOF16*(AnnualChurn*VLOOKUP(ANR64,ChurnSeasonTable,4,FALSE))*POWER(1-(AnnualChurn*VLOOKUP(ANR64,ChurnSeasonTable,4,FALSE)),3)</f>
        <v/>
      </c>
      <c r="AOK64" s="12">
        <f>AOG64+AOH64+AOI64+AOJ64</f>
        <v/>
      </c>
      <c r="AOL64" s="9">
        <f>AOG64*PriceEssMonthly*ANU64+AOH64*PricePremMonthly*ANU64+AOI64*PriceEssAnnual*ANU64/12+AOJ64*PricePremAnnual*ANU64/12</f>
        <v/>
      </c>
      <c r="AOM64" s="9">
        <f>AOL64*12</f>
        <v/>
      </c>
      <c r="AON64" s="12">
        <f>AOG64*PriceEssMonthly*ANU64+AOH64*PricePremMonthly*ANU64</f>
        <v/>
      </c>
      <c r="AOO64" s="12">
        <f>AOE64*PriceEssAnnual*ANU64+AOF64*PricePremAnnual*ANU64</f>
        <v/>
      </c>
      <c r="AOP64" s="12">
        <f>AOE52*POWER(1-(AnnualChurn*VLOOKUP(ANR64,ChurnSeasonTable,4,FALSE)),1)*PriceEssAnnual*ANU64+AOE40*POWER(1-(AnnualChurn*VLOOKUP(ANR64,ChurnSeasonTable,4,FALSE)),2)*PriceEssAnnual*ANU64+AOE28*POWER(1-(AnnualChurn*VLOOKUP(ANR64,ChurnSeasonTable,4,FALSE)),3)*PriceEssAnnual*ANU64+AOE16*POWER(1-(AnnualChurn*VLOOKUP(ANR64,ChurnSeasonTable,4,FALSE)),4)*PriceEssAnnual*ANU64+AOF52*POWER(1-(AnnualChurn*VLOOKUP(ANR64,ChurnSeasonTable,4,FALSE)),1)*PricePremAnnual*ANU64+AOF40*POWER(1-(AnnualChurn*VLOOKUP(ANR64,ChurnSeasonTable,4,FALSE)),2)*PricePremAnnual*ANU64+AOF28*POWER(1-(AnnualChurn*VLOOKUP(ANR64,ChurnSeasonTable,4,FALSE)),3)*PricePremAnnual*ANU64+AOF16*POWER(1-(AnnualChurn*VLOOKUP(ANR64,ChurnSeasonTable,4,FALSE)),4)*PricePremAnnual*ANU64</f>
        <v/>
      </c>
      <c r="AOQ64" s="9">
        <f>AON64+AOO64+AOP64</f>
        <v/>
      </c>
      <c r="AOR64" s="12">
        <f>SUM(AOQ53:AOQ64)</f>
        <v/>
      </c>
      <c r="AOS64" s="12">
        <f>OR(AOS63,AOR64&gt;=VATThreshold)</f>
        <v/>
      </c>
      <c r="AOT64" s="9">
        <f>IF(AOS64,AOQ64/(1+VATRate),AOQ64)</f>
        <v/>
      </c>
      <c r="AOU64" s="12">
        <f>AOQ64-AOT64</f>
        <v/>
      </c>
      <c r="AOV64" s="12">
        <f>IF(AOS64=0,0,IF(ANR64=1,SUMPRODUCT(--(($ANS$5:$ANS64=$ANS64-1)*($ANR$5:$ANR64&gt;=10)*($ANR$5:$ANR64&lt;=12)),$AOU$5:$AOU64),IF(ANR64=4,SUMPRODUCT(--(($ANS$5:$ANS64=$ANS64)*($ANR$5:$ANR64&gt;=1)*($ANR$5:$ANR64&lt;=3)),$AOU$5:$AOU64),IF(ANR64=7,SUMPRODUCT(--(($ANS$5:$ANS64=$ANS64)*($ANR$5:$ANR64&gt;=4)*($ANR$5:$ANR64&lt;=6)),$AOU$5:$AOU64),IF(ANR64=10,SUMPRODUCT(--(($ANS$5:$ANS64=$ANS64)*($ANR$5:$ANR64&gt;=7)*($ANR$5:$ANR64&lt;=9)),$AOU$5:$AOU64),0)))))</f>
        <v/>
      </c>
      <c r="AOW64" s="12">
        <f>AOW63+AOU64-AOV64</f>
        <v/>
      </c>
      <c r="AOX64" s="12">
        <f>IF(ProviderDelay&gt;=1,AOT63*ProviderShare,AOT64*ProviderShare)</f>
        <v/>
      </c>
      <c r="AOY64" s="12">
        <f>AOQ64*PaymentFee</f>
        <v/>
      </c>
      <c r="AOZ64" s="12">
        <f>AOK64*OpsAI</f>
        <v/>
      </c>
      <c r="APA64" s="12">
        <f>MonthlyFixed</f>
        <v/>
      </c>
      <c r="APB64" s="12">
        <f>ANY64*ReferralReward</f>
        <v/>
      </c>
      <c r="APC64" s="12">
        <f>ANW64</f>
        <v/>
      </c>
      <c r="APD64" s="9">
        <f>AOT64-AOX64-AOY64-AOZ64-APA64-APB64-APC64</f>
        <v/>
      </c>
      <c r="APE64" s="9">
        <f>APE63+AOQ64-(AOX64+AOY64+AOZ64+APA64+APB64+APC64+AOV64)</f>
        <v/>
      </c>
      <c r="APF64" s="12">
        <f>IF(AOK64&gt;0,AOL64/AOK64,0)</f>
        <v/>
      </c>
      <c r="APG64" s="11">
        <f>IF(AOK63&gt;0,MAX(0,(AOK63+ANZ64-AOK64)/AOK63),0)</f>
        <v/>
      </c>
      <c r="API64" s="12" t="n">
        <v>60</v>
      </c>
      <c r="APJ64" s="12">
        <f>MOD(API64-1+LaunchMonth-1,12)+1</f>
        <v/>
      </c>
      <c r="APK64" s="12">
        <f>INT((API64-1+LaunchMonth-1)/12)+1</f>
        <v/>
      </c>
      <c r="APL64" s="12">
        <f>VLOOKUP(APJ64,SeasonTable,2,FALSE)</f>
        <v/>
      </c>
      <c r="APM64" s="12">
        <f>(1+InflationRate)^INT((API64-1)/12)</f>
        <v/>
      </c>
      <c r="APN64" s="11">
        <f>MonthlyChurn*VLOOKUP(APJ64,ChurnSeasonTable,4,FALSE)</f>
        <v/>
      </c>
      <c r="APO64" s="12">
        <f>MIN(MAX(MktMin19plus,AQI63*MktPct19plus),MAX(0,AQW63-CashBuffer))</f>
        <v/>
      </c>
      <c r="APP64" s="12">
        <f>IF(APO64&gt;0,MAX(1,ROUND(APO64/'Sens - CAC &amp; Marketing'!$A$15*APL64,0)),0)</f>
        <v/>
      </c>
      <c r="APQ64" s="12">
        <f>IF(APP64&gt;0,ROUND(APP64*ReferralMix/(1-ReferralMix),0),0)</f>
        <v/>
      </c>
      <c r="APR64" s="12">
        <f>APP64+APQ64</f>
        <v/>
      </c>
      <c r="APS64" s="12">
        <f>ROUND(APR64*(1-AnnualMix),0)</f>
        <v/>
      </c>
      <c r="APT64" s="12">
        <f>APR64-APS64</f>
        <v/>
      </c>
      <c r="APU64" s="12">
        <f>ROUND(APS64*EssentialMix,0)</f>
        <v/>
      </c>
      <c r="APV64" s="12">
        <f>APS64-APU64</f>
        <v/>
      </c>
      <c r="APW64" s="12">
        <f>ROUND(APT64*EssentialMix,0)</f>
        <v/>
      </c>
      <c r="APX64" s="12">
        <f>APT64-APW64</f>
        <v/>
      </c>
      <c r="APY64" s="12">
        <f>APU64+APU63+APU62+MAX(0,APY63-APU63-APU62)*(1-APN64)</f>
        <v/>
      </c>
      <c r="APZ64" s="12">
        <f>APV64+APV63+APV62+MAX(0,APZ63-APV63-APV62)*(1-APN64)</f>
        <v/>
      </c>
      <c r="AQA64" s="12">
        <f>AQA63+APW64-APW52*(AnnualChurn*VLOOKUP(APJ64,ChurnSeasonTable,4,FALSE))*POWER(1-(AnnualChurn*VLOOKUP(APJ64,ChurnSeasonTable,4,FALSE)),0)+APW40*(AnnualChurn*VLOOKUP(APJ64,ChurnSeasonTable,4,FALSE))*POWER(1-(AnnualChurn*VLOOKUP(APJ64,ChurnSeasonTable,4,FALSE)),1)+APW28*(AnnualChurn*VLOOKUP(APJ64,ChurnSeasonTable,4,FALSE))*POWER(1-(AnnualChurn*VLOOKUP(APJ64,ChurnSeasonTable,4,FALSE)),2)+APW16*(AnnualChurn*VLOOKUP(APJ64,ChurnSeasonTable,4,FALSE))*POWER(1-(AnnualChurn*VLOOKUP(APJ64,ChurnSeasonTable,4,FALSE)),3)</f>
        <v/>
      </c>
      <c r="AQB64" s="12">
        <f>AQB63+APX64-APX52*(AnnualChurn*VLOOKUP(APJ64,ChurnSeasonTable,4,FALSE))*POWER(1-(AnnualChurn*VLOOKUP(APJ64,ChurnSeasonTable,4,FALSE)),0)+APX40*(AnnualChurn*VLOOKUP(APJ64,ChurnSeasonTable,4,FALSE))*POWER(1-(AnnualChurn*VLOOKUP(APJ64,ChurnSeasonTable,4,FALSE)),1)+APX28*(AnnualChurn*VLOOKUP(APJ64,ChurnSeasonTable,4,FALSE))*POWER(1-(AnnualChurn*VLOOKUP(APJ64,ChurnSeasonTable,4,FALSE)),2)+APX16*(AnnualChurn*VLOOKUP(APJ64,ChurnSeasonTable,4,FALSE))*POWER(1-(AnnualChurn*VLOOKUP(APJ64,ChurnSeasonTable,4,FALSE)),3)</f>
        <v/>
      </c>
      <c r="AQC64" s="12">
        <f>APY64+APZ64+AQA64+AQB64</f>
        <v/>
      </c>
      <c r="AQD64" s="9">
        <f>APY64*PriceEssMonthly*APM64+APZ64*PricePremMonthly*APM64+AQA64*PriceEssAnnual*APM64/12+AQB64*PricePremAnnual*APM64/12</f>
        <v/>
      </c>
      <c r="AQE64" s="9">
        <f>AQD64*12</f>
        <v/>
      </c>
      <c r="AQF64" s="12">
        <f>APY64*PriceEssMonthly*APM64+APZ64*PricePremMonthly*APM64</f>
        <v/>
      </c>
      <c r="AQG64" s="12">
        <f>APW64*PriceEssAnnual*APM64+APX64*PricePremAnnual*APM64</f>
        <v/>
      </c>
      <c r="AQH64" s="12">
        <f>APW52*POWER(1-(AnnualChurn*VLOOKUP(APJ64,ChurnSeasonTable,4,FALSE)),1)*PriceEssAnnual*APM64+APW40*POWER(1-(AnnualChurn*VLOOKUP(APJ64,ChurnSeasonTable,4,FALSE)),2)*PriceEssAnnual*APM64+APW28*POWER(1-(AnnualChurn*VLOOKUP(APJ64,ChurnSeasonTable,4,FALSE)),3)*PriceEssAnnual*APM64+APW16*POWER(1-(AnnualChurn*VLOOKUP(APJ64,ChurnSeasonTable,4,FALSE)),4)*PriceEssAnnual*APM64+APX52*POWER(1-(AnnualChurn*VLOOKUP(APJ64,ChurnSeasonTable,4,FALSE)),1)*PricePremAnnual*APM64+APX40*POWER(1-(AnnualChurn*VLOOKUP(APJ64,ChurnSeasonTable,4,FALSE)),2)*PricePremAnnual*APM64+APX28*POWER(1-(AnnualChurn*VLOOKUP(APJ64,ChurnSeasonTable,4,FALSE)),3)*PricePremAnnual*APM64+APX16*POWER(1-(AnnualChurn*VLOOKUP(APJ64,ChurnSeasonTable,4,FALSE)),4)*PricePremAnnual*APM64</f>
        <v/>
      </c>
      <c r="AQI64" s="9">
        <f>AQF64+AQG64+AQH64</f>
        <v/>
      </c>
      <c r="AQJ64" s="12">
        <f>SUM(AQI53:AQI64)</f>
        <v/>
      </c>
      <c r="AQK64" s="12">
        <f>OR(AQK63,AQJ64&gt;=VATThreshold)</f>
        <v/>
      </c>
      <c r="AQL64" s="9">
        <f>IF(AQK64,AQI64/(1+VATRate),AQI64)</f>
        <v/>
      </c>
      <c r="AQM64" s="12">
        <f>AQI64-AQL64</f>
        <v/>
      </c>
      <c r="AQN64" s="12">
        <f>IF(AQK64=0,0,IF(APJ64=1,SUMPRODUCT(--(($APK$5:$APK64=$APK64-1)*($APJ$5:$APJ64&gt;=10)*($APJ$5:$APJ64&lt;=12)),$AQM$5:$AQM64),IF(APJ64=4,SUMPRODUCT(--(($APK$5:$APK64=$APK64)*($APJ$5:$APJ64&gt;=1)*($APJ$5:$APJ64&lt;=3)),$AQM$5:$AQM64),IF(APJ64=7,SUMPRODUCT(--(($APK$5:$APK64=$APK64)*($APJ$5:$APJ64&gt;=4)*($APJ$5:$APJ64&lt;=6)),$AQM$5:$AQM64),IF(APJ64=10,SUMPRODUCT(--(($APK$5:$APK64=$APK64)*($APJ$5:$APJ64&gt;=7)*($APJ$5:$APJ64&lt;=9)),$AQM$5:$AQM64),0)))))</f>
        <v/>
      </c>
      <c r="AQO64" s="12">
        <f>AQO63+AQM64-AQN64</f>
        <v/>
      </c>
      <c r="AQP64" s="12">
        <f>IF(ProviderDelay&gt;=1,AQL63*ProviderShare,AQL64*ProviderShare)</f>
        <v/>
      </c>
      <c r="AQQ64" s="12">
        <f>AQI64*PaymentFee</f>
        <v/>
      </c>
      <c r="AQR64" s="12">
        <f>AQC64*OpsAI</f>
        <v/>
      </c>
      <c r="AQS64" s="12">
        <f>MonthlyFixed</f>
        <v/>
      </c>
      <c r="AQT64" s="12">
        <f>APQ64*ReferralReward</f>
        <v/>
      </c>
      <c r="AQU64" s="12">
        <f>APO64</f>
        <v/>
      </c>
      <c r="AQV64" s="9">
        <f>AQL64-AQP64-AQQ64-AQR64-AQS64-AQT64-AQU64</f>
        <v/>
      </c>
      <c r="AQW64" s="9">
        <f>AQW63+AQI64-(AQP64+AQQ64+AQR64+AQS64+AQT64+AQU64+AQN64)</f>
        <v/>
      </c>
      <c r="AQX64" s="12">
        <f>IF(AQC64&gt;0,AQD64/AQC64,0)</f>
        <v/>
      </c>
      <c r="AQY64" s="11">
        <f>IF(AQC63&gt;0,MAX(0,(AQC63+APR64-AQC64)/AQC63),0)</f>
        <v/>
      </c>
      <c r="ARA64" s="12" t="n">
        <v>60</v>
      </c>
      <c r="ARB64" s="12">
        <f>MOD(ARA64-1+LaunchMonth-1,12)+1</f>
        <v/>
      </c>
      <c r="ARC64" s="12">
        <f>INT((ARA64-1+LaunchMonth-1)/12)+1</f>
        <v/>
      </c>
      <c r="ARD64" s="12">
        <f>VLOOKUP(ARB64,WinterPivotSeasonTable,5,FALSE)</f>
        <v/>
      </c>
      <c r="ARE64" s="12">
        <f>(1+InflationRate)^INT((ARA64-1)/12)</f>
        <v/>
      </c>
      <c r="ARF64" s="11">
        <f>MonthlyChurn*VLOOKUP(ARB64,WinterPivotChurnTable,6,FALSE)</f>
        <v/>
      </c>
      <c r="ARG64" s="12">
        <f>MIN(MAX(MktMin19plus,ASA63*MktPct19plus),MAX(0,ASO63-CashBuffer))</f>
        <v/>
      </c>
      <c r="ARH64" s="12">
        <f>IF(ARG64&gt;0,MAX(1,ROUND(ARG64/CAC*ARD64,0)),0)</f>
        <v/>
      </c>
      <c r="ARI64" s="12">
        <f>IF(ARH64&gt;0,ROUND(ARH64*ReferralMix/(1-ReferralMix),0),0)</f>
        <v/>
      </c>
      <c r="ARJ64" s="12">
        <f>ARH64+ARI64</f>
        <v/>
      </c>
      <c r="ARK64" s="12">
        <f>ROUND(ARJ64*(1-AnnualMix),0)</f>
        <v/>
      </c>
      <c r="ARL64" s="12">
        <f>ARJ64-ARK64</f>
        <v/>
      </c>
      <c r="ARM64" s="12">
        <f>ROUND(ARK64*'Sens - Winter Pivot'!$B$6,0)</f>
        <v/>
      </c>
      <c r="ARN64" s="12">
        <f>ARK64-ARM64</f>
        <v/>
      </c>
      <c r="ARO64" s="12">
        <f>ROUND(ARL64*'Sens - Winter Pivot'!$B$6,0)</f>
        <v/>
      </c>
      <c r="ARP64" s="12">
        <f>ARL64-ARO64</f>
        <v/>
      </c>
      <c r="ARQ64" s="12">
        <f>ARM64+ARM63+ARM62+MAX(0,ARQ63-ARM63-ARM62)*(1-ARF64)</f>
        <v/>
      </c>
      <c r="ARR64" s="12">
        <f>ARN64+ARN63+ARN62+MAX(0,ARR63-ARN63-ARN62)*(1-ARF64)</f>
        <v/>
      </c>
      <c r="ARS64" s="12">
        <f>ARS63+ARO64-ARO52*(AnnualChurn*VLOOKUP(ARB64,WinterPivotChurnTable,6,FALSE))*POWER(1-(AnnualChurn*VLOOKUP(ARB64,WinterPivotChurnTable,6,FALSE)),0)+ARO40*(AnnualChurn*VLOOKUP(ARB64,WinterPivotChurnTable,6,FALSE))*POWER(1-(AnnualChurn*VLOOKUP(ARB64,WinterPivotChurnTable,6,FALSE)),1)+ARO28*(AnnualChurn*VLOOKUP(ARB64,WinterPivotChurnTable,6,FALSE))*POWER(1-(AnnualChurn*VLOOKUP(ARB64,WinterPivotChurnTable,6,FALSE)),2)+ARO16*(AnnualChurn*VLOOKUP(ARB64,WinterPivotChurnTable,6,FALSE))*POWER(1-(AnnualChurn*VLOOKUP(ARB64,WinterPivotChurnTable,6,FALSE)),3)</f>
        <v/>
      </c>
      <c r="ART64" s="12">
        <f>ART63+ARP64-ARP52*(AnnualChurn*VLOOKUP(ARB64,WinterPivotChurnTable,6,FALSE))*POWER(1-(AnnualChurn*VLOOKUP(ARB64,WinterPivotChurnTable,6,FALSE)),0)+ARP40*(AnnualChurn*VLOOKUP(ARB64,WinterPivotChurnTable,6,FALSE))*POWER(1-(AnnualChurn*VLOOKUP(ARB64,WinterPivotChurnTable,6,FALSE)),1)+ARP28*(AnnualChurn*VLOOKUP(ARB64,WinterPivotChurnTable,6,FALSE))*POWER(1-(AnnualChurn*VLOOKUP(ARB64,WinterPivotChurnTable,6,FALSE)),2)+ARP16*(AnnualChurn*VLOOKUP(ARB64,WinterPivotChurnTable,6,FALSE))*POWER(1-(AnnualChurn*VLOOKUP(ARB64,WinterPivotChurnTable,6,FALSE)),3)</f>
        <v/>
      </c>
      <c r="ARU64" s="12">
        <f>ARQ64+ARR64+ARS64+ART64</f>
        <v/>
      </c>
      <c r="ARV64" s="9">
        <f>ARQ64*PriceEssMonthly*ARE64+ARR64*(PricePremMonthly+'Sens - Winter Pivot'!$B$7)*ARE64+ARS64*PriceEssAnnual*ARE64/12+ART64*(PricePremAnnual+'Sens - Winter Pivot'!$B$7*12)*ARE64/12</f>
        <v/>
      </c>
      <c r="ARW64" s="9">
        <f>ARV64*12</f>
        <v/>
      </c>
      <c r="ARX64" s="12">
        <f>ARQ64*PriceEssMonthly*ARE64+ARR64*(PricePremMonthly+'Sens - Winter Pivot'!$B$7)*ARE64</f>
        <v/>
      </c>
      <c r="ARY64" s="12">
        <f>ARO64*PriceEssAnnual*ARE64+ARP64*(PricePremAnnual+'Sens - Winter Pivot'!$B$7*12)*ARE64</f>
        <v/>
      </c>
      <c r="ARZ64" s="12">
        <f>ARO52*POWER(1-(AnnualChurn*VLOOKUP(ARB64,WinterPivotChurnTable,6,FALSE)),1)*PriceEssAnnual*ARE64+ARO40*POWER(1-(AnnualChurn*VLOOKUP(ARB64,WinterPivotChurnTable,6,FALSE)),2)*PriceEssAnnual*ARE64+ARO28*POWER(1-(AnnualChurn*VLOOKUP(ARB64,WinterPivotChurnTable,6,FALSE)),3)*PriceEssAnnual*ARE64+ARO16*POWER(1-(AnnualChurn*VLOOKUP(ARB64,WinterPivotChurnTable,6,FALSE)),4)*PriceEssAnnual*ARE64+ARP52*POWER(1-(AnnualChurn*VLOOKUP(ARB64,WinterPivotChurnTable,6,FALSE)),1)*PricePremAnnual*ARE64+ARP40*POWER(1-(AnnualChurn*VLOOKUP(ARB64,WinterPivotChurnTable,6,FALSE)),2)*PricePremAnnual*ARE64+ARP28*POWER(1-(AnnualChurn*VLOOKUP(ARB64,WinterPivotChurnTable,6,FALSE)),3)*PricePremAnnual*ARE64+ARP16*POWER(1-(AnnualChurn*VLOOKUP(ARB64,WinterPivotChurnTable,6,FALSE)),4)*PricePremAnnual*ARE64</f>
        <v/>
      </c>
      <c r="ASA64" s="9">
        <f>ARX64+ARY64+ARZ64</f>
        <v/>
      </c>
      <c r="ASB64" s="12">
        <f>SUM(ASA53:ASA64)</f>
        <v/>
      </c>
      <c r="ASC64" s="12">
        <f>OR(ASC63,ASB64&gt;=VATThreshold)</f>
        <v/>
      </c>
      <c r="ASD64" s="9">
        <f>IF(ASC64,ASA64/(1+VATRate),ASA64)</f>
        <v/>
      </c>
      <c r="ASE64" s="12">
        <f>ASA64-ASD64</f>
        <v/>
      </c>
      <c r="ASF64" s="12">
        <f>IF(ASC64=0,0,IF(ARB64=1,SUMPRODUCT(--(($ARC$5:$ARC64=$ARC64-1)*($ARB$5:$ARB64&gt;=10)*($ARB$5:$ARB64&lt;=12)),$ASE$5:$ASE64),IF(ARB64=4,SUMPRODUCT(--(($ARC$5:$ARC64=$ARC64)*($ARB$5:$ARB64&gt;=1)*($ARB$5:$ARB64&lt;=3)),$ASE$5:$ASE64),IF(ARB64=7,SUMPRODUCT(--(($ARC$5:$ARC64=$ARC64)*($ARB$5:$ARB64&gt;=4)*($ARB$5:$ARB64&lt;=6)),$ASE$5:$ASE64),IF(ARB64=10,SUMPRODUCT(--(($ARC$5:$ARC64=$ARC64)*($ARB$5:$ARB64&gt;=7)*($ARB$5:$ARB64&lt;=9)),$ASE$5:$ASE64),0)))))</f>
        <v/>
      </c>
      <c r="ASG64" s="12">
        <f>ASG63+ASE64-ASF64</f>
        <v/>
      </c>
      <c r="ASH64" s="12">
        <f>IF(ProviderDelay&gt;=1,ASD63*ProviderShare,ASD64*ProviderShare)</f>
        <v/>
      </c>
      <c r="ASI64" s="12">
        <f>ASA64*PaymentFee</f>
        <v/>
      </c>
      <c r="ASJ64" s="12">
        <f>ARU64*OpsAI</f>
        <v/>
      </c>
      <c r="ASK64" s="12">
        <f>MonthlyFixed</f>
        <v/>
      </c>
      <c r="ASL64" s="12">
        <f>ARI64*ReferralReward</f>
        <v/>
      </c>
      <c r="ASM64" s="12">
        <f>ARG64</f>
        <v/>
      </c>
      <c r="ASN64" s="9">
        <f>ASD64-ASH64-ASI64-ASJ64-ASK64-ASL64-ASM64</f>
        <v/>
      </c>
      <c r="ASO64" s="9">
        <f>ASO63+ASA64-(ASH64+ASI64+ASJ64+ASK64+ASL64+ASM64+ASF64)</f>
        <v/>
      </c>
      <c r="ASP64" s="12">
        <f>IF(ARU64&gt;0,ARV64/ARU64,0)</f>
        <v/>
      </c>
      <c r="ASQ64" s="11">
        <f>IF(ARU63&gt;0,MAX(0,(ARU63+ARJ64-ARU64)/ARU63),0)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2026-05-23T17:51:00Z</dcterms:created>
  <dcterms:modified xsi:type="dcterms:W3CDTF">2026-05-24T07:20:49Z</dcterms:modified>
</cp:coreProperties>
</file>